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olors30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7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28.xml" ContentType="application/vnd.ms-office.chartcolorstyle+xml"/>
  <Override PartName="/xl/charts/style28.xml" ContentType="application/vnd.ms-office.chartstyle+xml"/>
  <Override PartName="/xl/charts/chart28.xml" ContentType="application/vnd.openxmlformats-officedocument.drawingml.chart+xml"/>
  <Override PartName="/xl/charts/colors21.xml" ContentType="application/vnd.ms-office.chartcolorstyle+xml"/>
  <Override PartName="/xl/drawings/drawing13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worksheets/sheet1.xml" ContentType="application/vnd.openxmlformats-officedocument.spreadsheetml.worksheet+xml"/>
  <Override PartName="/xl/charts/style21.xml" ContentType="application/vnd.ms-office.chartstyle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olors25.xml" ContentType="application/vnd.ms-office.chartcolorstyle+xml"/>
  <Override PartName="/xl/charts/style25.xml" ContentType="application/vnd.ms-office.chartstyle+xml"/>
  <Override PartName="/xl/charts/chart25.xml" ContentType="application/vnd.openxmlformats-officedocument.drawingml.chart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drawings/drawing14.xml" ContentType="application/vnd.openxmlformats-officedocument.drawing+xml"/>
  <Override PartName="/xl/charts/colors18.xml" ContentType="application/vnd.ms-office.chartcolorsty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style6.xml" ContentType="application/vnd.ms-office.chartstyle+xml"/>
  <Override PartName="/xl/drawings/drawing11.xml" ContentType="application/vnd.openxmlformats-officedocument.drawing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olors5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charts/colors6.xml" ContentType="application/vnd.ms-office.chartcolorstyle+xml"/>
  <Override PartName="/xl/charts/chart8.xml" ContentType="application/vnd.openxmlformats-officedocument.drawingml.chart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hart12.xml" ContentType="application/vnd.openxmlformats-officedocument.drawingml.chart+xml"/>
  <Override PartName="/xl/charts/colors11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drawings/drawing10.xml" ContentType="application/vnd.openxmlformats-officedocument.drawing+xml"/>
  <Override PartName="/xl/charts/colors16.xml" ContentType="application/vnd.ms-office.chartcolorstyle+xml"/>
  <Override PartName="/xl/charts/style15.xml" ContentType="application/vnd.ms-office.chartstyle+xml"/>
  <Override PartName="/xl/charts/colors15.xml" ContentType="application/vnd.ms-office.chartcolorstyle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docProps/custom.xml" ContentType="application/vnd.openxmlformats-officedocument.custom-properties+xml"/>
  <Override PartName="/xl/comments3.xml" ContentType="application/vnd.openxmlformats-officedocument.spreadsheetml.comment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J:\GrpRevnu\PUBLIC\# 2019 GRC\Data Requests\Bench Requests\Bench Request No. 011 (proforma updates)\#RevReq-Attrition-COS-Bench-Request-011(R)\"/>
    </mc:Choice>
  </mc:AlternateContent>
  <bookViews>
    <workbookView xWindow="0" yWindow="-12" windowWidth="19032" windowHeight="11316" tabRatio="842"/>
  </bookViews>
  <sheets>
    <sheet name="RJA-3_Electric_Attrition" sheetId="63" r:id="rId1"/>
    <sheet name="RJA-4_Gas_Attrition" sheetId="62" r:id="rId2"/>
    <sheet name="elec diff for temp norm expl" sheetId="96" r:id="rId3"/>
    <sheet name="gas diff for temp norm expl" sheetId="97" r:id="rId4"/>
    <sheet name="Roll RJA-3&amp;4 to RJA-8&amp;9" sheetId="94" r:id="rId5"/>
    <sheet name="Electric_CBR" sheetId="1" r:id="rId6"/>
    <sheet name="Elect_Sales" sheetId="29" r:id="rId7"/>
    <sheet name="Elect_PPlant" sheetId="35" r:id="rId8"/>
    <sheet name="Elect_TPlant" sheetId="36" r:id="rId9"/>
    <sheet name="Elect_DPlant" sheetId="37" r:id="rId10"/>
    <sheet name="Elect_GPlant" sheetId="39" r:id="rId11"/>
    <sheet name="Electric_OM" sheetId="2" r:id="rId12"/>
    <sheet name="Elect_OMDetail" sheetId="80" r:id="rId13"/>
    <sheet name="Elect_IPlant" sheetId="38" r:id="rId14"/>
    <sheet name="Electric_TOTI" sheetId="5" r:id="rId15"/>
    <sheet name="Elect_Functional_Utility_Plant" sheetId="82" r:id="rId16"/>
    <sheet name="Funct_Plant_Rel_DFIT_Detail" sheetId="83" r:id="rId17"/>
    <sheet name="El_ADIT_w_wo_bonus" sheetId="84" r:id="rId18"/>
    <sheet name="Electric Bonus" sheetId="85" r:id="rId19"/>
    <sheet name="El Gross Plant Data" sheetId="86" r:id="rId20"/>
    <sheet name="El Accum Dep Data" sheetId="87" r:id="rId21"/>
    <sheet name="Gas_CBR" sheetId="12" r:id="rId22"/>
    <sheet name="Gas_Sales" sheetId="43" r:id="rId23"/>
    <sheet name="Gas_PPlant" sheetId="47" r:id="rId24"/>
    <sheet name="Gas_DPlant" sheetId="48" r:id="rId25"/>
    <sheet name="Gas_IPlant" sheetId="49" r:id="rId26"/>
    <sheet name="Gas_GPlant" sheetId="51" r:id="rId27"/>
    <sheet name="Gas_OM" sheetId="13" r:id="rId28"/>
    <sheet name="Gas_OMDetail" sheetId="81" r:id="rId29"/>
    <sheet name="Gas_TOTI" sheetId="16" r:id="rId30"/>
    <sheet name="Gas_Func_Plant" sheetId="42" r:id="rId31"/>
    <sheet name="Gas 282" sheetId="89" r:id="rId32"/>
    <sheet name="Gas Bonus" sheetId="90" r:id="rId33"/>
    <sheet name="GasGross Plant Data" sheetId="91" r:id="rId34"/>
    <sheet name="Gas Accum Dep Data" sheetId="92" r:id="rId35"/>
    <sheet name="CRM" sheetId="60" r:id="rId36"/>
    <sheet name="Indices" sheetId="3" r:id="rId37"/>
    <sheet name="Sum PropTX 1-2008 Thru 6-2013" sheetId="17" r:id="rId38"/>
    <sheet name="Depr Exp 2019 GRC Annual" sheetId="19" r:id="rId39"/>
    <sheet name="DFIT_Summary" sheetId="22" r:id="rId40"/>
    <sheet name="#3a PGA Rev Taxes" sheetId="23" r:id="rId41"/>
    <sheet name="AMI" sheetId="40" r:id="rId42"/>
    <sheet name="AMI_Forecast" sheetId="57" r:id="rId43"/>
    <sheet name="GTZ Historical RB" sheetId="52" r:id="rId44"/>
    <sheet name="GTZ Historical Tax" sheetId="93" r:id="rId45"/>
    <sheet name="GTZ_Forecast" sheetId="58" r:id="rId46"/>
  </sheets>
  <definedNames>
    <definedName name="__FDS_HYPERLINK_TOGGLE_STATE__">"ON"</definedName>
    <definedName name="__FDS_UNIQUE_RANGE_ID_GENERATOR_COUNTER">59</definedName>
    <definedName name="_1__FDSAUDITLINK__" localSheetId="15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 localSheetId="44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0__FDSAUDITLINK__" localSheetId="15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 localSheetId="44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0__FDSAUDITLINK__" localSheetId="15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 localSheetId="44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1__FDSAUDITLINK__" localSheetId="15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 localSheetId="44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__FDSAUDITLINK__" localSheetId="15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 localSheetId="44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15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44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15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44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5__FDSAUDITLINK__" localSheetId="15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 localSheetId="44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__FDSAUDITLINK__" localSheetId="15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 localSheetId="44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15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 localSheetId="44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__FDSAUDITLINK__" localSheetId="15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 localSheetId="44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9__FDSAUDITLINK__" localSheetId="15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 localSheetId="44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localSheetId="15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 localSheetId="44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0__FDSAUDITLINK__" localSheetId="15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 localSheetId="44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15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44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15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44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__FDSAUDITLINK__" localSheetId="15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localSheetId="44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15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44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localSheetId="15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 localSheetId="44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6__FDSAUDITLINK__" localSheetId="15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 localSheetId="44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7__FDSAUDITLINK__" localSheetId="15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 localSheetId="44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__FDSAUDITLINK__" localSheetId="15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localSheetId="44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__FDSAUDITLINK__" localSheetId="15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 localSheetId="44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__FDSAUDITLINK__" localSheetId="15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 localSheetId="44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0__FDSAUDITLINK__" localSheetId="15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 localSheetId="44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1__FDSAUDITLINK__" localSheetId="15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localSheetId="44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2__FDSAUDITLINK__" localSheetId="15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localSheetId="44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15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44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__FDSAUDITLINK__" localSheetId="15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 localSheetId="44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15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44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6__FDSAUDITLINK__" localSheetId="15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 localSheetId="44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7__FDSAUDITLINK__" localSheetId="15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 localSheetId="44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8__FDSAUDITLINK__" localSheetId="15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 localSheetId="44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15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44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__FDSAUDITLINK__" localSheetId="15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 localSheetId="44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0__FDSAUDITLINK__" localSheetId="15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 localSheetId="44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1__FDSAUDITLINK__" localSheetId="15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 localSheetId="44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2__FDSAUDITLINK__" localSheetId="15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 localSheetId="44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3__FDSAUDITLINK__" localSheetId="15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localSheetId="44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4__FDSAUDITLINK__" localSheetId="15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 localSheetId="44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5__FDSAUDITLINK__" localSheetId="15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 localSheetId="44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6__FDSAUDITLINK__" localSheetId="15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 localSheetId="44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7__FDSAUDITLINK__" localSheetId="15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 localSheetId="44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8__FDSAUDITLINK__" localSheetId="15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 localSheetId="44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15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44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__FDSAUDITLINK__" localSheetId="15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 localSheetId="44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0__FDSAUDITLINK__" localSheetId="15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localSheetId="44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15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44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2__FDSAUDITLINK__" localSheetId="15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localSheetId="44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3__FDSAUDITLINK__" localSheetId="15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localSheetId="44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15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 localSheetId="44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5__FDSAUDITLINK__" localSheetId="15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 localSheetId="44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localSheetId="15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 localSheetId="44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15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44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15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44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localSheetId="15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localSheetId="44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localSheetId="15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 localSheetId="44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0__FDSAUDITLINK__" localSheetId="15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localSheetId="44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1__FDSAUDITLINK__" localSheetId="15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 localSheetId="44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2__FDSAUDITLINK__" localSheetId="15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 localSheetId="44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15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44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15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 localSheetId="44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15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localSheetId="44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6__FDSAUDITLINK__" localSheetId="15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localSheetId="44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15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 localSheetId="44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8__FDSAUDITLINK__" localSheetId="15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 localSheetId="44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9__FDSAUDITLINK__" localSheetId="15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localSheetId="44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__FDSAUDITLINK__" localSheetId="15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 localSheetId="44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0__FDSAUDITLINK__" localSheetId="15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localSheetId="44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15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44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15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 localSheetId="44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15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44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4__FDSAUDITLINK__" localSheetId="15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localSheetId="44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15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localSheetId="44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15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44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localSheetId="15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 localSheetId="44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15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44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9__FDSAUDITLINK__" localSheetId="15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localSheetId="44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__FDSAUDITLINK__" localSheetId="15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 localSheetId="44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0__FDSAUDITLINK__" localSheetId="15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 localSheetId="44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1__FDSAUDITLINK__" localSheetId="15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 localSheetId="44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15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44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3__FDSAUDITLINK__" localSheetId="15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 localSheetId="44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4__FDSAUDITLINK__" localSheetId="15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 localSheetId="44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5__FDSAUDITLINK__" localSheetId="15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 localSheetId="44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6__FDSAUDITLINK__" localSheetId="15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 localSheetId="44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7__FDSAUDITLINK__" localSheetId="15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 localSheetId="44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8__FDSAUDITLINK__" localSheetId="15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 localSheetId="44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9__FDSAUDITLINK__" localSheetId="15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 localSheetId="44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__FDSAUDITLINK__" localSheetId="15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 localSheetId="44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0__FDSAUDITLINK__" localSheetId="15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 localSheetId="44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1__FDSAUDITLINK__" localSheetId="15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localSheetId="44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15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44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15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44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15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44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5__FDSAUDITLINK__" localSheetId="15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localSheetId="44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6__FDSAUDITLINK__" localSheetId="15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 localSheetId="44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7__FDSAUDITLINK__" localSheetId="15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 localSheetId="44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8__FDSAUDITLINK__" localSheetId="15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 localSheetId="44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9__FDSAUDITLINK__" localSheetId="15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44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15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 localSheetId="44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0__FDSAUDITLINK__" localSheetId="15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 localSheetId="44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15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44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2__FDSAUDITLINK__" localSheetId="15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localSheetId="44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15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44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15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 localSheetId="44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5__FDSAUDITLINK__" localSheetId="15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 localSheetId="44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15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44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7__FDSAUDITLINK__" localSheetId="15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localSheetId="44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15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 localSheetId="44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9__FDSAUDITLINK__" localSheetId="15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localSheetId="44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__FDSAUDITLINK__" localSheetId="15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 localSheetId="44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0__FDSAUDITLINK__" localSheetId="15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 localSheetId="44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0__FDSAUDITLINK__" localSheetId="15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 localSheetId="44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1__FDSAUDITLINK__" localSheetId="15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 localSheetId="44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2__FDSAUDITLINK__" localSheetId="15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 localSheetId="44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3__FDSAUDITLINK__" localSheetId="15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localSheetId="44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4__FDSAUDITLINK__" localSheetId="15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localSheetId="44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localSheetId="15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 localSheetId="44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6__FDSAUDITLINK__" localSheetId="15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 localSheetId="44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7__FDSAUDITLINK__" localSheetId="15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 localSheetId="44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8__FDSAUDITLINK__" localSheetId="15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 localSheetId="44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localSheetId="15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localSheetId="44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__FDSAUDITLINK__" localSheetId="15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 localSheetId="44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0__FDSAUDITLINK__" localSheetId="15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 localSheetId="44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1__FDSAUDITLINK__" localSheetId="15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 localSheetId="44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2__FDSAUDITLINK__" localSheetId="15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 localSheetId="44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3__FDSAUDITLINK__" localSheetId="15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localSheetId="44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localSheetId="15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 localSheetId="44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5__FDSAUDITLINK__" localSheetId="15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 localSheetId="44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6__FDSAUDITLINK__" localSheetId="15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 localSheetId="44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15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44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8__FDSAUDITLINK__" localSheetId="15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 localSheetId="44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9__FDSAUDITLINK__" localSheetId="15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 localSheetId="44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__FDSAUDITLINK__" localSheetId="15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 localSheetId="44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0__FDSAUDITLINK__" localSheetId="15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localSheetId="44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15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44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15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 localSheetId="44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3__FDSAUDITLINK__" localSheetId="15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localSheetId="44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4__FDSAUDITLINK__" localSheetId="15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 localSheetId="44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5__FDSAUDITLINK__" localSheetId="15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 localSheetId="44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6__FDSAUDITLINK__" localSheetId="15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 localSheetId="44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7__FDSAUDITLINK__" localSheetId="15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 localSheetId="44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8__FDSAUDITLINK__" localSheetId="15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localSheetId="44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9__FDSAUDITLINK__" localSheetId="15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 localSheetId="44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3__FDSAUDITLINK__" localSheetId="15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 localSheetId="44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0__FDSAUDITLINK__" localSheetId="15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 localSheetId="44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1__FDSAUDITLINK__" localSheetId="15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localSheetId="44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15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localSheetId="44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15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44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4__FDSAUDITLINK__" localSheetId="15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localSheetId="44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15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44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localSheetId="15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localSheetId="44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15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44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15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44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15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44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__FDSAUDITLINK__" localSheetId="15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 localSheetId="44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0__FDSAUDITLINK__" localSheetId="15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 localSheetId="44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1__FDSAUDITLINK__" localSheetId="15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localSheetId="44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2__FDSAUDITLINK__" localSheetId="15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localSheetId="44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15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localSheetId="44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15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44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15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 localSheetId="44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6__FDSAUDITLINK__" localSheetId="15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 localSheetId="44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localSheetId="15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localSheetId="44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15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 localSheetId="44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15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44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__FDSAUDITLINK__" localSheetId="15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 localSheetId="44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0__FDSAUDITLINK__" localSheetId="15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 localSheetId="44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1__FDSAUDITLINK__" localSheetId="15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localSheetId="44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15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44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15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 localSheetId="44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15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44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5__FDSAUDITLINK__" localSheetId="15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 localSheetId="44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6__FDSAUDITLINK__" localSheetId="15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 localSheetId="44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15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44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8__FDSAUDITLINK__" localSheetId="15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 localSheetId="44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9__FDSAUDITLINK__" localSheetId="15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 localSheetId="44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__FDSAUDITLINK__" localSheetId="15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 localSheetId="44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0__FDSAUDITLINK__" localSheetId="15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 localSheetId="44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1__FDSAUDITLINK__" localSheetId="15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localSheetId="44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15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 localSheetId="44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3__FDSAUDITLINK__" localSheetId="15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 localSheetId="44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4__FDSAUDITLINK__" localSheetId="15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 localSheetId="44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5__FDSAUDITLINK__" localSheetId="15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localSheetId="44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6__FDSAUDITLINK__" localSheetId="15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localSheetId="44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7__FDSAUDITLINK__" localSheetId="15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localSheetId="44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15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44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15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44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__FDSAUDITLINK__" localSheetId="15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 localSheetId="44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0__FDSAUDITLINK__" localSheetId="15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localSheetId="44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15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localSheetId="44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15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 localSheetId="44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localSheetId="15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localSheetId="44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localSheetId="15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 localSheetId="44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5__FDSAUDITLINK__" localSheetId="15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 localSheetId="44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6__FDSAUDITLINK__" localSheetId="15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localSheetId="44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localSheetId="15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localSheetId="44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15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 localSheetId="44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9__FDSAUDITLINK__" localSheetId="15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 localSheetId="44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3__FDSAUDITLINK__" localSheetId="15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 localSheetId="44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0__FDSAUDITLINK__" localSheetId="15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 localSheetId="44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1__FDSAUDITLINK__" localSheetId="15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 localSheetId="44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2__FDSAUDITLINK__" localSheetId="15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 localSheetId="44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3__FDSAUDITLINK__" localSheetId="15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 localSheetId="44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4__FDSAUDITLINK__" localSheetId="15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 localSheetId="44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5__FDSAUDITLINK__" localSheetId="15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 localSheetId="44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6__FDSAUDITLINK__" localSheetId="15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 localSheetId="44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7__FDSAUDITLINK__" localSheetId="15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 localSheetId="44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8__FDSAUDITLINK__" localSheetId="15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 localSheetId="44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9__FDSAUDITLINK__" localSheetId="15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 localSheetId="44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88__FDSAUDITLINK__" localSheetId="15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 localSheetId="44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15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44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15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44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15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44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15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44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3__FDSAUDITLINK__" localSheetId="15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 localSheetId="44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15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44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15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44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15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44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15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44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8__FDSAUDITLINK__" localSheetId="15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 localSheetId="44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15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44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4__FDSAUDITLINK__" localSheetId="15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 localSheetId="44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0__FDSAUDITLINK__" localSheetId="15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 localSheetId="44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00__FDSAUDITLINK__" localSheetId="15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 localSheetId="44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15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44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15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44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3__FDSAUDITLINK__" localSheetId="15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 localSheetId="44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4__FDSAUDITLINK__" localSheetId="15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 localSheetId="44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15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44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15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44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15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44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1__FDSAUDITLINK__" localSheetId="15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 localSheetId="44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2__FDSAUDITLINK__" localSheetId="15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 localSheetId="44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3__FDSAUDITLINK__" localSheetId="15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 localSheetId="44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4__FDSAUDITLINK__" localSheetId="15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 localSheetId="44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5__FDSAUDITLINK__" localSheetId="15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 localSheetId="44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6__FDSAUDITLINK__" localSheetId="15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 localSheetId="44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7__FDSAUDITLINK__" localSheetId="15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 localSheetId="44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8__FDSAUDITLINK__" localSheetId="15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 localSheetId="44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9__FDSAUDITLINK__" localSheetId="15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 localSheetId="44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5__FDSAUDITLINK__" localSheetId="15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 localSheetId="44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0__FDSAUDITLINK__" localSheetId="15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 localSheetId="44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1__FDSAUDITLINK__" localSheetId="15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 localSheetId="44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2__FDSAUDITLINK__" localSheetId="15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 localSheetId="44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3__FDSAUDITLINK__" localSheetId="15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 localSheetId="44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4__FDSAUDITLINK__" localSheetId="15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 localSheetId="44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5__FDSAUDITLINK__" localSheetId="15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 localSheetId="44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6__FDSAUDITLINK__" localSheetId="15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 localSheetId="44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7__FDSAUDITLINK__" localSheetId="15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 localSheetId="44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8__FDSAUDITLINK__" localSheetId="15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 localSheetId="44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9__FDSAUDITLINK__" localSheetId="15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 localSheetId="44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__FDSAUDITLINK__" localSheetId="15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 localSheetId="44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0__FDSAUDITLINK__" localSheetId="15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 localSheetId="44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15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44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2__FDSAUDITLINK__" localSheetId="15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44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localSheetId="15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localSheetId="44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4__FDSAUDITLINK__" localSheetId="15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44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15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 localSheetId="44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6__FDSAUDITLINK__" localSheetId="15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localSheetId="44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15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localSheetId="44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8__FDSAUDITLINK__" localSheetId="15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localSheetId="44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15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localSheetId="44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__FDSAUDITLINK__" localSheetId="15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 localSheetId="44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0__FDSAUDITLINK__" localSheetId="15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localSheetId="44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localSheetId="15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localSheetId="44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__FDSAUDITLINK__" localSheetId="15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localSheetId="44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3__FDSAUDITLINK__" localSheetId="15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 localSheetId="44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__FDSAUDITLINK__" localSheetId="15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 localSheetId="44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5__FDSAUDITLINK__" localSheetId="15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 localSheetId="44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15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 localSheetId="44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7__FDSAUDITLINK__" localSheetId="15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44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localSheetId="15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 localSheetId="44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15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44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8__FDSAUDITLINK__" localSheetId="15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 localSheetId="44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0__FDSAUDITLINK__" localSheetId="15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localSheetId="44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15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44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__FDSAUDITLINK__" localSheetId="15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 localSheetId="44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3__FDSAUDITLINK__" localSheetId="15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localSheetId="44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15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44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__FDSAUDITLINK__" localSheetId="15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 localSheetId="44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6__FDSAUDITLINK__" localSheetId="15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localSheetId="44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localSheetId="15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 localSheetId="44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15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44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9__FDSAUDITLINK__" localSheetId="15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 localSheetId="44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9__FDSAUDITLINK__" localSheetId="15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 localSheetId="44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0__FDSAUDITLINK__" localSheetId="15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 localSheetId="44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15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44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15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44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3__FDSAUDITLINK__" localSheetId="15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 localSheetId="44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15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44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15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44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15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44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7__FDSAUDITLINK__" localSheetId="15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 localSheetId="44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8__FDSAUDITLINK__" localSheetId="15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 localSheetId="44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15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44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xlnm._FilterDatabase" localSheetId="39" hidden="1">DFIT_Summary!$A$5:$AV$72</definedName>
    <definedName name="_xlnm._FilterDatabase" localSheetId="16" hidden="1">Funct_Plant_Rel_DFIT_Detail!$A$5:$AV$72</definedName>
    <definedName name="_GSRATES_1">"CT300001Latest          "</definedName>
    <definedName name="_GSRATES_COUNT">1</definedName>
    <definedName name="_Order1">255</definedName>
    <definedName name="_Order2">255</definedName>
    <definedName name="_Regression_Int">1</definedName>
    <definedName name="AAA_DOCTOPS">"AAA_SET"</definedName>
    <definedName name="AAA_duser">"OFF"</definedName>
    <definedName name="AAB_Addin5">"AAB_Description for addin 5,Description for addin 5,Description for addin 5,Description for addin 5,Description for addin 5,Description for addin 5"</definedName>
    <definedName name="AAB_GSPPG">"AAB_Goldman Sachs PPG Chart Utilities 1.0g"</definedName>
    <definedName name="AccessDatabase">"I:\COMTREL\FINICLE\TradeSummary.mdb"</definedName>
    <definedName name="anscount">1</definedName>
    <definedName name="AS2DocOpenMode">"AS2DocumentEdit"</definedName>
    <definedName name="cb_Add_CalloutChart_24_opts">"1, 9, 1, False, 2, False, False, , 0, False, False, 1, 1"</definedName>
    <definedName name="cb_Add_CalloutChart_25_opts">"1, 10, 1, False, 2, False, False, , 0, False, True, 1, 1"</definedName>
    <definedName name="cb_Add_CalloutChart_26_opts">"1, 9, 1, False, 2, False, False, , 0, False, True, 1, 1"</definedName>
    <definedName name="cb_ALT_STACKED_COLUMNChart_22_opts">"1, 3, 1, False, 2, True, False, , 0, False, True, 1, 2"</definedName>
    <definedName name="cb_ALT_STACKED_COLUMNChart_23_opts">"1, 3, 1, False, 2, True, False, , 0, False, True, 1, 2"</definedName>
    <definedName name="cb_Chart_1_opts">"1, 6, 1, False, 2, False, False, , 0, False, True, 1, 2"</definedName>
    <definedName name="cb_Chart_10_opts">"1, 8, 1, False, 2, False, False, , 0, False, False, 1, 1"</definedName>
    <definedName name="cb_Chart_100032_opts">"1, 10, 1, False, 2, True, False, , 0, False, False, 2, 2"</definedName>
    <definedName name="cb_Chart_10104_opts">"1, 5, 1, False, 2, True, False, , 0, True, False, 2, 1"</definedName>
    <definedName name="cb_Chart_10401_opts">"1, 5, 1, False, 2, False, False, , 0, True, False, 2, 1"</definedName>
    <definedName name="cb_Chart_10736_opts">"1, 10, 1, False, 2, False, False, , 0, False, False, 2, 2"</definedName>
    <definedName name="cb_Chart_11_opts">"1, 5, 1, False, 2, False, False, , 0, False, False, 1, 2"</definedName>
    <definedName name="cb_Chart_12_opts">"1, 5, 1, False, 2, True, False, , 0, True, False, 1, 2"</definedName>
    <definedName name="cb_Chart_13_opts">"1, 5, 1, False, 2, True, False, , 0, True, False, 1, 2"</definedName>
    <definedName name="cb_Chart_14_opts">"2, 2, 2, True, 2, False, False, , 0, False, True, 1, 2"</definedName>
    <definedName name="cb_Chart_15_opts">"2, 1, 2, True, 2, False, False, , 0, False, True, 1, 2"</definedName>
    <definedName name="cb_Chart_1501_opts">"1, 10, 1, False, 2, True, False, , 0, False, False, 2, 2"</definedName>
    <definedName name="cb_Chart_16_opts">"2, 1, 2, True, 2, False, False, , 0, False, True, 1, 2"</definedName>
    <definedName name="cb_Chart_1670_opts">"1, 5, 1, False, 2, True, False, , 0, False, False, 2, 1"</definedName>
    <definedName name="cb_Chart_17_opts">"1, 9, 1, False, 2, False, False, , 0, False, False, 1, 1"</definedName>
    <definedName name="cb_Chart_18_opts">"1, 9, 1, False, 2, False, False, , 0, False, False, 1, 1"</definedName>
    <definedName name="cb_Chart_19_opts">"1, 2, 1, False, 2, True, False, , 0, True, False, 2, 1"</definedName>
    <definedName name="cb_Chart_2_opts">"1, 6, 1, False, 2, False, False, , 0, False, False, 1, 2"</definedName>
    <definedName name="cb_Chart_20_opts">"1, 9, 1, False, 2, False, False, , 0, False, False, 1, 1"</definedName>
    <definedName name="cb_Chart_21_opts">"1, 2, 1, False, 2, False, False, , 0, False, False, 2, 1"</definedName>
    <definedName name="cb_Chart_22_opts">"1, 2, 1, False, 2, True, False, , 0, False, False, 2, 1"</definedName>
    <definedName name="cb_Chart_22784_opts">"1, 9, 1, False, 2, False, False, , 0, False, True, 1, 2"</definedName>
    <definedName name="cb_Chart_23_opts">"1, 9, 1, False, 2, False, False, , 0, False, False, 1, 1"</definedName>
    <definedName name="cb_Chart_24_opts">"1, 2, 1, False, 2, False, False, , 0, False, False, 2, 1"</definedName>
    <definedName name="cb_Chart_24490_opts">"1, 10, 1, False, 2, True, False, , 0, False, False, 2, 2"</definedName>
    <definedName name="cb_Chart_25_opts">"1, 3, 1, False, 2, False, False, , 0, True, True, 1, 2"</definedName>
    <definedName name="cb_Chart_26_opts">"1, 2, 1, False, 2, False, False, , 0, False, False, 2, 1"</definedName>
    <definedName name="cb_Chart_26476_opts">"1, 1, 1, False, 2, True, False, , 0, False, False, 1, 2"</definedName>
    <definedName name="cb_Chart_27_opts">"1, 1, 1, False, 2, True, False, , 0, False, True, 1, 2"</definedName>
    <definedName name="cb_Chart_28_opts">"1, 3, 1, False, 2, True, False, , 0, False, True, 1, 2"</definedName>
    <definedName name="cb_Chart_28031_opts">"1, 1, 1, False, 2, True, False, , 0, False, False, 1, 2"</definedName>
    <definedName name="cb_Chart_28545_opts">"1, 5, 1, False, 2, True, False, , 0, False, True, 2, 1"</definedName>
    <definedName name="cb_Chart_29_opts">"1, 3, 1, False, 2, False, False, , 0, False, False, 1, 1"</definedName>
    <definedName name="cb_Chart_29053_opts">"1, 10, 1, False, 2, True, False, , 0, False, False, 2, 2"</definedName>
    <definedName name="cb_Chart_29913_opts">"1, 1, 1, False, 2, False, False, , 0, False, False, 1, 1"</definedName>
    <definedName name="cb_Chart_3_opts">"1, 1, 1, False, 2, True, False, , 0, False, False, 2, 2"</definedName>
    <definedName name="cb_Chart_30_opts">"1, 3, 1, False, 2, True, False, , 0, False, True, 1, 2"</definedName>
    <definedName name="cb_Chart_30292_opts">"1, 1, 1, False, 2, False, False, , 0, False, False, 1, 2"</definedName>
    <definedName name="cb_Chart_31_opts">"1, 1, 1, False, 2, True, False, , 0, True, True, 2, 2"</definedName>
    <definedName name="cb_Chart_32_opts">"1, 1, 1, False, 2, True, False, , 0, False, False, 2, 2"</definedName>
    <definedName name="cb_Chart_33_opts">"1, 1, 1, False, 2, True, False, , 0, False, True, 3, 2"</definedName>
    <definedName name="cb_Chart_34_opts">"1, 10, 1, False, 2, True, False, , 0, False, False, 2, 2"</definedName>
    <definedName name="cb_Chart_36498_opts">"1, 1, 1, False, 2, True, False, , 0, False, False, 1, 2"</definedName>
    <definedName name="cb_Chart_37450_opts">"1, 10, 1, False, 2, True, False, , 0, False, False, 2, 2"</definedName>
    <definedName name="cb_Chart_4_opts">"1, 7, 1, False, 2, False, False, , 0, False, True, 1, 2"</definedName>
    <definedName name="cb_Chart_41_opts">"1, 10, 1, False, 2, True, False, , 0, False, False, 2, 1"</definedName>
    <definedName name="cb_Chart_41499_opts">"1, 10, 1, False, 2, True, False, , 0, False, False, 2, 2"</definedName>
    <definedName name="cb_Chart_42_opts">"1, 10, 1, False, 2, True, False, , 0, False, False, 2, 1"</definedName>
    <definedName name="cb_Chart_43_opts">"1, 10, 1, False, 2, True, False, , 0, False, False, 2, 1"</definedName>
    <definedName name="cb_Chart_4634_opts">"1, 10, 1, False, 2, True, False, , 0, False, False, 2, 2"</definedName>
    <definedName name="cb_Chart_4664_opts">"1, 5, 1, False, 2, True, False, , 0, False, True, 1, 2"</definedName>
    <definedName name="cb_Chart_46965_opts">"1, 1, 1, False, 2, False, False, , 0, False, False, 1, 1"</definedName>
    <definedName name="cb_Chart_5_opts">"1, 8, 1, False, 2, False, False, , 0, False, False, 1, 2"</definedName>
    <definedName name="cb_Chart_52582_opts">"1, 1, 1, False, 2, False, False, , 0, False, False, 1, 2"</definedName>
    <definedName name="cb_Chart_53437_opts">"1, 10, 1, False, 2, True, False, , 0, False, False, 2, 2"</definedName>
    <definedName name="cb_Chart_53482_opts">"1, 10, 1, False, 2, True, False, , 0, False, False, 2, 2"</definedName>
    <definedName name="cb_Chart_54_opts">"1, 3, 1, False, 2, False, False, , 0, False, True, 2, 2"</definedName>
    <definedName name="cb_Chart_5449_opts">"1, 1, 1, False, 2, False, False, , 0, False, False, 1, 1"</definedName>
    <definedName name="cb_Chart_5723_opts">"1, 1, 1, False, 2, True, False, , 0, False, True, 1, 2"</definedName>
    <definedName name="cb_Chart_57613_opts">"1, 5, 1, False, 2, True, False, , 0, False, True, 2, 1"</definedName>
    <definedName name="cb_Chart_58046_opts">"1, 10, 1, False, 2, True, False, , 0, False, False, 2, 2"</definedName>
    <definedName name="cb_Chart_59010_opts">"1, 2, 1, False, 2, False, False, , 0, False, False, 2, 1"</definedName>
    <definedName name="cb_Chart_59340_opts">"1, 1, 1, False, 2, False, False, , 0, False, False, 1, 1"</definedName>
    <definedName name="cb_Chart_6_opts">"1, 10, 1, False, 2, True, False, , 0, False, False, 2, 2"</definedName>
    <definedName name="cb_Chart_62364_opts">"1, 1, 1, False, 2, True, False, , 0, False, False, 1, 2"</definedName>
    <definedName name="cb_Chart_64876_opts">"1, 1, 1, False, 2, True, False, , 0, False, False, 1, 2"</definedName>
    <definedName name="cb_Chart_67711_opts">"1, 10, 1, False, 2, True, False, , 0, False, False, 2, 2"</definedName>
    <definedName name="cb_Chart_69605_opts">"1, 2, 1, False, 2, False, False, , 0, False, False, 2, 1"</definedName>
    <definedName name="cb_Chart_7_opts">"2, 1, 2, True, 2, False, False, , 0, False, True, 1, 2"</definedName>
    <definedName name="cb_Chart_70_opts">"1, 10, 1, False, 2, True, False, , 0, False, False, 1, 1"</definedName>
    <definedName name="cb_Chart_70648_opts">"1, 1, 1, False, 2, True, False, , 0, False, False, 2, 2"</definedName>
    <definedName name="cb_Chart_70997_opts">"1, 10, 1, False, 2, False, False, , 0, False, False, 1, 1"</definedName>
    <definedName name="cb_Chart_71_opts">"1, 10, 1, False, 2, False, False, , 0, False, False, 1, 1"</definedName>
    <definedName name="cb_Chart_72_opts">"1, 10, 1, False, 2, True, False, , 0, False, False, 1, 1"</definedName>
    <definedName name="cb_Chart_73_opts">"1, 10, 1, False, 2, False, False, , 0, False, False, 1, 1"</definedName>
    <definedName name="cb_Chart_76165_opts">"1, 10, 1, False, 2, True, False, , 0, False, False, 2, 2"</definedName>
    <definedName name="cb_Chart_76804_opts">"1, 1, 1, False, 2, False, False, , 0, False, False, 1, 1"</definedName>
    <definedName name="cb_Chart_77567_opts">"1, 10, 1, False, 2, False, False, , 0, False, False, 1, 1"</definedName>
    <definedName name="cb_Chart_79140_opts">"1, 10, 1, False, 2, True, False, , 0, False, False, 2, 2"</definedName>
    <definedName name="cb_Chart_79981_opts">"1, 5, 1, False, 2, True, False, , 0, True, False, 2, 1"</definedName>
    <definedName name="cb_Chart_8_opts">"2, 1, 2, True, 2, False, False, , 0, False, True, 1, 2"</definedName>
    <definedName name="cb_Chart_81541_opts">"1, 10, 1, False, 2, True, False, , 0, False, False, 2, 2"</definedName>
    <definedName name="cb_Chart_82552_opts">"1, 1, 1, False, 2, True, False, , 0, False, False, 1, 2"</definedName>
    <definedName name="cb_Chart_83072_opts">"1, 1, 1, False, 2, True, False, , 0, False, False, 1, 2"</definedName>
    <definedName name="cb_Chart_86354_opts">"1, 10, 1, False, 2, False, False, , 0, False, False, 1, 1"</definedName>
    <definedName name="cb_Chart_87236_opts">"1, 1, 1, False, 2, True, False, , 0, False, False, 1, 2"</definedName>
    <definedName name="cb_Chart_9_opts">"1, 8, 1, False, 2, False, False, , 0, False, False, 1, 1"</definedName>
    <definedName name="cb_Chart_91188_opts">"1, 8, 1, False, 2, False, False, , 0, False, False, 1, 2"</definedName>
    <definedName name="cb_Chart_95047_opts">"1, 1, 1, False, 2, False, False, , 0, False, False, 1, 2"</definedName>
    <definedName name="cb_Chart_96286_opts">"1, 10, 1, False, 2, True, False, , 0, False, False, 2, 2"</definedName>
    <definedName name="cb_Chart_98091_opts">"1, 2, 1, False, 2, False, False, , 0, False, False, 2, 1"</definedName>
    <definedName name="cb_Chart_98700_opts">"1, 8, 1, False, 2, False, False, , 0, False, False, 1, 2"</definedName>
    <definedName name="cb_Copy_Chart_w_New_DataChart_10_opts">"2, 1, 1, True, 4, False, False, , 0, False, False, 2, 2"</definedName>
    <definedName name="cb_Copy_Chart_w_New_DataChart_7_opts">"2, 1, 1, True, 4, False, False, , 0, False, False, 2, 2"</definedName>
    <definedName name="cb_Copy_Chart_w_New_DataChart_8_opts">"2, 1, 1, True, 4, False, False, , 0, False, False, 2, 2"</definedName>
    <definedName name="cb_Copy_Chart_w_New_DataChart_9_opts">"2, 1, 1, True, 4, False, False, , 0, False, False, 2, 2"</definedName>
    <definedName name="cb_Dimension_Pie_ChartsChart_1_opts">"1, 1, 1, False, 2, True, False, , 0, False, False, 2, 2"</definedName>
    <definedName name="cb_Dimension_Pie_ChartsChart_2_opts">"1, 10, 1, False, 2, True, False, , 0, False, False, 2, 2"</definedName>
    <definedName name="cb_Export_LegendChart_14_opts">"1, 10, 1, False, 2, True, False, , 0, False, False, 2, 2"</definedName>
    <definedName name="cb_Export_LegendChart_15_opts">"1, 10, 1, False, 2, True, False, , 0, False, False, 2, 2"</definedName>
    <definedName name="cb_PieChart_16_opts">"1, 10, 1, False, 2, True, False, , 0, False, False, 2, 2"</definedName>
    <definedName name="cb_sChart_1501_opts">"1, 2, 1, False, 2, False, False, , 0, False, False, 2, 1"</definedName>
    <definedName name="cb_sChart_26476_opts">"1, 4, 1, False, 2, True, False, , 0, False, False, 1, 2"</definedName>
    <definedName name="cb_sChart_28031_opts">"1, 4, 1, False, 2, True, False, , 0, False, False, 1, 1"</definedName>
    <definedName name="cb_sChart_29053_opts">"1, 2, 1, False, 2, False, False, , 0, False, False, 2, 1"</definedName>
    <definedName name="cb_sChart_29913_opts">"1, 3, 1, False, 2, False, False, , 0, False, True, 2, 2"</definedName>
    <definedName name="cb_sChart_30292_opts">"1, 2, 1, False, 2, False, False, , 0, False, False, 2, 1"</definedName>
    <definedName name="cb_sChart_36498_opts">"1, 3, 1, False, 2, False, False, , 0, False, False, 1, 2"</definedName>
    <definedName name="cb_sChart_37450_opts">"1, 1, 1, False, 2, True, False, , 0, False, False, 1, 2"</definedName>
    <definedName name="cb_sChart_41499_opts">"1, 2, 1, False, 2, False, False, , 0, False, False, 2, 1"</definedName>
    <definedName name="cb_sChart_4634_opts">"1, 2, 1, False, 2, False, False, , 0, False, False, 2, 1"</definedName>
    <definedName name="cb_sChart_46965_opts">"1, 1, 1, False, 2, False, False, , 0, False, False, 1, 1"</definedName>
    <definedName name="cb_sChart_52582_opts">"1, 5, 1, False, 2, False, False, , 0, False, True, 1, 2"</definedName>
    <definedName name="cb_sChart_53437_opts">"1, 1, 1, False, 2, True, False, , 0, False, False, 1, 2"</definedName>
    <definedName name="cb_sChart_5449_opts">"1, 3, 1, False, 2, False, False, , 0, False, True, 2, 2"</definedName>
    <definedName name="cb_sChart_5723_opts">"1, 1, 1, False, 2, True, False, , 0, False, False, 2, 1"</definedName>
    <definedName name="cb_sChart_58046_opts">"1, 1, 1, False, 2, True, False, , 0, False, False, 1, 2"</definedName>
    <definedName name="cb_sChart_59010_opts">"1, 5, 1, False, 2, True, False, , 0, False, False, 2, 1"</definedName>
    <definedName name="cb_sChart_59340_opts">"1, 3, 1, False, 2, False, False, , 0, False, True, 2, 2"</definedName>
    <definedName name="cb_sChart_62364_opts">"1, 3, 1, False, 2, False, False, , 0, False, True, 2, 2"</definedName>
    <definedName name="cb_sChart_64876_opts">"1, 5, 1, False, 2, True, False, , 0, False, False, 2, 2"</definedName>
    <definedName name="cb_sChart_70648_opts">"1, 1, 1, False, 2, False, False, , 0, False, False, 1, 1"</definedName>
    <definedName name="cb_sChart_70997_opts">"1, 2, 1, False, 2, False, False, , 0, False, False, 2, 1"</definedName>
    <definedName name="cb_sChart_76165_opts">"1, 2, 1, False, 2, False, False, , 0, False, False, 2, 1"</definedName>
    <definedName name="cb_sChart_76804_opts">"1, 3, 1, False, 2, False, False, , 0, False, True, 2, 2"</definedName>
    <definedName name="cb_sChart_77567_opts">"1, 2, 1, False, 2, False, False, , 0, False, False, 2, 1"</definedName>
    <definedName name="cb_sChart_79140_opts">"1, 1, 1, False, 2, True, False, , 0, False, False, 1, 2"</definedName>
    <definedName name="cb_sChart_81541_opts">"1, 2, 1, False, 2, False, False, , 0, False, False, 2, 1"</definedName>
    <definedName name="cb_sChart_82552_opts">"1, 4, 1, False, 2, True, False, , 0, False, False, 2, 1"</definedName>
    <definedName name="cb_sChart_83072_opts">"1, 4, 1, False, 2, True, False, , 0, False, False, 2, 1"</definedName>
    <definedName name="cb_sChart_86354_opts">"1, 1, 1, False, 2, True, False, , 0, False, False, 1, 2"</definedName>
    <definedName name="cb_sChart_87236_opts">"1, 2, 1, False, 2, False, False, , 0, False, False, 2, 1"</definedName>
    <definedName name="cb_sChart_95047_opts">"1, 3, 1, False, 2, False, False, , 0, False, False, 1, 2"</definedName>
    <definedName name="cb_sChart_96286_opts">"1, 2, 1, False, 2, False, False, , 0, False, False, 2, 1"</definedName>
    <definedName name="cb_sChart11DCFB24_opts">"1, 9, 1, False, 2, False, False, , 0, False, True, 1, 1"</definedName>
    <definedName name="cb_sChart11EADA92_opts">"1, 1, 1, False, 2, False, False, , 0, False, True, 2, 2"</definedName>
    <definedName name="cb_sChart11EAED4A_opts">"1, 1, 1, False, 2, False, False, , 0, False, True, 2, 2"</definedName>
    <definedName name="cb_sChart11EB049E_opts">"1, 1, 1, False, 2, False, False, , 0, False, True, 2, 2"</definedName>
    <definedName name="cb_sChart11FB1BDC_opts">"1, 1, 1, False, 2, True, False, , 0, False, True, 2, 2"</definedName>
    <definedName name="cb_sChart11FB2467_opts">"1, 1, 1, False, 2, True, False, , 0, False, True, 2, 2"</definedName>
    <definedName name="cb_sChart11FB271E_opts">"1, 1, 1, False, 2, True, False, , 0, False, True, 2, 2"</definedName>
    <definedName name="cb_sChart11FB296C_opts">"1, 1, 1, False, 2, True, False, , 0, False, True, 2, 2"</definedName>
    <definedName name="cb_sChart11FB4DE8_opts">"1, 9, 1, False, 2, False, False, , 0, False, True, 1, 2"</definedName>
    <definedName name="cb_sChart11FCA363_opts">"2, 1, 2, True, 2, False, False, , 0, False, True, 2, 2"</definedName>
    <definedName name="cb_sChart11FCA851_opts">"2, 1, 2, True, 2, False, False, , 0, False, True, 2, 2"</definedName>
    <definedName name="cb_sChart11FCE81C_opts">"1, 9, 1, False, 2, False, False, , 0, False, True, 2, 2"</definedName>
    <definedName name="cb_sChart12073B79_opts">"1, 9, 1, False, 2, False, False, , 0, False, True, 2, 2"</definedName>
    <definedName name="cb_sChart12074F69_opts">"1, 9, 1, False, 2, False, False, , 0, False, True, 2, 2"</definedName>
    <definedName name="cb_sChart1216F828_opts">"2, 1, 1, False, 2, False, False, , 0, False, True, 2, 2"</definedName>
    <definedName name="cb_sChart122574E1_opts">"1, 1, 1, False, 2, False, False, , 0, False, True, 2, 2"</definedName>
    <definedName name="cb_sChart12285211_opts">"1, 9, 1, False, 2, False, False, , 0, False, False, 1, 2"</definedName>
    <definedName name="cb_sChart12291B1F_opts">"2, 1, 1, True, 3, False, False, , 0, False, False, 1, 2"</definedName>
    <definedName name="cb_sChart1248DE96_opts">"1, 9, 1, False, 2, False, False, , 0, False, False, 1, 2"</definedName>
    <definedName name="cb_sChart1248E206_opts">"1, 9, 1, False, 2, False, False, , 0, False, False, 1, 2"</definedName>
    <definedName name="cb_sChart15CA0E0A_opts">"1, 9, 1, False, 2, False, False, , 0, False, False, 1, 2"</definedName>
    <definedName name="cb_sChart15CA1FFD_opts">"1, 10, 1, False, 2, False, False, , 0, False, False, 1, 1"</definedName>
    <definedName name="cb_sChart15CA20AB_opts">"1, 9, 1, False, 2, False, False, , 0, False, False, 1, 1"</definedName>
    <definedName name="cb_sChart15CA2F5C_opts">"1, 9, 1, False, 2, False, False, , 0, False, False, 1, 1"</definedName>
    <definedName name="cb_sChart15CA30C3_opts">"1, 9, 1, False, 2, False, False, , 0, False, True, 1, 1"</definedName>
    <definedName name="cb_sChart1A3873A1_opts">"1, 1, 1, False, 2, True, False, , 0, False, True, 1, 1"</definedName>
    <definedName name="cb_sChart1A3875D8_opts">"1, 1, 1, False, 2, False, False, , 0, False, False, 1, 1"</definedName>
    <definedName name="cb_sChart1A3877BF_opts">"1, 1, 1, False, 2, True, False, , 0, False, True, 1, 1"</definedName>
    <definedName name="cb_sChart1A387878_opts">"1, 1, 1, False, 2, True, False, , 0, False, True, 1, 1"</definedName>
    <definedName name="cb_sChart1A387AF4_opts">"1, 3, 1, False, 2, False, False, , 0, False, False, 1, 1"</definedName>
    <definedName name="cb_sChart1A38BEAE_opts">"1, 10, 1, False, 2, True, False, , 0, False, False, 1, 1"</definedName>
    <definedName name="cb_sChart1A43A019_opts">"1, 1, 1, False, 2, True, False, , 0, False, False, 1, 1"</definedName>
    <definedName name="cb_sChart1A4414D6_opts">"1, 1, 1, False, 2, True, False, , 0, False, False, 1, 1"</definedName>
    <definedName name="cb_sChart1A4416BC_opts">"1, 1, 1, False, 2, True, False, , 0, False, False, 1, 1"</definedName>
    <definedName name="cb_sChart1A4418D0_opts">"1, 1, 1, False, 2, True, False, , 0, False, False, 1, 1"</definedName>
    <definedName name="cb_sChart1A4419DA_opts">"1, 1, 1, False, 2, True, False, , 0, False, False, 1, 1"</definedName>
    <definedName name="cb_sChart7F59C8D_opts">"1, 4, 1, False, 2, False, False, , 0, False, False, 1, 1"</definedName>
    <definedName name="cb_sChart7F59D80_opts">"1, 1, 1, False, 2, True, False, , 0, False, False, 1, 1"</definedName>
    <definedName name="cb_sChart7F5A913_opts">"1, 1, 1, False, 2, True, False, , 0, False, False, 3, 1"</definedName>
    <definedName name="cb_sChart7F5AA63_opts">"1, 1, 1, False, 2, False, False, , 0, False, False, 3, 1"</definedName>
    <definedName name="cb_sChart7F5AB6D_opts">"1, 1, 1, False, 2, False, False, , 0, False, False, 3, 1"</definedName>
    <definedName name="cb_sChart7F5AED1_opts">"1, 1, 1, False, 2, False, False, , 0, False, False, 3, 1"</definedName>
    <definedName name="cb_sChartD68BCC9_opts">"1, 1, 1, False, 2, True, False, , 0, False, True, 1, 1"</definedName>
    <definedName name="cb_sChartD6B06A2_opts">"1, 1, 1, False, 2, False, False, , 0, False, False, 2, 2"</definedName>
    <definedName name="cb_sChartD6B1FA3_opts">"1, 1, 1, False, 2, False, False, , 0, False, False, 2, 2"</definedName>
    <definedName name="cb_sChartD6B69B1_opts">"1, 1, 1, False, 2, False, False, , 0, False, False, 1, 2"</definedName>
    <definedName name="cb_sChartD6B76F0_opts">"2, 1, 1, False, 2, False, False, , 0, False, False, 1, 2"</definedName>
    <definedName name="cb_sChartD6B943C_opts">"2, 1, 1, False, 3, False, False, , 0, False, False, 1, 2"</definedName>
    <definedName name="cb_sChartD6C1C01_opts">"2, 1, 1, True, 2, False, False, , 0, False, False, 1, 2"</definedName>
    <definedName name="cb_sChartD6FD60D_opts">"1, 1, 1, False, 2, False, False, , 0, False, False, 1, 1"</definedName>
    <definedName name="cb_sChartD78B484_opts">"2, 1, 1, False, 2, True, False, , 0, False, False, 1, 2"</definedName>
    <definedName name="cb_sChartD78C2AA_opts">"2, 1, 1, True, 2, True, False, , 0, False, False, 1, 2"</definedName>
    <definedName name="cb_sChartD78C76A_opts">"2, 1, 1, True, 2, True, False, , 0, False, False, 1, 1"</definedName>
    <definedName name="cb_sChartD78CF99_opts">"2, 1, 3, True, 2, False, False, , 0, False, False, 1, 1"</definedName>
    <definedName name="cb_sChartD78D2CE_opts">"1, 1, 1, False, 2, False, False, , 0, False, False, 1, 2"</definedName>
    <definedName name="cb_sChartD78D365_opts">"1, 1, 1, False, 2, False, False, , 0, False, False, 1, 2"</definedName>
    <definedName name="cb_sChartD78D5B3_opts">"1, 1, 1, False, 2, False, False, , 0, False, False, 1, 2"</definedName>
    <definedName name="cb_sChartD78D655_opts">"1, 1, 1, False, 2, True, False, , 0, False, False, 1, 2"</definedName>
    <definedName name="cb_sChartD78DFD4_opts">"2, 1, 1, True, 2, False, False, , 0, False, False, 1, 2"</definedName>
    <definedName name="cb_sChartD78E27F_opts">"2, 1, 1, True, 2, False, False, , 0, False, False, 1, 2"</definedName>
    <definedName name="cb_sChartD78E924_opts">"2, 1, 1, True, 3, False, False, , 0, False, False, 1, 2"</definedName>
    <definedName name="cb_sChartD7A9852_opts">"2, 1, 1, True, 3, False, False, , 0, False, False, 1, 2"</definedName>
    <definedName name="cb_Size_by_height_and_widthChart_16_opts">"1, 4, 1, False, 2, False, False, , 0, False, False, 1, 1"</definedName>
    <definedName name="cb_Size_by_height_and_widthChart_7_opts">"1, 4, 1, False, 2, False, False, , 0, False, False, 1, 1"</definedName>
    <definedName name="cb_Size_by_height_and_widthChart_8_opts">"1, 4, 1, False, 2, False, False, , 0, False, False, 1, 1"</definedName>
    <definedName name="CBWorkbookPriority" localSheetId="43">-2060790043</definedName>
    <definedName name="CBWorkbookPriority" localSheetId="44">-2060790043</definedName>
    <definedName name="CBWorkbookPriority">-2060790043</definedName>
    <definedName name="CIQWBGuid">"b8d3fceb-6199-4dec-8317-9bf11e617481"</definedName>
    <definedName name="ev.Calculation">-4135</definedName>
    <definedName name="ev.Initialized">FALSE</definedName>
    <definedName name="FDD_57_10">"A34334"</definedName>
    <definedName name="hn.NoUpload">0</definedName>
    <definedName name="HTML_CodePage">1252</definedName>
    <definedName name="HTML_Control" localSheetId="15">{"'Sheet1'!$A$1:$J$121"}</definedName>
    <definedName name="HTML_Control" localSheetId="44">{"'Sheet1'!$A$1:$J$121"}</definedName>
    <definedName name="HTML_Control">{"'Sheet1'!$A$1:$J$121"}</definedName>
    <definedName name="html_control_1" localSheetId="15">{"'IG3Q99'!$A$306:$I$356"}</definedName>
    <definedName name="html_control_1" localSheetId="44">{"'IG3Q99'!$A$306:$I$356"}</definedName>
    <definedName name="html_control_1">{"'IG3Q99'!$A$306:$I$356"}</definedName>
    <definedName name="HTML_Control_a" localSheetId="15">{"'IG3Q99'!$A$306:$I$356"}</definedName>
    <definedName name="HTML_Control_a" localSheetId="44">{"'IG3Q99'!$A$306:$I$356"}</definedName>
    <definedName name="HTML_Control_a">{"'IG3Q99'!$A$306:$I$356"}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TML1_10">"Dave_LeVee"</definedName>
    <definedName name="HTML1_11">1</definedName>
    <definedName name="HTML1_12">"G:\MONET\WEB\FORECAST\hub71.htm"</definedName>
    <definedName name="HTML1_2">1</definedName>
    <definedName name="HTML1_3">"MONET71"</definedName>
    <definedName name="HTML1_4">"Market Hubs by Condition"</definedName>
    <definedName name="HTML1_5">""</definedName>
    <definedName name="HTML1_6">1</definedName>
    <definedName name="HTML1_7">1</definedName>
    <definedName name="HTML1_8">"4/10/96"</definedName>
    <definedName name="HTML1_9">"Resource Forecasting Department"</definedName>
    <definedName name="HTML2_10">"Dave_LeVee"</definedName>
    <definedName name="HTML2_11">1</definedName>
    <definedName name="HTML2_12">"G:\MONET\WEB\FORECAST\mc71.htm"</definedName>
    <definedName name="HTML2_2">1</definedName>
    <definedName name="HTML2_3">"MONET71"</definedName>
    <definedName name="HTML2_4">"FlatMarginalCost"</definedName>
    <definedName name="HTML2_5">""</definedName>
    <definedName name="HTML2_6">1</definedName>
    <definedName name="HTML2_7">1</definedName>
    <definedName name="HTML2_8">"4/10/96"</definedName>
    <definedName name="HTML2_9">"Resource Forecasting Department"</definedName>
    <definedName name="HTML3_10">"dave_levee@pgn.com"</definedName>
    <definedName name="HTML3_11">1</definedName>
    <definedName name="HTML3_12">"G:\MONET\WEB\FORECAST\Hub84.htm"</definedName>
    <definedName name="HTML3_2">1</definedName>
    <definedName name="HTML3_3">"MONET84"</definedName>
    <definedName name="HTML3_4">"Market Hubs by Condition"</definedName>
    <definedName name="HTML3_5">""</definedName>
    <definedName name="HTML3_6">1</definedName>
    <definedName name="HTML3_7">1</definedName>
    <definedName name="HTML3_8">"4/15/96"</definedName>
    <definedName name="HTML3_9">"Resource Forecasting Department"</definedName>
    <definedName name="HTML4_10">"dave_levee@pgn.com"</definedName>
    <definedName name="HTML4_11">1</definedName>
    <definedName name="HTML4_12">"G:\MONET\WEB\FORECAST\mc84.htm"</definedName>
    <definedName name="HTML4_2">1</definedName>
    <definedName name="HTML4_3">"MONET84"</definedName>
    <definedName name="HTML4_4">"ConditionMarginalCost"</definedName>
    <definedName name="HTML4_5">""</definedName>
    <definedName name="HTML4_6">1</definedName>
    <definedName name="HTML4_7">1</definedName>
    <definedName name="HTML4_8">"4/15/96"</definedName>
    <definedName name="HTML4_9">"Resource Forecasting Department"</definedName>
    <definedName name="HTML5_10">"dave_levee@pgn.com"</definedName>
    <definedName name="HTML5_11">1</definedName>
    <definedName name="HTML5_12">"G:\MONET\WEB\FORECAST\mc84.htm"</definedName>
    <definedName name="HTML5_2">1</definedName>
    <definedName name="HTML5_3">"MONET84"</definedName>
    <definedName name="HTML5_4">"ConditionMarginalCost"</definedName>
    <definedName name="HTML5_5">""</definedName>
    <definedName name="HTML5_6">1</definedName>
    <definedName name="HTML5_7">1</definedName>
    <definedName name="HTML5_8">"4/15/96"</definedName>
    <definedName name="HTML5_9">"Resource Forecasting Department"</definedName>
    <definedName name="HTMLCount">5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QUIRED_BY_REPORTING_BANK_FDIC">"c6535"</definedName>
    <definedName name="IQ_ADDIN">"AUTO"</definedName>
    <definedName name="IQ_ADDITIONAL_NON_INT_INC_FDIC">"c6574"</definedName>
    <definedName name="IQ_ADJUSTABLE_RATE_LOANS_FDIC">"c6375"</definedName>
    <definedName name="IQ_AE_BR">"c10"</definedName>
    <definedName name="IQ_AFTER_TAX_INCOME_FDIC">"c6583"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MENDED_BALANCE_PREVIOUS_YR_FDIC">"c6499"</definedName>
    <definedName name="IQ_AMORT_EXPENSE_FDIC">"c6677"</definedName>
    <definedName name="IQ_AMORTIZED_COST_FDIC">"c6426"</definedName>
    <definedName name="IQ_AP_BR">"c34"</definedName>
    <definedName name="IQ_AR_BR">"c41"</definedName>
    <definedName name="IQ_ASSET_BACKED_FDIC">"c6301"</definedName>
    <definedName name="IQ_ASSET_WRITEDOWN_BR">"c50"</definedName>
    <definedName name="IQ_ASSET_WRITEDOWN_CF_BR">"c53"</definedName>
    <definedName name="IQ_ASSETS_HELD_FDIC">"c6305"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VAILABLE_FOR_SALE_FDIC">"c6409"</definedName>
    <definedName name="IQ_AVERAGE_ASSETS_FDIC">"c6362"</definedName>
    <definedName name="IQ_AVERAGE_ASSETS_QUART_FDIC">"c6363"</definedName>
    <definedName name="IQ_AVERAGE_EARNING_ASSETS_FDIC">"c6748"</definedName>
    <definedName name="IQ_AVERAGE_EQUITY_FDIC">"c6749"</definedName>
    <definedName name="IQ_AVERAGE_LOANS_FDIC">"c6750"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TOTAL_DEPOSITS_FDIC">"c6475"</definedName>
    <definedName name="IQ_BONDRATING_FITCH">"IQ_BONDRATING_FITCH"</definedName>
    <definedName name="IQ_BONDRATING_SP">"IQ_BONDRATING_SP"</definedName>
    <definedName name="IQ_BOOK_VALUE">"IQ_BOOK_VALUE"</definedName>
    <definedName name="IQ_BROKERED_DEPOSITS_FDIC">"c6486"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APEX_BR">"c111"</definedName>
    <definedName name="IQ_CASH_DIVIDENDS_NET_INCOME_FDIC">"c6738"</definedName>
    <definedName name="IQ_CASH_IN_PROCESS_FDIC">"c6386"</definedName>
    <definedName name="IQ_CCE_FDIC">"c6296"</definedName>
    <definedName name="IQ_CHANGE_AP_BR">"c135"</definedName>
    <definedName name="IQ_CHANGE_AR_BR">"c142"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HANGE_OTHER_NET_OPER_ASSETS_BR">"c3595"</definedName>
    <definedName name="IQ_CHANGE_OTHER_WORK_CAP_BR">"c154"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MO_FDIC">"c6406"</definedName>
    <definedName name="IQ_COLLECTION_DOMESTIC_FDIC">"c6387"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INDUSTRIAL_CHARGE_OFFS_FDIC">"c6598"</definedName>
    <definedName name="IQ_COMMERCIAL_INDUSTRIAL_LOANS_NET_FDIC">"c6317"</definedName>
    <definedName name="IQ_COMMERCIAL_INDUSTRIAL_NET_CHARGE_OFFS_FDIC">"c6636"</definedName>
    <definedName name="IQ_COMMERCIAL_INDUSTRIAL_RECOVERIES_FDIC">"c6617"</definedName>
    <definedName name="IQ_COMMERCIAL_INDUSTRIAL_TOTAL_LOANS_FOREIGN_FDIC">"c6451"</definedName>
    <definedName name="IQ_COMMERCIAL_MORT">"c179"</definedName>
    <definedName name="IQ_COMMERCIAL_RE_CONSTRUCTION_LAND_DEV_FDIC">"c6526"</definedName>
    <definedName name="IQ_COMMERCIAL_RE_LOANS_FDIC">"c6312"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_APIC_BR">"c185"</definedName>
    <definedName name="IQ_COMMON_FDIC">"c6350"</definedName>
    <definedName name="IQ_COMMON_ISSUED_BR">"c199"</definedName>
    <definedName name="IQ_COMMON_REP_BR">"c208"</definedName>
    <definedName name="IQ_CONSTRUCTION_DEV_LOANS_FDIC">"c6313"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TRACTS_OTHER_COMMODITIES_EQUITIES._FDIC">"c6522"</definedName>
    <definedName name="IQ_CONTRACTS_OTHER_COMMODITIES_EQUITIES_FDIC">"c6522"</definedName>
    <definedName name="IQ_CONV_RATE">"c2192"</definedName>
    <definedName name="IQ_CONVEYED_TO_OTHERS_FDIC">"c6534"</definedName>
    <definedName name="IQ_CORE_CAPITAL_RATIO_FDIC">"c6745"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OST_OF_FUNDING_ASSETS_FDIC">"c6725"</definedName>
    <definedName name="IQ_CREDIT_CARD_CHARGE_OFFS_FDIC">"c6652"</definedName>
    <definedName name="IQ_CREDIT_CARD_LINES_FDIC">"c6525"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PROVISION_NET_CHARGE_OFFS_FDIC">"c6734"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URRENCY_COIN_DOMESTIC_FDIC">"c6388"</definedName>
    <definedName name="IQ_CURRENCY_GAIN_BR">"c236"</definedName>
    <definedName name="IQ_CURRENT_PORT_DEBT_BR">"c1567"</definedName>
    <definedName name="IQ_DA_BR">"c248"</definedName>
    <definedName name="IQ_DA_CF_BR">"c251"</definedName>
    <definedName name="IQ_DA_SUPPL_BR">"c260"</definedName>
    <definedName name="IQ_DA_SUPPL_CF_BR">"c263"</definedName>
    <definedName name="IQ_DEF_AMORT_BR">"c278"</definedName>
    <definedName name="IQ_DEF_CHARGES_BR">"c288"</definedName>
    <definedName name="IQ_DEF_CHARGES_LT_BR">"c294"</definedName>
    <definedName name="IQ_DEF_TAX_ASSET_LT_BR">"c304"</definedName>
    <definedName name="IQ_DEF_TAX_LIAB_LT_BR">"c315"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RIVATIVES_FDIC">"c6523"</definedName>
    <definedName name="IQ_DIVIDENDS_DECLARED_COMMON_FDIC">"c6659"</definedName>
    <definedName name="IQ_DIVIDENDS_DECLARED_PREFERRED_FDIC">"c6658"</definedName>
    <definedName name="IQ_DIVIDENDS_FDIC">"c6660"</definedName>
    <definedName name="IQ_DNTM">700000</definedName>
    <definedName name="IQ_EARNING_ASSETS_FDIC">"c6360"</definedName>
    <definedName name="IQ_EARNING_ASSETS_YIELD_FDIC">"c6724"</definedName>
    <definedName name="IQ_EARNINGS_COVERAGE_NET_CHARGE_OFFS_FDIC">"c6735"</definedName>
    <definedName name="IQ_EBIT_10K">"IQ_EBIT_10K"</definedName>
    <definedName name="IQ_EBIT_10Q">"IQ_EBIT_10Q"</definedName>
    <definedName name="IQ_EBIT_10Q1">"IQ_EBIT_10Q1"</definedName>
    <definedName name="IQ_EBIT_GROWTH_1">"IQ_EBIT_GROWTH_1"</definedName>
    <definedName name="IQ_EBIT_GROWTH_2">"IQ_EBIT_GROWTH_2"</definedName>
    <definedName name="IQ_EBITDA_10K">"IQ_EBITDA_10K"</definedName>
    <definedName name="IQ_EBITDA_10Q">"IQ_EBITDA_10Q"</definedName>
    <definedName name="IQ_EBITDA_10Q1">"IQ_EBITDA_10Q1"</definedName>
    <definedName name="IQ_EBITDA_GROWTH_1">"IQ_EBITDA_GROWTH_1"</definedName>
    <definedName name="IQ_EBITDA_GROWTH_2">"IQ_EBITDA_GROWTH_2"</definedName>
    <definedName name="IQ_EBT_BR">"c378"</definedName>
    <definedName name="IQ_EBT_EXCL_BR">"c381"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FFICIENCY_RATIO_FDIC">"c6736"</definedName>
    <definedName name="IQ_EPS">"IQ_EPS"</definedName>
    <definedName name="IQ_EPS_10K">"IQ_EPS_10K"</definedName>
    <definedName name="IQ_EPS_10Q">"IQ_EPS_10Q"</definedName>
    <definedName name="IQ_EPS_10Q1">"IQ_EPS_10Q1"</definedName>
    <definedName name="IQ_EPS_EST_1">"IQ_EPS_EST_1"</definedName>
    <definedName name="IQ_EQUITY_CAPITAL_ASSETS_FDIC">"c6744"</definedName>
    <definedName name="IQ_EQUITY_FDIC">"c6353"</definedName>
    <definedName name="IQ_EQUITY_SECURITIES_FDIC">"c6304"</definedName>
    <definedName name="IQ_EQUITY_SECURITY_EXPOSURES_FDIC">"c6664"</definedName>
    <definedName name="IQ_EST_EPS_SURPRISE">"c1635"</definedName>
    <definedName name="IQ_ESTIMATED_ASSESSABLE_DEPOSITS_FDIC">"c6490"</definedName>
    <definedName name="IQ_ESTIMATED_INSURED_DEPOSITS_FDIC">"c6491"</definedName>
    <definedName name="IQ_EV_OVER_REVENUE_EST">"IQ_EV_OVER_REVENUE_EST"</definedName>
    <definedName name="IQ_EV_OVER_REVENUE_EST_1">"IQ_EV_OVER_REVENUE_EST_1"</definedName>
    <definedName name="IQ_EXPENSE_CODE_">"019802400"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EXTRA_ACC_ITEMS_BR">"c412"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LOANS_FDIC">"c6314"</definedName>
    <definedName name="IQ_FED_FUNDS_PURCHASED_FDIC">"c6343"</definedName>
    <definedName name="IQ_FED_FUNDS_SOLD_FDIC">"c6307"</definedName>
    <definedName name="IQ_FHLB_ADVANCES_FDIC">"c6366"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VE_YEAR_FIXED_AND_FLOATING_RATE_FDIC">"c6422"</definedName>
    <definedName name="IQ_FIVE_YEAR_MORTGAGE_PASS_THROUGHS_FDIC">"c6414"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NMA_FHLMC_FDIC">"c6397"</definedName>
    <definedName name="IQ_FNMA_FHLMC_GNMA_FDIC">"c6399"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OSITS_NONTRANSACTION_ACCOUNTS_FDIC">"c6549"</definedName>
    <definedName name="IQ_FOREIGN_DEPOSITS_TRANSACTION_ACCOUNTS_FDIC">"c6541"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ULLY_INSURED_DEPOSITS_FDIC">"c6487"</definedName>
    <definedName name="IQ_FUTURES_FORWARD_CONTRACTS_NOTIONAL_AMOUNT_FDIC">"c6518"</definedName>
    <definedName name="IQ_FUTURES_FORWARD_CONTRACTS_RATE_RISK_FDIC">"c6508"</definedName>
    <definedName name="IQ_FWD">"LTM"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WD_Q3">"504"</definedName>
    <definedName name="IQ_FWD_Q4">"505"</definedName>
    <definedName name="IQ_FWD_Q5">"506"</definedName>
    <definedName name="IQ_FWD_Q6">"507"</definedName>
    <definedName name="IQ_FWD_Q7">"508"</definedName>
    <definedName name="IQ_FWD1">"LTM"</definedName>
    <definedName name="IQ_FX_CONTRACTS_FDIC">"c6517"</definedName>
    <definedName name="IQ_FX_CONTRACTS_SPOT_FDIC">"c6356"</definedName>
    <definedName name="IQ_FY_DATE">"IQ_FY_DATE"</definedName>
    <definedName name="IQ_GAIN_ASSETS_BR">"c454"</definedName>
    <definedName name="IQ_GAIN_ASSETS_CF_BR">"c457"</definedName>
    <definedName name="IQ_GAIN_ASSETS_REV_BR">"c474"</definedName>
    <definedName name="IQ_GAIN_INVEST_BR">"c1464"</definedName>
    <definedName name="IQ_GAIN_INVEST_CF_BR">"c482"</definedName>
    <definedName name="IQ_GAIN_INVEST_REV_BR">"c496"</definedName>
    <definedName name="IQ_GAIN_SALE_LOANS_FDIC">"c6673"</definedName>
    <definedName name="IQ_GAIN_SALE_RE_FDIC">"c6674"</definedName>
    <definedName name="IQ_GAINS_SALE_ASSETS_FDIC">"c6675"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W_AMORT_BR">"c532"</definedName>
    <definedName name="IQ_GW_INTAN_AMORT_BR">"c1470"</definedName>
    <definedName name="IQ_GW_INTAN_AMORT_CF_BR">"c1473"</definedName>
    <definedName name="IQ_HELD_MATURITY_FDIC">"c6408"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NC_EQUITY_BR">"c550"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ES_FDIC">"c6582"</definedName>
    <definedName name="IQ_INDEX_PROVIDED_DIVIDEND">"c19252"</definedName>
    <definedName name="IQ_INDEXCONSTITUENT_CLOSEPRICE">"c19241"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SETTLE_BR">"c572"</definedName>
    <definedName name="IQ_INSIDER_LOANS_FDIC">"c6365"</definedName>
    <definedName name="IQ_INSTITUTIONS_EARNINGS_GAINS_FDIC">"c6723"</definedName>
    <definedName name="IQ_INSURANCE_COMMISSION_FEES_FDIC">"c6670"</definedName>
    <definedName name="IQ_INSURANCE_UNDERWRITING_INCOME_FDIC">"c6671"</definedName>
    <definedName name="IQ_INT_DEMAND_NOTES_FDIC">"c6567"</definedName>
    <definedName name="IQ_INT_DOMESTIC_DEPOSITS_FDIC">"c6564"</definedName>
    <definedName name="IQ_INT_EXP_BR">"c586"</definedName>
    <definedName name="IQ_INT_EXP_TOTAL_FDIC">"c6569"</definedName>
    <definedName name="IQ_INT_FED_FUNDS_FDIC">"c6566"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OREIGN_LOANS_FDIC">"c6556"</definedName>
    <definedName name="IQ_INT_INC_LEASE_RECEIVABLES_FDIC">"c6557"</definedName>
    <definedName name="IQ_INT_INC_OTHER_FDIC">"c6562"</definedName>
    <definedName name="IQ_INT_INC_SECURITIES_FDIC">"c6559"</definedName>
    <definedName name="IQ_INT_INC_TOTAL_FDIC">"c6563"</definedName>
    <definedName name="IQ_INT_INC_TRADING_ACCOUNTS_FDIC">"c6560"</definedName>
    <definedName name="IQ_INT_SUB_NOTES_FDIC">"c6568"</definedName>
    <definedName name="IQ_INTEREST_BEARING_BALANCES_FDIC">"c6371"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INC_10K">"IQ_INTEREST_INC_10K"</definedName>
    <definedName name="IQ_INTEREST_INC_10Q">"IQ_INTEREST_INC_10Q"</definedName>
    <definedName name="IQ_INTEREST_INC_10Q1">"IQ_INTEREST_INC_10Q1"</definedName>
    <definedName name="IQ_INTEREST_RATE_CONTRACTS_FDIC">"c6512"</definedName>
    <definedName name="IQ_INTEREST_RATE_EXPOSURES_FDIC">"c6662"</definedName>
    <definedName name="IQ_INVEST_LOANS_CF_BR">"c630"</definedName>
    <definedName name="IQ_INVEST_SECURITY_CF_BR">"c639"</definedName>
    <definedName name="IQ_INVESTMENT_BANKING_OTHER_FEES_FDIC">"c6666"</definedName>
    <definedName name="IQ_IRA_KEOGH_ACCOUNTS_FDIC">"c6496"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ISSUED_GUARANTEED_US_FDIC">"c6404"</definedName>
    <definedName name="IQ_LAST_EBIT_MARGIN">"IQ_LAST_EBIT_MARGIN"</definedName>
    <definedName name="IQ_LAST_EBITDA_MARGIN">"IQ_LAST_EBITDA_MARGIN"</definedName>
    <definedName name="IQ_LAST_GROSS_MARGIN">"IQ_LAST_GROSS_MARGIN"</definedName>
    <definedName name="IQ_LAST_NET_INC_MARGIN">"IQ_LAST_NET_INC_MARGIN"</definedName>
    <definedName name="IQ_LATEST">"1"</definedName>
    <definedName name="IQ_LATESTK">1000</definedName>
    <definedName name="IQ_LATESTKFR">"100"</definedName>
    <definedName name="IQ_LATESTQ">500</definedName>
    <definedName name="IQ_LATESTQFR">"50"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RECOVERIES_FDIC">"c6621"</definedName>
    <definedName name="IQ_LEASE_FINANCING_RECEIVABLES_TOTAL_LOANS_FOREIGN_FDIC">"c6449"</definedName>
    <definedName name="IQ_LEGAL_SETTLE_BR">"c649"</definedName>
    <definedName name="IQ_LIFE_INSURANCE_ASSETS_FDIC">"c6372"</definedName>
    <definedName name="IQ_LOAN_COMMITMENTS_REVOLVING_FDIC">"c6524"</definedName>
    <definedName name="IQ_LOAN_LOSS_ALLOW_FDIC">"c6326"</definedName>
    <definedName name="IQ_LOAN_LOSS_ALLOWANCE_NONCURRENT_LOANS_FDIC">"c6740"</definedName>
    <definedName name="IQ_LOAN_LOSSES_FDIC">"c6580"</definedName>
    <definedName name="IQ_LOANS_AND_LEASES_HELD_FDIC">"c6367"</definedName>
    <definedName name="IQ_LOANS_CF_BR">"c661"</definedName>
    <definedName name="IQ_LOANS_DEPOSITORY_INSTITUTIONS_FDIC">"c6382"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NET_FDIC">"c6327"</definedName>
    <definedName name="IQ_LOANS_LEASES_NET_UNEARNED_FDIC">"c6325"</definedName>
    <definedName name="IQ_LOANS_NOT_SECURED_RE_FDIC">"c6381"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SS_ALLOWANCE_LOANS_FDIC">"c6739"</definedName>
    <definedName name="IQ_LT_DEBT_BR">"c676"</definedName>
    <definedName name="IQ_LT_DEBT_ISSUED_BR">"c683"</definedName>
    <definedName name="IQ_LT_DEBT_REPAID_BR">"c691"</definedName>
    <definedName name="IQ_LT_INVEST_BR">"c698"</definedName>
    <definedName name="IQ_LTM_DATE">"IQ_LTM_DATE"</definedName>
    <definedName name="IQ_LTMMONTH">120000</definedName>
    <definedName name="IQ_MATURITY_ONE_YEAR_LESS_FDIC">"c6425"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ERGER_BR">"c715"</definedName>
    <definedName name="IQ_MERGER_RESTRUCTURE_BR">"c721"</definedName>
    <definedName name="IQ_MINORITY_INTEREST_BR">"c729"</definedName>
    <definedName name="IQ_MONEY_MARKET_DEPOSIT_ACCOUNTS_FDIC">"c6553"</definedName>
    <definedName name="IQ_MORTGAGE_BACKED_SECURITIES_FDIC">"c6402"</definedName>
    <definedName name="IQ_MORTGAGE_SERVICING_FDIC">"c6335"</definedName>
    <definedName name="IQ_MTD">800000</definedName>
    <definedName name="IQ_MULTIFAMILY_RESIDENTIAL_LOANS_FDIC">"c6311"</definedName>
    <definedName name="IQ_NAMES_REVISION_DATE_">41198.5202083333</definedName>
    <definedName name="IQ_NAV_ACT_OR_EST">"c2225"</definedName>
    <definedName name="IQ_NET_CHARGE_OFFS_FDIC">"c6641"</definedName>
    <definedName name="IQ_NET_CHARGE_OFFS_LOANS_FDIC">"c6751"</definedName>
    <definedName name="IQ_NET_DEBT_ISSUED_BR">"c753"</definedName>
    <definedName name="IQ_NET_INC_10K">"IQ_NET_INC_10K"</definedName>
    <definedName name="IQ_NET_INC_10Q">"IQ_NET_INC_10Q"</definedName>
    <definedName name="IQ_NET_INC_10Q1">"IQ_NET_INC_10Q1"</definedName>
    <definedName name="IQ_NET_INC_GROWTH_1">"IQ_NET_INC_GROWTH_1"</definedName>
    <definedName name="IQ_NET_INC_GROWTH_2">"IQ_NET_INC_GROWTH_2"</definedName>
    <definedName name="IQ_NET_INCOME_FDIC">"c6587"</definedName>
    <definedName name="IQ_NET_INT_INC_BNK_FDIC">"c6570"</definedName>
    <definedName name="IQ_NET_INT_INC_BR">"c765"</definedName>
    <definedName name="IQ_NET_INTEREST_MARGIN_FDIC">"c6726"</definedName>
    <definedName name="IQ_NET_LOANS_LEASES_CORE_DEPOSITS_FDIC">"c6743"</definedName>
    <definedName name="IQ_NET_LOANS_LEASES_DEPOSITS_FDIC">"c6742"</definedName>
    <definedName name="IQ_NET_OPERATING_INCOME_ASSETS_FDIC">"c6729"</definedName>
    <definedName name="IQ_NET_SECURITIZATION_INCOME_FDIC">"c6669"</definedName>
    <definedName name="IQ_NET_SERVICING_FEES_FDIC">"c6668"</definedName>
    <definedName name="IQ_NON_INT_EXP_FDIC">"c6579"</definedName>
    <definedName name="IQ_NON_INT_INC_FDIC">"c6575"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OME_EARNING_ASSETS_FDIC">"c6727"</definedName>
    <definedName name="IQ_NONMORTGAGE_SERVICING_FDIC">"c6336"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ONTRANSACTION_ACCOUNTS_FDIC">"c6552"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UMBER_DEPOSITS_LESS_THAN_100K_FDIC">"c6495"</definedName>
    <definedName name="IQ_NUMBER_DEPOSITS_MORE_THAN_100K_FDIC">"c6493"</definedName>
    <definedName name="IQ_OBLIGATIONS_OF_STATES_TOTAL_LOANS_FOREIGN_FDIC">"c6447"</definedName>
    <definedName name="IQ_OBLIGATIONS_STATES_FDIC">"c6431"</definedName>
    <definedName name="IQ_OG_TOTAL_OIL_PRODUCTON">"c2059"</definedName>
    <definedName name="IQ_OPENED55">1</definedName>
    <definedName name="IQ_OPER_INC_BR">"c850"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MULTI_FAMILY_RESIDENTIAL_FDIC">"c6455"</definedName>
    <definedName name="IQ_OTHER_AMORT_BR">"c5566"</definedName>
    <definedName name="IQ_OTHER_ASSETS_BR">"c862"</definedName>
    <definedName name="IQ_OTHER_ASSETS_FDIC">"c6338"</definedName>
    <definedName name="IQ_OTHER_BORROWED_FUNDS_FDIC">"c6345"</definedName>
    <definedName name="IQ_OTHER_CA_SUPPL_BR">"c871"</definedName>
    <definedName name="IQ_OTHER_CL_SUPPL_BR">"c880"</definedName>
    <definedName name="IQ_OTHER_COMPREHENSIVE_INCOME_FDIC">"c6503"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QUITY_BR">"c888"</definedName>
    <definedName name="IQ_OTHER_FINANCE_ACT_BR">"c895"</definedName>
    <definedName name="IQ_OTHER_FINANCE_ACT_SUPPL_BR">"c901"</definedName>
    <definedName name="IQ_OTHER_INSURANCE_FEES_FDIC">"c6672"</definedName>
    <definedName name="IQ_OTHER_INTAN_BR">"c909"</definedName>
    <definedName name="IQ_OTHER_INTANGIBLE_FDIC">"c6337"</definedName>
    <definedName name="IQ_OTHER_INVEST_ACT_BR">"c918"</definedName>
    <definedName name="IQ_OTHER_INVEST_ACT_SUPPL_BR">"c924"</definedName>
    <definedName name="IQ_OTHER_LIAB_BR">"c932"</definedName>
    <definedName name="IQ_OTHER_LIAB_LT_BR">"c937"</definedName>
    <definedName name="IQ_OTHER_LIABILITIES_FDIC">"c6347"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T_ASSETS_BR">"c948"</definedName>
    <definedName name="IQ_OTHER_MINING_REVENUE_COAL">"c15931"</definedName>
    <definedName name="IQ_OTHER_NON_INT_EXP_FDIC">"c6578"</definedName>
    <definedName name="IQ_OTHER_NON_INT_EXPENSE_FDIC">"c6679"</definedName>
    <definedName name="IQ_OTHER_NON_INT_INC_FDIC">"c6676"</definedName>
    <definedName name="IQ_OTHER_NON_OPER_EXP_BR">"c957"</definedName>
    <definedName name="IQ_OTHER_NON_OPER_EXP_SUPPL_BR">"c962"</definedName>
    <definedName name="IQ_OTHER_OFF_BS_LIAB_FDIC">"c6533"</definedName>
    <definedName name="IQ_OTHER_OPER_ACT_BR">"c985"</definedName>
    <definedName name="IQ_OTHER_OPER_BR">"c990"</definedName>
    <definedName name="IQ_OTHER_OPER_SUPPL_BR">"c994"</definedName>
    <definedName name="IQ_OTHER_OPER_TOT_BR">"c1000"</definedName>
    <definedName name="IQ_OTHER_RE_OWNED_FDIC">"c6330"</definedName>
    <definedName name="IQ_OTHER_REV_BR">"c1011"</definedName>
    <definedName name="IQ_OTHER_REV_SUPPL_BR">"c1016"</definedName>
    <definedName name="IQ_OTHER_SAVINGS_DEPOSITS_FDIC">"c6554"</definedName>
    <definedName name="IQ_OTHER_TRANSACTIONS_FDIC">"c6504"</definedName>
    <definedName name="IQ_OTHER_UNUSED_COMMITMENTS_FDIC">"c6530"</definedName>
    <definedName name="IQ_OTHER_UNUSUAL_BR">"c1561"</definedName>
    <definedName name="IQ_OTHER_UNUSUAL_SUPPL_BR">"c1496"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C_WRITTEN">"c1027"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INSURED_FDIC">"c6374"</definedName>
    <definedName name="IQ_PERIODDATE_FDIC">"c13646"</definedName>
    <definedName name="IQ_PLEDGED_SECURITIES_FDIC">"c6401"</definedName>
    <definedName name="IQ_PRE_TAX_INCOME_FDIC">"c6581"</definedName>
    <definedName name="IQ_PREF_ISSUED_BR">"c1047"</definedName>
    <definedName name="IQ_PREF_OTHER_BR">"c1055"</definedName>
    <definedName name="IQ_PREF_REP_BR">"c1062"</definedName>
    <definedName name="IQ_PREFERRED_FDIC">"c6349"</definedName>
    <definedName name="IQ_PREMISES_EQUIPMENT_FDIC">"c6577"</definedName>
    <definedName name="IQ_PRETAX_INC">"IQ_PRETAX_INC"</definedName>
    <definedName name="IQ_PRETAX_INC_10K">"IQ_PRETAX_INC_10K"</definedName>
    <definedName name="IQ_PRETAX_INC_10Q">"IQ_PRETAX_INC_10Q"</definedName>
    <definedName name="IQ_PRETAX_INC_10Q1">"IQ_PRETAX_INC_10Q1"</definedName>
    <definedName name="IQ_PRETAX_RETURN_ASSETS_FDIC">"c6731"</definedName>
    <definedName name="IQ_PRICE_OVER_EPS_EST">"IQ_PRICE_OVER_EPS_EST"</definedName>
    <definedName name="IQ_PRICE_OVER_EPS_EST_1">"IQ_PRICE_OVER_EPS_EST_1"</definedName>
    <definedName name="IQ_PRICEDATETIME">"IQ_PRICEDATETIME"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RIVATELY_ISSUED_MORTGAGE_BACKED_SECURITIES_FDIC">"c6407"</definedName>
    <definedName name="IQ_PRIVATELY_ISSUED_MORTGAGE_PASS_THROUGHS_FDIC">"c6405"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_FORECLOSURE_FDIC">"c6332"</definedName>
    <definedName name="IQ_RE_INVEST_FDIC">"c6331"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LATED_PLANS_FDIC">"c6320"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RESIDENTIAL_LOANS">"c1102"</definedName>
    <definedName name="IQ_RESTATEMENTS_NET_FDIC">"c6500"</definedName>
    <definedName name="IQ_RESTRUCTURE_BR">"c1106"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DEPOSITS_FDIC">"c6488"</definedName>
    <definedName name="IQ_RETAINED_EARNINGS_AVERAGE_EQUITY_FDIC">"c6733"</definedName>
    <definedName name="IQ_RETURN_ASSETS_BROK">"c1115"</definedName>
    <definedName name="IQ_RETURN_ASSETS_FDIC">"c6730"</definedName>
    <definedName name="IQ_RETURN_EQUITY_BROK">"c1120"</definedName>
    <definedName name="IQ_RETURN_EQUITY_FDIC">"c6732"</definedName>
    <definedName name="IQ_REVALUATION_GAINS_FDIC">"c6428"</definedName>
    <definedName name="IQ_REVALUATION_LOSSES_FDIC">"c6429"</definedName>
    <definedName name="IQ_REVENUE_10K">"IQ_REVENUE_10K"</definedName>
    <definedName name="IQ_REVENUE_10Q">"IQ_REVENUE_10Q"</definedName>
    <definedName name="IQ_REVENUE_10Q1">"IQ_REVENUE_10Q1"</definedName>
    <definedName name="IQ_REVENUE_EST_1">"IQ_REVENUE_EST_1"</definedName>
    <definedName name="IQ_REVENUE_GROWTH_1">"IQ_REVENUE_GROWTH_1"</definedName>
    <definedName name="IQ_REVENUE_GROWTH_2">"IQ_REVENUE_GROWTH_2"</definedName>
    <definedName name="IQ_REVOLVING_SECURED_1_–4_NON_ACCRUAL_FFIEC">"c15565"</definedName>
    <definedName name="IQ_RISK_WEIGHTED_ASSETS_FDIC">"c6370"</definedName>
    <definedName name="IQ_ROYALTY_REVENUE_COAL">"c15932"</definedName>
    <definedName name="IQ_SALARY_FDIC">"c6576"</definedName>
    <definedName name="IQ_SALE_CONVERSION_RETIREMENT_STOCK_FDIC">"c6661"</definedName>
    <definedName name="IQ_SALE_INTAN_CF_BR">"c1133"</definedName>
    <definedName name="IQ_SALE_PPE_CF_BR">"c1139"</definedName>
    <definedName name="IQ_SALE_REAL_ESTATE_CF_BR">"c1145"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UNDERWRITING_FDIC">"c6529"</definedName>
    <definedName name="IQ_SERVICE_CHARGES_FDIC">"c6572"</definedName>
    <definedName name="IQ_SHAREOUTSTANDING">"c1347"</definedName>
    <definedName name="IQ_SPECIAL_DIV_CF_BR">"c1171"</definedName>
    <definedName name="IQ_ST_DEBT_BR">"c1178"</definedName>
    <definedName name="IQ_ST_DEBT_ISSUED_BR">"c1183"</definedName>
    <definedName name="IQ_ST_DEBT_REPAID_BR">"c1191"</definedName>
    <definedName name="IQ_STATES_NONTRANSACTION_ACCOUNTS_FDIC">"c6547"</definedName>
    <definedName name="IQ_STATES_TOTAL_DEPOSITS_FDIC">"c6473"</definedName>
    <definedName name="IQ_STATES_TRANSACTION_ACCOUNTS_FDIC">"c6539"</definedName>
    <definedName name="IQ_SUB_DEBT_FDIC">"c6346"</definedName>
    <definedName name="IQ_SURPLUS_FDIC">"c6351"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FDIC">"c6369"</definedName>
    <definedName name="IQ_TIME_DEPOSITS_LESS_THAN_100K_FDIC">"c6465"</definedName>
    <definedName name="IQ_TIME_DEPOSITS_MORE_THAN_100K_FDIC">"c6470"</definedName>
    <definedName name="IQ_TODAY">0</definedName>
    <definedName name="IQ_TOTAL_AR_BR">"c1231"</definedName>
    <definedName name="IQ_TOTAL_ASSETS_FDIC">"c6339"</definedName>
    <definedName name="IQ_TOTAL_CHARGE_OFFS_FDIC">"c6603"</definedName>
    <definedName name="IQ_TOTAL_DEBT_ISSUED_BR">"c1253"</definedName>
    <definedName name="IQ_TOTAL_DEBT_REPAID_BR">"c1260"</definedName>
    <definedName name="IQ_TOTAL_DEBT_SECURITIES_FDIC">"c6410"</definedName>
    <definedName name="IQ_TOTAL_DEPOSITS_FDIC">"c6342"</definedName>
    <definedName name="IQ_TOTAL_EMPLOYEES_FDIC">"c6355"</definedName>
    <definedName name="IQ_TOTAL_LIAB_BR">"c1278"</definedName>
    <definedName name="IQ_TOTAL_LIAB_EQUITY_FDIC">"c6354"</definedName>
    <definedName name="IQ_TOTAL_LIABILITIES_FDIC">"c6348"</definedName>
    <definedName name="IQ_TOTAL_OPER_EXP_BR">"c1284"</definedName>
    <definedName name="IQ_TOTAL_PENSION_OBLIGATION">"c1292"</definedName>
    <definedName name="IQ_TOTAL_RECOVERIES_FDIC">"c6622"</definedName>
    <definedName name="IQ_TOTAL_REV_BNK_FDIC">"c6786"</definedName>
    <definedName name="IQ_TOTAL_REV_BR">"c1303"</definedName>
    <definedName name="IQ_TOTAL_RISK_BASED_CAPITAL_RATIO_FDIC">"c6747"</definedName>
    <definedName name="IQ_TOTAL_SECURITIES_FDIC">"c6306"</definedName>
    <definedName name="IQ_TOTAL_TIME_DEPOSITS_FDIC">"c6497"</definedName>
    <definedName name="IQ_TOTAL_TIME_SAVINGS_DEPOSITS_FDIC">"c6498"</definedName>
    <definedName name="IQ_TOTAL_UNUSED_COMMITMENTS_FDIC">"c6536"</definedName>
    <definedName name="IQ_TOTAL_UNUSUAL_BR">"c5517"</definedName>
    <definedName name="IQ_TRADING_ACCOUNT_GAINS_FEES_FDIC">"c6573"</definedName>
    <definedName name="IQ_TRADING_ASSETS_FDIC">"c6328"</definedName>
    <definedName name="IQ_TRADING_LIABILITIES_FDIC">"c6344"</definedName>
    <definedName name="IQ_TRANSACTION_ACCOUNTS_FDIC">"c6544"</definedName>
    <definedName name="IQ_TREASURY_OTHER_EQUITY_BR">"c1314"</definedName>
    <definedName name="IQ_TREASURY_STOCK_TRANSACTIONS_FDIC">"c6501"</definedName>
    <definedName name="IQ_TWELVE_MONTHS_FIXED_AND_FLOATING_FDIC">"c6420"</definedName>
    <definedName name="IQ_TWELVE_MONTHS_MORTGAGE_PASS_THROUGHS_FDIC">"c6412"</definedName>
    <definedName name="IQ_UNDIVIDED_PROFITS_FDIC">"c6352"</definedName>
    <definedName name="IQ_UNEARN_REV_CURRENT_BR">"c1324"</definedName>
    <definedName name="IQ_UNEARNED_INCOME_FDIC">"c6324"</definedName>
    <definedName name="IQ_UNEARNED_INCOME_FOREIGN_FDIC">"c6385"</definedName>
    <definedName name="IQ_UNPROFITABLE_INSTITUTIONS_FDIC">"c6722"</definedName>
    <definedName name="IQ_UNUSED_LOAN_COMMITMENTS_FDIC">"c6368"</definedName>
    <definedName name="IQ_US_BRANCHES_FOREIGN_BANK_LOANS_FDIC">"c6435"</definedName>
    <definedName name="IQ_US_BRANCHES_FOREIGN_BANKS_FDIC">"c6390"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TREASURY_SECURITIES_FDIC">"c6298"</definedName>
    <definedName name="IQ_VALUATION_ALLOWANCES_FDIC">"c6400"</definedName>
    <definedName name="IQ_VC_REVENUE_FDIC">"c6667"</definedName>
    <definedName name="IQ_VOLATILE_LIABILITIES_FDIC">"c6364"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YTDMONTH">130000</definedName>
    <definedName name="limcount">1</definedName>
    <definedName name="_xlnm.Print_Titles" localSheetId="2">'elec diff for temp norm expl'!$4:$6</definedName>
    <definedName name="_xlnm.Print_Titles" localSheetId="3">'gas diff for temp norm expl'!$1:$6</definedName>
    <definedName name="_xlnm.Print_Titles" localSheetId="0">'RJA-3_Electric_Attrition'!$4:$6</definedName>
    <definedName name="_xlnm.Print_Titles" localSheetId="1">'RJA-4_Gas_Attrition'!$1:$6</definedName>
    <definedName name="SAPBEXhrIndnt">"Wide"</definedName>
    <definedName name="SAPBEXrevision">12</definedName>
    <definedName name="SAPBEXsysID">"BW1"</definedName>
    <definedName name="SAPBEXwbID">"EXVQ7024UZF98DYY6FAM7GVXF"</definedName>
    <definedName name="SAPsysID">"708C5W7SBKP804JT78WJ0JNKI"</definedName>
    <definedName name="SAPwbID">"ARS"</definedName>
    <definedName name="sencount">1</definedName>
    <definedName name="solver_eval">0</definedName>
    <definedName name="solver_lin">0</definedName>
    <definedName name="solver_ntri">1000</definedName>
    <definedName name="solver_num">0</definedName>
    <definedName name="solver_rel1">1</definedName>
    <definedName name="solver_rhs1">0.15</definedName>
    <definedName name="solver_rsmp">1</definedName>
    <definedName name="solver_seed">0</definedName>
    <definedName name="solver_tmp">0.15</definedName>
    <definedName name="solver_typ">3</definedName>
    <definedName name="solver_val">0.6</definedName>
    <definedName name="TextRefCopyRangeCount">1</definedName>
    <definedName name="TP_Footer_Path">"S:\74639\03RET\(417) 2004 Cost Projection\"</definedName>
    <definedName name="TP_Footer_User">"Mary Lou Barrios"</definedName>
    <definedName name="UNI_AA_VERSION">"150.2.0"</definedName>
    <definedName name="UNI_FILT_END">8</definedName>
    <definedName name="UNI_FILT_OFFSPEC">2</definedName>
    <definedName name="UNI_FILT_ONSPEC">1</definedName>
    <definedName name="UNI_FILT_START">4</definedName>
    <definedName name="UNI_NOTHING">0</definedName>
    <definedName name="UNI_PRES_CLOSEST">512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MRECORD">64</definedName>
    <definedName name="UNI_PRES_OUTLIERS">32</definedName>
    <definedName name="UNI_PRES_POST">256</definedName>
    <definedName name="UNI_PRES_PRIOR">2048</definedName>
    <definedName name="UNI_PRES_RECENT">1024</definedName>
    <definedName name="UNI_PRES_STATIC">128</definedName>
    <definedName name="UNI_RET_ATTRIB">64</definedName>
    <definedName name="UNI_RET_CONF">32</definedName>
    <definedName name="UNI_RET_DESC">4</definedName>
    <definedName name="UNI_RET_END">16384</definedName>
    <definedName name="UNI_RET_EQUIP">1</definedName>
    <definedName name="UNI_RET_EVENT">4096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START">8192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wrn.3._.Scenarios." localSheetId="15">{"full model","100% Stock",FALSE,"PROFORMA";"full model","50/50",FALSE,"PROFORMA";"full model","100% Cash",FALSE,"PROFORMA"}</definedName>
    <definedName name="wrn.3._.Scenarios." localSheetId="44">{"full model","100% Stock",FALSE,"PROFORMA";"full model","50/50",FALSE,"PROFORMA";"full model","100% Cash",FALSE,"PROFORMA"}</definedName>
    <definedName name="wrn.3._.Scenarios.">{"full model","100% Stock",FALSE,"PROFORMA";"full model","50/50",FALSE,"PROFORMA";"full model","100% Cash",FALSE,"PROFORMA"}</definedName>
    <definedName name="wrn.BV._.Matrix." localSheetId="15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 localSheetId="44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NPV._.Matrix." localSheetId="15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 localSheetId="44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13" i="97" l="1"/>
  <c r="AK112" i="97"/>
  <c r="AJ112" i="97"/>
  <c r="AI112" i="97"/>
  <c r="AH112" i="97"/>
  <c r="AG112" i="97"/>
  <c r="AF112" i="97"/>
  <c r="AE112" i="97"/>
  <c r="AD112" i="97"/>
  <c r="AC112" i="97"/>
  <c r="AB112" i="97"/>
  <c r="AK111" i="97"/>
  <c r="AJ111" i="97"/>
  <c r="AI111" i="97"/>
  <c r="AH111" i="97"/>
  <c r="AG111" i="97"/>
  <c r="AF111" i="97"/>
  <c r="AE111" i="97"/>
  <c r="AD111" i="97"/>
  <c r="AC111" i="97"/>
  <c r="AB111" i="97"/>
  <c r="AK110" i="97"/>
  <c r="AJ110" i="97"/>
  <c r="AI110" i="97"/>
  <c r="AH110" i="97"/>
  <c r="AG110" i="97"/>
  <c r="AF110" i="97"/>
  <c r="AE110" i="97"/>
  <c r="AD110" i="97"/>
  <c r="AC110" i="97"/>
  <c r="AB110" i="97"/>
  <c r="AL109" i="97"/>
  <c r="AK109" i="97"/>
  <c r="AJ109" i="97"/>
  <c r="AI109" i="97"/>
  <c r="AH109" i="97"/>
  <c r="AG109" i="97"/>
  <c r="AF109" i="97"/>
  <c r="AE109" i="97"/>
  <c r="AD109" i="97"/>
  <c r="AC109" i="97"/>
  <c r="AB109" i="97"/>
  <c r="AK108" i="97"/>
  <c r="AJ108" i="97"/>
  <c r="AI108" i="97"/>
  <c r="AH108" i="97"/>
  <c r="AG108" i="97"/>
  <c r="AF108" i="97"/>
  <c r="AE108" i="97"/>
  <c r="AD108" i="97"/>
  <c r="AC108" i="97"/>
  <c r="AB108" i="97"/>
  <c r="AK107" i="97"/>
  <c r="AJ107" i="97"/>
  <c r="AI107" i="97"/>
  <c r="AH107" i="97"/>
  <c r="AG107" i="97"/>
  <c r="AF107" i="97"/>
  <c r="AE107" i="97"/>
  <c r="AD107" i="97"/>
  <c r="AC107" i="97"/>
  <c r="AB107" i="97"/>
  <c r="AL106" i="97"/>
  <c r="AK106" i="97"/>
  <c r="AJ106" i="97"/>
  <c r="AI106" i="97"/>
  <c r="AH106" i="97"/>
  <c r="AG106" i="97"/>
  <c r="AF106" i="97"/>
  <c r="AE106" i="97"/>
  <c r="AD106" i="97"/>
  <c r="AC106" i="97"/>
  <c r="AB106" i="97"/>
  <c r="AG105" i="97"/>
  <c r="AG104" i="97"/>
  <c r="AK103" i="97"/>
  <c r="AJ103" i="97"/>
  <c r="AI103" i="97"/>
  <c r="AG103" i="97"/>
  <c r="AE103" i="97"/>
  <c r="AD103" i="97"/>
  <c r="AC103" i="97"/>
  <c r="AK102" i="97"/>
  <c r="AJ102" i="97"/>
  <c r="AI102" i="97"/>
  <c r="AG102" i="97"/>
  <c r="AE102" i="97"/>
  <c r="AD102" i="97"/>
  <c r="AC102" i="97"/>
  <c r="AK101" i="97"/>
  <c r="AJ101" i="97"/>
  <c r="AI101" i="97"/>
  <c r="AG101" i="97"/>
  <c r="AE101" i="97"/>
  <c r="AD101" i="97"/>
  <c r="AC101" i="97"/>
  <c r="AL100" i="97"/>
  <c r="AK100" i="97"/>
  <c r="AJ100" i="97"/>
  <c r="AI100" i="97"/>
  <c r="AH100" i="97"/>
  <c r="AG100" i="97"/>
  <c r="AF100" i="97"/>
  <c r="AE100" i="97"/>
  <c r="AD100" i="97"/>
  <c r="AC100" i="97"/>
  <c r="AB100" i="97"/>
  <c r="A100" i="97"/>
  <c r="AG99" i="97"/>
  <c r="AG98" i="97"/>
  <c r="AK98" i="97"/>
  <c r="AJ98" i="97"/>
  <c r="AI98" i="97"/>
  <c r="AG97" i="97"/>
  <c r="AJ97" i="97"/>
  <c r="AI97" i="97"/>
  <c r="AK96" i="97"/>
  <c r="AG96" i="97"/>
  <c r="AE96" i="97"/>
  <c r="AJ95" i="97"/>
  <c r="AI95" i="97"/>
  <c r="AG95" i="97"/>
  <c r="AK95" i="97"/>
  <c r="AD95" i="97"/>
  <c r="AC95" i="97"/>
  <c r="AG94" i="97"/>
  <c r="AL93" i="97"/>
  <c r="AK93" i="97"/>
  <c r="AJ93" i="97"/>
  <c r="AI93" i="97"/>
  <c r="AH93" i="97"/>
  <c r="AG93" i="97"/>
  <c r="AF93" i="97"/>
  <c r="AE93" i="97"/>
  <c r="AD93" i="97"/>
  <c r="AC93" i="97"/>
  <c r="AB93" i="97"/>
  <c r="AL92" i="97"/>
  <c r="AK92" i="97"/>
  <c r="AJ92" i="97"/>
  <c r="AI92" i="97"/>
  <c r="AH92" i="97"/>
  <c r="AG92" i="97"/>
  <c r="AF92" i="97"/>
  <c r="AE92" i="97"/>
  <c r="AD92" i="97"/>
  <c r="AC92" i="97"/>
  <c r="AB92" i="97"/>
  <c r="A92" i="97"/>
  <c r="AG91" i="97"/>
  <c r="AI91" i="97"/>
  <c r="AK90" i="97"/>
  <c r="AJ90" i="97"/>
  <c r="AI90" i="97"/>
  <c r="AG90" i="97"/>
  <c r="AE90" i="97"/>
  <c r="AD90" i="97"/>
  <c r="AC90" i="97"/>
  <c r="AE98" i="97"/>
  <c r="AD98" i="97"/>
  <c r="AC98" i="97"/>
  <c r="AJ89" i="97"/>
  <c r="AI89" i="97"/>
  <c r="AG89" i="97"/>
  <c r="AE89" i="97"/>
  <c r="AD89" i="97"/>
  <c r="AC89" i="97"/>
  <c r="AK88" i="97"/>
  <c r="AI88" i="97"/>
  <c r="AG88" i="97"/>
  <c r="AE88" i="97"/>
  <c r="AD88" i="97"/>
  <c r="AC88" i="97"/>
  <c r="AK87" i="97"/>
  <c r="AJ87" i="97"/>
  <c r="AI87" i="97"/>
  <c r="AG87" i="97"/>
  <c r="AE47" i="97"/>
  <c r="AD87" i="97"/>
  <c r="AC87" i="97"/>
  <c r="AK86" i="97"/>
  <c r="AJ86" i="97"/>
  <c r="AI86" i="97"/>
  <c r="AG86" i="97"/>
  <c r="AD86" i="97"/>
  <c r="AC86" i="97"/>
  <c r="AL85" i="97"/>
  <c r="AK85" i="97"/>
  <c r="AJ85" i="97"/>
  <c r="AI85" i="97"/>
  <c r="AH85" i="97"/>
  <c r="AG85" i="97"/>
  <c r="AF85" i="97"/>
  <c r="AE85" i="97"/>
  <c r="AD85" i="97"/>
  <c r="AC85" i="97"/>
  <c r="AB85" i="97"/>
  <c r="AL84" i="97"/>
  <c r="AK84" i="97"/>
  <c r="AJ84" i="97"/>
  <c r="AI84" i="97"/>
  <c r="AH84" i="97"/>
  <c r="AG84" i="97"/>
  <c r="AF84" i="97"/>
  <c r="AE84" i="97"/>
  <c r="AD84" i="97"/>
  <c r="AC84" i="97"/>
  <c r="AB84" i="97"/>
  <c r="A84" i="97"/>
  <c r="AK83" i="97"/>
  <c r="AJ83" i="97"/>
  <c r="AG83" i="97"/>
  <c r="AE83" i="97"/>
  <c r="AD83" i="97"/>
  <c r="AC83" i="97"/>
  <c r="AI83" i="97"/>
  <c r="AH83" i="97"/>
  <c r="AL82" i="97"/>
  <c r="AK82" i="97"/>
  <c r="AJ82" i="97"/>
  <c r="AI82" i="97"/>
  <c r="AH82" i="97"/>
  <c r="AG82" i="97"/>
  <c r="AE82" i="97"/>
  <c r="AD82" i="97"/>
  <c r="AC82" i="97"/>
  <c r="AK81" i="97"/>
  <c r="AJ81" i="97"/>
  <c r="AI81" i="97"/>
  <c r="AH81" i="97"/>
  <c r="AG81" i="97"/>
  <c r="AE81" i="97"/>
  <c r="AD81" i="97"/>
  <c r="AC81" i="97"/>
  <c r="AL81" i="97"/>
  <c r="AK80" i="97"/>
  <c r="AJ80" i="97"/>
  <c r="AI80" i="97"/>
  <c r="AH80" i="97"/>
  <c r="AG80" i="97"/>
  <c r="AE80" i="97"/>
  <c r="AD80" i="97"/>
  <c r="AC80" i="97"/>
  <c r="AL80" i="97"/>
  <c r="AK79" i="97"/>
  <c r="AJ79" i="97"/>
  <c r="AI79" i="97"/>
  <c r="AH79" i="97"/>
  <c r="AG79" i="97"/>
  <c r="AE79" i="97"/>
  <c r="AD79" i="97"/>
  <c r="AC79" i="97"/>
  <c r="AL79" i="97"/>
  <c r="AL78" i="97"/>
  <c r="AK78" i="97"/>
  <c r="AJ78" i="97"/>
  <c r="AI78" i="97"/>
  <c r="AH78" i="97"/>
  <c r="AG78" i="97"/>
  <c r="AE78" i="97"/>
  <c r="AD78" i="97"/>
  <c r="AC78" i="97"/>
  <c r="AL77" i="97"/>
  <c r="AK77" i="97"/>
  <c r="AJ77" i="97"/>
  <c r="AI77" i="97"/>
  <c r="AH77" i="97"/>
  <c r="AG77" i="97"/>
  <c r="AF77" i="97"/>
  <c r="AE77" i="97"/>
  <c r="AD77" i="97"/>
  <c r="AC77" i="97"/>
  <c r="AB77" i="97"/>
  <c r="AL76" i="97"/>
  <c r="AK76" i="97"/>
  <c r="AJ76" i="97"/>
  <c r="AI76" i="97"/>
  <c r="AH76" i="97"/>
  <c r="AG76" i="97"/>
  <c r="AF76" i="97"/>
  <c r="AE76" i="97"/>
  <c r="AD76" i="97"/>
  <c r="AC76" i="97"/>
  <c r="AB76" i="97"/>
  <c r="A76" i="97"/>
  <c r="AK75" i="97"/>
  <c r="AG75" i="97"/>
  <c r="AJ75" i="97"/>
  <c r="AI75" i="97"/>
  <c r="AH75" i="97"/>
  <c r="AL74" i="97"/>
  <c r="AK74" i="97"/>
  <c r="AJ74" i="97"/>
  <c r="AI74" i="97"/>
  <c r="AH74" i="97"/>
  <c r="AG74" i="97"/>
  <c r="AE74" i="97"/>
  <c r="AD74" i="97"/>
  <c r="AC74" i="97"/>
  <c r="AK73" i="97"/>
  <c r="AJ73" i="97"/>
  <c r="AI73" i="97"/>
  <c r="AH73" i="97"/>
  <c r="AG73" i="97"/>
  <c r="AD73" i="97"/>
  <c r="AC73" i="97"/>
  <c r="AL73" i="97"/>
  <c r="AE75" i="97"/>
  <c r="AK72" i="97"/>
  <c r="AJ72" i="97"/>
  <c r="AI72" i="97"/>
  <c r="AH72" i="97"/>
  <c r="AG72" i="97"/>
  <c r="AE72" i="97"/>
  <c r="AD72" i="97"/>
  <c r="AC72" i="97"/>
  <c r="AL72" i="97"/>
  <c r="AD75" i="97"/>
  <c r="AC75" i="97"/>
  <c r="AL71" i="97"/>
  <c r="AK71" i="97"/>
  <c r="AJ71" i="97"/>
  <c r="AI71" i="97"/>
  <c r="AH71" i="97"/>
  <c r="AG71" i="97"/>
  <c r="AE71" i="97"/>
  <c r="AD71" i="97"/>
  <c r="AC71" i="97"/>
  <c r="AK70" i="97"/>
  <c r="AJ70" i="97"/>
  <c r="AI70" i="97"/>
  <c r="AH70" i="97"/>
  <c r="AG70" i="97"/>
  <c r="AE70" i="97"/>
  <c r="AD70" i="97"/>
  <c r="AC70" i="97"/>
  <c r="AL69" i="97"/>
  <c r="AK69" i="97"/>
  <c r="AJ69" i="97"/>
  <c r="AI69" i="97"/>
  <c r="AH69" i="97"/>
  <c r="AG69" i="97"/>
  <c r="AF69" i="97"/>
  <c r="AE69" i="97"/>
  <c r="AD69" i="97"/>
  <c r="AC69" i="97"/>
  <c r="AB69" i="97"/>
  <c r="AL68" i="97"/>
  <c r="AK68" i="97"/>
  <c r="AJ68" i="97"/>
  <c r="AI68" i="97"/>
  <c r="AH68" i="97"/>
  <c r="AG68" i="97"/>
  <c r="AF68" i="97"/>
  <c r="AE68" i="97"/>
  <c r="AD68" i="97"/>
  <c r="AC68" i="97"/>
  <c r="AB68" i="97"/>
  <c r="A68" i="97"/>
  <c r="AJ67" i="97"/>
  <c r="AI67" i="97"/>
  <c r="AG67" i="97"/>
  <c r="AE67" i="97"/>
  <c r="AK66" i="97"/>
  <c r="AJ66" i="97"/>
  <c r="AI66" i="97"/>
  <c r="AG66" i="97"/>
  <c r="AE66" i="97"/>
  <c r="AD66" i="97"/>
  <c r="AC66" i="97"/>
  <c r="AJ65" i="97"/>
  <c r="AI65" i="97"/>
  <c r="AG65" i="97"/>
  <c r="AD65" i="97"/>
  <c r="AC65" i="97"/>
  <c r="AE65" i="97"/>
  <c r="AK64" i="97"/>
  <c r="AI64" i="97"/>
  <c r="AG64" i="97"/>
  <c r="AE64" i="97"/>
  <c r="AJ46" i="97"/>
  <c r="AI46" i="97"/>
  <c r="AD64" i="97"/>
  <c r="AL63" i="97"/>
  <c r="AK63" i="97"/>
  <c r="AJ63" i="97"/>
  <c r="AI63" i="97"/>
  <c r="AG63" i="97"/>
  <c r="AE63" i="97"/>
  <c r="AD63" i="97"/>
  <c r="AC63" i="97"/>
  <c r="AH63" i="97"/>
  <c r="AK62" i="97"/>
  <c r="AJ62" i="97"/>
  <c r="AI62" i="97"/>
  <c r="AG62" i="97"/>
  <c r="AE62" i="97"/>
  <c r="AD62" i="97"/>
  <c r="AC62" i="97"/>
  <c r="AL61" i="97"/>
  <c r="AK61" i="97"/>
  <c r="AJ61" i="97"/>
  <c r="AI61" i="97"/>
  <c r="AH61" i="97"/>
  <c r="AG61" i="97"/>
  <c r="AF61" i="97"/>
  <c r="AE61" i="97"/>
  <c r="AD61" i="97"/>
  <c r="AC61" i="97"/>
  <c r="AB61" i="97"/>
  <c r="AL60" i="97"/>
  <c r="AK60" i="97"/>
  <c r="AJ60" i="97"/>
  <c r="AI60" i="97"/>
  <c r="AH60" i="97"/>
  <c r="AG60" i="97"/>
  <c r="AF60" i="97"/>
  <c r="AE60" i="97"/>
  <c r="AD60" i="97"/>
  <c r="AC60" i="97"/>
  <c r="AB60" i="97"/>
  <c r="A60" i="97"/>
  <c r="AG59" i="97"/>
  <c r="AK58" i="97"/>
  <c r="AJ58" i="97"/>
  <c r="AI58" i="97"/>
  <c r="AE58" i="97"/>
  <c r="AD58" i="97"/>
  <c r="AC58" i="97"/>
  <c r="AK57" i="97"/>
  <c r="AJ57" i="97"/>
  <c r="AI57" i="97"/>
  <c r="AE57" i="97"/>
  <c r="AD57" i="97"/>
  <c r="AC57" i="97"/>
  <c r="AK56" i="97"/>
  <c r="AE56" i="97"/>
  <c r="AC56" i="97"/>
  <c r="AI96" i="97"/>
  <c r="AD96" i="97"/>
  <c r="AK55" i="97"/>
  <c r="AJ55" i="97"/>
  <c r="AI55" i="97"/>
  <c r="AG55" i="97"/>
  <c r="AE55" i="97"/>
  <c r="AD55" i="97"/>
  <c r="AC55" i="97"/>
  <c r="AK54" i="97"/>
  <c r="AJ54" i="97"/>
  <c r="AI54" i="97"/>
  <c r="AE54" i="97"/>
  <c r="AD54" i="97"/>
  <c r="AC54" i="97"/>
  <c r="AL53" i="97"/>
  <c r="AK53" i="97"/>
  <c r="AJ53" i="97"/>
  <c r="AI53" i="97"/>
  <c r="AH53" i="97"/>
  <c r="AG53" i="97"/>
  <c r="AF53" i="97"/>
  <c r="AE53" i="97"/>
  <c r="AD53" i="97"/>
  <c r="AC53" i="97"/>
  <c r="AB53" i="97"/>
  <c r="AL52" i="97"/>
  <c r="AK52" i="97"/>
  <c r="AJ52" i="97"/>
  <c r="AI52" i="97"/>
  <c r="AH52" i="97"/>
  <c r="AG52" i="97"/>
  <c r="AF52" i="97"/>
  <c r="AE52" i="97"/>
  <c r="AD52" i="97"/>
  <c r="AC52" i="97"/>
  <c r="AG51" i="97"/>
  <c r="AK50" i="97"/>
  <c r="AG50" i="97"/>
  <c r="AD50" i="97"/>
  <c r="AC50" i="97"/>
  <c r="AJ50" i="97"/>
  <c r="AI50" i="97"/>
  <c r="AE50" i="97"/>
  <c r="AG49" i="97"/>
  <c r="AK48" i="97"/>
  <c r="AI48" i="97"/>
  <c r="AG48" i="97"/>
  <c r="AC48" i="97"/>
  <c r="AJ48" i="97"/>
  <c r="AE48" i="97"/>
  <c r="AD48" i="97"/>
  <c r="AG47" i="97"/>
  <c r="AI47" i="97"/>
  <c r="AG46" i="97"/>
  <c r="AG45" i="97"/>
  <c r="AL44" i="97"/>
  <c r="AK44" i="97"/>
  <c r="AJ44" i="97"/>
  <c r="AI44" i="97"/>
  <c r="AH44" i="97"/>
  <c r="AG44" i="97"/>
  <c r="AF44" i="97"/>
  <c r="AE44" i="97"/>
  <c r="AD44" i="97"/>
  <c r="AC44" i="97"/>
  <c r="AB44" i="97"/>
  <c r="AL43" i="97"/>
  <c r="AK43" i="97"/>
  <c r="AJ43" i="97"/>
  <c r="AI43" i="97"/>
  <c r="AH43" i="97"/>
  <c r="AG43" i="97"/>
  <c r="AF43" i="97"/>
  <c r="AE43" i="97"/>
  <c r="AD43" i="97"/>
  <c r="AC43" i="97"/>
  <c r="AB43" i="97"/>
  <c r="A43" i="97"/>
  <c r="AL42" i="97"/>
  <c r="AK42" i="97"/>
  <c r="AJ42" i="97"/>
  <c r="AI42" i="97"/>
  <c r="AH42" i="97"/>
  <c r="AG42" i="97"/>
  <c r="AF42" i="97"/>
  <c r="AE42" i="97"/>
  <c r="AD42" i="97"/>
  <c r="AC42" i="97"/>
  <c r="AB42" i="97"/>
  <c r="AL41" i="97"/>
  <c r="AK41" i="97"/>
  <c r="AJ41" i="97"/>
  <c r="AI41" i="97"/>
  <c r="AH41" i="97"/>
  <c r="AG41" i="97"/>
  <c r="AF41" i="97"/>
  <c r="AE41" i="97"/>
  <c r="AD41" i="97"/>
  <c r="AC41" i="97"/>
  <c r="AB41" i="97"/>
  <c r="A41" i="97"/>
  <c r="AK40" i="97"/>
  <c r="AJ40" i="97"/>
  <c r="AI40" i="97"/>
  <c r="AG40" i="97"/>
  <c r="AK39" i="97"/>
  <c r="AJ39" i="97"/>
  <c r="AI39" i="97"/>
  <c r="AH39" i="97"/>
  <c r="AG39" i="97"/>
  <c r="AF39" i="97"/>
  <c r="AE39" i="97"/>
  <c r="AD39" i="97"/>
  <c r="AC39" i="97"/>
  <c r="AK38" i="97"/>
  <c r="AJ38" i="97"/>
  <c r="AI38" i="97"/>
  <c r="AG38" i="97"/>
  <c r="AL37" i="97"/>
  <c r="AK37" i="97"/>
  <c r="AJ37" i="97"/>
  <c r="AI37" i="97"/>
  <c r="AH37" i="97"/>
  <c r="AG37" i="97"/>
  <c r="AF37" i="97"/>
  <c r="AE37" i="97"/>
  <c r="AD37" i="97"/>
  <c r="AC37" i="97"/>
  <c r="AB37" i="97"/>
  <c r="A37" i="97"/>
  <c r="AG36" i="97"/>
  <c r="AK35" i="97"/>
  <c r="AJ35" i="97"/>
  <c r="AI35" i="97"/>
  <c r="AG35" i="97"/>
  <c r="AE35" i="97"/>
  <c r="AD35" i="97"/>
  <c r="AC35" i="97"/>
  <c r="AB35" i="97"/>
  <c r="AF35" i="97"/>
  <c r="AK34" i="97"/>
  <c r="AJ34" i="97"/>
  <c r="AI34" i="97"/>
  <c r="AG34" i="97"/>
  <c r="AF34" i="97"/>
  <c r="AE34" i="97"/>
  <c r="AD34" i="97"/>
  <c r="AC34" i="97"/>
  <c r="AB34" i="97"/>
  <c r="AK33" i="97"/>
  <c r="AJ33" i="97"/>
  <c r="AI33" i="97"/>
  <c r="AE33" i="97"/>
  <c r="AD33" i="97"/>
  <c r="AC33" i="97"/>
  <c r="AB33" i="97"/>
  <c r="AK32" i="97"/>
  <c r="AJ32" i="97"/>
  <c r="AI32" i="97"/>
  <c r="AG32" i="97"/>
  <c r="AE32" i="97"/>
  <c r="AD32" i="97"/>
  <c r="AC32" i="97"/>
  <c r="AB32" i="97"/>
  <c r="AF32" i="97"/>
  <c r="AK31" i="97"/>
  <c r="AJ31" i="97"/>
  <c r="AI31" i="97"/>
  <c r="AG31" i="97"/>
  <c r="AE31" i="97"/>
  <c r="AD31" i="97"/>
  <c r="AC31" i="97"/>
  <c r="AB31" i="97"/>
  <c r="AL31" i="97"/>
  <c r="AF31" i="97"/>
  <c r="AK30" i="97"/>
  <c r="AJ30" i="97"/>
  <c r="AI30" i="97"/>
  <c r="AG30" i="97"/>
  <c r="AE30" i="97"/>
  <c r="AD30" i="97"/>
  <c r="AC30" i="97"/>
  <c r="AB30" i="97"/>
  <c r="AF30" i="97"/>
  <c r="AK29" i="97"/>
  <c r="AJ29" i="97"/>
  <c r="AI29" i="97"/>
  <c r="AG29" i="97"/>
  <c r="AC29" i="97"/>
  <c r="AB29" i="97"/>
  <c r="AE29" i="97"/>
  <c r="AD29" i="97"/>
  <c r="AF29" i="97"/>
  <c r="AK28" i="97"/>
  <c r="AJ28" i="97"/>
  <c r="AI28" i="97"/>
  <c r="AE28" i="97"/>
  <c r="AD28" i="97"/>
  <c r="AC28" i="97"/>
  <c r="AB28" i="97"/>
  <c r="AK27" i="97"/>
  <c r="AJ27" i="97"/>
  <c r="AI27" i="97"/>
  <c r="AG27" i="97"/>
  <c r="AE27" i="97"/>
  <c r="AD27" i="97"/>
  <c r="AC27" i="97"/>
  <c r="AB27" i="97"/>
  <c r="AK26" i="97"/>
  <c r="AJ26" i="97"/>
  <c r="AI26" i="97"/>
  <c r="AE26" i="97"/>
  <c r="AD26" i="97"/>
  <c r="AC26" i="97"/>
  <c r="AK25" i="97"/>
  <c r="AJ25" i="97"/>
  <c r="AI25" i="97"/>
  <c r="AE25" i="97"/>
  <c r="AD25" i="97"/>
  <c r="AC25" i="97"/>
  <c r="AK24" i="97"/>
  <c r="AJ24" i="97"/>
  <c r="AI24" i="97"/>
  <c r="AF24" i="97"/>
  <c r="AE24" i="97"/>
  <c r="AD24" i="97"/>
  <c r="AC24" i="97"/>
  <c r="AB24" i="97"/>
  <c r="AK23" i="97"/>
  <c r="AJ23" i="97"/>
  <c r="AI23" i="97"/>
  <c r="AG23" i="97"/>
  <c r="AE23" i="97"/>
  <c r="AD23" i="97"/>
  <c r="AC23" i="97"/>
  <c r="AB23" i="97"/>
  <c r="AK22" i="97"/>
  <c r="AJ22" i="97"/>
  <c r="AI22" i="97"/>
  <c r="AE22" i="97"/>
  <c r="AD22" i="97"/>
  <c r="AC22" i="97"/>
  <c r="AB22" i="97"/>
  <c r="AL21" i="97"/>
  <c r="AK21" i="97"/>
  <c r="AJ21" i="97"/>
  <c r="AI21" i="97"/>
  <c r="AH21" i="97"/>
  <c r="AG21" i="97"/>
  <c r="AF21" i="97"/>
  <c r="AE21" i="97"/>
  <c r="AD21" i="97"/>
  <c r="AC21" i="97"/>
  <c r="AB21" i="97"/>
  <c r="A21" i="97"/>
  <c r="AG20" i="97"/>
  <c r="AE20" i="97"/>
  <c r="AD20" i="97"/>
  <c r="AC20" i="97"/>
  <c r="AK20" i="97"/>
  <c r="AJ20" i="97"/>
  <c r="AI36" i="97"/>
  <c r="AC36" i="97"/>
  <c r="AL19" i="97"/>
  <c r="AK19" i="97"/>
  <c r="AJ19" i="97"/>
  <c r="AI19" i="97"/>
  <c r="AH19" i="97"/>
  <c r="AG19" i="97"/>
  <c r="AF19" i="97"/>
  <c r="AE19" i="97"/>
  <c r="AD19" i="97"/>
  <c r="AC19" i="97"/>
  <c r="AB19" i="97"/>
  <c r="A19" i="97"/>
  <c r="AK18" i="97"/>
  <c r="AJ18" i="97"/>
  <c r="AI18" i="97"/>
  <c r="AG18" i="97"/>
  <c r="AE18" i="97"/>
  <c r="AD18" i="97"/>
  <c r="AC18" i="97"/>
  <c r="AL17" i="97"/>
  <c r="AK17" i="97"/>
  <c r="AJ17" i="97"/>
  <c r="AI17" i="97"/>
  <c r="AH17" i="97"/>
  <c r="AG17" i="97"/>
  <c r="AF17" i="97"/>
  <c r="AE17" i="97"/>
  <c r="AD17" i="97"/>
  <c r="AC17" i="97"/>
  <c r="AB17" i="97"/>
  <c r="A17" i="97"/>
  <c r="AL16" i="97"/>
  <c r="AK16" i="97"/>
  <c r="AJ16" i="97"/>
  <c r="AI16" i="97"/>
  <c r="AH16" i="97"/>
  <c r="AG16" i="97"/>
  <c r="AF16" i="97"/>
  <c r="AE16" i="97"/>
  <c r="AD16" i="97"/>
  <c r="AC16" i="97"/>
  <c r="AB16" i="97"/>
  <c r="AL15" i="97"/>
  <c r="AK15" i="97"/>
  <c r="AJ15" i="97"/>
  <c r="AI15" i="97"/>
  <c r="AH15" i="97"/>
  <c r="AG15" i="97"/>
  <c r="AF15" i="97"/>
  <c r="AE15" i="97"/>
  <c r="AD15" i="97"/>
  <c r="AC15" i="97"/>
  <c r="AB15" i="97"/>
  <c r="A15" i="97"/>
  <c r="AL14" i="97"/>
  <c r="AK14" i="97"/>
  <c r="AJ14" i="97"/>
  <c r="AI14" i="97"/>
  <c r="AH14" i="97"/>
  <c r="AG14" i="97"/>
  <c r="AF14" i="97"/>
  <c r="AE14" i="97"/>
  <c r="AD14" i="97"/>
  <c r="AC14" i="97"/>
  <c r="AB14" i="97"/>
  <c r="AL13" i="97"/>
  <c r="AK13" i="97"/>
  <c r="AJ13" i="97"/>
  <c r="AI13" i="97"/>
  <c r="AH13" i="97"/>
  <c r="AG13" i="97"/>
  <c r="AF13" i="97"/>
  <c r="AE13" i="97"/>
  <c r="AD13" i="97"/>
  <c r="AC13" i="97"/>
  <c r="AB13" i="97"/>
  <c r="A13" i="97"/>
  <c r="AL12" i="97"/>
  <c r="AK12" i="97"/>
  <c r="AJ12" i="97"/>
  <c r="AI12" i="97"/>
  <c r="AH12" i="97"/>
  <c r="AG12" i="97"/>
  <c r="AF12" i="97"/>
  <c r="AE12" i="97"/>
  <c r="AD12" i="97"/>
  <c r="AC12" i="97"/>
  <c r="AB12" i="97"/>
  <c r="A12" i="97"/>
  <c r="AE11" i="97"/>
  <c r="AK11" i="97"/>
  <c r="AJ11" i="97"/>
  <c r="AI11" i="97"/>
  <c r="AD11" i="97"/>
  <c r="AC11" i="97"/>
  <c r="AK10" i="97"/>
  <c r="AJ10" i="97"/>
  <c r="AI10" i="97"/>
  <c r="AE10" i="97"/>
  <c r="AD10" i="97"/>
  <c r="AC10" i="97"/>
  <c r="AK9" i="97"/>
  <c r="AJ9" i="97"/>
  <c r="AI9" i="97"/>
  <c r="AG9" i="97"/>
  <c r="AE9" i="97"/>
  <c r="AD9" i="97"/>
  <c r="AC9" i="97"/>
  <c r="AK8" i="97"/>
  <c r="AJ8" i="97"/>
  <c r="AI8" i="97"/>
  <c r="AG8" i="97"/>
  <c r="AE8" i="97"/>
  <c r="AD8" i="97"/>
  <c r="AC8" i="97"/>
  <c r="A7" i="97"/>
  <c r="AB25" i="97" l="1"/>
  <c r="AF26" i="97"/>
  <c r="AK65" i="97"/>
  <c r="AB8" i="97"/>
  <c r="AF22" i="97"/>
  <c r="AD38" i="97"/>
  <c r="AD36" i="97"/>
  <c r="AF23" i="97"/>
  <c r="AF33" i="97"/>
  <c r="AE36" i="97"/>
  <c r="AE38" i="97"/>
  <c r="AC38" i="97"/>
  <c r="AE94" i="97"/>
  <c r="AH31" i="97"/>
  <c r="AD67" i="97"/>
  <c r="AD46" i="97"/>
  <c r="AJ94" i="97"/>
  <c r="AB18" i="97"/>
  <c r="AB9" i="97"/>
  <c r="AB10" i="97"/>
  <c r="AC64" i="97"/>
  <c r="AK94" i="97"/>
  <c r="AB102" i="97"/>
  <c r="AE46" i="97"/>
  <c r="AJ56" i="97"/>
  <c r="AJ64" i="97"/>
  <c r="AL75" i="97"/>
  <c r="AE91" i="97"/>
  <c r="AB103" i="97"/>
  <c r="AJ36" i="97"/>
  <c r="AI20" i="97"/>
  <c r="AK36" i="97"/>
  <c r="AE97" i="97"/>
  <c r="AL70" i="97"/>
  <c r="AL83" i="97"/>
  <c r="AH8" i="97"/>
  <c r="AB26" i="97"/>
  <c r="AI56" i="97"/>
  <c r="A8" i="97"/>
  <c r="AC96" i="97"/>
  <c r="AE73" i="97"/>
  <c r="AI94" i="97"/>
  <c r="AE95" i="97"/>
  <c r="AH55" i="97"/>
  <c r="AE86" i="97"/>
  <c r="AD56" i="97"/>
  <c r="AC97" i="97"/>
  <c r="AD97" i="97"/>
  <c r="AE87" i="97"/>
  <c r="AC46" i="97" l="1"/>
  <c r="AC67" i="97"/>
  <c r="AF18" i="97"/>
  <c r="AL32" i="97"/>
  <c r="AH32" i="97"/>
  <c r="AC94" i="97"/>
  <c r="AB48" i="97"/>
  <c r="AF48" i="97"/>
  <c r="AL55" i="97"/>
  <c r="AF28" i="97"/>
  <c r="AF10" i="97"/>
  <c r="AK67" i="97"/>
  <c r="AK46" i="97"/>
  <c r="AI104" i="97"/>
  <c r="AI99" i="97"/>
  <c r="AC91" i="97"/>
  <c r="AC47" i="97"/>
  <c r="A11" i="97"/>
  <c r="AF102" i="97"/>
  <c r="AD91" i="97"/>
  <c r="AD47" i="97"/>
  <c r="AF27" i="97"/>
  <c r="AF9" i="97"/>
  <c r="AF8" i="97"/>
  <c r="AD59" i="97"/>
  <c r="AK59" i="97"/>
  <c r="AC59" i="97"/>
  <c r="A10" i="97"/>
  <c r="AI59" i="97"/>
  <c r="AL8" i="97"/>
  <c r="AB11" i="97"/>
  <c r="AF25" i="97"/>
  <c r="AB50" i="97"/>
  <c r="AF50" i="97"/>
  <c r="AD94" i="97"/>
  <c r="AE59" i="97"/>
  <c r="A14" i="97"/>
  <c r="AJ59" i="97"/>
  <c r="A9" i="97"/>
  <c r="AF103" i="97"/>
  <c r="AB20" i="97"/>
  <c r="AB36" i="97"/>
  <c r="AL23" i="97"/>
  <c r="AH23" i="97"/>
  <c r="AF20" i="97" l="1"/>
  <c r="AF36" i="97"/>
  <c r="AJ45" i="97"/>
  <c r="AC45" i="97"/>
  <c r="AE104" i="97"/>
  <c r="AE99" i="97"/>
  <c r="AB38" i="97"/>
  <c r="AB39" i="97"/>
  <c r="AI45" i="97"/>
  <c r="AE45" i="97"/>
  <c r="AD45" i="97"/>
  <c r="AC104" i="97"/>
  <c r="AC99" i="97"/>
  <c r="AH9" i="97"/>
  <c r="AH18" i="97"/>
  <c r="AL27" i="97"/>
  <c r="AH27" i="97"/>
  <c r="AF38" i="97"/>
  <c r="AF11" i="97"/>
  <c r="AH48" i="97"/>
  <c r="AH102" i="97"/>
  <c r="AK45" i="97"/>
  <c r="AH103" i="97"/>
  <c r="AH50" i="97"/>
  <c r="AD104" i="97"/>
  <c r="AD99" i="97"/>
  <c r="A16" i="97"/>
  <c r="AI49" i="97" l="1"/>
  <c r="AE49" i="97"/>
  <c r="AL103" i="97"/>
  <c r="AL50" i="97"/>
  <c r="AL102" i="97"/>
  <c r="AL48" i="97"/>
  <c r="A18" i="97"/>
  <c r="AL9" i="97"/>
  <c r="AC49" i="97"/>
  <c r="AH20" i="97"/>
  <c r="AL18" i="97"/>
  <c r="AD49" i="97"/>
  <c r="AD51" i="97" l="1"/>
  <c r="AD40" i="97"/>
  <c r="AD105" i="97"/>
  <c r="A20" i="97"/>
  <c r="AI105" i="97"/>
  <c r="AI51" i="97"/>
  <c r="AE105" i="97"/>
  <c r="AE51" i="97"/>
  <c r="AE40" i="97"/>
  <c r="AC51" i="97"/>
  <c r="AC105" i="97"/>
  <c r="AC40" i="97"/>
  <c r="AL20" i="97"/>
  <c r="A22" i="97" l="1"/>
  <c r="A23" i="97" l="1"/>
  <c r="A24" i="97" s="1"/>
  <c r="A25" i="97" s="1"/>
  <c r="A26" i="97"/>
  <c r="A27" i="97" s="1"/>
  <c r="A28" i="97" l="1"/>
  <c r="A29" i="97" s="1"/>
  <c r="A30" i="97" s="1"/>
  <c r="A31" i="97" s="1"/>
  <c r="A32" i="97" s="1"/>
  <c r="A33" i="97" s="1"/>
  <c r="A34" i="97" s="1"/>
  <c r="A35" i="97" s="1"/>
  <c r="A36" i="97" s="1"/>
  <c r="A38" i="97" s="1"/>
  <c r="A39" i="97" s="1"/>
  <c r="A40" i="97" s="1"/>
  <c r="A42" i="97" s="1"/>
  <c r="A44" i="97" s="1"/>
  <c r="A45" i="97" s="1"/>
  <c r="A46" i="97" s="1"/>
  <c r="A47" i="97" s="1"/>
  <c r="A48" i="97" s="1"/>
  <c r="A49" i="97" s="1"/>
  <c r="A50" i="97" s="1"/>
  <c r="A51" i="97" s="1"/>
  <c r="A52" i="97" s="1"/>
  <c r="A53" i="97" s="1"/>
  <c r="A54" i="97" s="1"/>
  <c r="A55" i="97" s="1"/>
  <c r="A56" i="97" s="1"/>
  <c r="A57" i="97" s="1"/>
  <c r="A58" i="97" s="1"/>
  <c r="A59" i="97" s="1"/>
  <c r="A61" i="97" s="1"/>
  <c r="A62" i="97" s="1"/>
  <c r="A63" i="97" s="1"/>
  <c r="A64" i="97" s="1"/>
  <c r="A65" i="97" s="1"/>
  <c r="A66" i="97" s="1"/>
  <c r="A67" i="97" s="1"/>
  <c r="A69" i="97" s="1"/>
  <c r="A70" i="97" s="1"/>
  <c r="A71" i="97" s="1"/>
  <c r="A72" i="97" s="1"/>
  <c r="A73" i="97" s="1"/>
  <c r="A74" i="97" s="1"/>
  <c r="A75" i="97" s="1"/>
  <c r="A77" i="97" s="1"/>
  <c r="A78" i="97" s="1"/>
  <c r="A79" i="97" s="1"/>
  <c r="A80" i="97" s="1"/>
  <c r="A81" i="97" s="1"/>
  <c r="A82" i="97" s="1"/>
  <c r="A83" i="97" s="1"/>
  <c r="A85" i="97" s="1"/>
  <c r="A86" i="97" s="1"/>
  <c r="A87" i="97" s="1"/>
  <c r="A88" i="97" s="1"/>
  <c r="A89" i="97" s="1"/>
  <c r="A90" i="97" s="1"/>
  <c r="A91" i="97" s="1"/>
  <c r="A93" i="97" s="1"/>
  <c r="A94" i="97" s="1"/>
  <c r="A95" i="97" s="1"/>
  <c r="A96" i="97" s="1"/>
  <c r="A97" i="97" s="1"/>
  <c r="A98" i="97" s="1"/>
  <c r="A99" i="97" s="1"/>
  <c r="A101" i="97" s="1"/>
  <c r="A102" i="97" s="1"/>
  <c r="A103" i="97" s="1"/>
  <c r="A104" i="97" s="1"/>
  <c r="A105" i="97" s="1"/>
  <c r="A106" i="97" s="1"/>
  <c r="A107" i="97" s="1"/>
  <c r="A108" i="97" s="1"/>
  <c r="A109" i="97" s="1"/>
  <c r="A110" i="97" s="1"/>
  <c r="A111" i="97" s="1"/>
  <c r="A112" i="97" s="1"/>
  <c r="AN116" i="96" l="1"/>
  <c r="AM116" i="96"/>
  <c r="AL116" i="96"/>
  <c r="AK116" i="96"/>
  <c r="AJ116" i="96"/>
  <c r="AI116" i="96"/>
  <c r="AH116" i="96"/>
  <c r="AG116" i="96"/>
  <c r="AF116" i="96"/>
  <c r="AE116" i="96"/>
  <c r="AN115" i="96"/>
  <c r="AM115" i="96"/>
  <c r="AL115" i="96"/>
  <c r="AK115" i="96"/>
  <c r="AJ115" i="96"/>
  <c r="AI115" i="96"/>
  <c r="AH115" i="96"/>
  <c r="AG115" i="96"/>
  <c r="AF115" i="96"/>
  <c r="AE115" i="96"/>
  <c r="AN114" i="96"/>
  <c r="AM114" i="96"/>
  <c r="AL114" i="96"/>
  <c r="AK114" i="96"/>
  <c r="AJ114" i="96"/>
  <c r="AI114" i="96"/>
  <c r="AH114" i="96"/>
  <c r="AG114" i="96"/>
  <c r="AF114" i="96"/>
  <c r="AE114" i="96"/>
  <c r="AO113" i="96"/>
  <c r="N113" i="96" s="1"/>
  <c r="AN113" i="96"/>
  <c r="AM113" i="96"/>
  <c r="AL113" i="96"/>
  <c r="AK113" i="96"/>
  <c r="AJ113" i="96"/>
  <c r="AI113" i="96"/>
  <c r="AH113" i="96"/>
  <c r="AG113" i="96"/>
  <c r="AF113" i="96"/>
  <c r="AE113" i="96"/>
  <c r="AN112" i="96"/>
  <c r="AM112" i="96"/>
  <c r="AL112" i="96"/>
  <c r="AK112" i="96"/>
  <c r="AJ112" i="96"/>
  <c r="AI112" i="96"/>
  <c r="AH112" i="96"/>
  <c r="AG112" i="96"/>
  <c r="AF112" i="96"/>
  <c r="AE112" i="96"/>
  <c r="AN111" i="96"/>
  <c r="AM111" i="96"/>
  <c r="AL111" i="96"/>
  <c r="AK111" i="96"/>
  <c r="AJ111" i="96"/>
  <c r="AI111" i="96"/>
  <c r="AH111" i="96"/>
  <c r="AG111" i="96"/>
  <c r="AF111" i="96"/>
  <c r="AE111" i="96"/>
  <c r="AO110" i="96"/>
  <c r="N110" i="96" s="1"/>
  <c r="AN110" i="96"/>
  <c r="AM110" i="96"/>
  <c r="AL110" i="96"/>
  <c r="AK110" i="96"/>
  <c r="AJ110" i="96"/>
  <c r="AI110" i="96"/>
  <c r="AH110" i="96"/>
  <c r="AG110" i="96"/>
  <c r="AF110" i="96"/>
  <c r="AE110" i="96"/>
  <c r="AO109" i="96"/>
  <c r="AN109" i="96"/>
  <c r="AM109" i="96"/>
  <c r="AL109" i="96"/>
  <c r="AK109" i="96"/>
  <c r="AJ109" i="96"/>
  <c r="AI109" i="96"/>
  <c r="AH109" i="96"/>
  <c r="AG109" i="96"/>
  <c r="AF109" i="96"/>
  <c r="AE109" i="96"/>
  <c r="A109" i="96"/>
  <c r="AJ108" i="96"/>
  <c r="AN107" i="96"/>
  <c r="AM107" i="96"/>
  <c r="AL107" i="96"/>
  <c r="AJ107" i="96"/>
  <c r="AH107" i="96"/>
  <c r="AG107" i="96"/>
  <c r="AF107" i="96"/>
  <c r="AE107" i="96"/>
  <c r="AN106" i="96"/>
  <c r="AM106" i="96"/>
  <c r="AL106" i="96"/>
  <c r="AJ106" i="96"/>
  <c r="AH106" i="96"/>
  <c r="AG106" i="96"/>
  <c r="AF106" i="96"/>
  <c r="AN105" i="96"/>
  <c r="AM105" i="96"/>
  <c r="AL105" i="96"/>
  <c r="AJ105" i="96"/>
  <c r="AH105" i="96"/>
  <c r="AG105" i="96"/>
  <c r="AF105" i="96"/>
  <c r="AN104" i="96"/>
  <c r="AM104" i="96"/>
  <c r="AL104" i="96"/>
  <c r="AJ104" i="96"/>
  <c r="AH104" i="96"/>
  <c r="AG104" i="96"/>
  <c r="AF104" i="96"/>
  <c r="AE104" i="96"/>
  <c r="AO103" i="96"/>
  <c r="AN103" i="96"/>
  <c r="AM103" i="96"/>
  <c r="AL103" i="96"/>
  <c r="AK103" i="96"/>
  <c r="AJ103" i="96"/>
  <c r="AI103" i="96"/>
  <c r="AH103" i="96"/>
  <c r="AG103" i="96"/>
  <c r="AF103" i="96"/>
  <c r="AE103" i="96"/>
  <c r="A103" i="96"/>
  <c r="AJ102" i="96"/>
  <c r="AL101" i="96"/>
  <c r="AJ101" i="96"/>
  <c r="AN101" i="96"/>
  <c r="AM101" i="96"/>
  <c r="AF101" i="96"/>
  <c r="AJ100" i="96"/>
  <c r="AN100" i="96"/>
  <c r="AL100" i="96"/>
  <c r="AN99" i="96"/>
  <c r="AM99" i="96"/>
  <c r="AJ99" i="96"/>
  <c r="AH99" i="96"/>
  <c r="AK99" i="96"/>
  <c r="AN98" i="96"/>
  <c r="AM98" i="96"/>
  <c r="AL98" i="96"/>
  <c r="AJ98" i="96"/>
  <c r="AF98" i="96"/>
  <c r="AH98" i="96"/>
  <c r="AG98" i="96"/>
  <c r="AL97" i="96"/>
  <c r="AJ97" i="96"/>
  <c r="AO96" i="96"/>
  <c r="AN96" i="96"/>
  <c r="AM96" i="96"/>
  <c r="AL96" i="96"/>
  <c r="AK96" i="96"/>
  <c r="AJ96" i="96"/>
  <c r="AI96" i="96"/>
  <c r="AH96" i="96"/>
  <c r="AG96" i="96"/>
  <c r="AF96" i="96"/>
  <c r="AE96" i="96"/>
  <c r="AO95" i="96"/>
  <c r="AN95" i="96"/>
  <c r="AM95" i="96"/>
  <c r="AL95" i="96"/>
  <c r="AK95" i="96"/>
  <c r="AJ95" i="96"/>
  <c r="AI95" i="96"/>
  <c r="AH95" i="96"/>
  <c r="AG95" i="96"/>
  <c r="AF95" i="96"/>
  <c r="AE95" i="96"/>
  <c r="A95" i="96"/>
  <c r="AJ94" i="96"/>
  <c r="AN94" i="96"/>
  <c r="AO93" i="96"/>
  <c r="AN93" i="96"/>
  <c r="AM93" i="96"/>
  <c r="AL93" i="96"/>
  <c r="AJ93" i="96"/>
  <c r="AH93" i="96"/>
  <c r="AG93" i="96"/>
  <c r="AH101" i="96"/>
  <c r="AG101" i="96"/>
  <c r="AF93" i="96"/>
  <c r="AE93" i="96"/>
  <c r="AN92" i="96"/>
  <c r="AL92" i="96"/>
  <c r="AK92" i="96"/>
  <c r="AJ92" i="96"/>
  <c r="AM92" i="96"/>
  <c r="AG92" i="96"/>
  <c r="AF92" i="96"/>
  <c r="AN91" i="96"/>
  <c r="AM91" i="96"/>
  <c r="AL91" i="96"/>
  <c r="AJ91" i="96"/>
  <c r="AF91" i="96"/>
  <c r="AO91" i="96"/>
  <c r="AH91" i="96"/>
  <c r="AG91" i="96"/>
  <c r="AF99" i="96"/>
  <c r="AE91" i="96"/>
  <c r="AN90" i="96"/>
  <c r="AM90" i="96"/>
  <c r="AL90" i="96"/>
  <c r="AK90" i="96"/>
  <c r="AJ90" i="96"/>
  <c r="AF90" i="96"/>
  <c r="AH90" i="96"/>
  <c r="AG90" i="96"/>
  <c r="AN89" i="96"/>
  <c r="AM89" i="96"/>
  <c r="AL89" i="96"/>
  <c r="AJ89" i="96"/>
  <c r="AF89" i="96"/>
  <c r="AK89" i="96"/>
  <c r="AH94" i="96"/>
  <c r="AO88" i="96"/>
  <c r="AN88" i="96"/>
  <c r="AM88" i="96"/>
  <c r="AL88" i="96"/>
  <c r="AK88" i="96"/>
  <c r="AJ88" i="96"/>
  <c r="AI88" i="96"/>
  <c r="AH88" i="96"/>
  <c r="AG88" i="96"/>
  <c r="AF88" i="96"/>
  <c r="AE88" i="96"/>
  <c r="AO87" i="96"/>
  <c r="AN87" i="96"/>
  <c r="AM87" i="96"/>
  <c r="AL87" i="96"/>
  <c r="AK87" i="96"/>
  <c r="AJ87" i="96"/>
  <c r="AI87" i="96"/>
  <c r="AH87" i="96"/>
  <c r="AG87" i="96"/>
  <c r="AF87" i="96"/>
  <c r="AE87" i="96"/>
  <c r="A87" i="96"/>
  <c r="AJ86" i="96"/>
  <c r="AH86" i="96"/>
  <c r="AG86" i="96"/>
  <c r="AN86" i="96"/>
  <c r="AM86" i="96"/>
  <c r="AL86" i="96"/>
  <c r="AK86" i="96"/>
  <c r="AF86" i="96"/>
  <c r="AO85" i="96"/>
  <c r="AN85" i="96"/>
  <c r="AM85" i="96"/>
  <c r="AL85" i="96"/>
  <c r="AK85" i="96"/>
  <c r="AJ85" i="96"/>
  <c r="AH85" i="96"/>
  <c r="AG85" i="96"/>
  <c r="AF85" i="96"/>
  <c r="AE85" i="96"/>
  <c r="AI85" i="96"/>
  <c r="AN84" i="96"/>
  <c r="AM84" i="96"/>
  <c r="AL84" i="96"/>
  <c r="AK84" i="96"/>
  <c r="AJ84" i="96"/>
  <c r="AH84" i="96"/>
  <c r="AG84" i="96"/>
  <c r="AF84" i="96"/>
  <c r="AE84" i="96"/>
  <c r="AO84" i="96"/>
  <c r="AI84" i="96"/>
  <c r="AN83" i="96"/>
  <c r="AM83" i="96"/>
  <c r="AL83" i="96"/>
  <c r="AK83" i="96"/>
  <c r="AJ83" i="96"/>
  <c r="AH83" i="96"/>
  <c r="AG83" i="96"/>
  <c r="AF83" i="96"/>
  <c r="AE83" i="96"/>
  <c r="AO83" i="96"/>
  <c r="AI83" i="96"/>
  <c r="AN82" i="96"/>
  <c r="AM82" i="96"/>
  <c r="AL82" i="96"/>
  <c r="AK82" i="96"/>
  <c r="AJ82" i="96"/>
  <c r="AH82" i="96"/>
  <c r="AG82" i="96"/>
  <c r="AF82" i="96"/>
  <c r="AO82" i="96"/>
  <c r="AI82" i="96"/>
  <c r="AE82" i="96"/>
  <c r="AO81" i="96"/>
  <c r="AN81" i="96"/>
  <c r="AM81" i="96"/>
  <c r="AL81" i="96"/>
  <c r="AK81" i="96"/>
  <c r="AJ81" i="96"/>
  <c r="AH81" i="96"/>
  <c r="AG81" i="96"/>
  <c r="AF81" i="96"/>
  <c r="AO80" i="96"/>
  <c r="AN80" i="96"/>
  <c r="AM80" i="96"/>
  <c r="AL80" i="96"/>
  <c r="AK80" i="96"/>
  <c r="AJ80" i="96"/>
  <c r="AI80" i="96"/>
  <c r="AH80" i="96"/>
  <c r="AG80" i="96"/>
  <c r="AF80" i="96"/>
  <c r="AE80" i="96"/>
  <c r="AO79" i="96"/>
  <c r="AN79" i="96"/>
  <c r="AM79" i="96"/>
  <c r="AL79" i="96"/>
  <c r="AK79" i="96"/>
  <c r="AJ79" i="96"/>
  <c r="AI79" i="96"/>
  <c r="AH79" i="96"/>
  <c r="AG79" i="96"/>
  <c r="AF79" i="96"/>
  <c r="AE79" i="96"/>
  <c r="A79" i="96"/>
  <c r="AN78" i="96"/>
  <c r="AJ78" i="96"/>
  <c r="AM78" i="96"/>
  <c r="AL78" i="96"/>
  <c r="AK78" i="96"/>
  <c r="AF78" i="96"/>
  <c r="AO77" i="96"/>
  <c r="AN77" i="96"/>
  <c r="AM77" i="96"/>
  <c r="AL77" i="96"/>
  <c r="AK77" i="96"/>
  <c r="AJ77" i="96"/>
  <c r="AH77" i="96"/>
  <c r="AG77" i="96"/>
  <c r="AF77" i="96"/>
  <c r="AE77" i="96"/>
  <c r="AO76" i="96"/>
  <c r="AN76" i="96"/>
  <c r="AM76" i="96"/>
  <c r="AL76" i="96"/>
  <c r="AK76" i="96"/>
  <c r="AJ76" i="96"/>
  <c r="AG76" i="96"/>
  <c r="AF76" i="96"/>
  <c r="AE76" i="96"/>
  <c r="AH92" i="96"/>
  <c r="AO75" i="96"/>
  <c r="AN75" i="96"/>
  <c r="AM75" i="96"/>
  <c r="AL75" i="96"/>
  <c r="AK75" i="96"/>
  <c r="AJ75" i="96"/>
  <c r="AH75" i="96"/>
  <c r="AG75" i="96"/>
  <c r="AF75" i="96"/>
  <c r="AE75" i="96"/>
  <c r="AG78" i="96"/>
  <c r="AO74" i="96"/>
  <c r="AN74" i="96"/>
  <c r="AM74" i="96"/>
  <c r="AL74" i="96"/>
  <c r="AK74" i="96"/>
  <c r="AJ74" i="96"/>
  <c r="AH74" i="96"/>
  <c r="AG74" i="96"/>
  <c r="AF74" i="96"/>
  <c r="AE74" i="96"/>
  <c r="AI74" i="96"/>
  <c r="AN73" i="96"/>
  <c r="AM73" i="96"/>
  <c r="AL73" i="96"/>
  <c r="AK73" i="96"/>
  <c r="AJ73" i="96"/>
  <c r="AH73" i="96"/>
  <c r="AG73" i="96"/>
  <c r="AF73" i="96"/>
  <c r="AE73" i="96"/>
  <c r="AO78" i="96"/>
  <c r="AO72" i="96"/>
  <c r="AN72" i="96"/>
  <c r="AM72" i="96"/>
  <c r="AL72" i="96"/>
  <c r="AK72" i="96"/>
  <c r="AJ72" i="96"/>
  <c r="AI72" i="96"/>
  <c r="AH72" i="96"/>
  <c r="AG72" i="96"/>
  <c r="AF72" i="96"/>
  <c r="AE72" i="96"/>
  <c r="AO71" i="96"/>
  <c r="AN71" i="96"/>
  <c r="AM71" i="96"/>
  <c r="AL71" i="96"/>
  <c r="AK71" i="96"/>
  <c r="AJ71" i="96"/>
  <c r="AI71" i="96"/>
  <c r="AH71" i="96"/>
  <c r="AG71" i="96"/>
  <c r="AF71" i="96"/>
  <c r="AE71" i="96"/>
  <c r="A71" i="96"/>
  <c r="AJ70" i="96"/>
  <c r="AN70" i="96"/>
  <c r="AG70" i="96"/>
  <c r="AN69" i="96"/>
  <c r="AM69" i="96"/>
  <c r="AL69" i="96"/>
  <c r="AK69" i="96"/>
  <c r="AJ69" i="96"/>
  <c r="AH69" i="96"/>
  <c r="AG69" i="96"/>
  <c r="AF69" i="96"/>
  <c r="AO69" i="96"/>
  <c r="AE69" i="96"/>
  <c r="AN68" i="96"/>
  <c r="AL68" i="96"/>
  <c r="AJ68" i="96"/>
  <c r="AG68" i="96"/>
  <c r="AF68" i="96"/>
  <c r="AI68" i="96"/>
  <c r="AH68" i="96"/>
  <c r="AE68" i="96"/>
  <c r="AN67" i="96"/>
  <c r="AM67" i="96"/>
  <c r="AL67" i="96"/>
  <c r="AK67" i="96"/>
  <c r="AJ67" i="96"/>
  <c r="AH67" i="96"/>
  <c r="AF67" i="96"/>
  <c r="AE67" i="96"/>
  <c r="AL70" i="96"/>
  <c r="AI67" i="96"/>
  <c r="AO66" i="96"/>
  <c r="AN66" i="96"/>
  <c r="AM66" i="96"/>
  <c r="AL66" i="96"/>
  <c r="AJ66" i="96"/>
  <c r="AH66" i="96"/>
  <c r="AG66" i="96"/>
  <c r="AF66" i="96"/>
  <c r="AE66" i="96"/>
  <c r="AK66" i="96"/>
  <c r="AI66" i="96"/>
  <c r="AN65" i="96"/>
  <c r="AM65" i="96"/>
  <c r="AL65" i="96"/>
  <c r="AJ65" i="96"/>
  <c r="AH65" i="96"/>
  <c r="AG65" i="96"/>
  <c r="AF65" i="96"/>
  <c r="AE65" i="96"/>
  <c r="AO65" i="96"/>
  <c r="AO64" i="96"/>
  <c r="AN64" i="96"/>
  <c r="AM64" i="96"/>
  <c r="AL64" i="96"/>
  <c r="AK64" i="96"/>
  <c r="AJ64" i="96"/>
  <c r="AI64" i="96"/>
  <c r="AH64" i="96"/>
  <c r="AG64" i="96"/>
  <c r="AF64" i="96"/>
  <c r="AE64" i="96"/>
  <c r="AO63" i="96"/>
  <c r="AN63" i="96"/>
  <c r="AM63" i="96"/>
  <c r="AL63" i="96"/>
  <c r="AK63" i="96"/>
  <c r="AJ63" i="96"/>
  <c r="AI63" i="96"/>
  <c r="AH63" i="96"/>
  <c r="AG63" i="96"/>
  <c r="AF63" i="96"/>
  <c r="AE63" i="96"/>
  <c r="A63" i="96"/>
  <c r="AN62" i="96"/>
  <c r="AJ62" i="96"/>
  <c r="AF62" i="96"/>
  <c r="AE62" i="96"/>
  <c r="AH62" i="96"/>
  <c r="AN61" i="96"/>
  <c r="AM61" i="96"/>
  <c r="AL61" i="96"/>
  <c r="AH61" i="96"/>
  <c r="AG61" i="96"/>
  <c r="AF61" i="96"/>
  <c r="AE61" i="96"/>
  <c r="AK101" i="96"/>
  <c r="AN60" i="96"/>
  <c r="AM60" i="96"/>
  <c r="AL60" i="96"/>
  <c r="AG60" i="96"/>
  <c r="AF60" i="96"/>
  <c r="AM62" i="96"/>
  <c r="AK60" i="96"/>
  <c r="AH100" i="96"/>
  <c r="AE60" i="96"/>
  <c r="AO59" i="96"/>
  <c r="AN59" i="96"/>
  <c r="AM59" i="96"/>
  <c r="AL59" i="96"/>
  <c r="AH59" i="96"/>
  <c r="AF59" i="96"/>
  <c r="AL62" i="96"/>
  <c r="AK59" i="96"/>
  <c r="AG99" i="96"/>
  <c r="AE59" i="96"/>
  <c r="AN58" i="96"/>
  <c r="AM58" i="96"/>
  <c r="AL58" i="96"/>
  <c r="AK58" i="96"/>
  <c r="AH58" i="96"/>
  <c r="AG58" i="96"/>
  <c r="AF58" i="96"/>
  <c r="AE58" i="96"/>
  <c r="AK98" i="96"/>
  <c r="AI58" i="96"/>
  <c r="AN57" i="96"/>
  <c r="AM57" i="96"/>
  <c r="AL57" i="96"/>
  <c r="AH57" i="96"/>
  <c r="AG57" i="96"/>
  <c r="AF57" i="96"/>
  <c r="AE57" i="96"/>
  <c r="AK57" i="96"/>
  <c r="AO56" i="96"/>
  <c r="AN56" i="96"/>
  <c r="AM56" i="96"/>
  <c r="AL56" i="96"/>
  <c r="AK56" i="96"/>
  <c r="AJ56" i="96"/>
  <c r="AI56" i="96"/>
  <c r="AH56" i="96"/>
  <c r="AG56" i="96"/>
  <c r="AF56" i="96"/>
  <c r="AE56" i="96"/>
  <c r="AO55" i="96"/>
  <c r="AN55" i="96"/>
  <c r="AM55" i="96"/>
  <c r="AL55" i="96"/>
  <c r="AK55" i="96"/>
  <c r="AJ55" i="96"/>
  <c r="AI55" i="96"/>
  <c r="AH55" i="96"/>
  <c r="AG55" i="96"/>
  <c r="AF55" i="96"/>
  <c r="AE55" i="96"/>
  <c r="A55" i="96"/>
  <c r="AJ54" i="96"/>
  <c r="AL53" i="96"/>
  <c r="AJ53" i="96"/>
  <c r="AH53" i="96"/>
  <c r="AG53" i="96"/>
  <c r="AN53" i="96"/>
  <c r="AM53" i="96"/>
  <c r="AF53" i="96"/>
  <c r="AE53" i="96"/>
  <c r="AJ52" i="96"/>
  <c r="AH52" i="96"/>
  <c r="AF52" i="96"/>
  <c r="AN52" i="96"/>
  <c r="AM52" i="96"/>
  <c r="AL52" i="96"/>
  <c r="AG52" i="96"/>
  <c r="AJ51" i="96"/>
  <c r="AN51" i="96"/>
  <c r="AN50" i="96"/>
  <c r="AM50" i="96"/>
  <c r="AL50" i="96"/>
  <c r="AJ50" i="96"/>
  <c r="AF50" i="96"/>
  <c r="AH50" i="96"/>
  <c r="AG50" i="96"/>
  <c r="AL49" i="96"/>
  <c r="AJ49" i="96"/>
  <c r="AH49" i="96"/>
  <c r="AN49" i="96"/>
  <c r="AM49" i="96"/>
  <c r="AG49" i="96"/>
  <c r="AF49" i="96"/>
  <c r="AE49" i="96"/>
  <c r="AJ48" i="96"/>
  <c r="AN48" i="96"/>
  <c r="AL48" i="96"/>
  <c r="AN47" i="96"/>
  <c r="AJ47" i="96"/>
  <c r="AH47" i="96"/>
  <c r="AF47" i="96"/>
  <c r="AO46" i="96"/>
  <c r="AN46" i="96"/>
  <c r="AM46" i="96"/>
  <c r="AL46" i="96"/>
  <c r="AK46" i="96"/>
  <c r="AJ46" i="96"/>
  <c r="AI46" i="96"/>
  <c r="AH46" i="96"/>
  <c r="AG46" i="96"/>
  <c r="AF46" i="96"/>
  <c r="AE46" i="96"/>
  <c r="AO45" i="96"/>
  <c r="AN45" i="96"/>
  <c r="AM45" i="96"/>
  <c r="AL45" i="96"/>
  <c r="AK45" i="96"/>
  <c r="AJ45" i="96"/>
  <c r="AI45" i="96"/>
  <c r="AH45" i="96"/>
  <c r="AG45" i="96"/>
  <c r="AF45" i="96"/>
  <c r="AE45" i="96"/>
  <c r="A45" i="96"/>
  <c r="AN44" i="96"/>
  <c r="AM44" i="96"/>
  <c r="AL44" i="96"/>
  <c r="AJ44" i="96"/>
  <c r="AH44" i="96"/>
  <c r="AG44" i="96"/>
  <c r="AF44" i="96"/>
  <c r="AO43" i="96"/>
  <c r="AN43" i="96"/>
  <c r="AM43" i="96"/>
  <c r="AL43" i="96"/>
  <c r="AK43" i="96"/>
  <c r="AJ43" i="96"/>
  <c r="AI43" i="96"/>
  <c r="AH43" i="96"/>
  <c r="AG43" i="96"/>
  <c r="AF43" i="96"/>
  <c r="AE43" i="96"/>
  <c r="A43" i="96"/>
  <c r="AN42" i="96"/>
  <c r="AM42" i="96"/>
  <c r="AL42" i="96"/>
  <c r="AJ42" i="96"/>
  <c r="AH42" i="96"/>
  <c r="AG42" i="96"/>
  <c r="AF42" i="96"/>
  <c r="AO41" i="96"/>
  <c r="AN41" i="96"/>
  <c r="AM41" i="96"/>
  <c r="AL41" i="96"/>
  <c r="AK41" i="96"/>
  <c r="AJ41" i="96"/>
  <c r="AI41" i="96"/>
  <c r="AH41" i="96"/>
  <c r="AG41" i="96"/>
  <c r="AF41" i="96"/>
  <c r="AE41" i="96"/>
  <c r="A41" i="96"/>
  <c r="AN40" i="96"/>
  <c r="AM40" i="96"/>
  <c r="AL40" i="96"/>
  <c r="AJ40" i="96"/>
  <c r="AH40" i="96"/>
  <c r="AG40" i="96"/>
  <c r="AF40" i="96"/>
  <c r="AO39" i="96"/>
  <c r="AN39" i="96"/>
  <c r="AM39" i="96"/>
  <c r="AL39" i="96"/>
  <c r="AK39" i="96"/>
  <c r="AJ39" i="96"/>
  <c r="AI39" i="96"/>
  <c r="AH39" i="96"/>
  <c r="AG39" i="96"/>
  <c r="AF39" i="96"/>
  <c r="AE39" i="96"/>
  <c r="A39" i="96"/>
  <c r="AJ38" i="96"/>
  <c r="AN37" i="96"/>
  <c r="AM37" i="96"/>
  <c r="AL37" i="96"/>
  <c r="AJ37" i="96"/>
  <c r="AH37" i="96"/>
  <c r="AG37" i="96"/>
  <c r="AF37" i="96"/>
  <c r="AO37" i="96"/>
  <c r="AK37" i="96"/>
  <c r="AE37" i="96"/>
  <c r="AN36" i="96"/>
  <c r="AM36" i="96"/>
  <c r="AL36" i="96"/>
  <c r="AJ36" i="96"/>
  <c r="AH36" i="96"/>
  <c r="AG36" i="96"/>
  <c r="AF36" i="96"/>
  <c r="AO36" i="96"/>
  <c r="AK36" i="96"/>
  <c r="AE36" i="96"/>
  <c r="AN35" i="96"/>
  <c r="AM35" i="96"/>
  <c r="AL35" i="96"/>
  <c r="AH35" i="96"/>
  <c r="AG35" i="96"/>
  <c r="AF35" i="96"/>
  <c r="AE35" i="96"/>
  <c r="AI35" i="96"/>
  <c r="AN34" i="96"/>
  <c r="AM34" i="96"/>
  <c r="AL34" i="96"/>
  <c r="AJ34" i="96"/>
  <c r="AH34" i="96"/>
  <c r="AG34" i="96"/>
  <c r="AF34" i="96"/>
  <c r="AE34" i="96"/>
  <c r="AN33" i="96"/>
  <c r="AM33" i="96"/>
  <c r="AL33" i="96"/>
  <c r="AJ33" i="96"/>
  <c r="AH33" i="96"/>
  <c r="AG33" i="96"/>
  <c r="AF33" i="96"/>
  <c r="AE33" i="96"/>
  <c r="AN32" i="96"/>
  <c r="AM32" i="96"/>
  <c r="AL32" i="96"/>
  <c r="AJ32" i="96"/>
  <c r="AH32" i="96"/>
  <c r="AG32" i="96"/>
  <c r="AF32" i="96"/>
  <c r="AI32" i="96"/>
  <c r="AE32" i="96"/>
  <c r="AN31" i="96"/>
  <c r="AM31" i="96"/>
  <c r="AL31" i="96"/>
  <c r="AJ31" i="96"/>
  <c r="AH31" i="96"/>
  <c r="AG31" i="96"/>
  <c r="AF31" i="96"/>
  <c r="AK31" i="96"/>
  <c r="AI31" i="96"/>
  <c r="AE31" i="96"/>
  <c r="AN30" i="96"/>
  <c r="AM30" i="96"/>
  <c r="AL30" i="96"/>
  <c r="AJ30" i="96"/>
  <c r="AH30" i="96"/>
  <c r="AF30" i="96"/>
  <c r="AO30" i="96"/>
  <c r="AG30" i="96"/>
  <c r="AE30" i="96"/>
  <c r="AN29" i="96"/>
  <c r="AM29" i="96"/>
  <c r="AL29" i="96"/>
  <c r="AH29" i="96"/>
  <c r="AG29" i="96"/>
  <c r="AF29" i="96"/>
  <c r="AE29" i="96"/>
  <c r="AN28" i="96"/>
  <c r="AM28" i="96"/>
  <c r="AL28" i="96"/>
  <c r="AJ28" i="96"/>
  <c r="AH28" i="96"/>
  <c r="AG28" i="96"/>
  <c r="AF28" i="96"/>
  <c r="AE28" i="96"/>
  <c r="AO28" i="96"/>
  <c r="AI28" i="96"/>
  <c r="AN27" i="96"/>
  <c r="AM27" i="96"/>
  <c r="AL27" i="96"/>
  <c r="AH27" i="96"/>
  <c r="AG27" i="96"/>
  <c r="AF27" i="96"/>
  <c r="AE27" i="96"/>
  <c r="AN26" i="96"/>
  <c r="AM26" i="96"/>
  <c r="AL26" i="96"/>
  <c r="AH26" i="96"/>
  <c r="AG26" i="96"/>
  <c r="AF26" i="96"/>
  <c r="AE26" i="96"/>
  <c r="AI26" i="96"/>
  <c r="AN25" i="96"/>
  <c r="AM25" i="96"/>
  <c r="AL25" i="96"/>
  <c r="AH25" i="96"/>
  <c r="AG25" i="96"/>
  <c r="AF25" i="96"/>
  <c r="AE25" i="96"/>
  <c r="AN24" i="96"/>
  <c r="AM24" i="96"/>
  <c r="AL24" i="96"/>
  <c r="AH24" i="96"/>
  <c r="AG24" i="96"/>
  <c r="AF24" i="96"/>
  <c r="AI24" i="96"/>
  <c r="AE24" i="96"/>
  <c r="AN23" i="96"/>
  <c r="AM23" i="96"/>
  <c r="AL23" i="96"/>
  <c r="AH23" i="96"/>
  <c r="AG23" i="96"/>
  <c r="AE23" i="96"/>
  <c r="AF38" i="96"/>
  <c r="AO22" i="96"/>
  <c r="AN22" i="96"/>
  <c r="AM22" i="96"/>
  <c r="AL22" i="96"/>
  <c r="AK22" i="96"/>
  <c r="AJ22" i="96"/>
  <c r="AI22" i="96"/>
  <c r="AH22" i="96"/>
  <c r="AG22" i="96"/>
  <c r="AF22" i="96"/>
  <c r="AE22" i="96"/>
  <c r="A22" i="96"/>
  <c r="AJ21" i="96"/>
  <c r="AH21" i="96"/>
  <c r="AG21" i="96"/>
  <c r="AF21" i="96"/>
  <c r="AN21" i="96"/>
  <c r="AM38" i="96"/>
  <c r="AL21" i="96"/>
  <c r="AH38" i="96"/>
  <c r="AN20" i="96"/>
  <c r="AM20" i="96"/>
  <c r="AL20" i="96"/>
  <c r="AJ20" i="96"/>
  <c r="AH20" i="96"/>
  <c r="AG20" i="96"/>
  <c r="AF20" i="96"/>
  <c r="AE20" i="96"/>
  <c r="AN19" i="96"/>
  <c r="AM19" i="96"/>
  <c r="AL19" i="96"/>
  <c r="AJ19" i="96"/>
  <c r="AH19" i="96"/>
  <c r="AG19" i="96"/>
  <c r="AF19" i="96"/>
  <c r="AE19" i="96"/>
  <c r="AN18" i="96"/>
  <c r="AM18" i="96"/>
  <c r="AL18" i="96"/>
  <c r="AJ18" i="96"/>
  <c r="AH18" i="96"/>
  <c r="AG18" i="96"/>
  <c r="AF18" i="96"/>
  <c r="AE18" i="96"/>
  <c r="AN17" i="96"/>
  <c r="AM17" i="96"/>
  <c r="AL17" i="96"/>
  <c r="AJ17" i="96"/>
  <c r="AH17" i="96"/>
  <c r="AG17" i="96"/>
  <c r="AF17" i="96"/>
  <c r="AO16" i="96"/>
  <c r="AN16" i="96"/>
  <c r="AM16" i="96"/>
  <c r="AL16" i="96"/>
  <c r="AK16" i="96"/>
  <c r="AJ16" i="96"/>
  <c r="AI16" i="96"/>
  <c r="AH16" i="96"/>
  <c r="AG16" i="96"/>
  <c r="AF16" i="96"/>
  <c r="AE16" i="96"/>
  <c r="AO15" i="96"/>
  <c r="AN15" i="96"/>
  <c r="AM15" i="96"/>
  <c r="AL15" i="96"/>
  <c r="AK15" i="96"/>
  <c r="AJ15" i="96"/>
  <c r="AI15" i="96"/>
  <c r="AH15" i="96"/>
  <c r="AG15" i="96"/>
  <c r="AF15" i="96"/>
  <c r="AE15" i="96"/>
  <c r="A15" i="96"/>
  <c r="AO14" i="96"/>
  <c r="AN14" i="96"/>
  <c r="AM14" i="96"/>
  <c r="AL14" i="96"/>
  <c r="AK14" i="96"/>
  <c r="AJ14" i="96"/>
  <c r="AI14" i="96"/>
  <c r="AH14" i="96"/>
  <c r="AG14" i="96"/>
  <c r="AF14" i="96"/>
  <c r="AE14" i="96"/>
  <c r="AO13" i="96"/>
  <c r="AN13" i="96"/>
  <c r="AM13" i="96"/>
  <c r="AL13" i="96"/>
  <c r="AK13" i="96"/>
  <c r="AJ13" i="96"/>
  <c r="AI13" i="96"/>
  <c r="AH13" i="96"/>
  <c r="AG13" i="96"/>
  <c r="AF13" i="96"/>
  <c r="AE13" i="96"/>
  <c r="A13" i="96"/>
  <c r="AN12" i="96"/>
  <c r="AL12" i="96"/>
  <c r="AH12" i="96"/>
  <c r="AG12" i="96"/>
  <c r="AF12" i="96"/>
  <c r="AM12" i="96"/>
  <c r="AN11" i="96"/>
  <c r="AM11" i="96"/>
  <c r="AL11" i="96"/>
  <c r="AH11" i="96"/>
  <c r="AG11" i="96"/>
  <c r="AF11" i="96"/>
  <c r="AE11" i="96"/>
  <c r="AI11" i="96"/>
  <c r="AN10" i="96"/>
  <c r="AM10" i="96"/>
  <c r="AL10" i="96"/>
  <c r="AJ10" i="96"/>
  <c r="AH10" i="96"/>
  <c r="AG10" i="96"/>
  <c r="AF10" i="96"/>
  <c r="AE10" i="96"/>
  <c r="AN9" i="96"/>
  <c r="AM9" i="96"/>
  <c r="AL9" i="96"/>
  <c r="AH9" i="96"/>
  <c r="AG9" i="96"/>
  <c r="AF9" i="96"/>
  <c r="AE9" i="96"/>
  <c r="AN8" i="96"/>
  <c r="AM8" i="96"/>
  <c r="AL8" i="96"/>
  <c r="AJ8" i="96"/>
  <c r="AH8" i="96"/>
  <c r="AG8" i="96"/>
  <c r="AF8" i="96"/>
  <c r="AO8" i="96"/>
  <c r="AK8" i="96"/>
  <c r="AE8" i="96"/>
  <c r="A8" i="96"/>
  <c r="A7" i="96"/>
  <c r="AI21" i="96" l="1"/>
  <c r="AK33" i="96"/>
  <c r="AO33" i="96"/>
  <c r="AI50" i="96"/>
  <c r="AI105" i="96"/>
  <c r="AO97" i="96"/>
  <c r="AE21" i="96"/>
  <c r="AE38" i="96"/>
  <c r="AI23" i="96"/>
  <c r="AG47" i="96"/>
  <c r="AK19" i="96"/>
  <c r="AO19" i="96"/>
  <c r="AI86" i="96"/>
  <c r="AI81" i="96"/>
  <c r="AI52" i="96"/>
  <c r="AI106" i="96"/>
  <c r="AO18" i="96"/>
  <c r="AK18" i="96"/>
  <c r="AK34" i="96"/>
  <c r="AO34" i="96"/>
  <c r="AO20" i="96"/>
  <c r="AK20" i="96"/>
  <c r="AE47" i="96"/>
  <c r="AO10" i="96"/>
  <c r="AK10" i="96"/>
  <c r="AE17" i="96"/>
  <c r="AI30" i="96"/>
  <c r="AI33" i="96"/>
  <c r="AI34" i="96"/>
  <c r="AL38" i="96"/>
  <c r="AE98" i="96"/>
  <c r="AK61" i="96"/>
  <c r="AO68" i="96"/>
  <c r="AK30" i="96"/>
  <c r="AI61" i="96"/>
  <c r="AE101" i="96"/>
  <c r="AI76" i="96"/>
  <c r="AI92" i="96"/>
  <c r="AF23" i="96"/>
  <c r="AO31" i="96"/>
  <c r="AI36" i="96"/>
  <c r="AI37" i="96"/>
  <c r="AG48" i="96"/>
  <c r="AG62" i="96"/>
  <c r="AO86" i="96"/>
  <c r="AM68" i="96"/>
  <c r="AE86" i="96"/>
  <c r="AE81" i="96"/>
  <c r="AN38" i="96"/>
  <c r="AL54" i="96"/>
  <c r="AI10" i="96"/>
  <c r="AI17" i="96"/>
  <c r="AI18" i="96"/>
  <c r="AI19" i="96"/>
  <c r="AI20" i="96"/>
  <c r="AM21" i="96"/>
  <c r="AI29" i="96"/>
  <c r="AG38" i="96"/>
  <c r="AN54" i="96"/>
  <c r="AO67" i="96"/>
  <c r="AO92" i="96"/>
  <c r="AF97" i="96"/>
  <c r="AO60" i="96"/>
  <c r="AI69" i="96"/>
  <c r="AK28" i="96"/>
  <c r="AL47" i="96"/>
  <c r="AI91" i="96"/>
  <c r="AI75" i="96"/>
  <c r="AI90" i="96"/>
  <c r="AM100" i="96"/>
  <c r="A9" i="96"/>
  <c r="AH51" i="96"/>
  <c r="AG59" i="96"/>
  <c r="AK68" i="96"/>
  <c r="AF48" i="96"/>
  <c r="AF70" i="96"/>
  <c r="AI73" i="96"/>
  <c r="AO90" i="96"/>
  <c r="AE106" i="96"/>
  <c r="AE52" i="96"/>
  <c r="AO57" i="96"/>
  <c r="AF94" i="96"/>
  <c r="AF51" i="96"/>
  <c r="AL94" i="96"/>
  <c r="AL51" i="96"/>
  <c r="AN97" i="96"/>
  <c r="AE50" i="96"/>
  <c r="AE105" i="96"/>
  <c r="AK100" i="96"/>
  <c r="AO73" i="96"/>
  <c r="AH76" i="96"/>
  <c r="AE78" i="96"/>
  <c r="AG89" i="96"/>
  <c r="AO89" i="96"/>
  <c r="AM97" i="96"/>
  <c r="AI98" i="96"/>
  <c r="AL99" i="96"/>
  <c r="AH60" i="96"/>
  <c r="AI65" i="96"/>
  <c r="AG67" i="96"/>
  <c r="AH89" i="96"/>
  <c r="AE92" i="96"/>
  <c r="AF100" i="96"/>
  <c r="AE90" i="96"/>
  <c r="AK93" i="96"/>
  <c r="AE99" i="96"/>
  <c r="AG100" i="96"/>
  <c r="AK65" i="96"/>
  <c r="AH78" i="96"/>
  <c r="AK91" i="96"/>
  <c r="AG97" i="96" l="1"/>
  <c r="AI27" i="96"/>
  <c r="AK32" i="96"/>
  <c r="AO32" i="96"/>
  <c r="AK17" i="96"/>
  <c r="A11" i="96"/>
  <c r="AM94" i="96"/>
  <c r="AM51" i="96"/>
  <c r="AK94" i="96"/>
  <c r="AK51" i="96"/>
  <c r="AE89" i="96"/>
  <c r="AI100" i="96"/>
  <c r="AI60" i="96"/>
  <c r="AE12" i="96"/>
  <c r="AE70" i="96"/>
  <c r="AO100" i="96"/>
  <c r="AO99" i="96"/>
  <c r="A10" i="96"/>
  <c r="AG94" i="96"/>
  <c r="AK50" i="96"/>
  <c r="AK105" i="96"/>
  <c r="AK106" i="96"/>
  <c r="AK52" i="96"/>
  <c r="AN108" i="96"/>
  <c r="AN102" i="96"/>
  <c r="AO58" i="96"/>
  <c r="AI9" i="96"/>
  <c r="AM54" i="96"/>
  <c r="AM47" i="96"/>
  <c r="AO62" i="96"/>
  <c r="AI89" i="96"/>
  <c r="AK62" i="96"/>
  <c r="AM70" i="96"/>
  <c r="AM48" i="96"/>
  <c r="AO61" i="96"/>
  <c r="AO101" i="96"/>
  <c r="AI8" i="96"/>
  <c r="AI25" i="96"/>
  <c r="AI93" i="96"/>
  <c r="AI77" i="96"/>
  <c r="AH70" i="96"/>
  <c r="AI49" i="96"/>
  <c r="AI104" i="96"/>
  <c r="AI78" i="96"/>
  <c r="AK97" i="96"/>
  <c r="AI53" i="96"/>
  <c r="AI107" i="96"/>
  <c r="AF54" i="96"/>
  <c r="AE100" i="96"/>
  <c r="AK70" i="96"/>
  <c r="AK48" i="96"/>
  <c r="AI57" i="96"/>
  <c r="AH97" i="96"/>
  <c r="AI99" i="96"/>
  <c r="AI59" i="96"/>
  <c r="AI38" i="96"/>
  <c r="AI97" i="96" l="1"/>
  <c r="AK53" i="96"/>
  <c r="AK107" i="96"/>
  <c r="AK49" i="96"/>
  <c r="AK104" i="96"/>
  <c r="AI12" i="96"/>
  <c r="AK21" i="96"/>
  <c r="AH48" i="96"/>
  <c r="AH54" i="96"/>
  <c r="AE97" i="96"/>
  <c r="AO98" i="96"/>
  <c r="AI51" i="96"/>
  <c r="AI94" i="96"/>
  <c r="AE48" i="96"/>
  <c r="AE94" i="96"/>
  <c r="AE51" i="96"/>
  <c r="AK47" i="96"/>
  <c r="AK102" i="96"/>
  <c r="AK108" i="96"/>
  <c r="AH108" i="96"/>
  <c r="AH102" i="96"/>
  <c r="AO47" i="96"/>
  <c r="AG51" i="96"/>
  <c r="AG54" i="96"/>
  <c r="AO94" i="96"/>
  <c r="AO51" i="96"/>
  <c r="AG108" i="96"/>
  <c r="AG102" i="96"/>
  <c r="AF108" i="96"/>
  <c r="AF102" i="96"/>
  <c r="AM108" i="96"/>
  <c r="AM102" i="96"/>
  <c r="AO106" i="96"/>
  <c r="AO52" i="96"/>
  <c r="A12" i="96"/>
  <c r="AI70" i="96"/>
  <c r="AI48" i="96"/>
  <c r="AO105" i="96"/>
  <c r="AO50" i="96"/>
  <c r="AL108" i="96"/>
  <c r="AL102" i="96"/>
  <c r="AI62" i="96"/>
  <c r="AI101" i="96"/>
  <c r="AO70" i="96"/>
  <c r="AO48" i="96"/>
  <c r="AE40" i="96"/>
  <c r="AO17" i="96"/>
  <c r="A14" i="96"/>
  <c r="AO104" i="96" l="1"/>
  <c r="AO49" i="96"/>
  <c r="AO107" i="96"/>
  <c r="AO53" i="96"/>
  <c r="AK54" i="96"/>
  <c r="AK42" i="96"/>
  <c r="AO21" i="96"/>
  <c r="AO102" i="96"/>
  <c r="AO108" i="96"/>
  <c r="A17" i="96"/>
  <c r="AI47" i="96"/>
  <c r="A16" i="96"/>
  <c r="AI40" i="96"/>
  <c r="AE108" i="96"/>
  <c r="AE102" i="96"/>
  <c r="A19" i="96" l="1"/>
  <c r="AI54" i="96"/>
  <c r="A18" i="96"/>
  <c r="AE54" i="96"/>
  <c r="AI108" i="96"/>
  <c r="AI102" i="96"/>
  <c r="AO54" i="96"/>
  <c r="AO42" i="96"/>
  <c r="A20" i="96" l="1"/>
  <c r="AI42" i="96"/>
  <c r="AI44" i="96"/>
  <c r="A21" i="96"/>
  <c r="AO111" i="96"/>
  <c r="N111" i="96" s="1"/>
  <c r="AE42" i="96"/>
  <c r="AE44" i="96"/>
  <c r="A23" i="96" l="1"/>
  <c r="A24" i="96" l="1"/>
  <c r="A25" i="96" s="1"/>
  <c r="A26" i="96" s="1"/>
  <c r="A27" i="96"/>
  <c r="A28" i="96" s="1"/>
  <c r="A29" i="96" s="1"/>
  <c r="A30" i="96" s="1"/>
  <c r="A31" i="96" s="1"/>
  <c r="A32" i="96" s="1"/>
  <c r="A33" i="96" s="1"/>
  <c r="A34" i="96" s="1"/>
  <c r="A35" i="96" s="1"/>
  <c r="A36" i="96" s="1"/>
  <c r="A37" i="96" s="1"/>
  <c r="A38" i="96" s="1"/>
  <c r="A40" i="96" s="1"/>
  <c r="A42" i="96" s="1"/>
  <c r="A44" i="96" s="1"/>
  <c r="A46" i="96" s="1"/>
  <c r="A47" i="96" s="1"/>
  <c r="A48" i="96" l="1"/>
  <c r="A50" i="96" s="1"/>
  <c r="A49" i="96"/>
  <c r="A51" i="96" l="1"/>
  <c r="A52" i="96" s="1"/>
  <c r="A53" i="96" s="1"/>
  <c r="A54" i="96" s="1"/>
  <c r="A56" i="96" s="1"/>
  <c r="A57" i="96" s="1"/>
  <c r="A58" i="96" s="1"/>
  <c r="A59" i="96" s="1"/>
  <c r="A60" i="96" s="1"/>
  <c r="A61" i="96" s="1"/>
  <c r="A62" i="96" s="1"/>
  <c r="A64" i="96" s="1"/>
  <c r="A65" i="96" s="1"/>
  <c r="A66" i="96" s="1"/>
  <c r="A67" i="96" s="1"/>
  <c r="A68" i="96" s="1"/>
  <c r="A69" i="96" s="1"/>
  <c r="A70" i="96" s="1"/>
  <c r="A72" i="96" s="1"/>
  <c r="A73" i="96" s="1"/>
  <c r="A74" i="96" s="1"/>
  <c r="A75" i="96" s="1"/>
  <c r="A76" i="96" s="1"/>
  <c r="A77" i="96" s="1"/>
  <c r="A78" i="96" s="1"/>
  <c r="A80" i="96" s="1"/>
  <c r="A81" i="96" s="1"/>
  <c r="A82" i="96" s="1"/>
  <c r="A83" i="96" s="1"/>
  <c r="A84" i="96" s="1"/>
  <c r="A85" i="96" s="1"/>
  <c r="A86" i="96" s="1"/>
  <c r="A88" i="96" s="1"/>
  <c r="A89" i="96" s="1"/>
  <c r="A90" i="96" s="1"/>
  <c r="A91" i="96" s="1"/>
  <c r="A92" i="96" s="1"/>
  <c r="A93" i="96" s="1"/>
  <c r="A94" i="96" s="1"/>
  <c r="A96" i="96" s="1"/>
  <c r="A97" i="96" s="1"/>
  <c r="A98" i="96" s="1"/>
  <c r="A99" i="96" s="1"/>
  <c r="A100" i="96" s="1"/>
  <c r="A101" i="96" s="1"/>
  <c r="A102" i="96" s="1"/>
  <c r="A104" i="96" l="1"/>
  <c r="A105" i="96"/>
  <c r="A106" i="96" s="1"/>
  <c r="A107" i="96" s="1"/>
  <c r="A108" i="96" s="1"/>
  <c r="A110" i="96" s="1"/>
  <c r="A111" i="96" s="1"/>
  <c r="A112" i="96" s="1"/>
  <c r="A113" i="96" s="1"/>
  <c r="A114" i="96" s="1"/>
  <c r="A115" i="96" s="1"/>
  <c r="A116" i="96" s="1"/>
  <c r="AK112" i="62" l="1"/>
  <c r="AJ112" i="62"/>
  <c r="AI112" i="62"/>
  <c r="AH112" i="62"/>
  <c r="AG112" i="62"/>
  <c r="AF112" i="62"/>
  <c r="AE112" i="62"/>
  <c r="AD112" i="62"/>
  <c r="AC112" i="62"/>
  <c r="AB112" i="62"/>
  <c r="AK111" i="62"/>
  <c r="AJ111" i="62"/>
  <c r="AI111" i="62"/>
  <c r="AH111" i="62"/>
  <c r="AG111" i="62"/>
  <c r="AF111" i="62"/>
  <c r="AE111" i="62"/>
  <c r="AD111" i="62"/>
  <c r="AC111" i="62"/>
  <c r="AB111" i="62"/>
  <c r="AK110" i="62"/>
  <c r="AJ110" i="62"/>
  <c r="AI110" i="62"/>
  <c r="AH110" i="62"/>
  <c r="AG110" i="62"/>
  <c r="AF110" i="62"/>
  <c r="AE110" i="62"/>
  <c r="AD110" i="62"/>
  <c r="AC110" i="62"/>
  <c r="AB110" i="62"/>
  <c r="AK109" i="62"/>
  <c r="AJ109" i="62"/>
  <c r="AI109" i="62"/>
  <c r="AH109" i="62"/>
  <c r="AG109" i="62"/>
  <c r="AF109" i="62"/>
  <c r="AE109" i="62"/>
  <c r="AD109" i="62"/>
  <c r="AC109" i="62"/>
  <c r="AB109" i="62"/>
  <c r="AK108" i="62"/>
  <c r="AJ108" i="62"/>
  <c r="AI108" i="62"/>
  <c r="AH108" i="62"/>
  <c r="AG108" i="62"/>
  <c r="AF108" i="62"/>
  <c r="AE108" i="62"/>
  <c r="AD108" i="62"/>
  <c r="AC108" i="62"/>
  <c r="AB108" i="62"/>
  <c r="AK107" i="62"/>
  <c r="AJ107" i="62"/>
  <c r="AI107" i="62"/>
  <c r="AH107" i="62"/>
  <c r="AG107" i="62"/>
  <c r="AF107" i="62"/>
  <c r="AE107" i="62"/>
  <c r="AD107" i="62"/>
  <c r="AC107" i="62"/>
  <c r="AB107" i="62"/>
  <c r="AK106" i="62"/>
  <c r="AJ106" i="62"/>
  <c r="AI106" i="62"/>
  <c r="AH106" i="62"/>
  <c r="AG106" i="62"/>
  <c r="AF106" i="62"/>
  <c r="AE106" i="62"/>
  <c r="AD106" i="62"/>
  <c r="AC106" i="62"/>
  <c r="AB106" i="62"/>
  <c r="AG105" i="62"/>
  <c r="AC105" i="62"/>
  <c r="AG104" i="62"/>
  <c r="AC104" i="62"/>
  <c r="AK103" i="62"/>
  <c r="AJ103" i="62"/>
  <c r="AI103" i="62"/>
  <c r="AG103" i="62"/>
  <c r="AE103" i="62"/>
  <c r="AD103" i="62"/>
  <c r="AC103" i="62"/>
  <c r="AK102" i="62"/>
  <c r="AJ102" i="62"/>
  <c r="AI102" i="62"/>
  <c r="AG102" i="62"/>
  <c r="AE102" i="62"/>
  <c r="AD102" i="62"/>
  <c r="AC102" i="62"/>
  <c r="AK101" i="62"/>
  <c r="AJ101" i="62"/>
  <c r="AI101" i="62"/>
  <c r="AG101" i="62"/>
  <c r="AE101" i="62"/>
  <c r="AD101" i="62"/>
  <c r="AC101" i="62"/>
  <c r="AL100" i="62"/>
  <c r="AK100" i="62"/>
  <c r="AJ100" i="62"/>
  <c r="AI100" i="62"/>
  <c r="AH100" i="62"/>
  <c r="AG100" i="62"/>
  <c r="AF100" i="62"/>
  <c r="AE100" i="62"/>
  <c r="AD100" i="62"/>
  <c r="AC100" i="62"/>
  <c r="AB100" i="62"/>
  <c r="AG99" i="62"/>
  <c r="AC99" i="62"/>
  <c r="AK98" i="62"/>
  <c r="AJ98" i="62"/>
  <c r="AI98" i="62"/>
  <c r="AG98" i="62"/>
  <c r="AE98" i="62"/>
  <c r="AD98" i="62"/>
  <c r="AC98" i="62"/>
  <c r="AJ97" i="62"/>
  <c r="AI97" i="62"/>
  <c r="AG97" i="62"/>
  <c r="AD97" i="62"/>
  <c r="AC97" i="62"/>
  <c r="AK96" i="62"/>
  <c r="AG96" i="62"/>
  <c r="AE96" i="62"/>
  <c r="AC96" i="62"/>
  <c r="AK95" i="62"/>
  <c r="AJ95" i="62"/>
  <c r="AI95" i="62"/>
  <c r="AG95" i="62"/>
  <c r="AE95" i="62"/>
  <c r="AD95" i="62"/>
  <c r="AC95" i="62"/>
  <c r="AK94" i="62"/>
  <c r="AJ94" i="62"/>
  <c r="AI94" i="62"/>
  <c r="AG94" i="62"/>
  <c r="AE94" i="62"/>
  <c r="AD94" i="62"/>
  <c r="AC94" i="62"/>
  <c r="AL93" i="62"/>
  <c r="AK93" i="62"/>
  <c r="AJ93" i="62"/>
  <c r="AI93" i="62"/>
  <c r="AH93" i="62"/>
  <c r="AG93" i="62"/>
  <c r="AF93" i="62"/>
  <c r="AE93" i="62"/>
  <c r="AD93" i="62"/>
  <c r="AC93" i="62"/>
  <c r="AB93" i="62"/>
  <c r="AL92" i="62"/>
  <c r="AK92" i="62"/>
  <c r="AJ92" i="62"/>
  <c r="AI92" i="62"/>
  <c r="AH92" i="62"/>
  <c r="AG92" i="62"/>
  <c r="AF92" i="62"/>
  <c r="AE92" i="62"/>
  <c r="AD92" i="62"/>
  <c r="AC92" i="62"/>
  <c r="AB92" i="62"/>
  <c r="AG91" i="62"/>
  <c r="AC91" i="62"/>
  <c r="AK90" i="62"/>
  <c r="AJ90" i="62"/>
  <c r="AI90" i="62"/>
  <c r="AG90" i="62"/>
  <c r="AE90" i="62"/>
  <c r="AD90" i="62"/>
  <c r="AC90" i="62"/>
  <c r="AJ89" i="62"/>
  <c r="AI89" i="62"/>
  <c r="AG89" i="62"/>
  <c r="AD89" i="62"/>
  <c r="AC89" i="62"/>
  <c r="AK88" i="62"/>
  <c r="AG88" i="62"/>
  <c r="AE88" i="62"/>
  <c r="AC88" i="62"/>
  <c r="AK87" i="62"/>
  <c r="AJ87" i="62"/>
  <c r="AI87" i="62"/>
  <c r="AG87" i="62"/>
  <c r="AE87" i="62"/>
  <c r="AD87" i="62"/>
  <c r="AC87" i="62"/>
  <c r="AK86" i="62"/>
  <c r="AJ86" i="62"/>
  <c r="AI86" i="62"/>
  <c r="AG86" i="62"/>
  <c r="AE86" i="62"/>
  <c r="AD86" i="62"/>
  <c r="AC86" i="62"/>
  <c r="AL85" i="62"/>
  <c r="AK85" i="62"/>
  <c r="AJ85" i="62"/>
  <c r="AI85" i="62"/>
  <c r="AH85" i="62"/>
  <c r="AG85" i="62"/>
  <c r="AF85" i="62"/>
  <c r="AE85" i="62"/>
  <c r="AD85" i="62"/>
  <c r="AC85" i="62"/>
  <c r="AB85" i="62"/>
  <c r="AL84" i="62"/>
  <c r="AK84" i="62"/>
  <c r="AJ84" i="62"/>
  <c r="AI84" i="62"/>
  <c r="AH84" i="62"/>
  <c r="AG84" i="62"/>
  <c r="AF84" i="62"/>
  <c r="AE84" i="62"/>
  <c r="AD84" i="62"/>
  <c r="AC84" i="62"/>
  <c r="AB84" i="62"/>
  <c r="AK83" i="62"/>
  <c r="AJ83" i="62"/>
  <c r="AI83" i="62"/>
  <c r="AH83" i="62"/>
  <c r="AG83" i="62"/>
  <c r="AE83" i="62"/>
  <c r="AD83" i="62"/>
  <c r="AC83" i="62"/>
  <c r="AL82" i="62"/>
  <c r="AK82" i="62"/>
  <c r="AJ82" i="62"/>
  <c r="AI82" i="62"/>
  <c r="AH82" i="62"/>
  <c r="AG82" i="62"/>
  <c r="AE82" i="62"/>
  <c r="AD82" i="62"/>
  <c r="AC82" i="62"/>
  <c r="AK81" i="62"/>
  <c r="AJ81" i="62"/>
  <c r="AI81" i="62"/>
  <c r="AH81" i="62"/>
  <c r="AG81" i="62"/>
  <c r="AE81" i="62"/>
  <c r="AD81" i="62"/>
  <c r="AC81" i="62"/>
  <c r="AL80" i="62"/>
  <c r="AK80" i="62"/>
  <c r="AJ80" i="62"/>
  <c r="AI80" i="62"/>
  <c r="AH80" i="62"/>
  <c r="AG80" i="62"/>
  <c r="AE80" i="62"/>
  <c r="AD80" i="62"/>
  <c r="AC80" i="62"/>
  <c r="AL79" i="62"/>
  <c r="AK79" i="62"/>
  <c r="AJ79" i="62"/>
  <c r="AI79" i="62"/>
  <c r="AH79" i="62"/>
  <c r="AG79" i="62"/>
  <c r="AE79" i="62"/>
  <c r="AD79" i="62"/>
  <c r="AC79" i="62"/>
  <c r="AL78" i="62"/>
  <c r="AK78" i="62"/>
  <c r="AJ78" i="62"/>
  <c r="AI78" i="62"/>
  <c r="AH78" i="62"/>
  <c r="AG78" i="62"/>
  <c r="AE78" i="62"/>
  <c r="AD78" i="62"/>
  <c r="AC78" i="62"/>
  <c r="AL77" i="62"/>
  <c r="AK77" i="62"/>
  <c r="AJ77" i="62"/>
  <c r="AI77" i="62"/>
  <c r="AH77" i="62"/>
  <c r="AG77" i="62"/>
  <c r="AF77" i="62"/>
  <c r="AE77" i="62"/>
  <c r="AD77" i="62"/>
  <c r="AC77" i="62"/>
  <c r="AB77" i="62"/>
  <c r="AL76" i="62"/>
  <c r="AK76" i="62"/>
  <c r="AJ76" i="62"/>
  <c r="AI76" i="62"/>
  <c r="AH76" i="62"/>
  <c r="AG76" i="62"/>
  <c r="AF76" i="62"/>
  <c r="AE76" i="62"/>
  <c r="AD76" i="62"/>
  <c r="AC76" i="62"/>
  <c r="AB76" i="62"/>
  <c r="AL75" i="62"/>
  <c r="AK75" i="62"/>
  <c r="AJ75" i="62"/>
  <c r="AI75" i="62"/>
  <c r="AH75" i="62"/>
  <c r="AG75" i="62"/>
  <c r="AC75" i="62"/>
  <c r="AL74" i="62"/>
  <c r="AK74" i="62"/>
  <c r="AJ74" i="62"/>
  <c r="AI74" i="62"/>
  <c r="AH74" i="62"/>
  <c r="AG74" i="62"/>
  <c r="AE74" i="62"/>
  <c r="AD74" i="62"/>
  <c r="AC74" i="62"/>
  <c r="AL73" i="62"/>
  <c r="AK73" i="62"/>
  <c r="AJ73" i="62"/>
  <c r="AI73" i="62"/>
  <c r="AH73" i="62"/>
  <c r="AG73" i="62"/>
  <c r="AD73" i="62"/>
  <c r="AC73" i="62"/>
  <c r="AL72" i="62"/>
  <c r="AK72" i="62"/>
  <c r="AJ72" i="62"/>
  <c r="AI72" i="62"/>
  <c r="AH72" i="62"/>
  <c r="AG72" i="62"/>
  <c r="AE72" i="62"/>
  <c r="AC72" i="62"/>
  <c r="AL71" i="62"/>
  <c r="AK71" i="62"/>
  <c r="AJ71" i="62"/>
  <c r="AI71" i="62"/>
  <c r="AH71" i="62"/>
  <c r="AG71" i="62"/>
  <c r="AE71" i="62"/>
  <c r="AD71" i="62"/>
  <c r="AC71" i="62"/>
  <c r="AL70" i="62"/>
  <c r="AK70" i="62"/>
  <c r="AJ70" i="62"/>
  <c r="AI70" i="62"/>
  <c r="AH70" i="62"/>
  <c r="AG70" i="62"/>
  <c r="AE70" i="62"/>
  <c r="AD70" i="62"/>
  <c r="AC70" i="62"/>
  <c r="AL69" i="62"/>
  <c r="AK69" i="62"/>
  <c r="AJ69" i="62"/>
  <c r="AI69" i="62"/>
  <c r="AH69" i="62"/>
  <c r="AG69" i="62"/>
  <c r="AF69" i="62"/>
  <c r="AE69" i="62"/>
  <c r="AD69" i="62"/>
  <c r="AC69" i="62"/>
  <c r="AB69" i="62"/>
  <c r="AL68" i="62"/>
  <c r="AK68" i="62"/>
  <c r="AJ68" i="62"/>
  <c r="AI68" i="62"/>
  <c r="AH68" i="62"/>
  <c r="AG68" i="62"/>
  <c r="AF68" i="62"/>
  <c r="AE68" i="62"/>
  <c r="AD68" i="62"/>
  <c r="AC68" i="62"/>
  <c r="AB68" i="62"/>
  <c r="AG67" i="62"/>
  <c r="AC67" i="62"/>
  <c r="AK66" i="62"/>
  <c r="AJ66" i="62"/>
  <c r="AI66" i="62"/>
  <c r="AG66" i="62"/>
  <c r="AE66" i="62"/>
  <c r="AD66" i="62"/>
  <c r="AC66" i="62"/>
  <c r="AJ65" i="62"/>
  <c r="AI65" i="62"/>
  <c r="AG65" i="62"/>
  <c r="AD65" i="62"/>
  <c r="AC65" i="62"/>
  <c r="AK64" i="62"/>
  <c r="AG64" i="62"/>
  <c r="AE64" i="62"/>
  <c r="AC64" i="62"/>
  <c r="AK63" i="62"/>
  <c r="AJ63" i="62"/>
  <c r="AI63" i="62"/>
  <c r="AG63" i="62"/>
  <c r="AE63" i="62"/>
  <c r="AD63" i="62"/>
  <c r="AC63" i="62"/>
  <c r="AK62" i="62"/>
  <c r="AJ62" i="62"/>
  <c r="AI62" i="62"/>
  <c r="AG62" i="62"/>
  <c r="AE62" i="62"/>
  <c r="AD62" i="62"/>
  <c r="AC62" i="62"/>
  <c r="AL61" i="62"/>
  <c r="AK61" i="62"/>
  <c r="AJ61" i="62"/>
  <c r="AI61" i="62"/>
  <c r="AH61" i="62"/>
  <c r="AG61" i="62"/>
  <c r="AF61" i="62"/>
  <c r="AE61" i="62"/>
  <c r="AD61" i="62"/>
  <c r="AC61" i="62"/>
  <c r="AB61" i="62"/>
  <c r="AL60" i="62"/>
  <c r="AK60" i="62"/>
  <c r="AJ60" i="62"/>
  <c r="AI60" i="62"/>
  <c r="AH60" i="62"/>
  <c r="AG60" i="62"/>
  <c r="AF60" i="62"/>
  <c r="AE60" i="62"/>
  <c r="AD60" i="62"/>
  <c r="AC60" i="62"/>
  <c r="AB60" i="62"/>
  <c r="AG59" i="62"/>
  <c r="AC59" i="62"/>
  <c r="AK58" i="62"/>
  <c r="AJ58" i="62"/>
  <c r="AI58" i="62"/>
  <c r="AE58" i="62"/>
  <c r="AD58" i="62"/>
  <c r="AC58" i="62"/>
  <c r="AJ57" i="62"/>
  <c r="AI57" i="62"/>
  <c r="AD57" i="62"/>
  <c r="AC57" i="62"/>
  <c r="AK56" i="62"/>
  <c r="AE56" i="62"/>
  <c r="AC56" i="62"/>
  <c r="AK55" i="62"/>
  <c r="AJ55" i="62"/>
  <c r="AI55" i="62"/>
  <c r="AG55" i="62"/>
  <c r="AE55" i="62"/>
  <c r="AD55" i="62"/>
  <c r="AC55" i="62"/>
  <c r="AK54" i="62"/>
  <c r="AJ54" i="62"/>
  <c r="AI54" i="62"/>
  <c r="AE54" i="62"/>
  <c r="AD54" i="62"/>
  <c r="AC54" i="62"/>
  <c r="AL53" i="62"/>
  <c r="AK53" i="62"/>
  <c r="AJ53" i="62"/>
  <c r="AI53" i="62"/>
  <c r="AH53" i="62"/>
  <c r="AG53" i="62"/>
  <c r="AF53" i="62"/>
  <c r="AE53" i="62"/>
  <c r="AD53" i="62"/>
  <c r="AC53" i="62"/>
  <c r="AB53" i="62"/>
  <c r="AL52" i="62"/>
  <c r="AK52" i="62"/>
  <c r="AJ52" i="62"/>
  <c r="AI52" i="62"/>
  <c r="AH52" i="62"/>
  <c r="AG52" i="62"/>
  <c r="AF52" i="62"/>
  <c r="AE52" i="62"/>
  <c r="AD52" i="62"/>
  <c r="AC52" i="62"/>
  <c r="AG51" i="62"/>
  <c r="AC51" i="62"/>
  <c r="AK50" i="62"/>
  <c r="AJ50" i="62"/>
  <c r="AI50" i="62"/>
  <c r="AG50" i="62"/>
  <c r="AE50" i="62"/>
  <c r="AD50" i="62"/>
  <c r="AC50" i="62"/>
  <c r="AG49" i="62"/>
  <c r="AC49" i="62"/>
  <c r="AK48" i="62"/>
  <c r="AJ48" i="62"/>
  <c r="AI48" i="62"/>
  <c r="AG48" i="62"/>
  <c r="AE48" i="62"/>
  <c r="AD48" i="62"/>
  <c r="AC48" i="62"/>
  <c r="AG47" i="62"/>
  <c r="AC47" i="62"/>
  <c r="AG46" i="62"/>
  <c r="AC46" i="62"/>
  <c r="AG45" i="62"/>
  <c r="AC45" i="62"/>
  <c r="AL44" i="62"/>
  <c r="AK44" i="62"/>
  <c r="AJ44" i="62"/>
  <c r="AI44" i="62"/>
  <c r="AH44" i="62"/>
  <c r="AG44" i="62"/>
  <c r="AF44" i="62"/>
  <c r="AE44" i="62"/>
  <c r="AD44" i="62"/>
  <c r="AC44" i="62"/>
  <c r="AB44" i="62"/>
  <c r="AL43" i="62"/>
  <c r="AK43" i="62"/>
  <c r="AJ43" i="62"/>
  <c r="AI43" i="62"/>
  <c r="AH43" i="62"/>
  <c r="AG43" i="62"/>
  <c r="AF43" i="62"/>
  <c r="AE43" i="62"/>
  <c r="AD43" i="62"/>
  <c r="AC43" i="62"/>
  <c r="AB43" i="62"/>
  <c r="AL42" i="62"/>
  <c r="AK42" i="62"/>
  <c r="AJ42" i="62"/>
  <c r="AI42" i="62"/>
  <c r="AH42" i="62"/>
  <c r="AG42" i="62"/>
  <c r="AF42" i="62"/>
  <c r="AE42" i="62"/>
  <c r="AD42" i="62"/>
  <c r="AC42" i="62"/>
  <c r="AB42" i="62"/>
  <c r="AL41" i="62"/>
  <c r="AK41" i="62"/>
  <c r="AJ41" i="62"/>
  <c r="AI41" i="62"/>
  <c r="AH41" i="62"/>
  <c r="AG41" i="62"/>
  <c r="AF41" i="62"/>
  <c r="AE41" i="62"/>
  <c r="AD41" i="62"/>
  <c r="AC41" i="62"/>
  <c r="AB41" i="62"/>
  <c r="AK40" i="62"/>
  <c r="AJ40" i="62"/>
  <c r="AI40" i="62"/>
  <c r="AG40" i="62"/>
  <c r="AC40" i="62"/>
  <c r="AK39" i="62"/>
  <c r="AJ39" i="62"/>
  <c r="AI39" i="62"/>
  <c r="AH39" i="62"/>
  <c r="AG39" i="62"/>
  <c r="AF39" i="62"/>
  <c r="AE39" i="62"/>
  <c r="AD39" i="62"/>
  <c r="AC39" i="62"/>
  <c r="AK38" i="62"/>
  <c r="AJ38" i="62"/>
  <c r="AI38" i="62"/>
  <c r="AG38" i="62"/>
  <c r="AC38" i="62"/>
  <c r="AL37" i="62"/>
  <c r="AK37" i="62"/>
  <c r="AJ37" i="62"/>
  <c r="AI37" i="62"/>
  <c r="AH37" i="62"/>
  <c r="AG37" i="62"/>
  <c r="AF37" i="62"/>
  <c r="AE37" i="62"/>
  <c r="AD37" i="62"/>
  <c r="AC37" i="62"/>
  <c r="AB37" i="62"/>
  <c r="AK36" i="62"/>
  <c r="AJ36" i="62"/>
  <c r="AI36" i="62"/>
  <c r="AG36" i="62"/>
  <c r="AC36" i="62"/>
  <c r="AK35" i="62"/>
  <c r="AJ35" i="62"/>
  <c r="AI35" i="62"/>
  <c r="AG35" i="62"/>
  <c r="AF35" i="62"/>
  <c r="AE35" i="62"/>
  <c r="AD35" i="62"/>
  <c r="AC35" i="62"/>
  <c r="AB35" i="62"/>
  <c r="AK34" i="62"/>
  <c r="AJ34" i="62"/>
  <c r="AI34" i="62"/>
  <c r="AG34" i="62"/>
  <c r="AF34" i="62"/>
  <c r="AE34" i="62"/>
  <c r="AD34" i="62"/>
  <c r="AC34" i="62"/>
  <c r="AB34" i="62"/>
  <c r="AK33" i="62"/>
  <c r="AJ33" i="62"/>
  <c r="AI33" i="62"/>
  <c r="AE33" i="62"/>
  <c r="AD33" i="62"/>
  <c r="AC33" i="62"/>
  <c r="AK32" i="62"/>
  <c r="AJ32" i="62"/>
  <c r="AI32" i="62"/>
  <c r="AG32" i="62"/>
  <c r="AE32" i="62"/>
  <c r="AD32" i="62"/>
  <c r="AC32" i="62"/>
  <c r="AK31" i="62"/>
  <c r="AJ31" i="62"/>
  <c r="AI31" i="62"/>
  <c r="AG31" i="62"/>
  <c r="AE31" i="62"/>
  <c r="AD31" i="62"/>
  <c r="AC31" i="62"/>
  <c r="AJ30" i="62"/>
  <c r="AI30" i="62"/>
  <c r="AG30" i="62"/>
  <c r="AE30" i="62"/>
  <c r="AD30" i="62"/>
  <c r="AC30" i="62"/>
  <c r="AK29" i="62"/>
  <c r="AI29" i="62"/>
  <c r="AG29" i="62"/>
  <c r="AC29" i="62"/>
  <c r="AK28" i="62"/>
  <c r="AJ28" i="62"/>
  <c r="AI28" i="62"/>
  <c r="AE28" i="62"/>
  <c r="AD28" i="62"/>
  <c r="AC28" i="62"/>
  <c r="AK27" i="62"/>
  <c r="AJ27" i="62"/>
  <c r="AI27" i="62"/>
  <c r="AG27" i="62"/>
  <c r="AE27" i="62"/>
  <c r="AD27" i="62"/>
  <c r="AC27" i="62"/>
  <c r="AK26" i="62"/>
  <c r="AJ26" i="62"/>
  <c r="AI26" i="62"/>
  <c r="AE26" i="62"/>
  <c r="AD26" i="62"/>
  <c r="AC26" i="62"/>
  <c r="AK25" i="62"/>
  <c r="AJ25" i="62"/>
  <c r="AI25" i="62"/>
  <c r="AE25" i="62"/>
  <c r="AD25" i="62"/>
  <c r="AC25" i="62"/>
  <c r="AK24" i="62"/>
  <c r="AJ24" i="62"/>
  <c r="AI24" i="62"/>
  <c r="AE24" i="62"/>
  <c r="AD24" i="62"/>
  <c r="AC24" i="62"/>
  <c r="AK23" i="62"/>
  <c r="AJ23" i="62"/>
  <c r="AI23" i="62"/>
  <c r="AG23" i="62"/>
  <c r="AE23" i="62"/>
  <c r="AD23" i="62"/>
  <c r="AC23" i="62"/>
  <c r="AK22" i="62"/>
  <c r="AJ22" i="62"/>
  <c r="AI22" i="62"/>
  <c r="AE22" i="62"/>
  <c r="AD22" i="62"/>
  <c r="AC22" i="62"/>
  <c r="AL21" i="62"/>
  <c r="AK21" i="62"/>
  <c r="AJ21" i="62"/>
  <c r="AI21" i="62"/>
  <c r="AH21" i="62"/>
  <c r="AG21" i="62"/>
  <c r="AF21" i="62"/>
  <c r="AE21" i="62"/>
  <c r="AD21" i="62"/>
  <c r="AC21" i="62"/>
  <c r="AB21" i="62"/>
  <c r="AK20" i="62"/>
  <c r="AJ20" i="62"/>
  <c r="AI20" i="62"/>
  <c r="AG20" i="62"/>
  <c r="AE20" i="62"/>
  <c r="AD20" i="62"/>
  <c r="AC20" i="62"/>
  <c r="AL19" i="62"/>
  <c r="AK19" i="62"/>
  <c r="AJ19" i="62"/>
  <c r="AI19" i="62"/>
  <c r="AH19" i="62"/>
  <c r="AG19" i="62"/>
  <c r="AF19" i="62"/>
  <c r="AE19" i="62"/>
  <c r="AD19" i="62"/>
  <c r="AC19" i="62"/>
  <c r="AB19" i="62"/>
  <c r="AK18" i="62"/>
  <c r="AJ18" i="62"/>
  <c r="AI18" i="62"/>
  <c r="AG18" i="62"/>
  <c r="AE18" i="62"/>
  <c r="AD18" i="62"/>
  <c r="AC18" i="62"/>
  <c r="AL17" i="62"/>
  <c r="AK17" i="62"/>
  <c r="AJ17" i="62"/>
  <c r="AI17" i="62"/>
  <c r="AH17" i="62"/>
  <c r="AG17" i="62"/>
  <c r="AF17" i="62"/>
  <c r="AE17" i="62"/>
  <c r="AD17" i="62"/>
  <c r="AC17" i="62"/>
  <c r="AB17" i="62"/>
  <c r="AL16" i="62"/>
  <c r="AK16" i="62"/>
  <c r="AJ16" i="62"/>
  <c r="AI16" i="62"/>
  <c r="AH16" i="62"/>
  <c r="AG16" i="62"/>
  <c r="AF16" i="62"/>
  <c r="AE16" i="62"/>
  <c r="AD16" i="62"/>
  <c r="AC16" i="62"/>
  <c r="AB16" i="62"/>
  <c r="AL15" i="62"/>
  <c r="AK15" i="62"/>
  <c r="AJ15" i="62"/>
  <c r="AI15" i="62"/>
  <c r="AH15" i="62"/>
  <c r="AG15" i="62"/>
  <c r="AF15" i="62"/>
  <c r="AE15" i="62"/>
  <c r="AD15" i="62"/>
  <c r="AC15" i="62"/>
  <c r="AB15" i="62"/>
  <c r="AL14" i="62"/>
  <c r="AK14" i="62"/>
  <c r="AJ14" i="62"/>
  <c r="AI14" i="62"/>
  <c r="AH14" i="62"/>
  <c r="AG14" i="62"/>
  <c r="AF14" i="62"/>
  <c r="AE14" i="62"/>
  <c r="AD14" i="62"/>
  <c r="AC14" i="62"/>
  <c r="AB14" i="62"/>
  <c r="AL13" i="62"/>
  <c r="AK13" i="62"/>
  <c r="AJ13" i="62"/>
  <c r="AI13" i="62"/>
  <c r="AH13" i="62"/>
  <c r="AG13" i="62"/>
  <c r="AF13" i="62"/>
  <c r="AE13" i="62"/>
  <c r="AD13" i="62"/>
  <c r="AC13" i="62"/>
  <c r="AB13" i="62"/>
  <c r="AL12" i="62"/>
  <c r="AK12" i="62"/>
  <c r="AJ12" i="62"/>
  <c r="AI12" i="62"/>
  <c r="AH12" i="62"/>
  <c r="AG12" i="62"/>
  <c r="AF12" i="62"/>
  <c r="AE12" i="62"/>
  <c r="AD12" i="62"/>
  <c r="AC12" i="62"/>
  <c r="AB12" i="62"/>
  <c r="AK11" i="62"/>
  <c r="AJ11" i="62"/>
  <c r="AI11" i="62"/>
  <c r="AE11" i="62"/>
  <c r="AD11" i="62"/>
  <c r="AC11" i="62"/>
  <c r="AK10" i="62"/>
  <c r="AJ10" i="62"/>
  <c r="AI10" i="62"/>
  <c r="AE10" i="62"/>
  <c r="AD10" i="62"/>
  <c r="AC10" i="62"/>
  <c r="AK9" i="62"/>
  <c r="AJ9" i="62"/>
  <c r="AI9" i="62"/>
  <c r="AG9" i="62"/>
  <c r="AE9" i="62"/>
  <c r="AD9" i="62"/>
  <c r="AC9" i="62"/>
  <c r="AK8" i="62"/>
  <c r="AJ8" i="62"/>
  <c r="AI8" i="62"/>
  <c r="AG8" i="62"/>
  <c r="AE8" i="62"/>
  <c r="AD8" i="62"/>
  <c r="AC8" i="62"/>
  <c r="AN116" i="63"/>
  <c r="AM116" i="63"/>
  <c r="AL116" i="63"/>
  <c r="AK116" i="63"/>
  <c r="AJ116" i="63"/>
  <c r="AI116" i="63"/>
  <c r="AH116" i="63"/>
  <c r="AG116" i="63"/>
  <c r="AF116" i="63"/>
  <c r="AE116" i="63"/>
  <c r="AN115" i="63"/>
  <c r="AM115" i="63"/>
  <c r="AL115" i="63"/>
  <c r="AK115" i="63"/>
  <c r="AJ115" i="63"/>
  <c r="AI115" i="63"/>
  <c r="AH115" i="63"/>
  <c r="AG115" i="63"/>
  <c r="AF115" i="63"/>
  <c r="AE115" i="63"/>
  <c r="AM114" i="63"/>
  <c r="AL114" i="63"/>
  <c r="AK114" i="63"/>
  <c r="AJ114" i="63"/>
  <c r="AI114" i="63"/>
  <c r="AH114" i="63"/>
  <c r="AG114" i="63"/>
  <c r="AF114" i="63"/>
  <c r="AE114" i="63"/>
  <c r="AN113" i="63"/>
  <c r="AM113" i="63"/>
  <c r="AL113" i="63"/>
  <c r="AK113" i="63"/>
  <c r="AJ113" i="63"/>
  <c r="AI113" i="63"/>
  <c r="AH113" i="63"/>
  <c r="AG113" i="63"/>
  <c r="AF113" i="63"/>
  <c r="AE113" i="63"/>
  <c r="AN112" i="63"/>
  <c r="AM112" i="63"/>
  <c r="AL112" i="63"/>
  <c r="AK112" i="63"/>
  <c r="AJ112" i="63"/>
  <c r="AI112" i="63"/>
  <c r="AH112" i="63"/>
  <c r="AG112" i="63"/>
  <c r="AF112" i="63"/>
  <c r="AE112" i="63"/>
  <c r="AN111" i="63"/>
  <c r="AM111" i="63"/>
  <c r="AL111" i="63"/>
  <c r="AK111" i="63"/>
  <c r="AJ111" i="63"/>
  <c r="AI111" i="63"/>
  <c r="AH111" i="63"/>
  <c r="AG111" i="63"/>
  <c r="AF111" i="63"/>
  <c r="AE111" i="63"/>
  <c r="AN110" i="63"/>
  <c r="AM110" i="63"/>
  <c r="AL110" i="63"/>
  <c r="AK110" i="63"/>
  <c r="AJ110" i="63"/>
  <c r="AI110" i="63"/>
  <c r="AH110" i="63"/>
  <c r="AG110" i="63"/>
  <c r="AF110" i="63"/>
  <c r="AE110" i="63"/>
  <c r="AO109" i="63"/>
  <c r="AN109" i="63"/>
  <c r="AM109" i="63"/>
  <c r="AL109" i="63"/>
  <c r="AK109" i="63"/>
  <c r="AJ109" i="63"/>
  <c r="AI109" i="63"/>
  <c r="AH109" i="63"/>
  <c r="AG109" i="63"/>
  <c r="AF109" i="63"/>
  <c r="AE109" i="63"/>
  <c r="AN108" i="63"/>
  <c r="AJ108" i="63"/>
  <c r="AF108" i="63"/>
  <c r="AN107" i="63"/>
  <c r="AM107" i="63"/>
  <c r="AL107" i="63"/>
  <c r="AJ107" i="63"/>
  <c r="AH107" i="63"/>
  <c r="AG107" i="63"/>
  <c r="AF107" i="63"/>
  <c r="AN106" i="63"/>
  <c r="AM106" i="63"/>
  <c r="AL106" i="63"/>
  <c r="AJ106" i="63"/>
  <c r="AH106" i="63"/>
  <c r="AG106" i="63"/>
  <c r="AF106" i="63"/>
  <c r="AN105" i="63"/>
  <c r="AM105" i="63"/>
  <c r="AL105" i="63"/>
  <c r="AJ105" i="63"/>
  <c r="AH105" i="63"/>
  <c r="AG105" i="63"/>
  <c r="AF105" i="63"/>
  <c r="AN104" i="63"/>
  <c r="AM104" i="63"/>
  <c r="AL104" i="63"/>
  <c r="AJ104" i="63"/>
  <c r="AH104" i="63"/>
  <c r="AG104" i="63"/>
  <c r="AF104" i="63"/>
  <c r="AO103" i="63"/>
  <c r="AN103" i="63"/>
  <c r="AM103" i="63"/>
  <c r="AL103" i="63"/>
  <c r="AK103" i="63"/>
  <c r="AJ103" i="63"/>
  <c r="AI103" i="63"/>
  <c r="AH103" i="63"/>
  <c r="AG103" i="63"/>
  <c r="AF103" i="63"/>
  <c r="AE103" i="63"/>
  <c r="AN102" i="63"/>
  <c r="AJ102" i="63"/>
  <c r="AF102" i="63"/>
  <c r="AN101" i="63"/>
  <c r="AM101" i="63"/>
  <c r="AL101" i="63"/>
  <c r="AJ101" i="63"/>
  <c r="AI101" i="63"/>
  <c r="AH101" i="63"/>
  <c r="AG101" i="63"/>
  <c r="AF101" i="63"/>
  <c r="AE101" i="63"/>
  <c r="AN100" i="63"/>
  <c r="AL100" i="63"/>
  <c r="AJ100" i="63"/>
  <c r="AG100" i="63"/>
  <c r="AF100" i="63"/>
  <c r="AN99" i="63"/>
  <c r="AM99" i="63"/>
  <c r="AJ99" i="63"/>
  <c r="AH99" i="63"/>
  <c r="AF99" i="63"/>
  <c r="AN98" i="63"/>
  <c r="AM98" i="63"/>
  <c r="AL98" i="63"/>
  <c r="AJ98" i="63"/>
  <c r="AI98" i="63"/>
  <c r="AH98" i="63"/>
  <c r="AG98" i="63"/>
  <c r="AF98" i="63"/>
  <c r="AE98" i="63"/>
  <c r="AN97" i="63"/>
  <c r="AM97" i="63"/>
  <c r="AL97" i="63"/>
  <c r="AJ97" i="63"/>
  <c r="AI97" i="63"/>
  <c r="AH97" i="63"/>
  <c r="AG97" i="63"/>
  <c r="AF97" i="63"/>
  <c r="AE97" i="63"/>
  <c r="AO96" i="63"/>
  <c r="AN96" i="63"/>
  <c r="AM96" i="63"/>
  <c r="AL96" i="63"/>
  <c r="AK96" i="63"/>
  <c r="AJ96" i="63"/>
  <c r="AI96" i="63"/>
  <c r="AH96" i="63"/>
  <c r="AG96" i="63"/>
  <c r="AF96" i="63"/>
  <c r="AE96" i="63"/>
  <c r="AO95" i="63"/>
  <c r="AN95" i="63"/>
  <c r="AM95" i="63"/>
  <c r="AL95" i="63"/>
  <c r="AK95" i="63"/>
  <c r="AJ95" i="63"/>
  <c r="AI95" i="63"/>
  <c r="AH95" i="63"/>
  <c r="AG95" i="63"/>
  <c r="AF95" i="63"/>
  <c r="AE95" i="63"/>
  <c r="AN94" i="63"/>
  <c r="AJ94" i="63"/>
  <c r="AF94" i="63"/>
  <c r="AN93" i="63"/>
  <c r="AM93" i="63"/>
  <c r="AL93" i="63"/>
  <c r="AJ93" i="63"/>
  <c r="AI93" i="63"/>
  <c r="AH93" i="63"/>
  <c r="AG93" i="63"/>
  <c r="AF93" i="63"/>
  <c r="AE93" i="63"/>
  <c r="AN92" i="63"/>
  <c r="AL92" i="63"/>
  <c r="AJ92" i="63"/>
  <c r="AG92" i="63"/>
  <c r="AF92" i="63"/>
  <c r="AN91" i="63"/>
  <c r="AM91" i="63"/>
  <c r="AJ91" i="63"/>
  <c r="AH91" i="63"/>
  <c r="AF91" i="63"/>
  <c r="AE91" i="63"/>
  <c r="AN90" i="63"/>
  <c r="AM90" i="63"/>
  <c r="AL90" i="63"/>
  <c r="AJ90" i="63"/>
  <c r="AI90" i="63"/>
  <c r="AH90" i="63"/>
  <c r="AG90" i="63"/>
  <c r="AF90" i="63"/>
  <c r="AE90" i="63"/>
  <c r="AN89" i="63"/>
  <c r="AM89" i="63"/>
  <c r="AL89" i="63"/>
  <c r="AJ89" i="63"/>
  <c r="AI89" i="63"/>
  <c r="AH89" i="63"/>
  <c r="AG89" i="63"/>
  <c r="AF89" i="63"/>
  <c r="AE89" i="63"/>
  <c r="AO88" i="63"/>
  <c r="AN88" i="63"/>
  <c r="AM88" i="63"/>
  <c r="AL88" i="63"/>
  <c r="AK88" i="63"/>
  <c r="AJ88" i="63"/>
  <c r="AI88" i="63"/>
  <c r="AH88" i="63"/>
  <c r="AG88" i="63"/>
  <c r="AF88" i="63"/>
  <c r="AE88" i="63"/>
  <c r="AO87" i="63"/>
  <c r="AN87" i="63"/>
  <c r="AM87" i="63"/>
  <c r="AL87" i="63"/>
  <c r="AK87" i="63"/>
  <c r="AJ87" i="63"/>
  <c r="AI87" i="63"/>
  <c r="AH87" i="63"/>
  <c r="AG87" i="63"/>
  <c r="AF87" i="63"/>
  <c r="AE87" i="63"/>
  <c r="AO86" i="63"/>
  <c r="AN86" i="63"/>
  <c r="AM86" i="63"/>
  <c r="AL86" i="63"/>
  <c r="AK86" i="63"/>
  <c r="AJ86" i="63"/>
  <c r="AH86" i="63"/>
  <c r="AG86" i="63"/>
  <c r="AF86" i="63"/>
  <c r="AO85" i="63"/>
  <c r="AN85" i="63"/>
  <c r="AM85" i="63"/>
  <c r="AL85" i="63"/>
  <c r="AK85" i="63"/>
  <c r="AJ85" i="63"/>
  <c r="AI85" i="63"/>
  <c r="AH85" i="63"/>
  <c r="AG85" i="63"/>
  <c r="AF85" i="63"/>
  <c r="AE85" i="63"/>
  <c r="AO84" i="63"/>
  <c r="AN84" i="63"/>
  <c r="AM84" i="63"/>
  <c r="AL84" i="63"/>
  <c r="AK84" i="63"/>
  <c r="AJ84" i="63"/>
  <c r="AH84" i="63"/>
  <c r="AG84" i="63"/>
  <c r="AF84" i="63"/>
  <c r="AO83" i="63"/>
  <c r="AN83" i="63"/>
  <c r="AM83" i="63"/>
  <c r="AL83" i="63"/>
  <c r="AK83" i="63"/>
  <c r="AJ83" i="63"/>
  <c r="AI83" i="63"/>
  <c r="AH83" i="63"/>
  <c r="AG83" i="63"/>
  <c r="AF83" i="63"/>
  <c r="AE83" i="63"/>
  <c r="AO82" i="63"/>
  <c r="AN82" i="63"/>
  <c r="AM82" i="63"/>
  <c r="AL82" i="63"/>
  <c r="AK82" i="63"/>
  <c r="AJ82" i="63"/>
  <c r="AI82" i="63"/>
  <c r="AH82" i="63"/>
  <c r="AG82" i="63"/>
  <c r="AF82" i="63"/>
  <c r="AE82" i="63"/>
  <c r="AO81" i="63"/>
  <c r="AN81" i="63"/>
  <c r="AM81" i="63"/>
  <c r="AL81" i="63"/>
  <c r="AK81" i="63"/>
  <c r="AJ81" i="63"/>
  <c r="AI81" i="63"/>
  <c r="AH81" i="63"/>
  <c r="AG81" i="63"/>
  <c r="AF81" i="63"/>
  <c r="AE81" i="63"/>
  <c r="AO80" i="63"/>
  <c r="AN80" i="63"/>
  <c r="AM80" i="63"/>
  <c r="AL80" i="63"/>
  <c r="AK80" i="63"/>
  <c r="AJ80" i="63"/>
  <c r="AI80" i="63"/>
  <c r="AH80" i="63"/>
  <c r="AG80" i="63"/>
  <c r="AF80" i="63"/>
  <c r="AE80" i="63"/>
  <c r="AO79" i="63"/>
  <c r="AN79" i="63"/>
  <c r="AM79" i="63"/>
  <c r="AL79" i="63"/>
  <c r="AK79" i="63"/>
  <c r="AJ79" i="63"/>
  <c r="AI79" i="63"/>
  <c r="AH79" i="63"/>
  <c r="AG79" i="63"/>
  <c r="AF79" i="63"/>
  <c r="AE79" i="63"/>
  <c r="AO78" i="63"/>
  <c r="AN78" i="63"/>
  <c r="AM78" i="63"/>
  <c r="AL78" i="63"/>
  <c r="AK78" i="63"/>
  <c r="AJ78" i="63"/>
  <c r="AF78" i="63"/>
  <c r="AE78" i="63"/>
  <c r="AO77" i="63"/>
  <c r="AN77" i="63"/>
  <c r="AM77" i="63"/>
  <c r="AL77" i="63"/>
  <c r="AK77" i="63"/>
  <c r="AJ77" i="63"/>
  <c r="AI77" i="63"/>
  <c r="AH77" i="63"/>
  <c r="AG77" i="63"/>
  <c r="AF77" i="63"/>
  <c r="AE77" i="63"/>
  <c r="AO76" i="63"/>
  <c r="AN76" i="63"/>
  <c r="AM76" i="63"/>
  <c r="AL76" i="63"/>
  <c r="AK76" i="63"/>
  <c r="AJ76" i="63"/>
  <c r="AG76" i="63"/>
  <c r="AF76" i="63"/>
  <c r="AE76" i="63"/>
  <c r="AO75" i="63"/>
  <c r="AN75" i="63"/>
  <c r="AM75" i="63"/>
  <c r="AL75" i="63"/>
  <c r="AK75" i="63"/>
  <c r="AJ75" i="63"/>
  <c r="AH75" i="63"/>
  <c r="AF75" i="63"/>
  <c r="AE75" i="63"/>
  <c r="AO74" i="63"/>
  <c r="AN74" i="63"/>
  <c r="AM74" i="63"/>
  <c r="AL74" i="63"/>
  <c r="AK74" i="63"/>
  <c r="AJ74" i="63"/>
  <c r="AI74" i="63"/>
  <c r="AH74" i="63"/>
  <c r="AG74" i="63"/>
  <c r="AF74" i="63"/>
  <c r="AE74" i="63"/>
  <c r="AO73" i="63"/>
  <c r="AN73" i="63"/>
  <c r="AM73" i="63"/>
  <c r="AL73" i="63"/>
  <c r="AK73" i="63"/>
  <c r="AJ73" i="63"/>
  <c r="AI73" i="63"/>
  <c r="AH73" i="63"/>
  <c r="AG73" i="63"/>
  <c r="AF73" i="63"/>
  <c r="AE73" i="63"/>
  <c r="AO72" i="63"/>
  <c r="AN72" i="63"/>
  <c r="AM72" i="63"/>
  <c r="AL72" i="63"/>
  <c r="AK72" i="63"/>
  <c r="AJ72" i="63"/>
  <c r="AI72" i="63"/>
  <c r="AH72" i="63"/>
  <c r="AG72" i="63"/>
  <c r="AF72" i="63"/>
  <c r="AE72" i="63"/>
  <c r="AO71" i="63"/>
  <c r="AN71" i="63"/>
  <c r="AM71" i="63"/>
  <c r="AL71" i="63"/>
  <c r="AK71" i="63"/>
  <c r="AJ71" i="63"/>
  <c r="AI71" i="63"/>
  <c r="AH71" i="63"/>
  <c r="AG71" i="63"/>
  <c r="AF71" i="63"/>
  <c r="AE71" i="63"/>
  <c r="AN70" i="63"/>
  <c r="AJ70" i="63"/>
  <c r="AF70" i="63"/>
  <c r="AE70" i="63"/>
  <c r="AN69" i="63"/>
  <c r="AM69" i="63"/>
  <c r="AL69" i="63"/>
  <c r="AJ69" i="63"/>
  <c r="AI69" i="63"/>
  <c r="AH69" i="63"/>
  <c r="AG69" i="63"/>
  <c r="AF69" i="63"/>
  <c r="AE69" i="63"/>
  <c r="AN68" i="63"/>
  <c r="AL68" i="63"/>
  <c r="AJ68" i="63"/>
  <c r="AG68" i="63"/>
  <c r="AF68" i="63"/>
  <c r="AE68" i="63"/>
  <c r="AN67" i="63"/>
  <c r="AM67" i="63"/>
  <c r="AJ67" i="63"/>
  <c r="AH67" i="63"/>
  <c r="AF67" i="63"/>
  <c r="AE67" i="63"/>
  <c r="AN66" i="63"/>
  <c r="AM66" i="63"/>
  <c r="AL66" i="63"/>
  <c r="AJ66" i="63"/>
  <c r="AI66" i="63"/>
  <c r="AH66" i="63"/>
  <c r="AG66" i="63"/>
  <c r="AF66" i="63"/>
  <c r="AE66" i="63"/>
  <c r="AN65" i="63"/>
  <c r="AM65" i="63"/>
  <c r="AL65" i="63"/>
  <c r="AJ65" i="63"/>
  <c r="AI65" i="63"/>
  <c r="AH65" i="63"/>
  <c r="AG65" i="63"/>
  <c r="AF65" i="63"/>
  <c r="AE65" i="63"/>
  <c r="AO64" i="63"/>
  <c r="AN64" i="63"/>
  <c r="AM64" i="63"/>
  <c r="AL64" i="63"/>
  <c r="AK64" i="63"/>
  <c r="AJ64" i="63"/>
  <c r="AI64" i="63"/>
  <c r="AH64" i="63"/>
  <c r="AG64" i="63"/>
  <c r="AF64" i="63"/>
  <c r="AE64" i="63"/>
  <c r="AO63" i="63"/>
  <c r="AN63" i="63"/>
  <c r="AM63" i="63"/>
  <c r="AL63" i="63"/>
  <c r="AK63" i="63"/>
  <c r="AJ63" i="63"/>
  <c r="AI63" i="63"/>
  <c r="AH63" i="63"/>
  <c r="AG63" i="63"/>
  <c r="AF63" i="63"/>
  <c r="AE63" i="63"/>
  <c r="AN62" i="63"/>
  <c r="AJ62" i="63"/>
  <c r="AF62" i="63"/>
  <c r="AN61" i="63"/>
  <c r="AM61" i="63"/>
  <c r="AL61" i="63"/>
  <c r="AI61" i="63"/>
  <c r="AH61" i="63"/>
  <c r="AG61" i="63"/>
  <c r="AF61" i="63"/>
  <c r="AE61" i="63"/>
  <c r="AN60" i="63"/>
  <c r="AL60" i="63"/>
  <c r="AG60" i="63"/>
  <c r="AF60" i="63"/>
  <c r="AN59" i="63"/>
  <c r="AM59" i="63"/>
  <c r="AH59" i="63"/>
  <c r="AF59" i="63"/>
  <c r="AN58" i="63"/>
  <c r="AM58" i="63"/>
  <c r="AL58" i="63"/>
  <c r="AI58" i="63"/>
  <c r="AH58" i="63"/>
  <c r="AG58" i="63"/>
  <c r="AF58" i="63"/>
  <c r="AE58" i="63"/>
  <c r="AN57" i="63"/>
  <c r="AM57" i="63"/>
  <c r="AL57" i="63"/>
  <c r="AI57" i="63"/>
  <c r="AH57" i="63"/>
  <c r="AG57" i="63"/>
  <c r="AF57" i="63"/>
  <c r="AE57" i="63"/>
  <c r="AO56" i="63"/>
  <c r="AN56" i="63"/>
  <c r="AM56" i="63"/>
  <c r="AL56" i="63"/>
  <c r="AK56" i="63"/>
  <c r="AJ56" i="63"/>
  <c r="AI56" i="63"/>
  <c r="AH56" i="63"/>
  <c r="AG56" i="63"/>
  <c r="AF56" i="63"/>
  <c r="AE56" i="63"/>
  <c r="AO55" i="63"/>
  <c r="AN55" i="63"/>
  <c r="AM55" i="63"/>
  <c r="AL55" i="63"/>
  <c r="AK55" i="63"/>
  <c r="AJ55" i="63"/>
  <c r="AI55" i="63"/>
  <c r="AH55" i="63"/>
  <c r="AG55" i="63"/>
  <c r="AF55" i="63"/>
  <c r="AE55" i="63"/>
  <c r="AN54" i="63"/>
  <c r="AJ54" i="63"/>
  <c r="AF54" i="63"/>
  <c r="AN53" i="63"/>
  <c r="AM53" i="63"/>
  <c r="AL53" i="63"/>
  <c r="AJ53" i="63"/>
  <c r="AH53" i="63"/>
  <c r="AG53" i="63"/>
  <c r="AF53" i="63"/>
  <c r="AN52" i="63"/>
  <c r="AM52" i="63"/>
  <c r="AL52" i="63"/>
  <c r="AJ52" i="63"/>
  <c r="AH52" i="63"/>
  <c r="AG52" i="63"/>
  <c r="AF52" i="63"/>
  <c r="AN51" i="63"/>
  <c r="AJ51" i="63"/>
  <c r="AF51" i="63"/>
  <c r="AN50" i="63"/>
  <c r="AM50" i="63"/>
  <c r="AL50" i="63"/>
  <c r="AJ50" i="63"/>
  <c r="AH50" i="63"/>
  <c r="AG50" i="63"/>
  <c r="AF50" i="63"/>
  <c r="AN49" i="63"/>
  <c r="AM49" i="63"/>
  <c r="AL49" i="63"/>
  <c r="AJ49" i="63"/>
  <c r="AH49" i="63"/>
  <c r="AG49" i="63"/>
  <c r="AF49" i="63"/>
  <c r="AN48" i="63"/>
  <c r="AJ48" i="63"/>
  <c r="AF48" i="63"/>
  <c r="AE48" i="63"/>
  <c r="AN47" i="63"/>
  <c r="AJ47" i="63"/>
  <c r="AF47" i="63"/>
  <c r="AO46" i="63"/>
  <c r="AN46" i="63"/>
  <c r="AM46" i="63"/>
  <c r="AL46" i="63"/>
  <c r="AK46" i="63"/>
  <c r="AJ46" i="63"/>
  <c r="AI46" i="63"/>
  <c r="AH46" i="63"/>
  <c r="AG46" i="63"/>
  <c r="AF46" i="63"/>
  <c r="AE46" i="63"/>
  <c r="AO45" i="63"/>
  <c r="AN45" i="63"/>
  <c r="AM45" i="63"/>
  <c r="AL45" i="63"/>
  <c r="AK45" i="63"/>
  <c r="AJ45" i="63"/>
  <c r="AI45" i="63"/>
  <c r="AH45" i="63"/>
  <c r="AG45" i="63"/>
  <c r="AF45" i="63"/>
  <c r="AE45" i="63"/>
  <c r="AN44" i="63"/>
  <c r="AM44" i="63"/>
  <c r="AL44" i="63"/>
  <c r="AJ44" i="63"/>
  <c r="AH44" i="63"/>
  <c r="AG44" i="63"/>
  <c r="AF44" i="63"/>
  <c r="AO43" i="63"/>
  <c r="AN43" i="63"/>
  <c r="AM43" i="63"/>
  <c r="AL43" i="63"/>
  <c r="AK43" i="63"/>
  <c r="AJ43" i="63"/>
  <c r="AI43" i="63"/>
  <c r="AH43" i="63"/>
  <c r="AG43" i="63"/>
  <c r="AF43" i="63"/>
  <c r="AE43" i="63"/>
  <c r="AN42" i="63"/>
  <c r="AM42" i="63"/>
  <c r="AL42" i="63"/>
  <c r="AJ42" i="63"/>
  <c r="AH42" i="63"/>
  <c r="AG42" i="63"/>
  <c r="AF42" i="63"/>
  <c r="AO41" i="63"/>
  <c r="AN41" i="63"/>
  <c r="AM41" i="63"/>
  <c r="AL41" i="63"/>
  <c r="AK41" i="63"/>
  <c r="AJ41" i="63"/>
  <c r="AI41" i="63"/>
  <c r="AH41" i="63"/>
  <c r="AG41" i="63"/>
  <c r="AF41" i="63"/>
  <c r="AE41" i="63"/>
  <c r="AN40" i="63"/>
  <c r="AM40" i="63"/>
  <c r="AL40" i="63"/>
  <c r="AJ40" i="63"/>
  <c r="AH40" i="63"/>
  <c r="AG40" i="63"/>
  <c r="AF40" i="63"/>
  <c r="AO39" i="63"/>
  <c r="AN39" i="63"/>
  <c r="AM39" i="63"/>
  <c r="AL39" i="63"/>
  <c r="AK39" i="63"/>
  <c r="AJ39" i="63"/>
  <c r="AI39" i="63"/>
  <c r="AH39" i="63"/>
  <c r="AG39" i="63"/>
  <c r="AF39" i="63"/>
  <c r="AE39" i="63"/>
  <c r="AN38" i="63"/>
  <c r="AM38" i="63"/>
  <c r="AL38" i="63"/>
  <c r="AJ38" i="63"/>
  <c r="AN37" i="63"/>
  <c r="AM37" i="63"/>
  <c r="AL37" i="63"/>
  <c r="AJ37" i="63"/>
  <c r="AH37" i="63"/>
  <c r="AG37" i="63"/>
  <c r="AF37" i="63"/>
  <c r="AN36" i="63"/>
  <c r="AM36" i="63"/>
  <c r="AL36" i="63"/>
  <c r="AJ36" i="63"/>
  <c r="AH36" i="63"/>
  <c r="AG36" i="63"/>
  <c r="AF36" i="63"/>
  <c r="AN35" i="63"/>
  <c r="AM35" i="63"/>
  <c r="AL35" i="63"/>
  <c r="AH35" i="63"/>
  <c r="AG35" i="63"/>
  <c r="AF35" i="63"/>
  <c r="AN34" i="63"/>
  <c r="AM34" i="63"/>
  <c r="AL34" i="63"/>
  <c r="AJ34" i="63"/>
  <c r="AH34" i="63"/>
  <c r="AG34" i="63"/>
  <c r="AF34" i="63"/>
  <c r="AN33" i="63"/>
  <c r="AM33" i="63"/>
  <c r="AL33" i="63"/>
  <c r="AJ33" i="63"/>
  <c r="AH33" i="63"/>
  <c r="AG33" i="63"/>
  <c r="AF33" i="63"/>
  <c r="AN32" i="63"/>
  <c r="AM32" i="63"/>
  <c r="AL32" i="63"/>
  <c r="AJ32" i="63"/>
  <c r="AH32" i="63"/>
  <c r="AG32" i="63"/>
  <c r="AF32" i="63"/>
  <c r="AN31" i="63"/>
  <c r="AL31" i="63"/>
  <c r="AJ31" i="63"/>
  <c r="AG31" i="63"/>
  <c r="AF31" i="63"/>
  <c r="AN30" i="63"/>
  <c r="AM30" i="63"/>
  <c r="AJ30" i="63"/>
  <c r="AH30" i="63"/>
  <c r="AN29" i="63"/>
  <c r="AM29" i="63"/>
  <c r="AL29" i="63"/>
  <c r="AH29" i="63"/>
  <c r="AG29" i="63"/>
  <c r="AF29" i="63"/>
  <c r="AN28" i="63"/>
  <c r="AM28" i="63"/>
  <c r="AL28" i="63"/>
  <c r="AJ28" i="63"/>
  <c r="AH28" i="63"/>
  <c r="AG28" i="63"/>
  <c r="AF28" i="63"/>
  <c r="AN27" i="63"/>
  <c r="AM27" i="63"/>
  <c r="AL27" i="63"/>
  <c r="AH27" i="63"/>
  <c r="AG27" i="63"/>
  <c r="AF27" i="63"/>
  <c r="AN26" i="63"/>
  <c r="AM26" i="63"/>
  <c r="AL26" i="63"/>
  <c r="AH26" i="63"/>
  <c r="AG26" i="63"/>
  <c r="AF26" i="63"/>
  <c r="AN25" i="63"/>
  <c r="AM25" i="63"/>
  <c r="AL25" i="63"/>
  <c r="AH25" i="63"/>
  <c r="AG25" i="63"/>
  <c r="AF25" i="63"/>
  <c r="AN24" i="63"/>
  <c r="AM24" i="63"/>
  <c r="AL24" i="63"/>
  <c r="AH24" i="63"/>
  <c r="AG24" i="63"/>
  <c r="AF24" i="63"/>
  <c r="AN23" i="63"/>
  <c r="AM23" i="63"/>
  <c r="AL23" i="63"/>
  <c r="AH23" i="63"/>
  <c r="AG23" i="63"/>
  <c r="AO22" i="63"/>
  <c r="AN22" i="63"/>
  <c r="AM22" i="63"/>
  <c r="AL22" i="63"/>
  <c r="AK22" i="63"/>
  <c r="AJ22" i="63"/>
  <c r="AI22" i="63"/>
  <c r="AH22" i="63"/>
  <c r="AG22" i="63"/>
  <c r="AF22" i="63"/>
  <c r="AE22" i="63"/>
  <c r="AN21" i="63"/>
  <c r="AM21" i="63"/>
  <c r="AL21" i="63"/>
  <c r="AJ21" i="63"/>
  <c r="AH21" i="63"/>
  <c r="AG21" i="63"/>
  <c r="AF21" i="63"/>
  <c r="AN20" i="63"/>
  <c r="AM20" i="63"/>
  <c r="AL20" i="63"/>
  <c r="AJ20" i="63"/>
  <c r="AH20" i="63"/>
  <c r="AG20" i="63"/>
  <c r="AF20" i="63"/>
  <c r="AN19" i="63"/>
  <c r="AM19" i="63"/>
  <c r="AL19" i="63"/>
  <c r="AJ19" i="63"/>
  <c r="AH19" i="63"/>
  <c r="AG19" i="63"/>
  <c r="AF19" i="63"/>
  <c r="AN18" i="63"/>
  <c r="AM18" i="63"/>
  <c r="AL18" i="63"/>
  <c r="AJ18" i="63"/>
  <c r="AH18" i="63"/>
  <c r="AG18" i="63"/>
  <c r="AF18" i="63"/>
  <c r="AN17" i="63"/>
  <c r="AM17" i="63"/>
  <c r="AL17" i="63"/>
  <c r="AJ17" i="63"/>
  <c r="AH17" i="63"/>
  <c r="AG17" i="63"/>
  <c r="AF17" i="63"/>
  <c r="AO16" i="63"/>
  <c r="AN16" i="63"/>
  <c r="AM16" i="63"/>
  <c r="AL16" i="63"/>
  <c r="AK16" i="63"/>
  <c r="AJ16" i="63"/>
  <c r="AI16" i="63"/>
  <c r="AH16" i="63"/>
  <c r="AG16" i="63"/>
  <c r="AF16" i="63"/>
  <c r="AE16" i="63"/>
  <c r="AO15" i="63"/>
  <c r="AN15" i="63"/>
  <c r="AM15" i="63"/>
  <c r="AL15" i="63"/>
  <c r="AK15" i="63"/>
  <c r="AJ15" i="63"/>
  <c r="AI15" i="63"/>
  <c r="AH15" i="63"/>
  <c r="AG15" i="63"/>
  <c r="AF15" i="63"/>
  <c r="AE15" i="63"/>
  <c r="AO14" i="63"/>
  <c r="AN14" i="63"/>
  <c r="AM14" i="63"/>
  <c r="AL14" i="63"/>
  <c r="AK14" i="63"/>
  <c r="AJ14" i="63"/>
  <c r="AI14" i="63"/>
  <c r="AH14" i="63"/>
  <c r="AG14" i="63"/>
  <c r="AF14" i="63"/>
  <c r="AE14" i="63"/>
  <c r="AO13" i="63"/>
  <c r="AN13" i="63"/>
  <c r="AM13" i="63"/>
  <c r="AL13" i="63"/>
  <c r="AK13" i="63"/>
  <c r="AJ13" i="63"/>
  <c r="AI13" i="63"/>
  <c r="AH13" i="63"/>
  <c r="AG13" i="63"/>
  <c r="AF13" i="63"/>
  <c r="AE13" i="63"/>
  <c r="AN12" i="63"/>
  <c r="AM12" i="63"/>
  <c r="AL12" i="63"/>
  <c r="AH12" i="63"/>
  <c r="AG12" i="63"/>
  <c r="AF12" i="63"/>
  <c r="AN11" i="63"/>
  <c r="AM11" i="63"/>
  <c r="AL11" i="63"/>
  <c r="AH11" i="63"/>
  <c r="AG11" i="63"/>
  <c r="AF11" i="63"/>
  <c r="AN10" i="63"/>
  <c r="AM10" i="63"/>
  <c r="AL10" i="63"/>
  <c r="AJ10" i="63"/>
  <c r="AH10" i="63"/>
  <c r="AG10" i="63"/>
  <c r="AF10" i="63"/>
  <c r="AN9" i="63"/>
  <c r="AM9" i="63"/>
  <c r="AL9" i="63"/>
  <c r="AH9" i="63"/>
  <c r="AG9" i="63"/>
  <c r="AF9" i="63"/>
  <c r="AN8" i="63"/>
  <c r="AM8" i="63"/>
  <c r="AL8" i="63"/>
  <c r="AJ8" i="63"/>
  <c r="AH8" i="63"/>
  <c r="AG8" i="63"/>
  <c r="AF8" i="63"/>
  <c r="H13" i="94" l="1"/>
  <c r="H12" i="94"/>
  <c r="H11" i="94"/>
  <c r="H10" i="94"/>
  <c r="H9" i="94"/>
  <c r="H8" i="94"/>
  <c r="H7" i="94"/>
  <c r="H5" i="94"/>
  <c r="G15" i="94"/>
  <c r="G17" i="94" s="1"/>
  <c r="F15" i="94"/>
  <c r="F17" i="94" s="1"/>
  <c r="H15" i="94" l="1"/>
  <c r="H17" i="94"/>
  <c r="E5" i="94"/>
  <c r="AI88" i="62" l="1"/>
  <c r="AI64" i="62"/>
  <c r="C5" i="93" l="1"/>
  <c r="D5" i="93"/>
  <c r="E5" i="93" s="1"/>
  <c r="F6" i="93"/>
  <c r="P11" i="93"/>
  <c r="G15" i="93"/>
  <c r="B19" i="93"/>
  <c r="B20" i="93"/>
  <c r="B21" i="93"/>
  <c r="B22" i="93"/>
  <c r="B23" i="93"/>
  <c r="B25" i="93"/>
  <c r="B27" i="93"/>
  <c r="B28" i="93"/>
  <c r="B30" i="93"/>
  <c r="C83" i="93"/>
  <c r="B32" i="93"/>
  <c r="B33" i="93"/>
  <c r="B34" i="93"/>
  <c r="B35" i="93"/>
  <c r="B36" i="93"/>
  <c r="E83" i="93"/>
  <c r="B38" i="93"/>
  <c r="C39" i="93"/>
  <c r="B39" i="93" s="1"/>
  <c r="E39" i="93"/>
  <c r="E40" i="93" s="1"/>
  <c r="E41" i="93" s="1"/>
  <c r="E42" i="93" s="1"/>
  <c r="E43" i="93" s="1"/>
  <c r="E44" i="93" s="1"/>
  <c r="E45" i="93" s="1"/>
  <c r="E46" i="93" s="1"/>
  <c r="E47" i="93" s="1"/>
  <c r="E48" i="93" s="1"/>
  <c r="E49" i="93" s="1"/>
  <c r="E50" i="93" s="1"/>
  <c r="T50" i="93"/>
  <c r="T62" i="93"/>
  <c r="P68" i="93"/>
  <c r="R68" i="93"/>
  <c r="P69" i="93"/>
  <c r="R69" i="93"/>
  <c r="P70" i="93"/>
  <c r="R70" i="93"/>
  <c r="P71" i="93"/>
  <c r="R71" i="93"/>
  <c r="P72" i="93"/>
  <c r="R72" i="93"/>
  <c r="P73" i="93"/>
  <c r="R73" i="93"/>
  <c r="P74" i="93"/>
  <c r="R74" i="93"/>
  <c r="T74" i="93"/>
  <c r="Q75" i="93"/>
  <c r="A87" i="93"/>
  <c r="A92" i="93" s="1"/>
  <c r="A88" i="93"/>
  <c r="A89" i="93"/>
  <c r="B92" i="93"/>
  <c r="R11" i="93" s="1"/>
  <c r="A93" i="93"/>
  <c r="B93" i="93"/>
  <c r="A94" i="93"/>
  <c r="B94" i="93"/>
  <c r="B99" i="93"/>
  <c r="B100" i="93"/>
  <c r="C101" i="93"/>
  <c r="C99" i="93" s="1"/>
  <c r="C100" i="93" s="1"/>
  <c r="C40" i="93" l="1"/>
  <c r="B40" i="93" s="1"/>
  <c r="E82" i="93"/>
  <c r="E92" i="93" s="1"/>
  <c r="B17" i="93"/>
  <c r="G16" i="93"/>
  <c r="G17" i="93" s="1"/>
  <c r="G18" i="93" s="1"/>
  <c r="G19" i="93" s="1"/>
  <c r="I19" i="93" s="1"/>
  <c r="E88" i="93"/>
  <c r="E93" i="93"/>
  <c r="C93" i="93"/>
  <c r="C88" i="93"/>
  <c r="E84" i="93"/>
  <c r="E51" i="93"/>
  <c r="E52" i="93" s="1"/>
  <c r="E53" i="93" s="1"/>
  <c r="E54" i="93" s="1"/>
  <c r="E55" i="93" s="1"/>
  <c r="E56" i="93" s="1"/>
  <c r="E57" i="93" s="1"/>
  <c r="E58" i="93" s="1"/>
  <c r="E59" i="93" s="1"/>
  <c r="E60" i="93" s="1"/>
  <c r="E61" i="93" s="1"/>
  <c r="E62" i="93" s="1"/>
  <c r="E63" i="93" s="1"/>
  <c r="E64" i="93" s="1"/>
  <c r="E65" i="93" s="1"/>
  <c r="E66" i="93" s="1"/>
  <c r="E67" i="93" s="1"/>
  <c r="E68" i="93" s="1"/>
  <c r="B16" i="93"/>
  <c r="B24" i="93"/>
  <c r="B31" i="93"/>
  <c r="C82" i="93"/>
  <c r="I15" i="93"/>
  <c r="B37" i="93"/>
  <c r="B29" i="93"/>
  <c r="B26" i="93"/>
  <c r="B18" i="93"/>
  <c r="B15" i="93"/>
  <c r="G20" i="93" l="1"/>
  <c r="G21" i="93" s="1"/>
  <c r="C41" i="93"/>
  <c r="C42" i="93" s="1"/>
  <c r="I16" i="93"/>
  <c r="E87" i="93"/>
  <c r="I18" i="93"/>
  <c r="I17" i="93"/>
  <c r="E94" i="93"/>
  <c r="E89" i="93"/>
  <c r="C87" i="93"/>
  <c r="C92" i="93"/>
  <c r="N68" i="93"/>
  <c r="E69" i="93"/>
  <c r="D16" i="93"/>
  <c r="D24" i="93"/>
  <c r="D31" i="93"/>
  <c r="D19" i="93"/>
  <c r="D28" i="93"/>
  <c r="D36" i="93"/>
  <c r="D22" i="93"/>
  <c r="D27" i="93"/>
  <c r="D33" i="93"/>
  <c r="D17" i="93"/>
  <c r="D25" i="93"/>
  <c r="D30" i="93"/>
  <c r="D38" i="93"/>
  <c r="D20" i="93"/>
  <c r="D35" i="93"/>
  <c r="D15" i="93"/>
  <c r="F15" i="93" s="1"/>
  <c r="H15" i="93" s="1"/>
  <c r="J15" i="93" s="1"/>
  <c r="K15" i="93" s="1"/>
  <c r="D23" i="93"/>
  <c r="D32" i="93"/>
  <c r="D18" i="93"/>
  <c r="D26" i="93"/>
  <c r="D29" i="93"/>
  <c r="D37" i="93"/>
  <c r="D34" i="93"/>
  <c r="D21" i="93"/>
  <c r="I20" i="93" l="1"/>
  <c r="B41" i="93"/>
  <c r="F16" i="93"/>
  <c r="H16" i="93" s="1"/>
  <c r="J16" i="93" s="1"/>
  <c r="K16" i="93" s="1"/>
  <c r="L16" i="93" s="1"/>
  <c r="L15" i="93"/>
  <c r="G22" i="93"/>
  <c r="I21" i="93"/>
  <c r="N33" i="93"/>
  <c r="O33" i="93" s="1"/>
  <c r="N38" i="93"/>
  <c r="O38" i="93" s="1"/>
  <c r="N27" i="93"/>
  <c r="O27" i="93" s="1"/>
  <c r="E70" i="93"/>
  <c r="N69" i="93"/>
  <c r="B42" i="93"/>
  <c r="C43" i="93"/>
  <c r="N34" i="93"/>
  <c r="O34" i="93" s="1"/>
  <c r="N30" i="93"/>
  <c r="O30" i="93" s="1"/>
  <c r="N37" i="93"/>
  <c r="O37" i="93" s="1"/>
  <c r="N32" i="93"/>
  <c r="O32" i="93" s="1"/>
  <c r="N29" i="93"/>
  <c r="O29" i="93" s="1"/>
  <c r="N35" i="93"/>
  <c r="O35" i="93" s="1"/>
  <c r="N31" i="93"/>
  <c r="O31" i="93" s="1"/>
  <c r="N28" i="93"/>
  <c r="O28" i="93" s="1"/>
  <c r="N36" i="93"/>
  <c r="O36" i="93" s="1"/>
  <c r="F17" i="93" l="1"/>
  <c r="H17" i="93" s="1"/>
  <c r="J17" i="93" s="1"/>
  <c r="K17" i="93" s="1"/>
  <c r="L17" i="93" s="1"/>
  <c r="P27" i="93"/>
  <c r="R27" i="93" s="1"/>
  <c r="N70" i="93"/>
  <c r="E71" i="93"/>
  <c r="B43" i="93"/>
  <c r="C44" i="93"/>
  <c r="G23" i="93"/>
  <c r="I22" i="93"/>
  <c r="F18" i="93" l="1"/>
  <c r="H18" i="93" s="1"/>
  <c r="J18" i="93" s="1"/>
  <c r="K18" i="93" s="1"/>
  <c r="G24" i="93"/>
  <c r="I23" i="93"/>
  <c r="E72" i="93"/>
  <c r="N71" i="93"/>
  <c r="B44" i="93"/>
  <c r="C45" i="93"/>
  <c r="F19" i="93" l="1"/>
  <c r="N72" i="93"/>
  <c r="E73" i="93"/>
  <c r="G25" i="93"/>
  <c r="I24" i="93"/>
  <c r="C46" i="93"/>
  <c r="B45" i="93"/>
  <c r="H19" i="93"/>
  <c r="J19" i="93" s="1"/>
  <c r="K19" i="93" s="1"/>
  <c r="L19" i="93" s="1"/>
  <c r="F20" i="93"/>
  <c r="L18" i="93"/>
  <c r="H20" i="93" l="1"/>
  <c r="J20" i="93" s="1"/>
  <c r="K20" i="93" s="1"/>
  <c r="F21" i="93"/>
  <c r="B46" i="93"/>
  <c r="E74" i="93"/>
  <c r="N74" i="93" s="1"/>
  <c r="N73" i="93"/>
  <c r="G26" i="93"/>
  <c r="I25" i="93"/>
  <c r="C47" i="93"/>
  <c r="B47" i="93" l="1"/>
  <c r="G27" i="93"/>
  <c r="I26" i="93"/>
  <c r="G82" i="93"/>
  <c r="H21" i="93"/>
  <c r="J21" i="93" s="1"/>
  <c r="K21" i="93" s="1"/>
  <c r="L21" i="93" s="1"/>
  <c r="F22" i="93"/>
  <c r="C48" i="93"/>
  <c r="L20" i="93"/>
  <c r="G28" i="93" l="1"/>
  <c r="I27" i="93"/>
  <c r="G87" i="93"/>
  <c r="G92" i="93"/>
  <c r="B48" i="93"/>
  <c r="C49" i="93"/>
  <c r="H22" i="93"/>
  <c r="J22" i="93" s="1"/>
  <c r="K22" i="93" s="1"/>
  <c r="L22" i="93" s="1"/>
  <c r="F23" i="93"/>
  <c r="H23" i="93" l="1"/>
  <c r="J23" i="93" s="1"/>
  <c r="K23" i="93" s="1"/>
  <c r="L23" i="93" s="1"/>
  <c r="F24" i="93"/>
  <c r="C50" i="93"/>
  <c r="C84" i="93" s="1"/>
  <c r="G29" i="93"/>
  <c r="I28" i="93"/>
  <c r="B49" i="93"/>
  <c r="G30" i="93" l="1"/>
  <c r="I29" i="93"/>
  <c r="C94" i="93"/>
  <c r="C89" i="93"/>
  <c r="C51" i="93"/>
  <c r="B50" i="93"/>
  <c r="H24" i="93"/>
  <c r="J24" i="93" s="1"/>
  <c r="K24" i="93" s="1"/>
  <c r="L24" i="93" s="1"/>
  <c r="F25" i="93"/>
  <c r="C52" i="93" l="1"/>
  <c r="H25" i="93"/>
  <c r="J25" i="93" s="1"/>
  <c r="K25" i="93" s="1"/>
  <c r="L25" i="93" s="1"/>
  <c r="F26" i="93"/>
  <c r="B51" i="93"/>
  <c r="D57" i="93"/>
  <c r="D62" i="93"/>
  <c r="D65" i="93"/>
  <c r="D41" i="93"/>
  <c r="D43" i="93"/>
  <c r="D52" i="93"/>
  <c r="D48" i="93"/>
  <c r="D60" i="93"/>
  <c r="D42" i="93"/>
  <c r="D46" i="93"/>
  <c r="D45" i="93"/>
  <c r="D66" i="93"/>
  <c r="D54" i="93"/>
  <c r="D50" i="93"/>
  <c r="D55" i="93"/>
  <c r="D44" i="93"/>
  <c r="D58" i="93"/>
  <c r="D49" i="93"/>
  <c r="D61" i="93"/>
  <c r="D40" i="93"/>
  <c r="D56" i="93"/>
  <c r="D53" i="93"/>
  <c r="D51" i="93"/>
  <c r="D59" i="93"/>
  <c r="D39" i="93"/>
  <c r="D63" i="93"/>
  <c r="D64" i="93"/>
  <c r="D47" i="93"/>
  <c r="G31" i="93"/>
  <c r="I30" i="93"/>
  <c r="N57" i="93" l="1"/>
  <c r="O57" i="93" s="1"/>
  <c r="P57" i="93"/>
  <c r="R57" i="93" s="1"/>
  <c r="N60" i="93"/>
  <c r="O60" i="93" s="1"/>
  <c r="P60" i="93"/>
  <c r="R60" i="93" s="1"/>
  <c r="B52" i="93"/>
  <c r="N39" i="93"/>
  <c r="O39" i="93" s="1"/>
  <c r="P39" i="93"/>
  <c r="P62" i="93"/>
  <c r="R62" i="93" s="1"/>
  <c r="N62" i="93"/>
  <c r="O62" i="93" s="1"/>
  <c r="P59" i="93"/>
  <c r="R59" i="93" s="1"/>
  <c r="N59" i="93"/>
  <c r="O59" i="93" s="1"/>
  <c r="G32" i="93"/>
  <c r="I31" i="93"/>
  <c r="N52" i="93"/>
  <c r="O52" i="93" s="1"/>
  <c r="P52" i="93"/>
  <c r="R52" i="93" s="1"/>
  <c r="H26" i="93"/>
  <c r="J26" i="93" s="1"/>
  <c r="K26" i="93" s="1"/>
  <c r="F27" i="93"/>
  <c r="P63" i="93"/>
  <c r="N63" i="93"/>
  <c r="O63" i="93" s="1"/>
  <c r="N58" i="93"/>
  <c r="O58" i="93" s="1"/>
  <c r="P58" i="93"/>
  <c r="R58" i="93" s="1"/>
  <c r="N48" i="93"/>
  <c r="O48" i="93" s="1"/>
  <c r="P48" i="93"/>
  <c r="R48" i="93" s="1"/>
  <c r="N43" i="93"/>
  <c r="O43" i="93" s="1"/>
  <c r="P43" i="93"/>
  <c r="R43" i="93" s="1"/>
  <c r="N49" i="93"/>
  <c r="O49" i="93" s="1"/>
  <c r="P49" i="93"/>
  <c r="R49" i="93" s="1"/>
  <c r="N42" i="93"/>
  <c r="O42" i="93" s="1"/>
  <c r="P42" i="93"/>
  <c r="R42" i="93" s="1"/>
  <c r="P55" i="93"/>
  <c r="R55" i="93" s="1"/>
  <c r="N55" i="93"/>
  <c r="O55" i="93" s="1"/>
  <c r="P50" i="93"/>
  <c r="R50" i="93" s="1"/>
  <c r="N50" i="93"/>
  <c r="O50" i="93" s="1"/>
  <c r="P54" i="93"/>
  <c r="R54" i="93" s="1"/>
  <c r="N54" i="93"/>
  <c r="O54" i="93" s="1"/>
  <c r="N47" i="93"/>
  <c r="O47" i="93" s="1"/>
  <c r="P47" i="93"/>
  <c r="R47" i="93" s="1"/>
  <c r="N40" i="93"/>
  <c r="O40" i="93" s="1"/>
  <c r="P40" i="93"/>
  <c r="R40" i="93" s="1"/>
  <c r="P66" i="93"/>
  <c r="R66" i="93" s="1"/>
  <c r="N66" i="93"/>
  <c r="O66" i="93" s="1"/>
  <c r="N41" i="93"/>
  <c r="O41" i="93" s="1"/>
  <c r="P41" i="93"/>
  <c r="R41" i="93" s="1"/>
  <c r="N46" i="93"/>
  <c r="O46" i="93" s="1"/>
  <c r="P46" i="93"/>
  <c r="R46" i="93" s="1"/>
  <c r="N44" i="93"/>
  <c r="O44" i="93" s="1"/>
  <c r="P44" i="93"/>
  <c r="R44" i="93" s="1"/>
  <c r="P51" i="93"/>
  <c r="R51" i="93" s="1"/>
  <c r="N51" i="93"/>
  <c r="O51" i="93" s="1"/>
  <c r="N53" i="93"/>
  <c r="O53" i="93" s="1"/>
  <c r="P53" i="93"/>
  <c r="R53" i="93" s="1"/>
  <c r="N56" i="93"/>
  <c r="O56" i="93" s="1"/>
  <c r="P56" i="93"/>
  <c r="R56" i="93" s="1"/>
  <c r="N64" i="93"/>
  <c r="O64" i="93" s="1"/>
  <c r="P64" i="93"/>
  <c r="R64" i="93" s="1"/>
  <c r="N61" i="93"/>
  <c r="O61" i="93" s="1"/>
  <c r="P61" i="93"/>
  <c r="R61" i="93" s="1"/>
  <c r="P45" i="93"/>
  <c r="R45" i="93" s="1"/>
  <c r="N45" i="93"/>
  <c r="O45" i="93" s="1"/>
  <c r="N65" i="93"/>
  <c r="O65" i="93" s="1"/>
  <c r="P65" i="93"/>
  <c r="R65" i="93" s="1"/>
  <c r="C53" i="93"/>
  <c r="R39" i="93" l="1"/>
  <c r="R63" i="93"/>
  <c r="I32" i="93"/>
  <c r="G33" i="93"/>
  <c r="H27" i="93"/>
  <c r="J27" i="93" s="1"/>
  <c r="F28" i="93"/>
  <c r="C54" i="93"/>
  <c r="B53" i="93"/>
  <c r="K27" i="93"/>
  <c r="L26" i="93"/>
  <c r="L82" i="93" s="1"/>
  <c r="K82" i="93"/>
  <c r="C55" i="93" l="1"/>
  <c r="L92" i="93"/>
  <c r="L87" i="93"/>
  <c r="B54" i="93"/>
  <c r="H28" i="93"/>
  <c r="J28" i="93" s="1"/>
  <c r="F29" i="93"/>
  <c r="K87" i="93"/>
  <c r="K92" i="93"/>
  <c r="K28" i="93"/>
  <c r="L27" i="93"/>
  <c r="P26" i="93"/>
  <c r="G34" i="93"/>
  <c r="I33" i="93"/>
  <c r="H29" i="93" l="1"/>
  <c r="J29" i="93" s="1"/>
  <c r="F30" i="93"/>
  <c r="B55" i="93"/>
  <c r="L28" i="93"/>
  <c r="K29" i="93"/>
  <c r="G35" i="93"/>
  <c r="I34" i="93"/>
  <c r="C56" i="93"/>
  <c r="I35" i="93" l="1"/>
  <c r="G36" i="93"/>
  <c r="H30" i="93"/>
  <c r="J30" i="93" s="1"/>
  <c r="F31" i="93"/>
  <c r="K30" i="93"/>
  <c r="L29" i="93"/>
  <c r="B56" i="93"/>
  <c r="C57" i="93"/>
  <c r="H31" i="93" l="1"/>
  <c r="J31" i="93" s="1"/>
  <c r="F32" i="93"/>
  <c r="G37" i="93"/>
  <c r="I36" i="93"/>
  <c r="L30" i="93"/>
  <c r="K31" i="93"/>
  <c r="C58" i="93"/>
  <c r="B57" i="93"/>
  <c r="L31" i="93" l="1"/>
  <c r="K32" i="93"/>
  <c r="C59" i="93"/>
  <c r="G38" i="93"/>
  <c r="I37" i="93"/>
  <c r="H32" i="93"/>
  <c r="J32" i="93" s="1"/>
  <c r="F33" i="93"/>
  <c r="B58" i="93"/>
  <c r="B59" i="93" l="1"/>
  <c r="G39" i="93"/>
  <c r="I38" i="93"/>
  <c r="G83" i="93"/>
  <c r="C60" i="93"/>
  <c r="H33" i="93"/>
  <c r="J33" i="93" s="1"/>
  <c r="F34" i="93"/>
  <c r="K33" i="93"/>
  <c r="L32" i="93"/>
  <c r="G88" i="93" l="1"/>
  <c r="G93" i="93"/>
  <c r="C61" i="93"/>
  <c r="I39" i="93"/>
  <c r="G40" i="93"/>
  <c r="L33" i="93"/>
  <c r="K34" i="93"/>
  <c r="H34" i="93"/>
  <c r="J34" i="93" s="1"/>
  <c r="F35" i="93"/>
  <c r="B60" i="93"/>
  <c r="G41" i="93" l="1"/>
  <c r="I40" i="93"/>
  <c r="C62" i="93"/>
  <c r="K35" i="93"/>
  <c r="L34" i="93"/>
  <c r="B61" i="93"/>
  <c r="H35" i="93"/>
  <c r="J35" i="93" s="1"/>
  <c r="F36" i="93"/>
  <c r="C63" i="93" l="1"/>
  <c r="K36" i="93"/>
  <c r="L35" i="93"/>
  <c r="H36" i="93"/>
  <c r="J36" i="93" s="1"/>
  <c r="F37" i="93"/>
  <c r="B62" i="93"/>
  <c r="G42" i="93"/>
  <c r="I41" i="93"/>
  <c r="H37" i="93" l="1"/>
  <c r="J37" i="93" s="1"/>
  <c r="F38" i="93"/>
  <c r="L36" i="93"/>
  <c r="K37" i="93"/>
  <c r="C64" i="93"/>
  <c r="G43" i="93"/>
  <c r="I42" i="93"/>
  <c r="B63" i="93"/>
  <c r="G44" i="93" l="1"/>
  <c r="I43" i="93"/>
  <c r="C65" i="93"/>
  <c r="B64" i="93"/>
  <c r="H38" i="93"/>
  <c r="J38" i="93" s="1"/>
  <c r="F39" i="93"/>
  <c r="K38" i="93"/>
  <c r="L37" i="93"/>
  <c r="B65" i="93" l="1"/>
  <c r="C66" i="93"/>
  <c r="K39" i="93"/>
  <c r="L38" i="93"/>
  <c r="L83" i="93" s="1"/>
  <c r="Q38" i="93"/>
  <c r="K83" i="93"/>
  <c r="H39" i="93"/>
  <c r="J39" i="93" s="1"/>
  <c r="F40" i="93"/>
  <c r="G45" i="93"/>
  <c r="I44" i="93"/>
  <c r="G46" i="93" l="1"/>
  <c r="I45" i="93"/>
  <c r="L88" i="93"/>
  <c r="L93" i="93"/>
  <c r="C67" i="93"/>
  <c r="S38" i="93"/>
  <c r="K40" i="93"/>
  <c r="L39" i="93"/>
  <c r="H40" i="93"/>
  <c r="J40" i="93" s="1"/>
  <c r="F41" i="93"/>
  <c r="B66" i="93"/>
  <c r="K88" i="93"/>
  <c r="K93" i="93"/>
  <c r="T38" i="93" l="1"/>
  <c r="H41" i="93"/>
  <c r="J41" i="93" s="1"/>
  <c r="F42" i="93"/>
  <c r="B67" i="93"/>
  <c r="C68" i="93"/>
  <c r="K41" i="93"/>
  <c r="L40" i="93"/>
  <c r="G47" i="93"/>
  <c r="I46" i="93"/>
  <c r="B68" i="93" l="1"/>
  <c r="B69" i="93" s="1"/>
  <c r="B70" i="93" s="1"/>
  <c r="B71" i="93" s="1"/>
  <c r="B72" i="93" s="1"/>
  <c r="B73" i="93" s="1"/>
  <c r="B74" i="93" s="1"/>
  <c r="L41" i="93"/>
  <c r="K42" i="93"/>
  <c r="C69" i="93"/>
  <c r="G48" i="93"/>
  <c r="I47" i="93"/>
  <c r="H42" i="93"/>
  <c r="J42" i="93" s="1"/>
  <c r="F43" i="93"/>
  <c r="C70" i="93" l="1"/>
  <c r="G49" i="93"/>
  <c r="I48" i="93"/>
  <c r="H43" i="93"/>
  <c r="J43" i="93" s="1"/>
  <c r="F44" i="93"/>
  <c r="L42" i="93"/>
  <c r="K43" i="93"/>
  <c r="G50" i="93" l="1"/>
  <c r="I49" i="93"/>
  <c r="H44" i="93"/>
  <c r="J44" i="93" s="1"/>
  <c r="F45" i="93"/>
  <c r="C71" i="93"/>
  <c r="K44" i="93"/>
  <c r="L43" i="93"/>
  <c r="G51" i="93" l="1"/>
  <c r="I50" i="93"/>
  <c r="G84" i="93"/>
  <c r="C72" i="93"/>
  <c r="H45" i="93"/>
  <c r="J45" i="93" s="1"/>
  <c r="F46" i="93"/>
  <c r="K45" i="93"/>
  <c r="L44" i="93"/>
  <c r="H46" i="93" l="1"/>
  <c r="J46" i="93" s="1"/>
  <c r="F47" i="93"/>
  <c r="G94" i="93"/>
  <c r="G89" i="93"/>
  <c r="C73" i="93"/>
  <c r="G52" i="93"/>
  <c r="I51" i="93"/>
  <c r="K46" i="93"/>
  <c r="L45" i="93"/>
  <c r="G53" i="93" l="1"/>
  <c r="I52" i="93"/>
  <c r="C74" i="93"/>
  <c r="K47" i="93"/>
  <c r="L46" i="93"/>
  <c r="H47" i="93"/>
  <c r="J47" i="93" s="1"/>
  <c r="F48" i="93"/>
  <c r="H48" i="93" l="1"/>
  <c r="J48" i="93" s="1"/>
  <c r="F49" i="93"/>
  <c r="L47" i="93"/>
  <c r="K48" i="93"/>
  <c r="G54" i="93"/>
  <c r="I53" i="93"/>
  <c r="G55" i="93" l="1"/>
  <c r="I54" i="93"/>
  <c r="K49" i="93"/>
  <c r="L48" i="93"/>
  <c r="H49" i="93"/>
  <c r="J49" i="93" s="1"/>
  <c r="F50" i="93"/>
  <c r="H50" i="93" l="1"/>
  <c r="J50" i="93" s="1"/>
  <c r="F51" i="93"/>
  <c r="K50" i="93"/>
  <c r="L49" i="93"/>
  <c r="G56" i="93"/>
  <c r="I55" i="93"/>
  <c r="G57" i="93" l="1"/>
  <c r="I56" i="93"/>
  <c r="H51" i="93"/>
  <c r="J51" i="93" s="1"/>
  <c r="F52" i="93"/>
  <c r="L50" i="93"/>
  <c r="L84" i="93" s="1"/>
  <c r="K51" i="93"/>
  <c r="K84" i="93"/>
  <c r="L89" i="93" l="1"/>
  <c r="L94" i="93"/>
  <c r="L51" i="93"/>
  <c r="K52" i="93"/>
  <c r="K94" i="93"/>
  <c r="K89" i="93"/>
  <c r="F53" i="93"/>
  <c r="H52" i="93"/>
  <c r="J52" i="93" s="1"/>
  <c r="G58" i="93"/>
  <c r="I57" i="93"/>
  <c r="F54" i="93" l="1"/>
  <c r="H53" i="93"/>
  <c r="J53" i="93" s="1"/>
  <c r="L52" i="93"/>
  <c r="K53" i="93"/>
  <c r="G59" i="93"/>
  <c r="I58" i="93"/>
  <c r="G60" i="93" l="1"/>
  <c r="I59" i="93"/>
  <c r="K54" i="93"/>
  <c r="L53" i="93"/>
  <c r="F55" i="93"/>
  <c r="H54" i="93"/>
  <c r="J54" i="93" s="1"/>
  <c r="F56" i="93" l="1"/>
  <c r="H55" i="93"/>
  <c r="J55" i="93" s="1"/>
  <c r="K55" i="93"/>
  <c r="L54" i="93"/>
  <c r="G61" i="93"/>
  <c r="I60" i="93"/>
  <c r="G62" i="93" l="1"/>
  <c r="I61" i="93"/>
  <c r="K56" i="93"/>
  <c r="L55" i="93"/>
  <c r="F57" i="93"/>
  <c r="H56" i="93"/>
  <c r="J56" i="93" s="1"/>
  <c r="F58" i="93" l="1"/>
  <c r="H57" i="93"/>
  <c r="J57" i="93" s="1"/>
  <c r="L56" i="93"/>
  <c r="K57" i="93"/>
  <c r="G63" i="93"/>
  <c r="I62" i="93"/>
  <c r="G64" i="93" l="1"/>
  <c r="I63" i="93"/>
  <c r="K58" i="93"/>
  <c r="L57" i="93"/>
  <c r="F59" i="93"/>
  <c r="H58" i="93"/>
  <c r="J58" i="93" s="1"/>
  <c r="K59" i="93" l="1"/>
  <c r="L58" i="93"/>
  <c r="F60" i="93"/>
  <c r="H59" i="93"/>
  <c r="J59" i="93" s="1"/>
  <c r="G65" i="93"/>
  <c r="I64" i="93"/>
  <c r="G66" i="93" l="1"/>
  <c r="I65" i="93"/>
  <c r="F61" i="93"/>
  <c r="H60" i="93"/>
  <c r="J60" i="93" s="1"/>
  <c r="L59" i="93"/>
  <c r="K60" i="93"/>
  <c r="K61" i="93" l="1"/>
  <c r="L60" i="93"/>
  <c r="F62" i="93"/>
  <c r="H61" i="93"/>
  <c r="J61" i="93" s="1"/>
  <c r="G67" i="93"/>
  <c r="I66" i="93"/>
  <c r="G68" i="93" l="1"/>
  <c r="I67" i="93"/>
  <c r="F63" i="93"/>
  <c r="H62" i="93"/>
  <c r="J62" i="93" s="1"/>
  <c r="K62" i="93"/>
  <c r="L61" i="93"/>
  <c r="F64" i="93" l="1"/>
  <c r="H63" i="93"/>
  <c r="J63" i="93" s="1"/>
  <c r="K63" i="93"/>
  <c r="L62" i="93"/>
  <c r="G69" i="93"/>
  <c r="I68" i="93"/>
  <c r="J68" i="93" s="1"/>
  <c r="G70" i="93" l="1"/>
  <c r="I69" i="93"/>
  <c r="J69" i="93" s="1"/>
  <c r="K64" i="93"/>
  <c r="L63" i="93"/>
  <c r="F65" i="93"/>
  <c r="H64" i="93"/>
  <c r="J64" i="93" s="1"/>
  <c r="G71" i="93" l="1"/>
  <c r="I70" i="93"/>
  <c r="J70" i="93" s="1"/>
  <c r="L64" i="93"/>
  <c r="K65" i="93"/>
  <c r="F66" i="93"/>
  <c r="H65" i="93"/>
  <c r="J65" i="93" s="1"/>
  <c r="H66" i="93" l="1"/>
  <c r="J66" i="93" s="1"/>
  <c r="D67" i="93"/>
  <c r="K66" i="93"/>
  <c r="L65" i="93"/>
  <c r="G72" i="93"/>
  <c r="I71" i="93"/>
  <c r="J71" i="93" s="1"/>
  <c r="G73" i="93" l="1"/>
  <c r="I72" i="93"/>
  <c r="J72" i="93" s="1"/>
  <c r="L66" i="93"/>
  <c r="N67" i="93"/>
  <c r="O67" i="93" s="1"/>
  <c r="K67" i="93" s="1"/>
  <c r="F67" i="93"/>
  <c r="H67" i="93" s="1"/>
  <c r="J67" i="93" s="1"/>
  <c r="P67" i="93"/>
  <c r="P75" i="93" l="1"/>
  <c r="O11" i="93"/>
  <c r="L67" i="93"/>
  <c r="R67" i="93"/>
  <c r="G74" i="93"/>
  <c r="I74" i="93" s="1"/>
  <c r="J74" i="93" s="1"/>
  <c r="I73" i="93"/>
  <c r="J73" i="93" s="1"/>
  <c r="R75" i="93" l="1"/>
  <c r="O68" i="93"/>
  <c r="K68" i="93" s="1"/>
  <c r="O69" i="93"/>
  <c r="O70" i="93"/>
  <c r="O71" i="93"/>
  <c r="O72" i="93"/>
  <c r="O73" i="93"/>
  <c r="O74" i="93"/>
  <c r="K69" i="93" l="1"/>
  <c r="L68" i="93"/>
  <c r="L69" i="93" l="1"/>
  <c r="K70" i="93"/>
  <c r="L70" i="93" l="1"/>
  <c r="K71" i="93"/>
  <c r="L71" i="93" l="1"/>
  <c r="K72" i="93"/>
  <c r="K73" i="93" l="1"/>
  <c r="L72" i="93"/>
  <c r="L73" i="93" l="1"/>
  <c r="K74" i="93"/>
  <c r="L74" i="93" s="1"/>
  <c r="AF23" i="63" l="1"/>
  <c r="A7" i="62" l="1"/>
  <c r="A8" i="62" s="1"/>
  <c r="AH8" i="62"/>
  <c r="D11" i="62"/>
  <c r="E11" i="62"/>
  <c r="F11" i="62"/>
  <c r="J11" i="62"/>
  <c r="K11" i="62"/>
  <c r="L11" i="62"/>
  <c r="A12" i="62"/>
  <c r="A13" i="62"/>
  <c r="A15" i="62"/>
  <c r="A17" i="62"/>
  <c r="AB18" i="62"/>
  <c r="A19" i="62"/>
  <c r="D20" i="62"/>
  <c r="E20" i="62"/>
  <c r="F20" i="62"/>
  <c r="J20" i="62"/>
  <c r="J36" i="62" s="1"/>
  <c r="K20" i="62"/>
  <c r="L20" i="62"/>
  <c r="L36" i="62" s="1"/>
  <c r="A21" i="62"/>
  <c r="D29" i="62"/>
  <c r="G34" i="62"/>
  <c r="G35" i="62"/>
  <c r="A37" i="62"/>
  <c r="A41" i="62"/>
  <c r="A43" i="62"/>
  <c r="D48" i="62"/>
  <c r="E48" i="62"/>
  <c r="F48" i="62"/>
  <c r="J48" i="62"/>
  <c r="K48" i="62"/>
  <c r="L48" i="62"/>
  <c r="D50" i="62"/>
  <c r="E50" i="62"/>
  <c r="F50" i="62"/>
  <c r="J50" i="62"/>
  <c r="K50" i="62"/>
  <c r="L50" i="62"/>
  <c r="D56" i="62"/>
  <c r="D59" i="62" s="1"/>
  <c r="A60" i="62"/>
  <c r="D64" i="62"/>
  <c r="A68" i="62"/>
  <c r="M70" i="62"/>
  <c r="M71" i="62"/>
  <c r="D72" i="62"/>
  <c r="D88" i="62" s="1"/>
  <c r="M72" i="62"/>
  <c r="M73" i="62"/>
  <c r="M74" i="62"/>
  <c r="I75" i="62"/>
  <c r="J75" i="62"/>
  <c r="K75" i="62"/>
  <c r="L75" i="62"/>
  <c r="A76" i="62"/>
  <c r="M78" i="62"/>
  <c r="M79" i="62"/>
  <c r="M80" i="62"/>
  <c r="M81" i="62"/>
  <c r="AL81" i="62" s="1"/>
  <c r="M82" i="62"/>
  <c r="D83" i="62"/>
  <c r="E83" i="62"/>
  <c r="F83" i="62"/>
  <c r="I83" i="62"/>
  <c r="J83" i="62"/>
  <c r="K83" i="62"/>
  <c r="L83" i="62"/>
  <c r="A84" i="62"/>
  <c r="D86" i="62"/>
  <c r="E86" i="62"/>
  <c r="E94" i="62" s="1"/>
  <c r="F86" i="62"/>
  <c r="F94" i="62" s="1"/>
  <c r="D87" i="62"/>
  <c r="E87" i="62"/>
  <c r="E95" i="62" s="1"/>
  <c r="F87" i="62"/>
  <c r="F88" i="62"/>
  <c r="D89" i="62"/>
  <c r="D97" i="62" s="1"/>
  <c r="E89" i="62"/>
  <c r="E97" i="62" s="1"/>
  <c r="D90" i="62"/>
  <c r="D98" i="62" s="1"/>
  <c r="E90" i="62"/>
  <c r="E98" i="62" s="1"/>
  <c r="F90" i="62"/>
  <c r="F98" i="62" s="1"/>
  <c r="A92" i="62"/>
  <c r="J94" i="62"/>
  <c r="K94" i="62"/>
  <c r="L94" i="62"/>
  <c r="J95" i="62"/>
  <c r="K95" i="62"/>
  <c r="L95" i="62"/>
  <c r="L96" i="62"/>
  <c r="J97" i="62"/>
  <c r="K97" i="62"/>
  <c r="J98" i="62"/>
  <c r="K98" i="62"/>
  <c r="L98" i="62"/>
  <c r="A100" i="62"/>
  <c r="A113" i="62"/>
  <c r="G18" i="62" l="1"/>
  <c r="AF18" i="62" s="1"/>
  <c r="D36" i="62"/>
  <c r="K36" i="62"/>
  <c r="D67" i="62"/>
  <c r="D46" i="62" s="1"/>
  <c r="D94" i="62"/>
  <c r="F95" i="62"/>
  <c r="M75" i="62"/>
  <c r="D45" i="62"/>
  <c r="D75" i="62"/>
  <c r="C20" i="62"/>
  <c r="AB20" i="62" s="1"/>
  <c r="F96" i="62"/>
  <c r="M83" i="62"/>
  <c r="AL83" i="62" s="1"/>
  <c r="D91" i="62"/>
  <c r="D95" i="62"/>
  <c r="D96" i="62"/>
  <c r="D38" i="62"/>
  <c r="A9" i="62"/>
  <c r="A10" i="62" s="1"/>
  <c r="A11" i="62" s="1"/>
  <c r="M8" i="62"/>
  <c r="AL8" i="62" s="1"/>
  <c r="I18" i="62" l="1"/>
  <c r="AH18" i="62" s="1"/>
  <c r="G20" i="62"/>
  <c r="AF20" i="62" s="1"/>
  <c r="D99" i="62"/>
  <c r="D47" i="62"/>
  <c r="A14" i="62"/>
  <c r="A16" i="62" s="1"/>
  <c r="I20" i="62" l="1"/>
  <c r="AH20" i="62" s="1"/>
  <c r="M18" i="62"/>
  <c r="AL18" i="62" s="1"/>
  <c r="D104" i="62"/>
  <c r="D49" i="62"/>
  <c r="A18" i="62"/>
  <c r="A20" i="62" s="1"/>
  <c r="A135" i="12"/>
  <c r="A139" i="12"/>
  <c r="A120" i="12"/>
  <c r="A125" i="12"/>
  <c r="C110" i="12"/>
  <c r="D110" i="12"/>
  <c r="E110" i="12"/>
  <c r="F110" i="12"/>
  <c r="G110" i="12"/>
  <c r="H110" i="12"/>
  <c r="I110" i="12"/>
  <c r="J110" i="12"/>
  <c r="K110" i="12"/>
  <c r="L110" i="12"/>
  <c r="M110" i="12"/>
  <c r="M20" i="62" l="1"/>
  <c r="AL20" i="62" s="1"/>
  <c r="D51" i="62"/>
  <c r="A22" i="62"/>
  <c r="D50" i="91"/>
  <c r="D105" i="62" l="1"/>
  <c r="D40" i="62"/>
  <c r="A23" i="62"/>
  <c r="BC19" i="42"/>
  <c r="BC18" i="42"/>
  <c r="BC7" i="42"/>
  <c r="BC6" i="42"/>
  <c r="AX19" i="42"/>
  <c r="AX18" i="42"/>
  <c r="AX7" i="42"/>
  <c r="AX6" i="42"/>
  <c r="AS19" i="42"/>
  <c r="AS18" i="42"/>
  <c r="AS7" i="42"/>
  <c r="AS6" i="42"/>
  <c r="AN19" i="42"/>
  <c r="AN18" i="42"/>
  <c r="AN7" i="42"/>
  <c r="AN6" i="42"/>
  <c r="AI19" i="42"/>
  <c r="AI18" i="42"/>
  <c r="AI7" i="42"/>
  <c r="AI6" i="42"/>
  <c r="AD19" i="42"/>
  <c r="AD18" i="42"/>
  <c r="AD7" i="42"/>
  <c r="AD6" i="42"/>
  <c r="Y19" i="42"/>
  <c r="Y18" i="42"/>
  <c r="Y7" i="42"/>
  <c r="Y6" i="42"/>
  <c r="T19" i="42"/>
  <c r="T18" i="42"/>
  <c r="T7" i="42"/>
  <c r="T6" i="42"/>
  <c r="O19" i="42"/>
  <c r="O18" i="42"/>
  <c r="O7" i="42"/>
  <c r="O6" i="42"/>
  <c r="J19" i="42"/>
  <c r="J18" i="42"/>
  <c r="J7" i="42"/>
  <c r="J6" i="42"/>
  <c r="E19" i="42"/>
  <c r="E18" i="42"/>
  <c r="E7" i="42"/>
  <c r="E6" i="42"/>
  <c r="BB10" i="42"/>
  <c r="BA10" i="42"/>
  <c r="BB9" i="42"/>
  <c r="BB21" i="42" s="1"/>
  <c r="BA9" i="42"/>
  <c r="BB8" i="42"/>
  <c r="BA8" i="42"/>
  <c r="BB7" i="42"/>
  <c r="BB19" i="42" s="1"/>
  <c r="BA7" i="42"/>
  <c r="BA19" i="42" s="1"/>
  <c r="BA21" i="42"/>
  <c r="AW10" i="42"/>
  <c r="AV10" i="42"/>
  <c r="AW9" i="42"/>
  <c r="AW21" i="42" s="1"/>
  <c r="AV9" i="42"/>
  <c r="AV21" i="42" s="1"/>
  <c r="AW8" i="42"/>
  <c r="AW20" i="42" s="1"/>
  <c r="AV8" i="42"/>
  <c r="AV20" i="42" s="1"/>
  <c r="AW7" i="42"/>
  <c r="AW19" i="42" s="1"/>
  <c r="AV7" i="42"/>
  <c r="AV19" i="42" s="1"/>
  <c r="AR10" i="42"/>
  <c r="AR22" i="42" s="1"/>
  <c r="AQ10" i="42"/>
  <c r="AR9" i="42"/>
  <c r="AR21" i="42" s="1"/>
  <c r="AQ9" i="42"/>
  <c r="AR8" i="42"/>
  <c r="AR20" i="42" s="1"/>
  <c r="AQ8" i="42"/>
  <c r="AQ20" i="42" s="1"/>
  <c r="AR7" i="42"/>
  <c r="AR19" i="42" s="1"/>
  <c r="AQ7" i="42"/>
  <c r="AM10" i="42"/>
  <c r="AM22" i="42" s="1"/>
  <c r="AL10" i="42"/>
  <c r="AM9" i="42"/>
  <c r="AL9" i="42"/>
  <c r="AL21" i="42" s="1"/>
  <c r="AM8" i="42"/>
  <c r="AL8" i="42"/>
  <c r="AL20" i="42" s="1"/>
  <c r="AM7" i="42"/>
  <c r="AM19" i="42" s="1"/>
  <c r="AL7" i="42"/>
  <c r="AL19" i="42" s="1"/>
  <c r="AM21" i="42"/>
  <c r="AH10" i="42"/>
  <c r="AH22" i="42" s="1"/>
  <c r="AG10" i="42"/>
  <c r="AG22" i="42" s="1"/>
  <c r="AH9" i="42"/>
  <c r="AH21" i="42" s="1"/>
  <c r="AG9" i="42"/>
  <c r="AG21" i="42" s="1"/>
  <c r="AH8" i="42"/>
  <c r="AH20" i="42" s="1"/>
  <c r="AG8" i="42"/>
  <c r="AG20" i="42" s="1"/>
  <c r="AH7" i="42"/>
  <c r="AH19" i="42" s="1"/>
  <c r="AG7" i="42"/>
  <c r="AG19" i="42"/>
  <c r="AC10" i="42"/>
  <c r="AC22" i="42" s="1"/>
  <c r="AB10" i="42"/>
  <c r="AC9" i="42"/>
  <c r="AB9" i="42"/>
  <c r="AB21" i="42" s="1"/>
  <c r="AC8" i="42"/>
  <c r="AC20" i="42" s="1"/>
  <c r="AB8" i="42"/>
  <c r="AC7" i="42"/>
  <c r="AC19" i="42" s="1"/>
  <c r="AB7" i="42"/>
  <c r="AB19" i="42" s="1"/>
  <c r="AC21" i="42"/>
  <c r="X10" i="42"/>
  <c r="X22" i="42" s="1"/>
  <c r="W10" i="42"/>
  <c r="X9" i="42"/>
  <c r="X21" i="42" s="1"/>
  <c r="W9" i="42"/>
  <c r="W21" i="42" s="1"/>
  <c r="X8" i="42"/>
  <c r="W8" i="42"/>
  <c r="X7" i="42"/>
  <c r="X19" i="42" s="1"/>
  <c r="W7" i="42"/>
  <c r="W19" i="42" s="1"/>
  <c r="X20" i="42"/>
  <c r="S10" i="42"/>
  <c r="S22" i="42" s="1"/>
  <c r="R10" i="42"/>
  <c r="S9" i="42"/>
  <c r="S21" i="42" s="1"/>
  <c r="R9" i="42"/>
  <c r="R21" i="42" s="1"/>
  <c r="S8" i="42"/>
  <c r="S20" i="42" s="1"/>
  <c r="R8" i="42"/>
  <c r="S7" i="42"/>
  <c r="S19" i="42" s="1"/>
  <c r="R7" i="42"/>
  <c r="R19" i="42" s="1"/>
  <c r="N10" i="42"/>
  <c r="M10" i="42"/>
  <c r="N9" i="42"/>
  <c r="M9" i="42"/>
  <c r="N8" i="42"/>
  <c r="N20" i="42" s="1"/>
  <c r="M8" i="42"/>
  <c r="N7" i="42"/>
  <c r="N19" i="42" s="1"/>
  <c r="M7" i="42"/>
  <c r="M19" i="42" s="1"/>
  <c r="N21" i="42"/>
  <c r="M21" i="42"/>
  <c r="I10" i="42"/>
  <c r="I22" i="42" s="1"/>
  <c r="H10" i="42"/>
  <c r="H22" i="42" s="1"/>
  <c r="I9" i="42"/>
  <c r="H9" i="42"/>
  <c r="I8" i="42"/>
  <c r="I20" i="42" s="1"/>
  <c r="H8" i="42"/>
  <c r="H20" i="42" s="1"/>
  <c r="I7" i="42"/>
  <c r="I19" i="42" s="1"/>
  <c r="H7" i="42"/>
  <c r="H19" i="42" s="1"/>
  <c r="I21" i="42"/>
  <c r="H21" i="42"/>
  <c r="D10" i="42"/>
  <c r="D22" i="42" s="1"/>
  <c r="C10" i="42"/>
  <c r="C22" i="42" s="1"/>
  <c r="D9" i="42"/>
  <c r="D21" i="42" s="1"/>
  <c r="C9" i="42"/>
  <c r="D8" i="42"/>
  <c r="D20" i="42" s="1"/>
  <c r="C8" i="42"/>
  <c r="C20" i="42" s="1"/>
  <c r="D7" i="42"/>
  <c r="C7" i="42"/>
  <c r="C19" i="42" s="1"/>
  <c r="BB22" i="42"/>
  <c r="BA22" i="42"/>
  <c r="BB20" i="42"/>
  <c r="BA20" i="42"/>
  <c r="AW22" i="42"/>
  <c r="AV22" i="42"/>
  <c r="AQ22" i="42"/>
  <c r="AQ19" i="42"/>
  <c r="AM20" i="42"/>
  <c r="AB22" i="42"/>
  <c r="AB20" i="42"/>
  <c r="W22" i="42"/>
  <c r="W20" i="42"/>
  <c r="R22" i="42"/>
  <c r="R20" i="42"/>
  <c r="N22" i="42"/>
  <c r="M22" i="42"/>
  <c r="M20" i="42"/>
  <c r="C21" i="42"/>
  <c r="D19" i="42"/>
  <c r="A24" i="62" l="1"/>
  <c r="AQ21" i="42"/>
  <c r="AL22" i="42"/>
  <c r="A25" i="62" l="1"/>
  <c r="A26" i="62" s="1"/>
  <c r="A27" i="62" s="1"/>
  <c r="A28" i="62" s="1"/>
  <c r="A29" i="62" s="1"/>
  <c r="A30" i="62" s="1"/>
  <c r="A31" i="62" s="1"/>
  <c r="A32" i="62" s="1"/>
  <c r="A33" i="62" s="1"/>
  <c r="A34" i="62" s="1"/>
  <c r="A35" i="62" s="1"/>
  <c r="A36" i="62" s="1"/>
  <c r="A38" i="62" s="1"/>
  <c r="A39" i="62" s="1"/>
  <c r="A40" i="62" s="1"/>
  <c r="A42" i="62" s="1"/>
  <c r="A44" i="62" s="1"/>
  <c r="A45" i="62" s="1"/>
  <c r="A46" i="62" s="1"/>
  <c r="A47" i="62" s="1"/>
  <c r="A48" i="62" s="1"/>
  <c r="A49" i="62" s="1"/>
  <c r="A50" i="62" s="1"/>
  <c r="A51" i="62" s="1"/>
  <c r="A52" i="62" s="1"/>
  <c r="A53" i="62" s="1"/>
  <c r="A54" i="62" s="1"/>
  <c r="A55" i="62" s="1"/>
  <c r="A56" i="62" s="1"/>
  <c r="A57" i="62" s="1"/>
  <c r="A58" i="62" s="1"/>
  <c r="A59" i="62" s="1"/>
  <c r="A61" i="62" s="1"/>
  <c r="A62" i="62" s="1"/>
  <c r="A63" i="62" s="1"/>
  <c r="A64" i="62" s="1"/>
  <c r="A65" i="62" s="1"/>
  <c r="A66" i="62" s="1"/>
  <c r="A67" i="62" s="1"/>
  <c r="A69" i="62" s="1"/>
  <c r="A70" i="62" s="1"/>
  <c r="A71" i="62" s="1"/>
  <c r="A72" i="62" s="1"/>
  <c r="A73" i="62" s="1"/>
  <c r="A74" i="62" s="1"/>
  <c r="A75" i="62" s="1"/>
  <c r="A77" i="62" s="1"/>
  <c r="A78" i="62" s="1"/>
  <c r="A79" i="62" s="1"/>
  <c r="A80" i="62" s="1"/>
  <c r="A81" i="62" s="1"/>
  <c r="A82" i="62" s="1"/>
  <c r="A83" i="62" s="1"/>
  <c r="A85" i="62" s="1"/>
  <c r="A86" i="62" s="1"/>
  <c r="A87" i="62" s="1"/>
  <c r="A88" i="62" s="1"/>
  <c r="A89" i="62" s="1"/>
  <c r="A90" i="62" s="1"/>
  <c r="A91" i="62" s="1"/>
  <c r="A93" i="62" s="1"/>
  <c r="A94" i="62" s="1"/>
  <c r="A95" i="62" s="1"/>
  <c r="A96" i="62" s="1"/>
  <c r="A97" i="62" s="1"/>
  <c r="A98" i="62" s="1"/>
  <c r="A99" i="62" s="1"/>
  <c r="A101" i="62" s="1"/>
  <c r="A102" i="62" s="1"/>
  <c r="A103" i="62" s="1"/>
  <c r="A104" i="62" s="1"/>
  <c r="A105" i="62" s="1"/>
  <c r="A106" i="62" s="1"/>
  <c r="A107" i="62" s="1"/>
  <c r="A108" i="62" s="1"/>
  <c r="A109" i="62" s="1"/>
  <c r="A110" i="62" s="1"/>
  <c r="A111" i="62" s="1"/>
  <c r="A112" i="62" s="1"/>
  <c r="BD24" i="42"/>
  <c r="BD7" i="42"/>
  <c r="BD6" i="42"/>
  <c r="AY24" i="42"/>
  <c r="AY7" i="42"/>
  <c r="AT24" i="42"/>
  <c r="AT7" i="42"/>
  <c r="AO24" i="42"/>
  <c r="AO7" i="42"/>
  <c r="AO6" i="42"/>
  <c r="AJ24" i="42"/>
  <c r="AJ7" i="42"/>
  <c r="AJ6" i="42"/>
  <c r="AE24" i="42"/>
  <c r="AE7" i="42"/>
  <c r="Z24" i="42"/>
  <c r="Z7" i="42"/>
  <c r="U24" i="42"/>
  <c r="U7" i="42"/>
  <c r="U6" i="42"/>
  <c r="P24" i="42"/>
  <c r="P7" i="42"/>
  <c r="P6" i="42"/>
  <c r="K24" i="42"/>
  <c r="K7" i="42"/>
  <c r="BA24" i="42"/>
  <c r="AM24" i="42"/>
  <c r="AG24" i="42"/>
  <c r="AB24" i="42"/>
  <c r="S24" i="42"/>
  <c r="M24" i="42"/>
  <c r="F24" i="42"/>
  <c r="D24" i="42"/>
  <c r="BA12" i="42"/>
  <c r="AM12" i="42"/>
  <c r="AG12" i="42"/>
  <c r="AB12" i="42"/>
  <c r="S12" i="42"/>
  <c r="M12" i="42"/>
  <c r="F7" i="42"/>
  <c r="D6" i="92"/>
  <c r="E6" i="92"/>
  <c r="F6" i="92"/>
  <c r="G6" i="92"/>
  <c r="H6" i="92"/>
  <c r="I6" i="92"/>
  <c r="D12" i="92"/>
  <c r="D6" i="42" s="1"/>
  <c r="D18" i="42" s="1"/>
  <c r="E12" i="92"/>
  <c r="I6" i="42" s="1"/>
  <c r="I18" i="42" s="1"/>
  <c r="I24" i="42" s="1"/>
  <c r="F12" i="92"/>
  <c r="N6" i="42" s="1"/>
  <c r="N18" i="42" s="1"/>
  <c r="N24" i="42" s="1"/>
  <c r="G12" i="92"/>
  <c r="S6" i="42" s="1"/>
  <c r="S18" i="42" s="1"/>
  <c r="H12" i="92"/>
  <c r="I12" i="92"/>
  <c r="J12" i="92"/>
  <c r="AH6" i="42" s="1"/>
  <c r="AH18" i="42" s="1"/>
  <c r="AH24" i="42" s="1"/>
  <c r="K12" i="92"/>
  <c r="AM6" i="42" s="1"/>
  <c r="AM18" i="42" s="1"/>
  <c r="L12" i="92"/>
  <c r="M12" i="92"/>
  <c r="AW6" i="42" s="1"/>
  <c r="AW18" i="42" s="1"/>
  <c r="AW24" i="42" s="1"/>
  <c r="N12" i="92"/>
  <c r="BB6" i="42" s="1"/>
  <c r="BB18" i="42" s="1"/>
  <c r="BB24" i="42" s="1"/>
  <c r="F38" i="92"/>
  <c r="G38" i="92"/>
  <c r="J38" i="92"/>
  <c r="N38" i="92"/>
  <c r="D12" i="91"/>
  <c r="C6" i="42" s="1"/>
  <c r="C18" i="42" s="1"/>
  <c r="C24" i="42" s="1"/>
  <c r="E12" i="91"/>
  <c r="H6" i="42" s="1"/>
  <c r="H18" i="42" s="1"/>
  <c r="H24" i="42" s="1"/>
  <c r="F12" i="91"/>
  <c r="M6" i="42" s="1"/>
  <c r="M18" i="42" s="1"/>
  <c r="G12" i="91"/>
  <c r="R6" i="42" s="1"/>
  <c r="R18" i="42" s="1"/>
  <c r="R24" i="42" s="1"/>
  <c r="H12" i="91"/>
  <c r="W6" i="42" s="1"/>
  <c r="W18" i="42" s="1"/>
  <c r="W24" i="42" s="1"/>
  <c r="I12" i="91"/>
  <c r="AB6" i="42" s="1"/>
  <c r="AB18" i="42" s="1"/>
  <c r="J12" i="91"/>
  <c r="AG6" i="42" s="1"/>
  <c r="AG18" i="42" s="1"/>
  <c r="K12" i="91"/>
  <c r="AL6" i="42" s="1"/>
  <c r="AL18" i="42" s="1"/>
  <c r="AL24" i="42" s="1"/>
  <c r="L12" i="91"/>
  <c r="AQ6" i="42" s="1"/>
  <c r="AQ18" i="42" s="1"/>
  <c r="AQ24" i="42" s="1"/>
  <c r="M12" i="91"/>
  <c r="AV6" i="42" s="1"/>
  <c r="AV18" i="42" s="1"/>
  <c r="AV24" i="42" s="1"/>
  <c r="N12" i="91"/>
  <c r="BA6" i="42" s="1"/>
  <c r="BA18" i="42" s="1"/>
  <c r="F17" i="91"/>
  <c r="F49" i="91" s="1"/>
  <c r="J17" i="91"/>
  <c r="J49" i="91" s="1"/>
  <c r="J51" i="91" s="1"/>
  <c r="K17" i="91"/>
  <c r="N17" i="91"/>
  <c r="N49" i="91" s="1"/>
  <c r="N51" i="91" s="1"/>
  <c r="O20" i="91"/>
  <c r="K49" i="91"/>
  <c r="K51" i="91" s="1"/>
  <c r="J56" i="91"/>
  <c r="J60" i="91" s="1"/>
  <c r="L56" i="91"/>
  <c r="L62" i="91" s="1"/>
  <c r="M56" i="91"/>
  <c r="N56" i="91"/>
  <c r="N60" i="91" s="1"/>
  <c r="N63" i="91" s="1"/>
  <c r="N70" i="91" s="1"/>
  <c r="J57" i="91"/>
  <c r="L57" i="91"/>
  <c r="M57" i="91"/>
  <c r="N57" i="91"/>
  <c r="J58" i="91"/>
  <c r="J64" i="91" s="1"/>
  <c r="J71" i="91" s="1"/>
  <c r="L58" i="91"/>
  <c r="M58" i="91"/>
  <c r="N58" i="91"/>
  <c r="N64" i="91" s="1"/>
  <c r="N71" i="91" s="1"/>
  <c r="J59" i="91"/>
  <c r="L59" i="91"/>
  <c r="M59" i="91"/>
  <c r="N59" i="91"/>
  <c r="L60" i="91"/>
  <c r="L65" i="91" s="1"/>
  <c r="L63" i="91"/>
  <c r="L64" i="91"/>
  <c r="L68" i="91"/>
  <c r="L69" i="91" s="1"/>
  <c r="L73" i="91" s="1"/>
  <c r="L70" i="91"/>
  <c r="L71" i="91"/>
  <c r="F8" i="90"/>
  <c r="E9" i="90"/>
  <c r="E8" i="90" s="1"/>
  <c r="E7" i="90" s="1"/>
  <c r="E27" i="90" s="1"/>
  <c r="I9" i="90"/>
  <c r="L9" i="90"/>
  <c r="C10" i="90"/>
  <c r="G10" i="90"/>
  <c r="I10" i="90"/>
  <c r="L10" i="90" s="1"/>
  <c r="C11" i="90"/>
  <c r="C31" i="90" s="1"/>
  <c r="E11" i="90"/>
  <c r="G11" i="90"/>
  <c r="I11" i="90"/>
  <c r="L11" i="90" s="1"/>
  <c r="C12" i="90"/>
  <c r="E12" i="90"/>
  <c r="G12" i="90"/>
  <c r="I12" i="90"/>
  <c r="L12" i="90"/>
  <c r="C13" i="90"/>
  <c r="E13" i="90" s="1"/>
  <c r="G13" i="90"/>
  <c r="I13" i="90"/>
  <c r="L13" i="90"/>
  <c r="E14" i="90"/>
  <c r="G14" i="90"/>
  <c r="I14" i="90"/>
  <c r="L14" i="90"/>
  <c r="C15" i="90"/>
  <c r="G15" i="90"/>
  <c r="I15" i="90"/>
  <c r="L15" i="90" s="1"/>
  <c r="C16" i="90"/>
  <c r="E16" i="90"/>
  <c r="G16" i="90"/>
  <c r="I16" i="90"/>
  <c r="L16" i="90" s="1"/>
  <c r="D25" i="90"/>
  <c r="K25" i="90"/>
  <c r="D26" i="90"/>
  <c r="K26" i="90"/>
  <c r="D27" i="90"/>
  <c r="K27" i="90"/>
  <c r="D28" i="90"/>
  <c r="K28" i="90"/>
  <c r="D29" i="90"/>
  <c r="F29" i="90"/>
  <c r="K29" i="90"/>
  <c r="D30" i="90"/>
  <c r="F30" i="90"/>
  <c r="K30" i="90"/>
  <c r="D31" i="90"/>
  <c r="E31" i="90"/>
  <c r="F31" i="90"/>
  <c r="K31" i="90"/>
  <c r="D32" i="90"/>
  <c r="F32" i="90"/>
  <c r="K32" i="90"/>
  <c r="D33" i="90"/>
  <c r="F33" i="90"/>
  <c r="K33" i="90"/>
  <c r="D34" i="90"/>
  <c r="F34" i="90"/>
  <c r="K34" i="90"/>
  <c r="D35" i="90"/>
  <c r="F35" i="90"/>
  <c r="K35" i="90"/>
  <c r="I8" i="89"/>
  <c r="L8" i="89"/>
  <c r="N8" i="89"/>
  <c r="I9" i="89"/>
  <c r="N9" i="89" s="1"/>
  <c r="L9" i="89"/>
  <c r="L19" i="89" s="1"/>
  <c r="I10" i="89"/>
  <c r="I33" i="89" s="1"/>
  <c r="V33" i="89" s="1"/>
  <c r="L10" i="89"/>
  <c r="L33" i="89" s="1"/>
  <c r="W33" i="89" s="1"/>
  <c r="J52" i="89" s="1"/>
  <c r="I11" i="89"/>
  <c r="L11" i="89"/>
  <c r="N11" i="89"/>
  <c r="I12" i="89"/>
  <c r="N12" i="89" s="1"/>
  <c r="L12" i="89"/>
  <c r="I13" i="89"/>
  <c r="N13" i="89" s="1"/>
  <c r="L13" i="89"/>
  <c r="I14" i="89"/>
  <c r="I37" i="89" s="1"/>
  <c r="V37" i="89" s="1"/>
  <c r="H56" i="89" s="1"/>
  <c r="L14" i="89"/>
  <c r="N14" i="89"/>
  <c r="P14" i="89" s="1"/>
  <c r="I15" i="89"/>
  <c r="L15" i="89"/>
  <c r="N15" i="89"/>
  <c r="I16" i="89"/>
  <c r="L16" i="89"/>
  <c r="N16" i="89"/>
  <c r="I17" i="89"/>
  <c r="N17" i="89" s="1"/>
  <c r="L17" i="89"/>
  <c r="L39" i="89" s="1"/>
  <c r="W39" i="89" s="1"/>
  <c r="J58" i="89" s="1"/>
  <c r="I18" i="89"/>
  <c r="N18" i="89" s="1"/>
  <c r="P18" i="89" s="1"/>
  <c r="L18" i="89"/>
  <c r="M19" i="89"/>
  <c r="O19" i="89"/>
  <c r="C30" i="89"/>
  <c r="D30" i="89"/>
  <c r="E30" i="89"/>
  <c r="E49" i="89" s="1"/>
  <c r="F30" i="89"/>
  <c r="G30" i="89"/>
  <c r="H30" i="89"/>
  <c r="I30" i="89"/>
  <c r="V30" i="89" s="1"/>
  <c r="J30" i="89"/>
  <c r="K30" i="89"/>
  <c r="L30" i="89"/>
  <c r="M30" i="89"/>
  <c r="O30" i="89"/>
  <c r="R30" i="89"/>
  <c r="C31" i="89"/>
  <c r="D31" i="89"/>
  <c r="E31" i="89"/>
  <c r="F31" i="89"/>
  <c r="G31" i="89"/>
  <c r="H31" i="89"/>
  <c r="J31" i="89"/>
  <c r="K31" i="89"/>
  <c r="L31" i="89"/>
  <c r="M31" i="89"/>
  <c r="O31" i="89"/>
  <c r="R31" i="89"/>
  <c r="C32" i="89"/>
  <c r="D32" i="89"/>
  <c r="E32" i="89"/>
  <c r="F32" i="89"/>
  <c r="G32" i="89"/>
  <c r="H32" i="89"/>
  <c r="I32" i="89"/>
  <c r="J32" i="89"/>
  <c r="K32" i="89"/>
  <c r="M32" i="89"/>
  <c r="O32" i="89"/>
  <c r="R32" i="89"/>
  <c r="C33" i="89"/>
  <c r="D33" i="89"/>
  <c r="E33" i="89"/>
  <c r="F33" i="89"/>
  <c r="G33" i="89"/>
  <c r="S33" i="89" s="1"/>
  <c r="H33" i="89"/>
  <c r="J33" i="89"/>
  <c r="K33" i="89"/>
  <c r="T33" i="89" s="1"/>
  <c r="M33" i="89"/>
  <c r="O33" i="89"/>
  <c r="R33" i="89"/>
  <c r="C34" i="89"/>
  <c r="D34" i="89"/>
  <c r="E34" i="89"/>
  <c r="F34" i="89"/>
  <c r="G34" i="89"/>
  <c r="S34" i="89" s="1"/>
  <c r="H34" i="89"/>
  <c r="I34" i="89"/>
  <c r="J34" i="89"/>
  <c r="K34" i="89"/>
  <c r="L34" i="89"/>
  <c r="W34" i="89" s="1"/>
  <c r="J53" i="89" s="1"/>
  <c r="M34" i="89"/>
  <c r="O34" i="89"/>
  <c r="R34" i="89"/>
  <c r="T34" i="89"/>
  <c r="V34" i="89"/>
  <c r="C35" i="89"/>
  <c r="D35" i="89"/>
  <c r="E35" i="89"/>
  <c r="F35" i="89"/>
  <c r="G35" i="89"/>
  <c r="H35" i="89"/>
  <c r="J35" i="89"/>
  <c r="K35" i="89"/>
  <c r="L35" i="89"/>
  <c r="W35" i="89" s="1"/>
  <c r="J54" i="89" s="1"/>
  <c r="M35" i="89"/>
  <c r="O35" i="89"/>
  <c r="R35" i="89"/>
  <c r="C36" i="89"/>
  <c r="D36" i="89"/>
  <c r="E36" i="89"/>
  <c r="F36" i="89"/>
  <c r="G36" i="89"/>
  <c r="H36" i="89"/>
  <c r="J36" i="89"/>
  <c r="K36" i="89"/>
  <c r="L36" i="89"/>
  <c r="W36" i="89" s="1"/>
  <c r="M36" i="89"/>
  <c r="O36" i="89"/>
  <c r="R36" i="89"/>
  <c r="C37" i="89"/>
  <c r="D37" i="89"/>
  <c r="D56" i="89" s="1"/>
  <c r="E37" i="89"/>
  <c r="E56" i="89" s="1"/>
  <c r="F37" i="89"/>
  <c r="G37" i="89"/>
  <c r="H37" i="89"/>
  <c r="J37" i="89"/>
  <c r="K37" i="89"/>
  <c r="L37" i="89"/>
  <c r="W37" i="89" s="1"/>
  <c r="J56" i="89" s="1"/>
  <c r="M37" i="89"/>
  <c r="O37" i="89"/>
  <c r="R37" i="89"/>
  <c r="T37" i="89"/>
  <c r="C38" i="89"/>
  <c r="D38" i="89"/>
  <c r="E38" i="89"/>
  <c r="E57" i="89" s="1"/>
  <c r="F38" i="89"/>
  <c r="G38" i="89"/>
  <c r="H38" i="89"/>
  <c r="I38" i="89"/>
  <c r="J38" i="89"/>
  <c r="K38" i="89"/>
  <c r="L38" i="89"/>
  <c r="M38" i="89"/>
  <c r="O38" i="89"/>
  <c r="R38" i="89"/>
  <c r="V38" i="89"/>
  <c r="C39" i="89"/>
  <c r="D39" i="89"/>
  <c r="E39" i="89"/>
  <c r="F39" i="89"/>
  <c r="G39" i="89"/>
  <c r="H39" i="89"/>
  <c r="I39" i="89"/>
  <c r="V39" i="89" s="1"/>
  <c r="J39" i="89"/>
  <c r="K39" i="89"/>
  <c r="M39" i="89"/>
  <c r="O39" i="89"/>
  <c r="R39" i="89"/>
  <c r="C40" i="89"/>
  <c r="D40" i="89"/>
  <c r="E40" i="89"/>
  <c r="F40" i="89"/>
  <c r="G40" i="89"/>
  <c r="H40" i="89"/>
  <c r="I40" i="89"/>
  <c r="J40" i="89"/>
  <c r="K40" i="89"/>
  <c r="L40" i="89"/>
  <c r="M40" i="89"/>
  <c r="O40" i="89"/>
  <c r="R40" i="89"/>
  <c r="S40" i="89"/>
  <c r="H52" i="89" l="1"/>
  <c r="L66" i="91"/>
  <c r="C58" i="89"/>
  <c r="H58" i="89"/>
  <c r="J62" i="91"/>
  <c r="J65" i="91"/>
  <c r="J72" i="91" s="1"/>
  <c r="J63" i="91"/>
  <c r="J70" i="91" s="1"/>
  <c r="P13" i="89"/>
  <c r="N36" i="89"/>
  <c r="P36" i="89" s="1"/>
  <c r="N65" i="91"/>
  <c r="N72" i="91" s="1"/>
  <c r="E33" i="90"/>
  <c r="E32" i="90"/>
  <c r="D52" i="89"/>
  <c r="E52" i="89"/>
  <c r="L56" i="89"/>
  <c r="H57" i="89"/>
  <c r="W38" i="89"/>
  <c r="J57" i="89" s="1"/>
  <c r="L57" i="89" s="1"/>
  <c r="K53" i="89"/>
  <c r="M17" i="91"/>
  <c r="O16" i="92"/>
  <c r="P16" i="92" s="1"/>
  <c r="AR6" i="42"/>
  <c r="F6" i="42"/>
  <c r="T38" i="89"/>
  <c r="K57" i="89" s="1"/>
  <c r="J55" i="89"/>
  <c r="H49" i="89"/>
  <c r="M60" i="91"/>
  <c r="D58" i="89"/>
  <c r="I36" i="89"/>
  <c r="I31" i="89"/>
  <c r="S30" i="89"/>
  <c r="G49" i="89" s="1"/>
  <c r="I19" i="89"/>
  <c r="L72" i="91"/>
  <c r="N62" i="91"/>
  <c r="K38" i="92"/>
  <c r="N12" i="42"/>
  <c r="AH12" i="42"/>
  <c r="BB12" i="42"/>
  <c r="D57" i="89"/>
  <c r="I35" i="89"/>
  <c r="W32" i="89"/>
  <c r="J51" i="89" s="1"/>
  <c r="L51" i="89" s="1"/>
  <c r="I12" i="42"/>
  <c r="AW12" i="42"/>
  <c r="AW29" i="42" s="1"/>
  <c r="C57" i="89"/>
  <c r="C56" i="89"/>
  <c r="L32" i="89"/>
  <c r="N10" i="89"/>
  <c r="N32" i="89" s="1"/>
  <c r="P32" i="89" s="1"/>
  <c r="G17" i="91"/>
  <c r="G49" i="91" s="1"/>
  <c r="G51" i="91" s="1"/>
  <c r="I38" i="92"/>
  <c r="AC6" i="42"/>
  <c r="AE6" i="42" s="1"/>
  <c r="R12" i="42"/>
  <c r="R29" i="42" s="1"/>
  <c r="AL12" i="42"/>
  <c r="K6" i="42"/>
  <c r="AY6" i="42"/>
  <c r="H38" i="92"/>
  <c r="X6" i="42"/>
  <c r="Z6" i="42" s="1"/>
  <c r="K56" i="89"/>
  <c r="S38" i="89"/>
  <c r="G57" i="89" s="1"/>
  <c r="S32" i="89"/>
  <c r="D49" i="89"/>
  <c r="E17" i="91"/>
  <c r="E49" i="91" s="1"/>
  <c r="K52" i="89"/>
  <c r="L52" i="89" s="1"/>
  <c r="S36" i="89"/>
  <c r="D12" i="42"/>
  <c r="D29" i="42" s="1"/>
  <c r="W12" i="42"/>
  <c r="W29" i="42" s="1"/>
  <c r="AQ12" i="42"/>
  <c r="AT6" i="42"/>
  <c r="S37" i="89"/>
  <c r="G56" i="89" s="1"/>
  <c r="T36" i="89"/>
  <c r="K55" i="89" s="1"/>
  <c r="L55" i="89" s="1"/>
  <c r="T30" i="89"/>
  <c r="C49" i="89"/>
  <c r="V35" i="89"/>
  <c r="H54" i="89" s="1"/>
  <c r="C52" i="89"/>
  <c r="C12" i="42"/>
  <c r="H12" i="42"/>
  <c r="H29" i="42" s="1"/>
  <c r="AV12" i="42"/>
  <c r="G52" i="89"/>
  <c r="BB29" i="42"/>
  <c r="BA29" i="42"/>
  <c r="AV29" i="42"/>
  <c r="AQ29" i="42"/>
  <c r="AL29" i="42"/>
  <c r="AM29" i="42"/>
  <c r="AH29" i="42"/>
  <c r="AG29" i="42"/>
  <c r="AB29" i="42"/>
  <c r="S29" i="42"/>
  <c r="N29" i="42"/>
  <c r="M29" i="42"/>
  <c r="C29" i="42"/>
  <c r="C30" i="42" s="1"/>
  <c r="I29" i="42"/>
  <c r="N38" i="89"/>
  <c r="P38" i="89" s="1"/>
  <c r="P15" i="89"/>
  <c r="M38" i="92"/>
  <c r="E38" i="92"/>
  <c r="W30" i="89"/>
  <c r="J49" i="89" s="1"/>
  <c r="L41" i="89"/>
  <c r="N39" i="89"/>
  <c r="P39" i="89" s="1"/>
  <c r="P16" i="89"/>
  <c r="N35" i="89"/>
  <c r="P35" i="89" s="1"/>
  <c r="P12" i="89"/>
  <c r="N31" i="89"/>
  <c r="P31" i="89" s="1"/>
  <c r="N30" i="89"/>
  <c r="P8" i="89"/>
  <c r="I29" i="90"/>
  <c r="L29" i="90" s="1"/>
  <c r="W40" i="89"/>
  <c r="J59" i="89" s="1"/>
  <c r="N37" i="89"/>
  <c r="P37" i="89" s="1"/>
  <c r="P17" i="89"/>
  <c r="N40" i="89"/>
  <c r="P40" i="89" s="1"/>
  <c r="P9" i="89"/>
  <c r="G9" i="90"/>
  <c r="C8" i="90"/>
  <c r="I8" i="90"/>
  <c r="L8" i="90" s="1"/>
  <c r="F28" i="90"/>
  <c r="F51" i="91"/>
  <c r="L17" i="91"/>
  <c r="L49" i="91" s="1"/>
  <c r="H17" i="91"/>
  <c r="H49" i="91" s="1"/>
  <c r="D17" i="91"/>
  <c r="D49" i="91" s="1"/>
  <c r="D51" i="91" s="1"/>
  <c r="D54" i="89"/>
  <c r="C54" i="89"/>
  <c r="N34" i="89"/>
  <c r="P34" i="89" s="1"/>
  <c r="P11" i="89"/>
  <c r="G32" i="90"/>
  <c r="I32" i="90"/>
  <c r="L32" i="90" s="1"/>
  <c r="D53" i="89"/>
  <c r="E53" i="89"/>
  <c r="W31" i="89"/>
  <c r="J50" i="89" s="1"/>
  <c r="M62" i="91"/>
  <c r="M63" i="91"/>
  <c r="M70" i="91" s="1"/>
  <c r="M64" i="91"/>
  <c r="M71" i="91" s="1"/>
  <c r="E51" i="91"/>
  <c r="I52" i="89"/>
  <c r="G35" i="90"/>
  <c r="I35" i="90"/>
  <c r="L35" i="90" s="1"/>
  <c r="E15" i="90"/>
  <c r="E35" i="90" s="1"/>
  <c r="C34" i="90"/>
  <c r="C35" i="90"/>
  <c r="M65" i="91"/>
  <c r="M72" i="91" s="1"/>
  <c r="D38" i="92"/>
  <c r="H53" i="89"/>
  <c r="G34" i="90"/>
  <c r="I34" i="90"/>
  <c r="L34" i="90" s="1"/>
  <c r="E28" i="90"/>
  <c r="C32" i="90"/>
  <c r="C33" i="90"/>
  <c r="E6" i="90"/>
  <c r="I17" i="91"/>
  <c r="I49" i="91" s="1"/>
  <c r="V36" i="89"/>
  <c r="S35" i="89"/>
  <c r="G54" i="89" s="1"/>
  <c r="T35" i="89"/>
  <c r="K54" i="89" s="1"/>
  <c r="L54" i="89" s="1"/>
  <c r="E54" i="89"/>
  <c r="G31" i="90"/>
  <c r="I31" i="90"/>
  <c r="L31" i="90" s="1"/>
  <c r="L53" i="89"/>
  <c r="O41" i="89"/>
  <c r="T40" i="89"/>
  <c r="K59" i="89" s="1"/>
  <c r="V40" i="89"/>
  <c r="E59" i="89" s="1"/>
  <c r="S39" i="89"/>
  <c r="G58" i="89" s="1"/>
  <c r="T39" i="89"/>
  <c r="K58" i="89" s="1"/>
  <c r="L58" i="89" s="1"/>
  <c r="E58" i="89"/>
  <c r="I58" i="89" s="1"/>
  <c r="I56" i="89"/>
  <c r="G53" i="89"/>
  <c r="C53" i="89"/>
  <c r="T32" i="89"/>
  <c r="K51" i="89" s="1"/>
  <c r="V32" i="89"/>
  <c r="E51" i="89" s="1"/>
  <c r="S31" i="89"/>
  <c r="T31" i="89"/>
  <c r="M41" i="89"/>
  <c r="G33" i="90"/>
  <c r="I33" i="90"/>
  <c r="L33" i="90" s="1"/>
  <c r="G30" i="90"/>
  <c r="I30" i="90"/>
  <c r="L30" i="90" s="1"/>
  <c r="E10" i="90"/>
  <c r="C29" i="90"/>
  <c r="C30" i="90"/>
  <c r="L38" i="92"/>
  <c r="N19" i="89" l="1"/>
  <c r="I49" i="89"/>
  <c r="V31" i="89"/>
  <c r="I41" i="89"/>
  <c r="AR18" i="42"/>
  <c r="AR24" i="42" s="1"/>
  <c r="AR12" i="42"/>
  <c r="AR29" i="42" s="1"/>
  <c r="J69" i="91"/>
  <c r="J73" i="91" s="1"/>
  <c r="J66" i="91"/>
  <c r="I57" i="89"/>
  <c r="N33" i="89"/>
  <c r="P33" i="89" s="1"/>
  <c r="P10" i="89"/>
  <c r="P19" i="89" s="1"/>
  <c r="K49" i="89"/>
  <c r="L49" i="89" s="1"/>
  <c r="O18" i="91"/>
  <c r="M49" i="91"/>
  <c r="M51" i="91" s="1"/>
  <c r="K50" i="89"/>
  <c r="I54" i="89"/>
  <c r="AC18" i="42"/>
  <c r="AC24" i="42" s="1"/>
  <c r="AC12" i="42"/>
  <c r="AC29" i="42" s="1"/>
  <c r="X18" i="42"/>
  <c r="X24" i="42" s="1"/>
  <c r="X12" i="42"/>
  <c r="X29" i="42" s="1"/>
  <c r="N66" i="91"/>
  <c r="N69" i="91"/>
  <c r="N73" i="91" s="1"/>
  <c r="L59" i="89"/>
  <c r="L51" i="91"/>
  <c r="D51" i="89"/>
  <c r="H51" i="89"/>
  <c r="C51" i="89"/>
  <c r="G51" i="89"/>
  <c r="E34" i="90"/>
  <c r="I51" i="91"/>
  <c r="L50" i="89"/>
  <c r="H51" i="91"/>
  <c r="P30" i="89"/>
  <c r="P41" i="89" s="1"/>
  <c r="N41" i="89"/>
  <c r="D55" i="89"/>
  <c r="H55" i="89"/>
  <c r="C55" i="89"/>
  <c r="G55" i="89"/>
  <c r="E55" i="89"/>
  <c r="M69" i="91"/>
  <c r="M73" i="91" s="1"/>
  <c r="M66" i="91"/>
  <c r="C28" i="90"/>
  <c r="F7" i="90"/>
  <c r="E29" i="90"/>
  <c r="E30" i="90"/>
  <c r="I53" i="89"/>
  <c r="D59" i="89"/>
  <c r="H59" i="89"/>
  <c r="C59" i="89"/>
  <c r="G59" i="89"/>
  <c r="E25" i="90"/>
  <c r="E26" i="90"/>
  <c r="I28" i="90"/>
  <c r="L28" i="90" s="1"/>
  <c r="G29" i="90"/>
  <c r="C50" i="89" l="1"/>
  <c r="H50" i="89"/>
  <c r="E50" i="89"/>
  <c r="D50" i="89"/>
  <c r="I59" i="89"/>
  <c r="G50" i="89"/>
  <c r="I55" i="89"/>
  <c r="I7" i="90"/>
  <c r="L7" i="90" s="1"/>
  <c r="F27" i="90"/>
  <c r="C7" i="90"/>
  <c r="G8" i="90"/>
  <c r="I51" i="89"/>
  <c r="I50" i="89" l="1"/>
  <c r="F6" i="90"/>
  <c r="C27" i="90"/>
  <c r="I27" i="90"/>
  <c r="L27" i="90" s="1"/>
  <c r="G28" i="90"/>
  <c r="F25" i="90" l="1"/>
  <c r="I6" i="90"/>
  <c r="C6" i="90"/>
  <c r="F26" i="90"/>
  <c r="G7" i="90"/>
  <c r="G26" i="90" l="1"/>
  <c r="I26" i="90"/>
  <c r="L26" i="90" s="1"/>
  <c r="G27" i="90"/>
  <c r="C26" i="90"/>
  <c r="C25" i="90"/>
  <c r="I25" i="90"/>
  <c r="L6" i="90"/>
  <c r="L25" i="90" s="1"/>
  <c r="BA10" i="82" l="1"/>
  <c r="BA9" i="82"/>
  <c r="BA8" i="82"/>
  <c r="BA7" i="82"/>
  <c r="AW10" i="82"/>
  <c r="AR10" i="82"/>
  <c r="AM10" i="82"/>
  <c r="AH10" i="82"/>
  <c r="AC10" i="82"/>
  <c r="X10" i="82"/>
  <c r="S10" i="82"/>
  <c r="N10" i="82"/>
  <c r="I10" i="82"/>
  <c r="D10" i="82"/>
  <c r="AW9" i="82"/>
  <c r="AR9" i="82"/>
  <c r="AM9" i="82"/>
  <c r="AH9" i="82"/>
  <c r="AC9" i="82"/>
  <c r="X9" i="82"/>
  <c r="S9" i="82"/>
  <c r="N9" i="82"/>
  <c r="I9" i="82"/>
  <c r="D9" i="82"/>
  <c r="AW8" i="82"/>
  <c r="AR8" i="82"/>
  <c r="AM8" i="82"/>
  <c r="AH8" i="82"/>
  <c r="AC8" i="82"/>
  <c r="X8" i="82"/>
  <c r="S8" i="82"/>
  <c r="N8" i="82"/>
  <c r="I8" i="82"/>
  <c r="D8" i="82"/>
  <c r="AW7" i="82"/>
  <c r="AR7" i="82"/>
  <c r="AM7" i="82"/>
  <c r="AH7" i="82"/>
  <c r="AC7" i="82"/>
  <c r="X7" i="82"/>
  <c r="S7" i="82"/>
  <c r="N7" i="82"/>
  <c r="I7" i="82"/>
  <c r="D7" i="82"/>
  <c r="X6" i="82"/>
  <c r="AW22" i="82" l="1"/>
  <c r="AW19" i="82"/>
  <c r="AM20" i="82"/>
  <c r="AM19" i="82"/>
  <c r="AH22" i="82"/>
  <c r="AH20" i="82"/>
  <c r="AC19" i="82"/>
  <c r="I20" i="82"/>
  <c r="I19" i="82"/>
  <c r="BA22" i="82"/>
  <c r="BA21" i="82"/>
  <c r="BA20" i="82"/>
  <c r="BA19" i="82"/>
  <c r="AW21" i="82"/>
  <c r="AV21" i="82"/>
  <c r="AW20" i="82"/>
  <c r="AR22" i="82"/>
  <c r="AR21" i="82"/>
  <c r="AQ21" i="82"/>
  <c r="AR20" i="82"/>
  <c r="AM22" i="82"/>
  <c r="AM21" i="82"/>
  <c r="AH21" i="82"/>
  <c r="AG21" i="82"/>
  <c r="AC22" i="82"/>
  <c r="AC21" i="82"/>
  <c r="AC20" i="82"/>
  <c r="X22" i="82"/>
  <c r="X21" i="82"/>
  <c r="X20" i="82"/>
  <c r="X18" i="82"/>
  <c r="S22" i="82"/>
  <c r="S21" i="82"/>
  <c r="S20" i="82"/>
  <c r="S19" i="82"/>
  <c r="N22" i="82"/>
  <c r="N21" i="82"/>
  <c r="N20" i="82"/>
  <c r="I22" i="82"/>
  <c r="H22" i="82"/>
  <c r="H10" i="82"/>
  <c r="H9" i="82"/>
  <c r="H21" i="82" s="1"/>
  <c r="H8" i="82"/>
  <c r="H20" i="82" s="1"/>
  <c r="H7" i="82"/>
  <c r="H19" i="82" s="1"/>
  <c r="AL79" i="22"/>
  <c r="AH79" i="22"/>
  <c r="AD79" i="22"/>
  <c r="Z79" i="22"/>
  <c r="V79" i="22"/>
  <c r="R79" i="22"/>
  <c r="N79" i="22"/>
  <c r="J79" i="22"/>
  <c r="F79" i="22"/>
  <c r="AT78" i="22"/>
  <c r="AP78" i="22"/>
  <c r="AL78" i="22"/>
  <c r="AH78" i="22"/>
  <c r="AD78" i="22"/>
  <c r="Z78" i="22"/>
  <c r="V78" i="22"/>
  <c r="R78" i="22"/>
  <c r="N78" i="22"/>
  <c r="J78" i="22"/>
  <c r="F78" i="22"/>
  <c r="D68" i="12"/>
  <c r="C68" i="12"/>
  <c r="D67" i="12"/>
  <c r="D136" i="12" s="1"/>
  <c r="D138" i="12" s="1"/>
  <c r="C67" i="12"/>
  <c r="C136" i="12" s="1"/>
  <c r="C138" i="12" s="1"/>
  <c r="D66" i="12"/>
  <c r="D121" i="12" s="1"/>
  <c r="D124" i="12" s="1"/>
  <c r="C66" i="12"/>
  <c r="C121" i="12" s="1"/>
  <c r="C124" i="12" s="1"/>
  <c r="D65" i="12"/>
  <c r="C65" i="12"/>
  <c r="D64" i="12"/>
  <c r="C64" i="12"/>
  <c r="D77" i="86"/>
  <c r="D76" i="86"/>
  <c r="D75" i="86"/>
  <c r="D74" i="86"/>
  <c r="AT79" i="83"/>
  <c r="AP79" i="83"/>
  <c r="AL79" i="83"/>
  <c r="AH79" i="83"/>
  <c r="AD79" i="83"/>
  <c r="Z79" i="83"/>
  <c r="V79" i="83"/>
  <c r="R79" i="83"/>
  <c r="N79" i="83"/>
  <c r="J79" i="83"/>
  <c r="F79" i="83"/>
  <c r="AT78" i="83"/>
  <c r="AP78" i="83"/>
  <c r="AL78" i="83"/>
  <c r="AH78" i="83"/>
  <c r="AD78" i="83"/>
  <c r="Z78" i="83"/>
  <c r="V78" i="83"/>
  <c r="R78" i="83"/>
  <c r="N78" i="83"/>
  <c r="J78" i="83"/>
  <c r="F78" i="83"/>
  <c r="C10" i="82"/>
  <c r="C22" i="82" s="1"/>
  <c r="C9" i="82"/>
  <c r="C21" i="82" s="1"/>
  <c r="C8" i="82"/>
  <c r="C7" i="82"/>
  <c r="C19" i="82" s="1"/>
  <c r="AF30" i="63"/>
  <c r="D49" i="87"/>
  <c r="D48" i="87"/>
  <c r="D47" i="87"/>
  <c r="D46" i="87"/>
  <c r="D45" i="87"/>
  <c r="AT79" i="22"/>
  <c r="AP79" i="22"/>
  <c r="D12" i="63"/>
  <c r="X12" i="82"/>
  <c r="D22" i="82"/>
  <c r="D21" i="82"/>
  <c r="D20" i="82"/>
  <c r="D19" i="82"/>
  <c r="C20" i="82"/>
  <c r="AV10" i="82"/>
  <c r="AV22" i="82" s="1"/>
  <c r="AV9" i="82"/>
  <c r="AV8" i="82"/>
  <c r="AV20" i="82" s="1"/>
  <c r="AV7" i="82"/>
  <c r="AV19" i="82" s="1"/>
  <c r="AQ10" i="82"/>
  <c r="AQ22" i="82" s="1"/>
  <c r="AQ9" i="82"/>
  <c r="AQ8" i="82"/>
  <c r="AQ20" i="82" s="1"/>
  <c r="AQ7" i="82"/>
  <c r="AQ19" i="82" s="1"/>
  <c r="AL10" i="82"/>
  <c r="AL9" i="82"/>
  <c r="AL21" i="82" s="1"/>
  <c r="AL8" i="82"/>
  <c r="AL20" i="82" s="1"/>
  <c r="AL7" i="82"/>
  <c r="AL19" i="82" s="1"/>
  <c r="AL6" i="82"/>
  <c r="AL12" i="82" s="1"/>
  <c r="AG10" i="82"/>
  <c r="AG9" i="82"/>
  <c r="AG8" i="82"/>
  <c r="AG20" i="82" s="1"/>
  <c r="AG7" i="82"/>
  <c r="AG19" i="82" s="1"/>
  <c r="AB10" i="82"/>
  <c r="AB22" i="82" s="1"/>
  <c r="AB9" i="82"/>
  <c r="AB21" i="82" s="1"/>
  <c r="AB8" i="82"/>
  <c r="AB20" i="82" s="1"/>
  <c r="AB7" i="82"/>
  <c r="AB19" i="82" s="1"/>
  <c r="W10" i="82"/>
  <c r="W22" i="82" s="1"/>
  <c r="W9" i="82"/>
  <c r="W8" i="82"/>
  <c r="W20" i="82" s="1"/>
  <c r="W7" i="82"/>
  <c r="W19" i="82" s="1"/>
  <c r="R10" i="82"/>
  <c r="R22" i="82" s="1"/>
  <c r="R9" i="82"/>
  <c r="R21" i="82" s="1"/>
  <c r="R8" i="82"/>
  <c r="R7" i="82"/>
  <c r="R19" i="82" s="1"/>
  <c r="M10" i="82"/>
  <c r="M22" i="82" s="1"/>
  <c r="M9" i="82"/>
  <c r="M21" i="82" s="1"/>
  <c r="M8" i="82"/>
  <c r="M20" i="82" s="1"/>
  <c r="M7" i="82"/>
  <c r="M19" i="82" s="1"/>
  <c r="W21" i="82" l="1"/>
  <c r="AL22" i="82"/>
  <c r="AG22" i="82"/>
  <c r="AL18" i="82"/>
  <c r="R20" i="82"/>
  <c r="AR19" i="82"/>
  <c r="AH19" i="82"/>
  <c r="X19" i="82"/>
  <c r="N19" i="82"/>
  <c r="I21" i="82"/>
  <c r="AL24" i="82" l="1"/>
  <c r="X24" i="82"/>
  <c r="G6" i="87" l="1"/>
  <c r="I6" i="87"/>
  <c r="J6" i="87"/>
  <c r="K6" i="87"/>
  <c r="M6" i="87"/>
  <c r="N6" i="87"/>
  <c r="D12" i="87"/>
  <c r="E12" i="87"/>
  <c r="F12" i="87"/>
  <c r="N6" i="82" s="1"/>
  <c r="N12" i="87"/>
  <c r="BB6" i="82" s="1"/>
  <c r="N14" i="87"/>
  <c r="BB8" i="82" s="1"/>
  <c r="N15" i="87"/>
  <c r="BB9" i="82" s="1"/>
  <c r="N16" i="87"/>
  <c r="BB10" i="82" s="1"/>
  <c r="H34" i="87"/>
  <c r="A37" i="87"/>
  <c r="D43" i="87"/>
  <c r="E43" i="87"/>
  <c r="F43" i="87"/>
  <c r="G43" i="87"/>
  <c r="H43" i="87"/>
  <c r="I43" i="87"/>
  <c r="J43" i="87"/>
  <c r="K43" i="87"/>
  <c r="L43" i="87"/>
  <c r="N43" i="87"/>
  <c r="E45" i="87"/>
  <c r="E50" i="87" s="1"/>
  <c r="E51" i="87" s="1"/>
  <c r="F45" i="87"/>
  <c r="G45" i="87"/>
  <c r="G12" i="87" s="1"/>
  <c r="H45" i="87"/>
  <c r="I45" i="87"/>
  <c r="I12" i="87" s="1"/>
  <c r="J45" i="87"/>
  <c r="J12" i="87" s="1"/>
  <c r="K45" i="87"/>
  <c r="K12" i="87" s="1"/>
  <c r="L45" i="87"/>
  <c r="L12" i="87" s="1"/>
  <c r="M45" i="87"/>
  <c r="M12" i="87" s="1"/>
  <c r="N45" i="87"/>
  <c r="E46" i="87"/>
  <c r="F46" i="87"/>
  <c r="G46" i="87"/>
  <c r="H46" i="87"/>
  <c r="I46" i="87"/>
  <c r="J46" i="87"/>
  <c r="J50" i="87" s="1"/>
  <c r="K46" i="87"/>
  <c r="L46" i="87"/>
  <c r="M46" i="87"/>
  <c r="N46" i="87"/>
  <c r="E47" i="87"/>
  <c r="F47" i="87"/>
  <c r="G47" i="87"/>
  <c r="G50" i="87" s="1"/>
  <c r="G51" i="87" s="1"/>
  <c r="H47" i="87"/>
  <c r="I47" i="87"/>
  <c r="J47" i="87"/>
  <c r="K47" i="87"/>
  <c r="L47" i="87"/>
  <c r="M47" i="87"/>
  <c r="N47" i="87"/>
  <c r="D50" i="87"/>
  <c r="D51" i="87" s="1"/>
  <c r="E48" i="87"/>
  <c r="F48" i="87"/>
  <c r="G48" i="87"/>
  <c r="H48" i="87"/>
  <c r="I48" i="87"/>
  <c r="J48" i="87"/>
  <c r="K48" i="87"/>
  <c r="L48" i="87"/>
  <c r="M48" i="87"/>
  <c r="N48" i="87"/>
  <c r="E49" i="87"/>
  <c r="F49" i="87"/>
  <c r="G49" i="87"/>
  <c r="H49" i="87"/>
  <c r="I49" i="87"/>
  <c r="J49" i="87"/>
  <c r="K49" i="87"/>
  <c r="L49" i="87"/>
  <c r="M49" i="87"/>
  <c r="N49" i="87"/>
  <c r="I50" i="87"/>
  <c r="I51" i="87" s="1"/>
  <c r="J51" i="87"/>
  <c r="P60" i="86"/>
  <c r="A70" i="86"/>
  <c r="K70" i="86"/>
  <c r="E74" i="86"/>
  <c r="F74" i="86"/>
  <c r="G74" i="86"/>
  <c r="H74" i="86"/>
  <c r="I74" i="86"/>
  <c r="J74" i="86"/>
  <c r="K74" i="86"/>
  <c r="L74" i="86"/>
  <c r="M74" i="86"/>
  <c r="N74" i="86"/>
  <c r="E75" i="86"/>
  <c r="F75" i="86"/>
  <c r="G75" i="86"/>
  <c r="H75" i="86"/>
  <c r="I75" i="86"/>
  <c r="J75" i="86"/>
  <c r="K75" i="86"/>
  <c r="L75" i="86"/>
  <c r="M75" i="86"/>
  <c r="N75" i="86"/>
  <c r="E76" i="86"/>
  <c r="F76" i="86"/>
  <c r="G76" i="86"/>
  <c r="H76" i="86"/>
  <c r="I76" i="86"/>
  <c r="J76" i="86"/>
  <c r="K76" i="86"/>
  <c r="L76" i="86"/>
  <c r="M76" i="86"/>
  <c r="M78" i="86" s="1"/>
  <c r="M83" i="86" s="1"/>
  <c r="M90" i="86" s="1"/>
  <c r="N76" i="86"/>
  <c r="E77" i="86"/>
  <c r="F77" i="86"/>
  <c r="G77" i="86"/>
  <c r="H77" i="86"/>
  <c r="I77" i="86"/>
  <c r="J77" i="86"/>
  <c r="K77" i="86"/>
  <c r="L77" i="86"/>
  <c r="M77" i="86"/>
  <c r="N77" i="86"/>
  <c r="F8" i="85"/>
  <c r="I8" i="85"/>
  <c r="L8" i="85" s="1"/>
  <c r="D9" i="85"/>
  <c r="E9" i="85" s="1"/>
  <c r="G9" i="85"/>
  <c r="I9" i="85"/>
  <c r="L9" i="85"/>
  <c r="C10" i="85"/>
  <c r="C29" i="85" s="1"/>
  <c r="G10" i="85"/>
  <c r="I10" i="85"/>
  <c r="L10" i="85" s="1"/>
  <c r="C11" i="85"/>
  <c r="D11" i="85"/>
  <c r="G11" i="85"/>
  <c r="I11" i="85"/>
  <c r="L11" i="85" s="1"/>
  <c r="C12" i="85"/>
  <c r="C32" i="85" s="1"/>
  <c r="D12" i="85"/>
  <c r="D32" i="85" s="1"/>
  <c r="E12" i="85"/>
  <c r="G12" i="85"/>
  <c r="I12" i="85"/>
  <c r="L12" i="85" s="1"/>
  <c r="C13" i="85"/>
  <c r="G13" i="85"/>
  <c r="I13" i="85"/>
  <c r="L13" i="85"/>
  <c r="E14" i="85"/>
  <c r="G14" i="85"/>
  <c r="I14" i="85"/>
  <c r="L14" i="85" s="1"/>
  <c r="C15" i="85"/>
  <c r="D15" i="85"/>
  <c r="D35" i="85" s="1"/>
  <c r="G15" i="85"/>
  <c r="I15" i="85"/>
  <c r="L15" i="85" s="1"/>
  <c r="C16" i="85"/>
  <c r="E16" i="85" s="1"/>
  <c r="G16" i="85"/>
  <c r="I16" i="85"/>
  <c r="L16" i="85" s="1"/>
  <c r="D25" i="85"/>
  <c r="K25" i="85"/>
  <c r="D26" i="85"/>
  <c r="K26" i="85"/>
  <c r="D27" i="85"/>
  <c r="K27" i="85"/>
  <c r="F28" i="85"/>
  <c r="I28" i="85" s="1"/>
  <c r="K28" i="85"/>
  <c r="L28" i="85"/>
  <c r="S82" i="83" s="1"/>
  <c r="R82" i="83" s="1"/>
  <c r="R85" i="83" s="1"/>
  <c r="R87" i="83" s="1"/>
  <c r="F29" i="85"/>
  <c r="I29" i="85"/>
  <c r="K29" i="85"/>
  <c r="L29" i="85"/>
  <c r="D30" i="85"/>
  <c r="F30" i="85"/>
  <c r="G30" i="85" s="1"/>
  <c r="K30" i="85"/>
  <c r="F31" i="85"/>
  <c r="I31" i="85" s="1"/>
  <c r="L31" i="85" s="1"/>
  <c r="AE82" i="83" s="1"/>
  <c r="AD82" i="83" s="1"/>
  <c r="AD85" i="83" s="1"/>
  <c r="G31" i="85"/>
  <c r="K31" i="85"/>
  <c r="F32" i="85"/>
  <c r="G32" i="85"/>
  <c r="I32" i="85"/>
  <c r="L32" i="85" s="1"/>
  <c r="AI82" i="83" s="1"/>
  <c r="AH82" i="83" s="1"/>
  <c r="AH85" i="83" s="1"/>
  <c r="K32" i="85"/>
  <c r="D33" i="85"/>
  <c r="F33" i="85"/>
  <c r="G33" i="85"/>
  <c r="I33" i="85"/>
  <c r="K33" i="85"/>
  <c r="L33" i="85"/>
  <c r="AM82" i="83" s="1"/>
  <c r="AL82" i="83" s="1"/>
  <c r="C34" i="85"/>
  <c r="F34" i="85"/>
  <c r="G34" i="85"/>
  <c r="I34" i="85"/>
  <c r="K34" i="85"/>
  <c r="L34" i="85"/>
  <c r="AQ82" i="83" s="1"/>
  <c r="AP82" i="83" s="1"/>
  <c r="AP85" i="83" s="1"/>
  <c r="C35" i="85"/>
  <c r="F35" i="85"/>
  <c r="G35" i="85" s="1"/>
  <c r="K35" i="85"/>
  <c r="I8" i="84"/>
  <c r="I30" i="84" s="1"/>
  <c r="L8" i="84"/>
  <c r="L19" i="84" s="1"/>
  <c r="I9" i="84"/>
  <c r="N9" i="84" s="1"/>
  <c r="P9" i="84" s="1"/>
  <c r="L9" i="84"/>
  <c r="I10" i="84"/>
  <c r="N10" i="84" s="1"/>
  <c r="L10" i="84"/>
  <c r="I11" i="84"/>
  <c r="N11" i="84" s="1"/>
  <c r="L11" i="84"/>
  <c r="P11" i="84"/>
  <c r="I12" i="84"/>
  <c r="N12" i="84" s="1"/>
  <c r="N35" i="84" s="1"/>
  <c r="L12" i="84"/>
  <c r="L34" i="84" s="1"/>
  <c r="I13" i="84"/>
  <c r="N13" i="84" s="1"/>
  <c r="P13" i="84" s="1"/>
  <c r="L13" i="84"/>
  <c r="I14" i="84"/>
  <c r="N14" i="84" s="1"/>
  <c r="L14" i="84"/>
  <c r="P14" i="84"/>
  <c r="I15" i="84"/>
  <c r="N15" i="84" s="1"/>
  <c r="P15" i="84" s="1"/>
  <c r="L15" i="84"/>
  <c r="L38" i="84" s="1"/>
  <c r="I16" i="84"/>
  <c r="L16" i="84"/>
  <c r="I17" i="84"/>
  <c r="N17" i="84" s="1"/>
  <c r="P17" i="84" s="1"/>
  <c r="L17" i="84"/>
  <c r="I18" i="84"/>
  <c r="L18" i="84"/>
  <c r="L40" i="84" s="1"/>
  <c r="M19" i="84"/>
  <c r="O19" i="84"/>
  <c r="C30" i="84"/>
  <c r="D30" i="84"/>
  <c r="E30" i="84"/>
  <c r="F30" i="84"/>
  <c r="G30" i="84"/>
  <c r="H30" i="84"/>
  <c r="J30" i="84"/>
  <c r="K30" i="84"/>
  <c r="M30" i="84"/>
  <c r="O30" i="84"/>
  <c r="Q30" i="84"/>
  <c r="R30" i="84" s="1"/>
  <c r="T30" i="84" s="1"/>
  <c r="C31" i="84"/>
  <c r="D31" i="84"/>
  <c r="E31" i="84"/>
  <c r="F31" i="84"/>
  <c r="G31" i="84"/>
  <c r="H31" i="84"/>
  <c r="I31" i="84"/>
  <c r="J31" i="84"/>
  <c r="K31" i="84"/>
  <c r="M31" i="84"/>
  <c r="O31" i="84"/>
  <c r="Q31" i="84"/>
  <c r="R31" i="84" s="1"/>
  <c r="T31" i="84"/>
  <c r="C32" i="84"/>
  <c r="D32" i="84"/>
  <c r="E32" i="84"/>
  <c r="F32" i="84"/>
  <c r="G32" i="84"/>
  <c r="H32" i="84"/>
  <c r="J32" i="84"/>
  <c r="K32" i="84"/>
  <c r="L32" i="84"/>
  <c r="M32" i="84"/>
  <c r="S32" i="84" s="1"/>
  <c r="O32" i="84"/>
  <c r="Q32" i="84"/>
  <c r="R32" i="84" s="1"/>
  <c r="C33" i="84"/>
  <c r="D33" i="84"/>
  <c r="E33" i="84"/>
  <c r="F33" i="84"/>
  <c r="G33" i="84"/>
  <c r="H33" i="84"/>
  <c r="J33" i="84"/>
  <c r="K33" i="84"/>
  <c r="T33" i="84" s="1"/>
  <c r="L33" i="84"/>
  <c r="M33" i="84"/>
  <c r="O33" i="84"/>
  <c r="Q33" i="84"/>
  <c r="R33" i="84" s="1"/>
  <c r="C34" i="84"/>
  <c r="D34" i="84"/>
  <c r="E34" i="84"/>
  <c r="F34" i="84"/>
  <c r="G34" i="84"/>
  <c r="H34" i="84"/>
  <c r="J34" i="84"/>
  <c r="K34" i="84"/>
  <c r="M34" i="84"/>
  <c r="O34" i="84"/>
  <c r="Q34" i="84"/>
  <c r="R34" i="84" s="1"/>
  <c r="T34" i="84"/>
  <c r="C35" i="84"/>
  <c r="D35" i="84"/>
  <c r="E35" i="84"/>
  <c r="F35" i="84"/>
  <c r="G35" i="84"/>
  <c r="H35" i="84"/>
  <c r="J35" i="84"/>
  <c r="K35" i="84"/>
  <c r="T35" i="84" s="1"/>
  <c r="L35" i="84"/>
  <c r="M35" i="84"/>
  <c r="O35" i="84"/>
  <c r="P35" i="84" s="1"/>
  <c r="Q35" i="84"/>
  <c r="R35" i="84" s="1"/>
  <c r="C36" i="84"/>
  <c r="D36" i="84"/>
  <c r="E36" i="84"/>
  <c r="F36" i="84"/>
  <c r="G36" i="84"/>
  <c r="H36" i="84"/>
  <c r="J36" i="84"/>
  <c r="K36" i="84"/>
  <c r="T36" i="84" s="1"/>
  <c r="L36" i="84"/>
  <c r="M36" i="84"/>
  <c r="O36" i="84"/>
  <c r="Q36" i="84"/>
  <c r="R36" i="84" s="1"/>
  <c r="C37" i="84"/>
  <c r="D37" i="84"/>
  <c r="E37" i="84"/>
  <c r="F37" i="84"/>
  <c r="G37" i="84"/>
  <c r="H37" i="84"/>
  <c r="J37" i="84"/>
  <c r="K37" i="84"/>
  <c r="M37" i="84"/>
  <c r="O37" i="84"/>
  <c r="Q37" i="84"/>
  <c r="R37" i="84" s="1"/>
  <c r="C38" i="84"/>
  <c r="D38" i="84"/>
  <c r="E38" i="84"/>
  <c r="F38" i="84"/>
  <c r="G38" i="84"/>
  <c r="H38" i="84"/>
  <c r="J38" i="84"/>
  <c r="K38" i="84"/>
  <c r="M38" i="84"/>
  <c r="O38" i="84"/>
  <c r="Q38" i="84"/>
  <c r="C39" i="84"/>
  <c r="D39" i="84"/>
  <c r="E39" i="84"/>
  <c r="F39" i="84"/>
  <c r="G39" i="84"/>
  <c r="H39" i="84"/>
  <c r="J39" i="84"/>
  <c r="K39" i="84"/>
  <c r="L39" i="84"/>
  <c r="M39" i="84"/>
  <c r="O39" i="84"/>
  <c r="Q39" i="84"/>
  <c r="R39" i="84" s="1"/>
  <c r="C40" i="84"/>
  <c r="D40" i="84"/>
  <c r="E40" i="84"/>
  <c r="F40" i="84"/>
  <c r="S40" i="84" s="1"/>
  <c r="G40" i="84"/>
  <c r="H40" i="84"/>
  <c r="J40" i="84"/>
  <c r="K40" i="84"/>
  <c r="M40" i="84"/>
  <c r="O40" i="84"/>
  <c r="Q40" i="84"/>
  <c r="R40" i="84" s="1"/>
  <c r="H6" i="83"/>
  <c r="L6" i="83"/>
  <c r="P6" i="83"/>
  <c r="T6" i="83"/>
  <c r="T74" i="83" s="1"/>
  <c r="X6" i="83"/>
  <c r="AB6" i="83"/>
  <c r="AF6" i="83"/>
  <c r="AJ6" i="83"/>
  <c r="AN6" i="83"/>
  <c r="AR6" i="83"/>
  <c r="AV6" i="83"/>
  <c r="H7" i="83"/>
  <c r="L7" i="83"/>
  <c r="P7" i="83"/>
  <c r="T7" i="83"/>
  <c r="X7" i="83"/>
  <c r="AB7" i="83"/>
  <c r="AB74" i="83" s="1"/>
  <c r="AF7" i="83"/>
  <c r="AJ7" i="83"/>
  <c r="AJ74" i="83" s="1"/>
  <c r="AN7" i="83"/>
  <c r="AR7" i="83"/>
  <c r="AV7" i="83"/>
  <c r="G8" i="83"/>
  <c r="K8" i="83"/>
  <c r="O8" i="83"/>
  <c r="S8" i="83"/>
  <c r="W8" i="83"/>
  <c r="AA8" i="83"/>
  <c r="AE8" i="83"/>
  <c r="AI8" i="83"/>
  <c r="AM8" i="83"/>
  <c r="AQ8" i="83"/>
  <c r="AU8" i="83"/>
  <c r="G9" i="83"/>
  <c r="K9" i="83"/>
  <c r="O9" i="83"/>
  <c r="S9" i="83"/>
  <c r="W9" i="83"/>
  <c r="AA9" i="83"/>
  <c r="AE9" i="83"/>
  <c r="AI9" i="83"/>
  <c r="AM9" i="83"/>
  <c r="AQ9" i="83"/>
  <c r="AU9" i="83"/>
  <c r="G10" i="83"/>
  <c r="K10" i="83"/>
  <c r="O10" i="83"/>
  <c r="S10" i="83"/>
  <c r="W10" i="83"/>
  <c r="AA10" i="83"/>
  <c r="AE10" i="83"/>
  <c r="AE74" i="83" s="1"/>
  <c r="AI10" i="83"/>
  <c r="AM10" i="83"/>
  <c r="AQ10" i="83"/>
  <c r="AU10" i="83"/>
  <c r="G11" i="83"/>
  <c r="K11" i="83"/>
  <c r="O11" i="83"/>
  <c r="S11" i="83"/>
  <c r="W11" i="83"/>
  <c r="W74" i="83" s="1"/>
  <c r="AA11" i="83"/>
  <c r="AE11" i="83"/>
  <c r="AI11" i="83"/>
  <c r="AM11" i="83"/>
  <c r="AQ11" i="83"/>
  <c r="AU11" i="83"/>
  <c r="H12" i="83"/>
  <c r="L12" i="83"/>
  <c r="L74" i="83" s="1"/>
  <c r="P12" i="83"/>
  <c r="T12" i="83"/>
  <c r="X12" i="83"/>
  <c r="AB12" i="83"/>
  <c r="AF12" i="83"/>
  <c r="AJ12" i="83"/>
  <c r="AN12" i="83"/>
  <c r="AR12" i="83"/>
  <c r="AR74" i="83" s="1"/>
  <c r="AV12" i="83"/>
  <c r="AU13" i="83"/>
  <c r="AV13" i="83"/>
  <c r="G14" i="83"/>
  <c r="K14" i="83"/>
  <c r="O14" i="83"/>
  <c r="S14" i="83"/>
  <c r="W14" i="83"/>
  <c r="AA14" i="83"/>
  <c r="AE14" i="83"/>
  <c r="AI14" i="83"/>
  <c r="AM14" i="83"/>
  <c r="AQ14" i="83"/>
  <c r="AU14" i="83"/>
  <c r="G15" i="83"/>
  <c r="K15" i="83"/>
  <c r="O15" i="83"/>
  <c r="S15" i="83"/>
  <c r="W15" i="83"/>
  <c r="AA15" i="83"/>
  <c r="AE15" i="83"/>
  <c r="AI15" i="83"/>
  <c r="AM15" i="83"/>
  <c r="AQ15" i="83"/>
  <c r="AU15" i="83"/>
  <c r="O16" i="83"/>
  <c r="P16" i="83"/>
  <c r="X16" i="83"/>
  <c r="AB16" i="83"/>
  <c r="AF16" i="83"/>
  <c r="AJ16" i="83"/>
  <c r="AN16" i="83"/>
  <c r="G17" i="83"/>
  <c r="K17" i="83"/>
  <c r="O17" i="83"/>
  <c r="S17" i="83"/>
  <c r="W17" i="83"/>
  <c r="AA17" i="83"/>
  <c r="AE17" i="83"/>
  <c r="AI17" i="83"/>
  <c r="AM17" i="83"/>
  <c r="AQ17" i="83"/>
  <c r="AU17" i="83"/>
  <c r="G18" i="83"/>
  <c r="K18" i="83"/>
  <c r="O18" i="83"/>
  <c r="S18" i="83"/>
  <c r="W18" i="83"/>
  <c r="AA18" i="83"/>
  <c r="AE18" i="83"/>
  <c r="AI18" i="83"/>
  <c r="AM18" i="83"/>
  <c r="AQ18" i="83"/>
  <c r="AU18" i="83"/>
  <c r="W19" i="83"/>
  <c r="X19" i="83"/>
  <c r="G20" i="83"/>
  <c r="K20" i="83"/>
  <c r="O20" i="83"/>
  <c r="S20" i="83"/>
  <c r="W20" i="83"/>
  <c r="AA20" i="83"/>
  <c r="AE20" i="83"/>
  <c r="AI20" i="83"/>
  <c r="AM20" i="83"/>
  <c r="AQ20" i="83"/>
  <c r="AU20" i="83"/>
  <c r="G21" i="83"/>
  <c r="H21" i="83"/>
  <c r="K21" i="83"/>
  <c r="L21" i="83"/>
  <c r="O21" i="83"/>
  <c r="P21" i="83"/>
  <c r="S21" i="83"/>
  <c r="T21" i="83"/>
  <c r="W21" i="83"/>
  <c r="X21" i="83"/>
  <c r="AA21" i="83"/>
  <c r="AB21" i="83"/>
  <c r="AE21" i="83"/>
  <c r="AF21" i="83"/>
  <c r="AI21" i="83"/>
  <c r="AJ21" i="83"/>
  <c r="AM21" i="83"/>
  <c r="AN21" i="83"/>
  <c r="AQ21" i="83"/>
  <c r="AR21" i="83"/>
  <c r="AU21" i="83"/>
  <c r="AV21" i="83"/>
  <c r="G22" i="83"/>
  <c r="K22" i="83"/>
  <c r="O22" i="83"/>
  <c r="S22" i="83"/>
  <c r="W22" i="83"/>
  <c r="AA22" i="83"/>
  <c r="AE22" i="83"/>
  <c r="AI22" i="83"/>
  <c r="AM22" i="83"/>
  <c r="AQ22" i="83"/>
  <c r="AU22" i="83"/>
  <c r="S23" i="83"/>
  <c r="T23" i="83"/>
  <c r="W23" i="83"/>
  <c r="X23" i="83"/>
  <c r="AA23" i="83"/>
  <c r="AB23" i="83"/>
  <c r="AE23" i="83"/>
  <c r="AF23" i="83"/>
  <c r="AI23" i="83"/>
  <c r="AJ23" i="83"/>
  <c r="AM23" i="83"/>
  <c r="AN23" i="83"/>
  <c r="AQ23" i="83"/>
  <c r="AR23" i="83"/>
  <c r="AU23" i="83"/>
  <c r="AV23" i="83"/>
  <c r="G24" i="83"/>
  <c r="L24" i="83"/>
  <c r="P24" i="83"/>
  <c r="T24" i="83"/>
  <c r="X24" i="83"/>
  <c r="AB24" i="83"/>
  <c r="AF24" i="83"/>
  <c r="AJ24" i="83"/>
  <c r="AN24" i="83"/>
  <c r="AR24" i="83"/>
  <c r="AV24" i="83"/>
  <c r="H25" i="83"/>
  <c r="L25" i="83"/>
  <c r="P25" i="83"/>
  <c r="T25" i="83"/>
  <c r="X25" i="83"/>
  <c r="AB25" i="83"/>
  <c r="AF25" i="83"/>
  <c r="AJ25" i="83"/>
  <c r="AN25" i="83"/>
  <c r="AR25" i="83"/>
  <c r="AV25" i="83"/>
  <c r="G26" i="83"/>
  <c r="K26" i="83"/>
  <c r="O26" i="83"/>
  <c r="S26" i="83"/>
  <c r="W26" i="83"/>
  <c r="AA26" i="83"/>
  <c r="AE26" i="83"/>
  <c r="AI26" i="83"/>
  <c r="AM26" i="83"/>
  <c r="AQ26" i="83"/>
  <c r="AU26" i="83"/>
  <c r="H27" i="83"/>
  <c r="L27" i="83"/>
  <c r="P27" i="83"/>
  <c r="T27" i="83"/>
  <c r="X27" i="83"/>
  <c r="AB27" i="83"/>
  <c r="AF27" i="83"/>
  <c r="AJ27" i="83"/>
  <c r="AN27" i="83"/>
  <c r="AR27" i="83"/>
  <c r="AV27" i="83"/>
  <c r="O28" i="83"/>
  <c r="S28" i="83"/>
  <c r="W28" i="83"/>
  <c r="AA28" i="83"/>
  <c r="AE28" i="83"/>
  <c r="AI28" i="83"/>
  <c r="AM28" i="83"/>
  <c r="AQ28" i="83"/>
  <c r="AU28" i="83"/>
  <c r="AB29" i="83"/>
  <c r="AF29" i="83"/>
  <c r="AJ29" i="83"/>
  <c r="AN29" i="83"/>
  <c r="AR29" i="83"/>
  <c r="P30" i="83"/>
  <c r="T30" i="83"/>
  <c r="X30" i="83"/>
  <c r="AB30" i="83"/>
  <c r="AF30" i="83"/>
  <c r="AJ30" i="83"/>
  <c r="AN30" i="83"/>
  <c r="AR30" i="83"/>
  <c r="AV30" i="83"/>
  <c r="H31" i="83"/>
  <c r="H78" i="83" s="1"/>
  <c r="H85" i="83" s="1"/>
  <c r="L31" i="83"/>
  <c r="P31" i="83"/>
  <c r="T31" i="83"/>
  <c r="X31" i="83"/>
  <c r="AB31" i="83"/>
  <c r="AF31" i="83"/>
  <c r="AJ31" i="83"/>
  <c r="AJ78" i="83" s="1"/>
  <c r="AN31" i="83"/>
  <c r="AN78" i="83" s="1"/>
  <c r="AN85" i="83" s="1"/>
  <c r="AR31" i="83"/>
  <c r="AV31" i="83"/>
  <c r="G32" i="83"/>
  <c r="H32" i="83"/>
  <c r="K32" i="83"/>
  <c r="L32" i="83"/>
  <c r="O32" i="83"/>
  <c r="O78" i="83" s="1"/>
  <c r="P32" i="83"/>
  <c r="S32" i="83"/>
  <c r="T32" i="83"/>
  <c r="W32" i="83"/>
  <c r="X32" i="83"/>
  <c r="AA32" i="83"/>
  <c r="AB32" i="83"/>
  <c r="AE32" i="83"/>
  <c r="AF32" i="83"/>
  <c r="AI32" i="83"/>
  <c r="AJ32" i="83"/>
  <c r="AM32" i="83"/>
  <c r="AN32" i="83"/>
  <c r="AQ32" i="83"/>
  <c r="AR32" i="83"/>
  <c r="AU32" i="83"/>
  <c r="AU78" i="83" s="1"/>
  <c r="AV32" i="83"/>
  <c r="G33" i="83"/>
  <c r="K33" i="83"/>
  <c r="O33" i="83"/>
  <c r="S33" i="83"/>
  <c r="W33" i="83"/>
  <c r="AA33" i="83"/>
  <c r="AE33" i="83"/>
  <c r="AI33" i="83"/>
  <c r="AM33" i="83"/>
  <c r="AQ33" i="83"/>
  <c r="AU33" i="83"/>
  <c r="G34" i="83"/>
  <c r="K34" i="83"/>
  <c r="O34" i="83"/>
  <c r="S34" i="83"/>
  <c r="W34" i="83"/>
  <c r="AA34" i="83"/>
  <c r="AE34" i="83"/>
  <c r="AI34" i="83"/>
  <c r="AM34" i="83"/>
  <c r="AQ34" i="83"/>
  <c r="AU34" i="83"/>
  <c r="G35" i="83"/>
  <c r="K35" i="83"/>
  <c r="O35" i="83"/>
  <c r="S35" i="83"/>
  <c r="W35" i="83"/>
  <c r="AA35" i="83"/>
  <c r="AE35" i="83"/>
  <c r="AI35" i="83"/>
  <c r="AM35" i="83"/>
  <c r="AQ35" i="83"/>
  <c r="AU35" i="83"/>
  <c r="G36" i="83"/>
  <c r="K36" i="83"/>
  <c r="O36" i="83"/>
  <c r="S36" i="83"/>
  <c r="W36" i="83"/>
  <c r="AA36" i="83"/>
  <c r="AE36" i="83"/>
  <c r="AI36" i="83"/>
  <c r="AM36" i="83"/>
  <c r="AQ36" i="83"/>
  <c r="AU36" i="83"/>
  <c r="G37" i="83"/>
  <c r="K37" i="83"/>
  <c r="O37" i="83"/>
  <c r="S37" i="83"/>
  <c r="W37" i="83"/>
  <c r="AA37" i="83"/>
  <c r="AE37" i="83"/>
  <c r="AI37" i="83"/>
  <c r="AM37" i="83"/>
  <c r="AQ37" i="83"/>
  <c r="AU37" i="83"/>
  <c r="H38" i="83"/>
  <c r="L38" i="83"/>
  <c r="P38" i="83"/>
  <c r="T38" i="83"/>
  <c r="X38" i="83"/>
  <c r="AB38" i="83"/>
  <c r="AF38" i="83"/>
  <c r="AJ38" i="83"/>
  <c r="AN38" i="83"/>
  <c r="AR38" i="83"/>
  <c r="AV38" i="83"/>
  <c r="G39" i="83"/>
  <c r="K39" i="83"/>
  <c r="O39" i="83"/>
  <c r="S39" i="83"/>
  <c r="W39" i="83"/>
  <c r="AA39" i="83"/>
  <c r="AE39" i="83"/>
  <c r="AI39" i="83"/>
  <c r="AM39" i="83"/>
  <c r="AQ39" i="83"/>
  <c r="AU39" i="83"/>
  <c r="W40" i="83"/>
  <c r="X41" i="83"/>
  <c r="G42" i="83"/>
  <c r="G74" i="83" s="1"/>
  <c r="K42" i="83"/>
  <c r="O42" i="83"/>
  <c r="S42" i="83"/>
  <c r="W42" i="83"/>
  <c r="AA42" i="83"/>
  <c r="AE42" i="83"/>
  <c r="AI42" i="83"/>
  <c r="AM42" i="83"/>
  <c r="AM74" i="83" s="1"/>
  <c r="AQ42" i="83"/>
  <c r="AU42" i="83"/>
  <c r="G43" i="83"/>
  <c r="H43" i="83"/>
  <c r="K43" i="83"/>
  <c r="L43" i="83"/>
  <c r="O43" i="83"/>
  <c r="P43" i="83"/>
  <c r="S43" i="83"/>
  <c r="T43" i="83"/>
  <c r="W43" i="83"/>
  <c r="X43" i="83"/>
  <c r="AA43" i="83"/>
  <c r="AB43" i="83"/>
  <c r="AE43" i="83"/>
  <c r="AF43" i="83"/>
  <c r="AI43" i="83"/>
  <c r="AJ43" i="83"/>
  <c r="AM43" i="83"/>
  <c r="AN43" i="83"/>
  <c r="AQ43" i="83"/>
  <c r="AR43" i="83"/>
  <c r="AU43" i="83"/>
  <c r="AV43" i="83"/>
  <c r="G44" i="83"/>
  <c r="H44" i="83"/>
  <c r="K44" i="83"/>
  <c r="L44" i="83"/>
  <c r="O44" i="83"/>
  <c r="P44" i="83"/>
  <c r="S44" i="83"/>
  <c r="T44" i="83"/>
  <c r="W44" i="83"/>
  <c r="X44" i="83"/>
  <c r="AA44" i="83"/>
  <c r="AB44" i="83"/>
  <c r="AE44" i="83"/>
  <c r="AF44" i="83"/>
  <c r="AI44" i="83"/>
  <c r="AJ44" i="83"/>
  <c r="AM44" i="83"/>
  <c r="AN44" i="83"/>
  <c r="AQ44" i="83"/>
  <c r="AR44" i="83"/>
  <c r="AU44" i="83"/>
  <c r="AV44" i="83"/>
  <c r="W45" i="83"/>
  <c r="AA45" i="83"/>
  <c r="AE45" i="83"/>
  <c r="AI45" i="83"/>
  <c r="AM45" i="83"/>
  <c r="AQ45" i="83"/>
  <c r="AU45" i="83"/>
  <c r="AA46" i="83"/>
  <c r="AE46" i="83"/>
  <c r="AI46" i="83"/>
  <c r="AM46" i="83"/>
  <c r="AQ46" i="83"/>
  <c r="AU46" i="83"/>
  <c r="AQ47" i="83"/>
  <c r="AU47" i="83"/>
  <c r="G48" i="83"/>
  <c r="H48" i="83"/>
  <c r="K48" i="83"/>
  <c r="L48" i="83"/>
  <c r="O48" i="83"/>
  <c r="P48" i="83"/>
  <c r="S48" i="83"/>
  <c r="T48" i="83"/>
  <c r="W48" i="83"/>
  <c r="X48" i="83"/>
  <c r="AA48" i="83"/>
  <c r="AB48" i="83"/>
  <c r="AE48" i="83"/>
  <c r="AF48" i="83"/>
  <c r="AI48" i="83"/>
  <c r="AJ48" i="83"/>
  <c r="AM48" i="83"/>
  <c r="AN48" i="83"/>
  <c r="AQ48" i="83"/>
  <c r="AR48" i="83"/>
  <c r="AU48" i="83"/>
  <c r="AV48" i="83"/>
  <c r="G49" i="83"/>
  <c r="K49" i="83"/>
  <c r="O49" i="83"/>
  <c r="S49" i="83"/>
  <c r="W49" i="83"/>
  <c r="AA49" i="83"/>
  <c r="AE49" i="83"/>
  <c r="AI49" i="83"/>
  <c r="AM49" i="83"/>
  <c r="AQ49" i="83"/>
  <c r="AU49" i="83"/>
  <c r="G50" i="83"/>
  <c r="K50" i="83"/>
  <c r="O50" i="83"/>
  <c r="S50" i="83"/>
  <c r="W50" i="83"/>
  <c r="AA50" i="83"/>
  <c r="AE50" i="83"/>
  <c r="AI50" i="83"/>
  <c r="AM50" i="83"/>
  <c r="AQ50" i="83"/>
  <c r="AU50" i="83"/>
  <c r="G51" i="83"/>
  <c r="K51" i="83"/>
  <c r="O51" i="83"/>
  <c r="S51" i="83"/>
  <c r="W51" i="83"/>
  <c r="AA51" i="83"/>
  <c r="AE51" i="83"/>
  <c r="AI51" i="83"/>
  <c r="AM51" i="83"/>
  <c r="AQ51" i="83"/>
  <c r="AU51" i="83"/>
  <c r="H52" i="83"/>
  <c r="L52" i="83"/>
  <c r="P52" i="83"/>
  <c r="T52" i="83"/>
  <c r="X52" i="83"/>
  <c r="AB52" i="83"/>
  <c r="AF52" i="83"/>
  <c r="AJ52" i="83"/>
  <c r="AN52" i="83"/>
  <c r="AR52" i="83"/>
  <c r="AV52" i="83"/>
  <c r="G53" i="83"/>
  <c r="K53" i="83"/>
  <c r="O53" i="83"/>
  <c r="S53" i="83"/>
  <c r="W53" i="83"/>
  <c r="AA53" i="83"/>
  <c r="AE53" i="83"/>
  <c r="AI53" i="83"/>
  <c r="AM53" i="83"/>
  <c r="AQ53" i="83"/>
  <c r="AU53" i="83"/>
  <c r="G54" i="83"/>
  <c r="K54" i="83"/>
  <c r="O54" i="83"/>
  <c r="S54" i="83"/>
  <c r="W54" i="83"/>
  <c r="AA54" i="83"/>
  <c r="AE54" i="83"/>
  <c r="AI54" i="83"/>
  <c r="AM54" i="83"/>
  <c r="AQ54" i="83"/>
  <c r="AU54" i="83"/>
  <c r="G55" i="83"/>
  <c r="H55" i="83"/>
  <c r="K55" i="83"/>
  <c r="L55" i="83"/>
  <c r="O55" i="83"/>
  <c r="P55" i="83"/>
  <c r="S55" i="83"/>
  <c r="T55" i="83"/>
  <c r="W55" i="83"/>
  <c r="X55" i="83"/>
  <c r="AA55" i="83"/>
  <c r="AB55" i="83"/>
  <c r="AE55" i="83"/>
  <c r="AF55" i="83"/>
  <c r="AI55" i="83"/>
  <c r="AJ55" i="83"/>
  <c r="AM55" i="83"/>
  <c r="AN55" i="83"/>
  <c r="AQ55" i="83"/>
  <c r="AR55" i="83"/>
  <c r="AU55" i="83"/>
  <c r="AV55" i="83"/>
  <c r="G56" i="83"/>
  <c r="K56" i="83"/>
  <c r="O56" i="83"/>
  <c r="S56" i="83"/>
  <c r="W56" i="83"/>
  <c r="AA56" i="83"/>
  <c r="AE56" i="83"/>
  <c r="AI56" i="83"/>
  <c r="AM56" i="83"/>
  <c r="AQ56" i="83"/>
  <c r="AU56" i="83"/>
  <c r="G57" i="83"/>
  <c r="K57" i="83"/>
  <c r="O57" i="83"/>
  <c r="S57" i="83"/>
  <c r="W57" i="83"/>
  <c r="AA57" i="83"/>
  <c r="AE57" i="83"/>
  <c r="AI57" i="83"/>
  <c r="AM57" i="83"/>
  <c r="AQ57" i="83"/>
  <c r="AU57" i="83"/>
  <c r="S58" i="83"/>
  <c r="W58" i="83"/>
  <c r="AA58" i="83"/>
  <c r="AE58" i="83"/>
  <c r="AI58" i="83"/>
  <c r="AM58" i="83"/>
  <c r="AQ58" i="83"/>
  <c r="AU58" i="83"/>
  <c r="G59" i="83"/>
  <c r="K59" i="83"/>
  <c r="O59" i="83"/>
  <c r="S59" i="83"/>
  <c r="W59" i="83"/>
  <c r="AA59" i="83"/>
  <c r="AE59" i="83"/>
  <c r="AI59" i="83"/>
  <c r="AM59" i="83"/>
  <c r="AQ59" i="83"/>
  <c r="AU59" i="83"/>
  <c r="G60" i="83"/>
  <c r="K60" i="83"/>
  <c r="O60" i="83"/>
  <c r="S60" i="83"/>
  <c r="W60" i="83"/>
  <c r="AA60" i="83"/>
  <c r="AE60" i="83"/>
  <c r="AI60" i="83"/>
  <c r="AM60" i="83"/>
  <c r="AQ60" i="83"/>
  <c r="AU60" i="83"/>
  <c r="G61" i="83"/>
  <c r="K61" i="83"/>
  <c r="O61" i="83"/>
  <c r="S61" i="83"/>
  <c r="W61" i="83"/>
  <c r="AA61" i="83"/>
  <c r="AE61" i="83"/>
  <c r="AI61" i="83"/>
  <c r="AM61" i="83"/>
  <c r="AQ61" i="83"/>
  <c r="AU61" i="83"/>
  <c r="K62" i="83"/>
  <c r="O62" i="83"/>
  <c r="S62" i="83"/>
  <c r="W62" i="83"/>
  <c r="AA62" i="83"/>
  <c r="AI62" i="83"/>
  <c r="AM62" i="83"/>
  <c r="AQ62" i="83"/>
  <c r="O63" i="83"/>
  <c r="S63" i="83"/>
  <c r="W63" i="83"/>
  <c r="K64" i="83"/>
  <c r="O64" i="83"/>
  <c r="S64" i="83"/>
  <c r="W64" i="83"/>
  <c r="AA64" i="83"/>
  <c r="AI64" i="83"/>
  <c r="AM64" i="83"/>
  <c r="AQ64" i="83"/>
  <c r="O65" i="83"/>
  <c r="S65" i="83"/>
  <c r="W65" i="83"/>
  <c r="K66" i="83"/>
  <c r="O66" i="83"/>
  <c r="S66" i="83"/>
  <c r="W66" i="83"/>
  <c r="AA66" i="83"/>
  <c r="AE66" i="83"/>
  <c r="AI66" i="83"/>
  <c r="AM66" i="83"/>
  <c r="AQ66" i="83"/>
  <c r="AU66" i="83"/>
  <c r="O67" i="83"/>
  <c r="S67" i="83"/>
  <c r="W67" i="83"/>
  <c r="AA67" i="83"/>
  <c r="AE67" i="83"/>
  <c r="AI67" i="83"/>
  <c r="AM67" i="83"/>
  <c r="AQ67" i="83"/>
  <c r="AU67" i="83"/>
  <c r="O68" i="83"/>
  <c r="S68" i="83"/>
  <c r="W68" i="83"/>
  <c r="W69" i="83"/>
  <c r="AA69" i="83"/>
  <c r="AE69" i="83"/>
  <c r="AI69" i="83"/>
  <c r="AM69" i="83"/>
  <c r="AQ69" i="83"/>
  <c r="AA70" i="83"/>
  <c r="AE70" i="83"/>
  <c r="AI70" i="83"/>
  <c r="AM70" i="83"/>
  <c r="AQ70" i="83"/>
  <c r="AU70" i="83"/>
  <c r="AA71" i="83"/>
  <c r="AE71" i="83"/>
  <c r="AI71" i="83"/>
  <c r="AM71" i="83"/>
  <c r="AQ71" i="83"/>
  <c r="AU71" i="83"/>
  <c r="AE72" i="83"/>
  <c r="AI72" i="83"/>
  <c r="AM72" i="83"/>
  <c r="AQ72" i="83"/>
  <c r="AU72" i="83"/>
  <c r="F74" i="83"/>
  <c r="J74" i="83"/>
  <c r="N74" i="83"/>
  <c r="R74" i="83"/>
  <c r="V74" i="83"/>
  <c r="Z74" i="83"/>
  <c r="AD74" i="83"/>
  <c r="AH74" i="83"/>
  <c r="AL74" i="83"/>
  <c r="AP74" i="83"/>
  <c r="AT74" i="83"/>
  <c r="R80" i="83"/>
  <c r="AH80" i="83"/>
  <c r="F80" i="83"/>
  <c r="N80" i="83"/>
  <c r="V80" i="83"/>
  <c r="AD80" i="83"/>
  <c r="AL80" i="83"/>
  <c r="AT80" i="83"/>
  <c r="W82" i="83"/>
  <c r="V82" i="83" s="1"/>
  <c r="F86" i="83"/>
  <c r="N86" i="83"/>
  <c r="R86" i="83"/>
  <c r="V86" i="83"/>
  <c r="AD86" i="83"/>
  <c r="AH86" i="83"/>
  <c r="AL86" i="83"/>
  <c r="AT86" i="83"/>
  <c r="F93" i="83"/>
  <c r="J93" i="83"/>
  <c r="N93" i="83"/>
  <c r="R93" i="83"/>
  <c r="V93" i="83"/>
  <c r="Z93" i="83"/>
  <c r="AD93" i="83"/>
  <c r="AH93" i="83"/>
  <c r="AL93" i="83"/>
  <c r="AP93" i="83"/>
  <c r="AT93" i="83"/>
  <c r="F101" i="83"/>
  <c r="J101" i="83"/>
  <c r="N101" i="83"/>
  <c r="R101" i="83"/>
  <c r="V101" i="83"/>
  <c r="Z101" i="83"/>
  <c r="AD101" i="83"/>
  <c r="AH101" i="83"/>
  <c r="AL101" i="83"/>
  <c r="AP101" i="83"/>
  <c r="AT101" i="83"/>
  <c r="L34" i="87" l="1"/>
  <c r="AR6" i="82"/>
  <c r="AM6" i="82"/>
  <c r="K34" i="87"/>
  <c r="J34" i="87"/>
  <c r="AH6" i="82"/>
  <c r="S6" i="82"/>
  <c r="G34" i="87"/>
  <c r="T39" i="84"/>
  <c r="AE78" i="83"/>
  <c r="AV79" i="83"/>
  <c r="P79" i="83"/>
  <c r="P86" i="83" s="1"/>
  <c r="S37" i="84"/>
  <c r="G56" i="84" s="1"/>
  <c r="S33" i="84"/>
  <c r="L50" i="87"/>
  <c r="L51" i="87" s="1"/>
  <c r="BB20" i="82"/>
  <c r="D34" i="87"/>
  <c r="D6" i="82"/>
  <c r="AF78" i="83"/>
  <c r="S79" i="83"/>
  <c r="AR79" i="83"/>
  <c r="AR86" i="83" s="1"/>
  <c r="L79" i="83"/>
  <c r="L86" i="83" s="1"/>
  <c r="W36" i="84"/>
  <c r="J55" i="84" s="1"/>
  <c r="I35" i="84"/>
  <c r="V35" i="84" s="1"/>
  <c r="C54" i="84" s="1"/>
  <c r="AA90" i="83" s="1"/>
  <c r="AD6" i="82" s="1"/>
  <c r="I32" i="84"/>
  <c r="D31" i="85"/>
  <c r="E15" i="85"/>
  <c r="E34" i="85" s="1"/>
  <c r="E10" i="85"/>
  <c r="E29" i="85" s="1"/>
  <c r="M50" i="87"/>
  <c r="M51" i="87" s="1"/>
  <c r="BB18" i="82"/>
  <c r="K78" i="83"/>
  <c r="O79" i="83"/>
  <c r="O86" i="83" s="1"/>
  <c r="X78" i="83"/>
  <c r="AQ79" i="83"/>
  <c r="K79" i="83"/>
  <c r="K80" i="83" s="1"/>
  <c r="AJ79" i="83"/>
  <c r="AJ86" i="83" s="1"/>
  <c r="I39" i="84"/>
  <c r="L37" i="84"/>
  <c r="S35" i="84"/>
  <c r="G54" i="84" s="1"/>
  <c r="S34" i="84"/>
  <c r="S31" i="84"/>
  <c r="I35" i="85"/>
  <c r="L35" i="85" s="1"/>
  <c r="AU82" i="83" s="1"/>
  <c r="AT82" i="83" s="1"/>
  <c r="AT85" i="83" s="1"/>
  <c r="G29" i="85"/>
  <c r="F50" i="87"/>
  <c r="F51" i="87" s="1"/>
  <c r="T79" i="83"/>
  <c r="T86" i="83" s="1"/>
  <c r="AB78" i="83"/>
  <c r="H79" i="83"/>
  <c r="L30" i="84"/>
  <c r="N37" i="84"/>
  <c r="P37" i="84" s="1"/>
  <c r="O74" i="83"/>
  <c r="AM78" i="83"/>
  <c r="W78" i="83"/>
  <c r="G78" i="83"/>
  <c r="T78" i="83"/>
  <c r="AM79" i="83"/>
  <c r="AM86" i="83" s="1"/>
  <c r="G79" i="83"/>
  <c r="G86" i="83" s="1"/>
  <c r="AF79" i="83"/>
  <c r="T37" i="84"/>
  <c r="I33" i="84"/>
  <c r="L31" i="84"/>
  <c r="I30" i="85"/>
  <c r="L30" i="85" s="1"/>
  <c r="AA82" i="83" s="1"/>
  <c r="Z82" i="83" s="1"/>
  <c r="Z85" i="83" s="1"/>
  <c r="H50" i="87"/>
  <c r="H51" i="87" s="1"/>
  <c r="K50" i="87"/>
  <c r="K51" i="87" s="1"/>
  <c r="BB21" i="82"/>
  <c r="W79" i="83"/>
  <c r="W86" i="83" s="1"/>
  <c r="AA78" i="83"/>
  <c r="AU79" i="83"/>
  <c r="AU86" i="83" s="1"/>
  <c r="AN79" i="83"/>
  <c r="D28" i="85"/>
  <c r="I34" i="87"/>
  <c r="AC6" i="82"/>
  <c r="AU74" i="83"/>
  <c r="AV78" i="83"/>
  <c r="AV85" i="83" s="1"/>
  <c r="P78" i="83"/>
  <c r="AI79" i="83"/>
  <c r="AB79" i="83"/>
  <c r="AB86" i="83" s="1"/>
  <c r="S36" i="84"/>
  <c r="P12" i="84"/>
  <c r="D34" i="85"/>
  <c r="D29" i="85"/>
  <c r="C30" i="85"/>
  <c r="F34" i="87"/>
  <c r="AA79" i="83"/>
  <c r="AA86" i="83" s="1"/>
  <c r="W39" i="84"/>
  <c r="J58" i="84" s="1"/>
  <c r="E34" i="87"/>
  <c r="I6" i="82"/>
  <c r="AQ78" i="83"/>
  <c r="AI78" i="83"/>
  <c r="S78" i="83"/>
  <c r="AR78" i="83"/>
  <c r="L78" i="83"/>
  <c r="AE79" i="83"/>
  <c r="AE86" i="83" s="1"/>
  <c r="X79" i="83"/>
  <c r="I37" i="84"/>
  <c r="V37" i="84" s="1"/>
  <c r="D54" i="84"/>
  <c r="M34" i="87"/>
  <c r="AW6" i="82"/>
  <c r="BB22" i="82"/>
  <c r="N12" i="82"/>
  <c r="N18" i="82"/>
  <c r="N24" i="82" s="1"/>
  <c r="AH87" i="83"/>
  <c r="AT87" i="83"/>
  <c r="AD87" i="83"/>
  <c r="R38" i="84"/>
  <c r="T38" i="84" s="1"/>
  <c r="S38" i="84"/>
  <c r="G57" i="84" s="1"/>
  <c r="D56" i="84"/>
  <c r="E56" i="84"/>
  <c r="H56" i="84"/>
  <c r="K52" i="84"/>
  <c r="V39" i="84"/>
  <c r="H58" i="84" s="1"/>
  <c r="E58" i="84"/>
  <c r="AA85" i="83"/>
  <c r="AA99" i="83" s="1"/>
  <c r="AD19" i="82" s="1"/>
  <c r="AA94" i="83"/>
  <c r="V32" i="84"/>
  <c r="E51" i="84" s="1"/>
  <c r="M82" i="86"/>
  <c r="M89" i="86" s="1"/>
  <c r="M81" i="86"/>
  <c r="M88" i="86" s="1"/>
  <c r="L78" i="86"/>
  <c r="L83" i="86" s="1"/>
  <c r="L90" i="86" s="1"/>
  <c r="H78" i="86"/>
  <c r="H83" i="86"/>
  <c r="H90" i="86" s="1"/>
  <c r="D78" i="86"/>
  <c r="K78" i="86"/>
  <c r="K82" i="86"/>
  <c r="K89" i="86" s="1"/>
  <c r="G78" i="86"/>
  <c r="N78" i="86"/>
  <c r="N81" i="86"/>
  <c r="N88" i="86" s="1"/>
  <c r="J78" i="86"/>
  <c r="F78" i="86"/>
  <c r="F81" i="86"/>
  <c r="F88" i="86" s="1"/>
  <c r="M80" i="86"/>
  <c r="E78" i="86"/>
  <c r="X85" i="83"/>
  <c r="T40" i="84"/>
  <c r="W40" i="84"/>
  <c r="J59" i="84" s="1"/>
  <c r="AV92" i="83" s="1"/>
  <c r="BC8" i="42" s="1"/>
  <c r="C58" i="84"/>
  <c r="C56" i="84"/>
  <c r="T32" i="84"/>
  <c r="H51" i="84"/>
  <c r="I78" i="86"/>
  <c r="P85" i="83"/>
  <c r="AI74" i="83"/>
  <c r="S74" i="83"/>
  <c r="AN74" i="83"/>
  <c r="X86" i="83"/>
  <c r="X74" i="83"/>
  <c r="H74" i="83"/>
  <c r="W38" i="84"/>
  <c r="J57" i="84" s="1"/>
  <c r="E54" i="84"/>
  <c r="H54" i="84"/>
  <c r="V33" i="84"/>
  <c r="N16" i="84"/>
  <c r="N38" i="84" s="1"/>
  <c r="P38" i="84" s="1"/>
  <c r="I38" i="84"/>
  <c r="V38" i="84" s="1"/>
  <c r="C57" i="84" s="1"/>
  <c r="N33" i="84"/>
  <c r="P33" i="84" s="1"/>
  <c r="P10" i="84"/>
  <c r="E13" i="85"/>
  <c r="E33" i="85" s="1"/>
  <c r="C33" i="85"/>
  <c r="AP80" i="83"/>
  <c r="AP86" i="83"/>
  <c r="AP87" i="83" s="1"/>
  <c r="Z80" i="83"/>
  <c r="Z86" i="83"/>
  <c r="Z87" i="83" s="1"/>
  <c r="J80" i="83"/>
  <c r="J86" i="83"/>
  <c r="AL85" i="83"/>
  <c r="V85" i="83"/>
  <c r="D58" i="84"/>
  <c r="I34" i="84"/>
  <c r="V34" i="84" s="1"/>
  <c r="E53" i="84"/>
  <c r="W30" i="84"/>
  <c r="S30" i="84"/>
  <c r="M41" i="84"/>
  <c r="V30" i="84"/>
  <c r="E49" i="84" s="1"/>
  <c r="N8" i="84"/>
  <c r="I19" i="84"/>
  <c r="N13" i="87"/>
  <c r="BB7" i="82" s="1"/>
  <c r="N50" i="87"/>
  <c r="N51" i="87" s="1"/>
  <c r="AQ74" i="83"/>
  <c r="AA74" i="83"/>
  <c r="K74" i="83"/>
  <c r="K86" i="83"/>
  <c r="AV74" i="83"/>
  <c r="AV86" i="83"/>
  <c r="AF74" i="83"/>
  <c r="P74" i="83"/>
  <c r="S39" i="84"/>
  <c r="G58" i="84" s="1"/>
  <c r="H57" i="84"/>
  <c r="O41" i="84"/>
  <c r="G50" i="84"/>
  <c r="K94" i="83" s="1"/>
  <c r="V31" i="84"/>
  <c r="N18" i="84"/>
  <c r="I40" i="84"/>
  <c r="V40" i="84" s="1"/>
  <c r="E11" i="85"/>
  <c r="E31" i="85" s="1"/>
  <c r="C31" i="85"/>
  <c r="W37" i="84"/>
  <c r="J56" i="84" s="1"/>
  <c r="I36" i="84"/>
  <c r="V36" i="84" s="1"/>
  <c r="E55" i="84" s="1"/>
  <c r="N34" i="84"/>
  <c r="P34" i="84" s="1"/>
  <c r="E8" i="85"/>
  <c r="W35" i="84"/>
  <c r="J54" i="84" s="1"/>
  <c r="W34" i="84"/>
  <c r="W33" i="84"/>
  <c r="J52" i="84" s="1"/>
  <c r="W32" i="84"/>
  <c r="J51" i="84" s="1"/>
  <c r="P92" i="83" s="1"/>
  <c r="O8" i="42" s="1"/>
  <c r="P8" i="42" s="1"/>
  <c r="W31" i="84"/>
  <c r="J50" i="84" s="1"/>
  <c r="N36" i="84"/>
  <c r="P36" i="84" s="1"/>
  <c r="N32" i="84"/>
  <c r="P32" i="84" s="1"/>
  <c r="BD8" i="42" l="1"/>
  <c r="AI91" i="83"/>
  <c r="AI85" i="83"/>
  <c r="AI99" i="83" s="1"/>
  <c r="AN19" i="82" s="1"/>
  <c r="J10" i="82"/>
  <c r="K10" i="82" s="1"/>
  <c r="J9" i="82"/>
  <c r="K9" i="82" s="1"/>
  <c r="BB19" i="82"/>
  <c r="G51" i="84"/>
  <c r="AW12" i="82"/>
  <c r="AW18" i="82"/>
  <c r="AW24" i="82" s="1"/>
  <c r="AA91" i="83"/>
  <c r="AQ91" i="83"/>
  <c r="AX7" i="82" s="1"/>
  <c r="AY7" i="82" s="1"/>
  <c r="E35" i="85"/>
  <c r="AQ94" i="83"/>
  <c r="AI100" i="83"/>
  <c r="AN20" i="82" s="1"/>
  <c r="AO20" i="82" s="1"/>
  <c r="AC18" i="82"/>
  <c r="AC24" i="82" s="1"/>
  <c r="AC12" i="82"/>
  <c r="L41" i="84"/>
  <c r="D12" i="82"/>
  <c r="D18" i="82"/>
  <c r="D24" i="82" s="1"/>
  <c r="I54" i="84"/>
  <c r="AI92" i="83"/>
  <c r="AN8" i="82" s="1"/>
  <c r="AO8" i="82" s="1"/>
  <c r="AF85" i="83"/>
  <c r="AF92" i="83"/>
  <c r="AI8" i="42" s="1"/>
  <c r="AJ8" i="42" s="1"/>
  <c r="I18" i="82"/>
  <c r="I24" i="82" s="1"/>
  <c r="I12" i="82"/>
  <c r="AM18" i="82"/>
  <c r="AM12" i="82"/>
  <c r="AV94" i="83"/>
  <c r="K59" i="84"/>
  <c r="AQ92" i="83"/>
  <c r="AX8" i="82" s="1"/>
  <c r="AY8" i="82" s="1"/>
  <c r="K58" i="84"/>
  <c r="L58" i="84" s="1"/>
  <c r="AR18" i="82"/>
  <c r="AR24" i="82" s="1"/>
  <c r="AR12" i="82"/>
  <c r="AE19" i="82"/>
  <c r="AH18" i="82"/>
  <c r="AH12" i="82"/>
  <c r="AQ85" i="83"/>
  <c r="AQ99" i="83" s="1"/>
  <c r="AX19" i="82" s="1"/>
  <c r="AY19" i="82" s="1"/>
  <c r="N34" i="87"/>
  <c r="S85" i="83"/>
  <c r="S99" i="83" s="1"/>
  <c r="T19" i="82" s="1"/>
  <c r="U19" i="82" s="1"/>
  <c r="BB24" i="82"/>
  <c r="AP91" i="83"/>
  <c r="AI98" i="83"/>
  <c r="AN18" i="82" s="1"/>
  <c r="AD10" i="82"/>
  <c r="AE10" i="82" s="1"/>
  <c r="AD9" i="82"/>
  <c r="AE9" i="82" s="1"/>
  <c r="W91" i="83"/>
  <c r="Y7" i="82" s="1"/>
  <c r="Z7" i="82" s="1"/>
  <c r="BB12" i="82"/>
  <c r="S12" i="82"/>
  <c r="S18" i="82"/>
  <c r="S24" i="82" s="1"/>
  <c r="K55" i="84"/>
  <c r="L55" i="84" s="1"/>
  <c r="D80" i="86"/>
  <c r="D87" i="86" s="1"/>
  <c r="D81" i="86"/>
  <c r="D88" i="86" s="1"/>
  <c r="D82" i="86"/>
  <c r="D89" i="86" s="1"/>
  <c r="D83" i="86"/>
  <c r="D90" i="86" s="1"/>
  <c r="AV95" i="83"/>
  <c r="AV96" i="83" s="1"/>
  <c r="AH98" i="83"/>
  <c r="E59" i="84"/>
  <c r="C59" i="84"/>
  <c r="D59" i="84"/>
  <c r="AU91" i="83" s="1"/>
  <c r="BC7" i="82" s="1"/>
  <c r="BD7" i="82" s="1"/>
  <c r="G59" i="84"/>
  <c r="AU94" i="83" s="1"/>
  <c r="AU80" i="83"/>
  <c r="AU90" i="83"/>
  <c r="BC6" i="82" s="1"/>
  <c r="AU85" i="83"/>
  <c r="AU99" i="83" s="1"/>
  <c r="BC19" i="82" s="1"/>
  <c r="AU92" i="83"/>
  <c r="AB80" i="83"/>
  <c r="AB92" i="83"/>
  <c r="AD8" i="42" s="1"/>
  <c r="AB85" i="83"/>
  <c r="I58" i="84"/>
  <c r="AQ90" i="83"/>
  <c r="AX6" i="82" s="1"/>
  <c r="J83" i="86"/>
  <c r="J90" i="86" s="1"/>
  <c r="J82" i="86"/>
  <c r="J89" i="86" s="1"/>
  <c r="J80" i="86"/>
  <c r="G80" i="86"/>
  <c r="G83" i="86"/>
  <c r="G90" i="86" s="1"/>
  <c r="G81" i="86"/>
  <c r="G88" i="86" s="1"/>
  <c r="T80" i="83"/>
  <c r="T92" i="83"/>
  <c r="T8" i="42" s="1"/>
  <c r="U8" i="42" s="1"/>
  <c r="T94" i="83"/>
  <c r="T85" i="83"/>
  <c r="D52" i="84"/>
  <c r="S91" i="83" s="1"/>
  <c r="T7" i="82" s="1"/>
  <c r="U7" i="82" s="1"/>
  <c r="H52" i="84"/>
  <c r="C52" i="84"/>
  <c r="E52" i="84"/>
  <c r="S92" i="83" s="1"/>
  <c r="AR80" i="83"/>
  <c r="AR92" i="83"/>
  <c r="AX8" i="42" s="1"/>
  <c r="AR94" i="83"/>
  <c r="AR85" i="83"/>
  <c r="K51" i="84"/>
  <c r="P94" i="83" s="1"/>
  <c r="H59" i="84"/>
  <c r="X87" i="83"/>
  <c r="E82" i="86"/>
  <c r="E89" i="86" s="1"/>
  <c r="E81" i="86"/>
  <c r="E88" i="86" s="1"/>
  <c r="E83" i="86"/>
  <c r="E90" i="86" s="1"/>
  <c r="C51" i="84"/>
  <c r="D51" i="84"/>
  <c r="O91" i="83" s="1"/>
  <c r="O7" i="82" s="1"/>
  <c r="P7" i="82" s="1"/>
  <c r="AA98" i="83"/>
  <c r="AD18" i="82" s="1"/>
  <c r="AA100" i="83"/>
  <c r="AD20" i="82" s="1"/>
  <c r="AE20" i="82" s="1"/>
  <c r="AA102" i="83"/>
  <c r="AA87" i="83"/>
  <c r="Z99" i="83"/>
  <c r="Z90" i="83"/>
  <c r="X80" i="83"/>
  <c r="L52" i="84"/>
  <c r="E28" i="85"/>
  <c r="E7" i="85"/>
  <c r="C8" i="85"/>
  <c r="L56" i="84"/>
  <c r="C50" i="84"/>
  <c r="E50" i="84"/>
  <c r="K92" i="83" s="1"/>
  <c r="J8" i="82" s="1"/>
  <c r="K8" i="82" s="1"/>
  <c r="H50" i="84"/>
  <c r="AJ80" i="83"/>
  <c r="AJ92" i="83"/>
  <c r="AN8" i="42" s="1"/>
  <c r="AO8" i="42" s="1"/>
  <c r="AJ94" i="83"/>
  <c r="AJ85" i="83"/>
  <c r="AE80" i="83"/>
  <c r="AE85" i="83"/>
  <c r="AE92" i="83"/>
  <c r="G49" i="84"/>
  <c r="G94" i="83" s="1"/>
  <c r="E57" i="84"/>
  <c r="AM92" i="83" s="1"/>
  <c r="AS8" i="82" s="1"/>
  <c r="AT8" i="82" s="1"/>
  <c r="V87" i="83"/>
  <c r="E32" i="85"/>
  <c r="G52" i="84"/>
  <c r="S94" i="83" s="1"/>
  <c r="G55" i="84"/>
  <c r="AE94" i="83" s="1"/>
  <c r="H80" i="83"/>
  <c r="H86" i="83"/>
  <c r="H87" i="83" s="1"/>
  <c r="AN86" i="83"/>
  <c r="AN87" i="83" s="1"/>
  <c r="AN80" i="83"/>
  <c r="AI80" i="83"/>
  <c r="AI86" i="83"/>
  <c r="AI87" i="83" s="1"/>
  <c r="P80" i="83"/>
  <c r="D55" i="84"/>
  <c r="K56" i="84"/>
  <c r="E80" i="86"/>
  <c r="F83" i="86"/>
  <c r="F90" i="86" s="1"/>
  <c r="F82" i="86"/>
  <c r="F89" i="86" s="1"/>
  <c r="F80" i="86"/>
  <c r="N83" i="86"/>
  <c r="N90" i="86" s="1"/>
  <c r="N82" i="86"/>
  <c r="N89" i="86" s="1"/>
  <c r="N80" i="86"/>
  <c r="K80" i="86"/>
  <c r="K83" i="86"/>
  <c r="K90" i="86" s="1"/>
  <c r="K81" i="86"/>
  <c r="K88" i="86" s="1"/>
  <c r="H81" i="86"/>
  <c r="H88" i="86" s="1"/>
  <c r="H80" i="86"/>
  <c r="H82" i="86"/>
  <c r="H89" i="86" s="1"/>
  <c r="K54" i="84"/>
  <c r="L54" i="84" s="1"/>
  <c r="AA92" i="83"/>
  <c r="AI94" i="83"/>
  <c r="AQ98" i="83"/>
  <c r="AX18" i="82" s="1"/>
  <c r="AQ100" i="83"/>
  <c r="AX20" i="82" s="1"/>
  <c r="AY20" i="82" s="1"/>
  <c r="AQ102" i="83"/>
  <c r="AP99" i="83"/>
  <c r="K57" i="84"/>
  <c r="K50" i="84"/>
  <c r="L50" i="84" s="1"/>
  <c r="O80" i="83"/>
  <c r="O90" i="83"/>
  <c r="O6" i="82" s="1"/>
  <c r="O92" i="83"/>
  <c r="O94" i="83"/>
  <c r="N91" i="83"/>
  <c r="C49" i="84"/>
  <c r="H49" i="84"/>
  <c r="D49" i="84"/>
  <c r="N39" i="84"/>
  <c r="P39" i="84" s="1"/>
  <c r="P16" i="84"/>
  <c r="AN100" i="83"/>
  <c r="AS20" i="42" s="1"/>
  <c r="AN92" i="83"/>
  <c r="AS8" i="42" s="1"/>
  <c r="S80" i="83"/>
  <c r="S86" i="83"/>
  <c r="AV100" i="83"/>
  <c r="BC20" i="42" s="1"/>
  <c r="AV102" i="83"/>
  <c r="AV87" i="83"/>
  <c r="I56" i="84"/>
  <c r="AI90" i="83"/>
  <c r="AN6" i="82" s="1"/>
  <c r="AO6" i="82" s="1"/>
  <c r="M87" i="86"/>
  <c r="M84" i="86"/>
  <c r="P95" i="83"/>
  <c r="P96" i="83" s="1"/>
  <c r="L51" i="84"/>
  <c r="P18" i="84"/>
  <c r="N40" i="84"/>
  <c r="P40" i="84" s="1"/>
  <c r="W80" i="83"/>
  <c r="W90" i="83"/>
  <c r="Y6" i="82" s="1"/>
  <c r="W92" i="83"/>
  <c r="Y8" i="82" s="1"/>
  <c r="Z8" i="82" s="1"/>
  <c r="W85" i="83"/>
  <c r="N30" i="84"/>
  <c r="N31" i="84"/>
  <c r="P31" i="84" s="1"/>
  <c r="N19" i="84"/>
  <c r="P8" i="84"/>
  <c r="C53" i="84"/>
  <c r="H53" i="84"/>
  <c r="G53" i="84"/>
  <c r="W94" i="83" s="1"/>
  <c r="D53" i="84"/>
  <c r="C55" i="84"/>
  <c r="J53" i="84"/>
  <c r="X100" i="83" s="1"/>
  <c r="Y20" i="42" s="1"/>
  <c r="K53" i="84"/>
  <c r="X94" i="83" s="1"/>
  <c r="E30" i="85"/>
  <c r="AF86" i="83"/>
  <c r="AF80" i="83"/>
  <c r="AQ86" i="83"/>
  <c r="AQ87" i="83" s="1"/>
  <c r="AQ80" i="83"/>
  <c r="G80" i="83"/>
  <c r="G90" i="83"/>
  <c r="E6" i="82" s="1"/>
  <c r="G92" i="83"/>
  <c r="E8" i="82" s="1"/>
  <c r="F8" i="82" s="1"/>
  <c r="AM80" i="83"/>
  <c r="AM90" i="83"/>
  <c r="AS6" i="82" s="1"/>
  <c r="AM94" i="83"/>
  <c r="AM85" i="83"/>
  <c r="I41" i="84"/>
  <c r="J49" i="84"/>
  <c r="K49" i="84"/>
  <c r="AL87" i="83"/>
  <c r="L80" i="83"/>
  <c r="L92" i="83"/>
  <c r="J8" i="42" s="1"/>
  <c r="K8" i="42" s="1"/>
  <c r="L85" i="83"/>
  <c r="P87" i="83"/>
  <c r="P100" i="83"/>
  <c r="O20" i="42" s="1"/>
  <c r="P102" i="83"/>
  <c r="AV80" i="83"/>
  <c r="I82" i="86"/>
  <c r="I89" i="86" s="1"/>
  <c r="I81" i="86"/>
  <c r="I88" i="86" s="1"/>
  <c r="I83" i="86"/>
  <c r="I90" i="86" s="1"/>
  <c r="H55" i="84"/>
  <c r="D57" i="84"/>
  <c r="I57" i="84" s="1"/>
  <c r="I80" i="86"/>
  <c r="J81" i="86"/>
  <c r="J88" i="86" s="1"/>
  <c r="G82" i="86"/>
  <c r="G89" i="86" s="1"/>
  <c r="L81" i="86"/>
  <c r="L88" i="86" s="1"/>
  <c r="L80" i="86"/>
  <c r="L82" i="86"/>
  <c r="L89" i="86" s="1"/>
  <c r="D50" i="84"/>
  <c r="L59" i="84"/>
  <c r="S100" i="83"/>
  <c r="T20" i="82" s="1"/>
  <c r="U20" i="82" s="1"/>
  <c r="R99" i="83"/>
  <c r="AA80" i="83"/>
  <c r="AT94" i="83" l="1"/>
  <c r="BC9" i="82"/>
  <c r="BD9" i="82" s="1"/>
  <c r="BC10" i="82"/>
  <c r="BD10" i="82" s="1"/>
  <c r="O24" i="42"/>
  <c r="R94" i="83"/>
  <c r="T10" i="82"/>
  <c r="U10" i="82" s="1"/>
  <c r="T9" i="82"/>
  <c r="U9" i="82" s="1"/>
  <c r="O22" i="42"/>
  <c r="O21" i="42"/>
  <c r="P19" i="84"/>
  <c r="Z92" i="83"/>
  <c r="AD8" i="82"/>
  <c r="AE8" i="82" s="1"/>
  <c r="AI10" i="82"/>
  <c r="AJ10" i="82" s="1"/>
  <c r="AI9" i="82"/>
  <c r="AJ9" i="82" s="1"/>
  <c r="AY8" i="42"/>
  <c r="AY12" i="42" s="1"/>
  <c r="BC10" i="42"/>
  <c r="BD10" i="42" s="1"/>
  <c r="BC9" i="42"/>
  <c r="AO19" i="82"/>
  <c r="BC22" i="42"/>
  <c r="BC24" i="42" s="1"/>
  <c r="BC21" i="42"/>
  <c r="AN10" i="42"/>
  <c r="AN9" i="42"/>
  <c r="AO9" i="42" s="1"/>
  <c r="S87" i="83"/>
  <c r="AE8" i="42"/>
  <c r="AX10" i="82"/>
  <c r="AY10" i="82" s="1"/>
  <c r="AX9" i="82"/>
  <c r="AY9" i="82" s="1"/>
  <c r="AF94" i="83"/>
  <c r="AD94" i="83" s="1"/>
  <c r="Y9" i="42"/>
  <c r="Z9" i="42" s="1"/>
  <c r="Y10" i="42"/>
  <c r="Z10" i="42" s="1"/>
  <c r="AN7" i="82"/>
  <c r="AO7" i="82" s="1"/>
  <c r="AO12" i="82" s="1"/>
  <c r="AH91" i="83"/>
  <c r="AM24" i="82"/>
  <c r="AO18" i="82"/>
  <c r="L94" i="83"/>
  <c r="AM99" i="83"/>
  <c r="AS19" i="82" s="1"/>
  <c r="V91" i="83"/>
  <c r="W99" i="83"/>
  <c r="Y19" i="82" s="1"/>
  <c r="Z19" i="82" s="1"/>
  <c r="AX21" i="82"/>
  <c r="AY21" i="82" s="1"/>
  <c r="AX22" i="82"/>
  <c r="AY22" i="82" s="1"/>
  <c r="AE91" i="83"/>
  <c r="AI7" i="82" s="1"/>
  <c r="BD19" i="82"/>
  <c r="AD22" i="82"/>
  <c r="AE22" i="82" s="1"/>
  <c r="AD21" i="82"/>
  <c r="AE21" i="82" s="1"/>
  <c r="AT8" i="42"/>
  <c r="N94" i="83"/>
  <c r="O10" i="82"/>
  <c r="P10" i="82" s="1"/>
  <c r="O9" i="82"/>
  <c r="P9" i="82" s="1"/>
  <c r="O10" i="42"/>
  <c r="O9" i="42"/>
  <c r="P9" i="42" s="1"/>
  <c r="R91" i="83"/>
  <c r="I59" i="84"/>
  <c r="K91" i="83"/>
  <c r="J7" i="82" s="1"/>
  <c r="K7" i="82" s="1"/>
  <c r="AF100" i="83"/>
  <c r="AI20" i="42" s="1"/>
  <c r="AF102" i="83"/>
  <c r="R92" i="83"/>
  <c r="T8" i="82"/>
  <c r="U8" i="82" s="1"/>
  <c r="Y10" i="82"/>
  <c r="Z10" i="82" s="1"/>
  <c r="Y9" i="82"/>
  <c r="Z9" i="82" s="1"/>
  <c r="AS10" i="82"/>
  <c r="AT10" i="82" s="1"/>
  <c r="AS9" i="82"/>
  <c r="AT9" i="82" s="1"/>
  <c r="N92" i="83"/>
  <c r="O8" i="82"/>
  <c r="P8" i="82" s="1"/>
  <c r="AD92" i="83"/>
  <c r="AI8" i="82"/>
  <c r="AJ8" i="82" s="1"/>
  <c r="AT92" i="83"/>
  <c r="BC8" i="82"/>
  <c r="BD8" i="82" s="1"/>
  <c r="AH24" i="82"/>
  <c r="AM91" i="83"/>
  <c r="AI102" i="83"/>
  <c r="G91" i="83"/>
  <c r="E7" i="82" s="1"/>
  <c r="F7" i="82" s="1"/>
  <c r="AH92" i="83"/>
  <c r="AF87" i="83"/>
  <c r="O12" i="82"/>
  <c r="AN10" i="82"/>
  <c r="AO10" i="82" s="1"/>
  <c r="AN9" i="82"/>
  <c r="AO9" i="82" s="1"/>
  <c r="AE99" i="83"/>
  <c r="AI19" i="82" s="1"/>
  <c r="AJ19" i="82" s="1"/>
  <c r="AP92" i="83"/>
  <c r="AP94" i="83"/>
  <c r="AX10" i="42"/>
  <c r="AY10" i="42" s="1"/>
  <c r="AX9" i="42"/>
  <c r="AY9" i="42" s="1"/>
  <c r="T10" i="42"/>
  <c r="U10" i="42" s="1"/>
  <c r="T9" i="42"/>
  <c r="AT91" i="83"/>
  <c r="AH99" i="83"/>
  <c r="AD7" i="82"/>
  <c r="Z91" i="83"/>
  <c r="J92" i="83"/>
  <c r="AL92" i="83"/>
  <c r="V94" i="83"/>
  <c r="E9" i="82"/>
  <c r="F9" i="82" s="1"/>
  <c r="E10" i="82"/>
  <c r="F10" i="82" s="1"/>
  <c r="H94" i="83"/>
  <c r="H102" i="83"/>
  <c r="V90" i="83"/>
  <c r="W95" i="83"/>
  <c r="W96" i="83" s="1"/>
  <c r="AI95" i="83"/>
  <c r="AI96" i="83" s="1"/>
  <c r="AH90" i="83"/>
  <c r="O95" i="83"/>
  <c r="O96" i="83" s="1"/>
  <c r="N90" i="83"/>
  <c r="AN94" i="83"/>
  <c r="AN102" i="83"/>
  <c r="N87" i="86"/>
  <c r="N84" i="86"/>
  <c r="AR87" i="83"/>
  <c r="AR102" i="83"/>
  <c r="AR100" i="83"/>
  <c r="AX20" i="42" s="1"/>
  <c r="T100" i="83"/>
  <c r="T102" i="83"/>
  <c r="T87" i="83"/>
  <c r="AB100" i="83"/>
  <c r="AD20" i="42" s="1"/>
  <c r="AB87" i="83"/>
  <c r="AB102" i="83"/>
  <c r="AU95" i="83"/>
  <c r="AU96" i="83" s="1"/>
  <c r="AT90" i="83"/>
  <c r="AT95" i="83" s="1"/>
  <c r="AT96" i="83" s="1"/>
  <c r="L87" i="83"/>
  <c r="L102" i="83"/>
  <c r="L100" i="83"/>
  <c r="L49" i="84"/>
  <c r="H100" i="83"/>
  <c r="E20" i="42" s="1"/>
  <c r="H92" i="83"/>
  <c r="E8" i="42" s="1"/>
  <c r="AL94" i="83"/>
  <c r="F90" i="83"/>
  <c r="W87" i="83"/>
  <c r="V99" i="83"/>
  <c r="W102" i="83"/>
  <c r="W98" i="83"/>
  <c r="Y18" i="82" s="1"/>
  <c r="W100" i="83"/>
  <c r="AV103" i="83"/>
  <c r="AV104" i="83" s="1"/>
  <c r="AJ100" i="83"/>
  <c r="AN20" i="42" s="1"/>
  <c r="AJ102" i="83"/>
  <c r="AJ87" i="83"/>
  <c r="C28" i="85"/>
  <c r="F7" i="85"/>
  <c r="Z100" i="83"/>
  <c r="I51" i="84"/>
  <c r="I52" i="84"/>
  <c r="S90" i="83"/>
  <c r="T6" i="82" s="1"/>
  <c r="T12" i="82" s="1"/>
  <c r="AB94" i="83"/>
  <c r="S102" i="83"/>
  <c r="S98" i="83"/>
  <c r="T18" i="82" s="1"/>
  <c r="D84" i="86"/>
  <c r="I87" i="86"/>
  <c r="I84" i="86"/>
  <c r="L53" i="84"/>
  <c r="X92" i="83"/>
  <c r="L57" i="84"/>
  <c r="AQ103" i="83"/>
  <c r="AQ104" i="83" s="1"/>
  <c r="AP98" i="83"/>
  <c r="E87" i="86"/>
  <c r="E84" i="86"/>
  <c r="AE87" i="83"/>
  <c r="AD99" i="83"/>
  <c r="AE100" i="83"/>
  <c r="AE102" i="83"/>
  <c r="AE98" i="83"/>
  <c r="AI18" i="82" s="1"/>
  <c r="E6" i="85"/>
  <c r="E27" i="85"/>
  <c r="Z98" i="83"/>
  <c r="AA103" i="83"/>
  <c r="AA104" i="83" s="1"/>
  <c r="X102" i="83"/>
  <c r="AR95" i="83"/>
  <c r="AR96" i="83" s="1"/>
  <c r="T95" i="83"/>
  <c r="T96" i="83" s="1"/>
  <c r="G84" i="86"/>
  <c r="G87" i="86"/>
  <c r="AQ95" i="83"/>
  <c r="AQ96" i="83" s="1"/>
  <c r="AP90" i="83"/>
  <c r="AP95" i="83" s="1"/>
  <c r="AP96" i="83" s="1"/>
  <c r="L87" i="86"/>
  <c r="L84" i="86"/>
  <c r="P103" i="83"/>
  <c r="P104" i="83" s="1"/>
  <c r="L95" i="83"/>
  <c r="L96" i="83" s="1"/>
  <c r="AL99" i="83"/>
  <c r="AM87" i="83"/>
  <c r="AM98" i="83"/>
  <c r="AS18" i="82" s="1"/>
  <c r="AM102" i="83"/>
  <c r="AM100" i="83"/>
  <c r="AL90" i="83"/>
  <c r="AM95" i="83"/>
  <c r="AM96" i="83" s="1"/>
  <c r="I55" i="84"/>
  <c r="I53" i="84"/>
  <c r="P30" i="84"/>
  <c r="P41" i="84" s="1"/>
  <c r="N41" i="84"/>
  <c r="M91" i="86"/>
  <c r="M12" i="86"/>
  <c r="I49" i="84"/>
  <c r="AH94" i="83"/>
  <c r="H87" i="86"/>
  <c r="H84" i="86"/>
  <c r="K84" i="86"/>
  <c r="K87" i="86"/>
  <c r="K91" i="86" s="1"/>
  <c r="F87" i="86"/>
  <c r="F84" i="86"/>
  <c r="AE90" i="83"/>
  <c r="AI6" i="82" s="1"/>
  <c r="AJ95" i="83"/>
  <c r="AJ96" i="83" s="1"/>
  <c r="I50" i="84"/>
  <c r="K90" i="83"/>
  <c r="J6" i="82" s="1"/>
  <c r="AA95" i="83"/>
  <c r="AA96" i="83" s="1"/>
  <c r="J87" i="86"/>
  <c r="J84" i="86"/>
  <c r="AT99" i="83"/>
  <c r="AU100" i="83"/>
  <c r="AU102" i="83"/>
  <c r="AU87" i="83"/>
  <c r="AU98" i="83"/>
  <c r="BC18" i="82" s="1"/>
  <c r="X103" i="83" l="1"/>
  <c r="X104" i="83" s="1"/>
  <c r="Y21" i="42"/>
  <c r="Y22" i="42"/>
  <c r="AP102" i="83"/>
  <c r="AX22" i="42"/>
  <c r="AX21" i="42"/>
  <c r="AX24" i="42" s="1"/>
  <c r="AL100" i="83"/>
  <c r="AS20" i="82"/>
  <c r="AT20" i="82" s="1"/>
  <c r="AT102" i="83"/>
  <c r="BC22" i="82"/>
  <c r="BD22" i="82" s="1"/>
  <c r="BC21" i="82"/>
  <c r="AD100" i="83"/>
  <c r="AI20" i="82"/>
  <c r="AJ20" i="82" s="1"/>
  <c r="X95" i="83"/>
  <c r="X96" i="83" s="1"/>
  <c r="Y8" i="42"/>
  <c r="F91" i="83"/>
  <c r="AI12" i="82"/>
  <c r="AJ7" i="82"/>
  <c r="AX12" i="82"/>
  <c r="F8" i="42"/>
  <c r="AS7" i="82"/>
  <c r="AL91" i="83"/>
  <c r="AX12" i="42"/>
  <c r="M70" i="86"/>
  <c r="AV6" i="82"/>
  <c r="Z102" i="83"/>
  <c r="Z103" i="83" s="1"/>
  <c r="Z104" i="83" s="1"/>
  <c r="AD21" i="42"/>
  <c r="AD22" i="42"/>
  <c r="AD24" i="42" s="1"/>
  <c r="AX24" i="82"/>
  <c r="Y22" i="82"/>
  <c r="Z22" i="82" s="1"/>
  <c r="Y21" i="82"/>
  <c r="Z21" i="82" s="1"/>
  <c r="E12" i="82"/>
  <c r="P12" i="42"/>
  <c r="BC12" i="82"/>
  <c r="L103" i="83"/>
  <c r="L104" i="83" s="1"/>
  <c r="J20" i="42"/>
  <c r="AN103" i="83"/>
  <c r="AN104" i="83" s="1"/>
  <c r="AS22" i="42"/>
  <c r="AS21" i="42"/>
  <c r="AS24" i="42" s="1"/>
  <c r="E22" i="42"/>
  <c r="E21" i="42"/>
  <c r="E24" i="42" s="1"/>
  <c r="O12" i="42"/>
  <c r="P10" i="42"/>
  <c r="AT19" i="82"/>
  <c r="BD9" i="42"/>
  <c r="BD12" i="42" s="1"/>
  <c r="BC12" i="42"/>
  <c r="AT100" i="83"/>
  <c r="BC20" i="82"/>
  <c r="BD20" i="82" s="1"/>
  <c r="T12" i="42"/>
  <c r="U9" i="42"/>
  <c r="U12" i="42" s="1"/>
  <c r="V100" i="83"/>
  <c r="Y20" i="82"/>
  <c r="Z20" i="82" s="1"/>
  <c r="AN22" i="82"/>
  <c r="AO22" i="82" s="1"/>
  <c r="AN21" i="82"/>
  <c r="J12" i="82"/>
  <c r="R102" i="83"/>
  <c r="T22" i="82"/>
  <c r="U22" i="82" s="1"/>
  <c r="T21" i="82"/>
  <c r="U21" i="82" s="1"/>
  <c r="J21" i="42"/>
  <c r="J22" i="42"/>
  <c r="T22" i="42"/>
  <c r="T21" i="42"/>
  <c r="AN95" i="83"/>
  <c r="AN96" i="83" s="1"/>
  <c r="AS9" i="42"/>
  <c r="AS10" i="42"/>
  <c r="AT10" i="42" s="1"/>
  <c r="F94" i="83"/>
  <c r="E10" i="42"/>
  <c r="F10" i="42" s="1"/>
  <c r="E9" i="42"/>
  <c r="F9" i="42" s="1"/>
  <c r="AE7" i="82"/>
  <c r="AD12" i="82"/>
  <c r="AN12" i="82"/>
  <c r="AF103" i="83"/>
  <c r="AF104" i="83" s="1"/>
  <c r="AI21" i="42"/>
  <c r="AI22" i="42"/>
  <c r="AI24" i="42" s="1"/>
  <c r="J94" i="83"/>
  <c r="J9" i="42"/>
  <c r="K9" i="42" s="1"/>
  <c r="J10" i="42"/>
  <c r="AL95" i="83"/>
  <c r="AL96" i="83" s="1"/>
  <c r="AS22" i="82"/>
  <c r="AT22" i="82" s="1"/>
  <c r="AS21" i="82"/>
  <c r="AT21" i="82" s="1"/>
  <c r="AD102" i="83"/>
  <c r="AI21" i="82"/>
  <c r="AJ21" i="82" s="1"/>
  <c r="AI22" i="82"/>
  <c r="AJ22" i="82" s="1"/>
  <c r="Z94" i="83"/>
  <c r="Z95" i="83" s="1"/>
  <c r="Z96" i="83" s="1"/>
  <c r="AD10" i="42"/>
  <c r="AE10" i="42" s="1"/>
  <c r="AD9" i="42"/>
  <c r="AH102" i="83"/>
  <c r="AN21" i="42"/>
  <c r="AN22" i="42"/>
  <c r="G95" i="83"/>
  <c r="G96" i="83" s="1"/>
  <c r="R100" i="83"/>
  <c r="T20" i="42"/>
  <c r="N95" i="83"/>
  <c r="N96" i="83" s="1"/>
  <c r="Y12" i="82"/>
  <c r="J91" i="83"/>
  <c r="AF95" i="83"/>
  <c r="AF96" i="83" s="1"/>
  <c r="AI9" i="42"/>
  <c r="AI10" i="42"/>
  <c r="AJ10" i="42" s="1"/>
  <c r="AN12" i="42"/>
  <c r="AO10" i="42"/>
  <c r="AO12" i="42" s="1"/>
  <c r="AI103" i="83"/>
  <c r="AI104" i="83" s="1"/>
  <c r="AD91" i="83"/>
  <c r="AD24" i="82"/>
  <c r="V92" i="83"/>
  <c r="V95" i="83" s="1"/>
  <c r="V96" i="83" s="1"/>
  <c r="AB95" i="83"/>
  <c r="AB96" i="83" s="1"/>
  <c r="H95" i="83"/>
  <c r="H96" i="83" s="1"/>
  <c r="F92" i="83"/>
  <c r="F95" i="83" s="1"/>
  <c r="F96" i="83" s="1"/>
  <c r="AR103" i="83"/>
  <c r="AR104" i="83" s="1"/>
  <c r="F12" i="86"/>
  <c r="F91" i="86"/>
  <c r="H91" i="86"/>
  <c r="H12" i="86"/>
  <c r="AD98" i="83"/>
  <c r="AD103" i="83" s="1"/>
  <c r="AD104" i="83" s="1"/>
  <c r="AE103" i="83"/>
  <c r="AE104" i="83" s="1"/>
  <c r="D91" i="86"/>
  <c r="D12" i="86"/>
  <c r="J12" i="86"/>
  <c r="J91" i="86"/>
  <c r="S103" i="83"/>
  <c r="S104" i="83" s="1"/>
  <c r="R98" i="83"/>
  <c r="R103" i="83" s="1"/>
  <c r="R104" i="83" s="1"/>
  <c r="C7" i="85"/>
  <c r="I7" i="85"/>
  <c r="L7" i="85" s="1"/>
  <c r="F27" i="85"/>
  <c r="G8" i="85"/>
  <c r="AT98" i="83"/>
  <c r="AU103" i="83"/>
  <c r="AU104" i="83" s="1"/>
  <c r="AD90" i="83"/>
  <c r="AD95" i="83" s="1"/>
  <c r="AD96" i="83" s="1"/>
  <c r="AE95" i="83"/>
  <c r="AE96" i="83" s="1"/>
  <c r="AL102" i="83"/>
  <c r="L91" i="86"/>
  <c r="L12" i="86"/>
  <c r="G12" i="86"/>
  <c r="G91" i="86"/>
  <c r="I12" i="86"/>
  <c r="I91" i="86"/>
  <c r="AJ103" i="83"/>
  <c r="AJ104" i="83" s="1"/>
  <c r="AH100" i="83"/>
  <c r="AH103" i="83" s="1"/>
  <c r="AH104" i="83" s="1"/>
  <c r="V98" i="83"/>
  <c r="W103" i="83"/>
  <c r="W104" i="83" s="1"/>
  <c r="AB103" i="83"/>
  <c r="AB104" i="83" s="1"/>
  <c r="N12" i="86"/>
  <c r="N91" i="86"/>
  <c r="K95" i="83"/>
  <c r="K96" i="83" s="1"/>
  <c r="J90" i="83"/>
  <c r="J95" i="83" s="1"/>
  <c r="J96" i="83" s="1"/>
  <c r="AL98" i="83"/>
  <c r="AM103" i="83"/>
  <c r="AM104" i="83" s="1"/>
  <c r="E26" i="85"/>
  <c r="E25" i="85"/>
  <c r="E12" i="86"/>
  <c r="E91" i="86"/>
  <c r="V102" i="83"/>
  <c r="H103" i="83"/>
  <c r="H104" i="83" s="1"/>
  <c r="T103" i="83"/>
  <c r="T104" i="83" s="1"/>
  <c r="AP100" i="83"/>
  <c r="AP103" i="83" s="1"/>
  <c r="AP104" i="83" s="1"/>
  <c r="S95" i="83"/>
  <c r="S96" i="83" s="1"/>
  <c r="R90" i="83"/>
  <c r="R95" i="83" s="1"/>
  <c r="R96" i="83" s="1"/>
  <c r="AH95" i="83"/>
  <c r="AH96" i="83" s="1"/>
  <c r="Y12" i="42" l="1"/>
  <c r="Z8" i="42"/>
  <c r="Z12" i="42" s="1"/>
  <c r="K12" i="42"/>
  <c r="E12" i="42"/>
  <c r="AV12" i="82"/>
  <c r="AV18" i="82"/>
  <c r="AY6" i="82"/>
  <c r="AY12" i="82" s="1"/>
  <c r="J12" i="42"/>
  <c r="K10" i="42"/>
  <c r="AL103" i="83"/>
  <c r="AL104" i="83" s="1"/>
  <c r="H70" i="86"/>
  <c r="W6" i="82"/>
  <c r="I70" i="86"/>
  <c r="AB6" i="82"/>
  <c r="AN24" i="42"/>
  <c r="AS24" i="82"/>
  <c r="J24" i="42"/>
  <c r="BC24" i="82"/>
  <c r="BD21" i="82"/>
  <c r="E70" i="86"/>
  <c r="H6" i="82"/>
  <c r="AT103" i="83"/>
  <c r="AT104" i="83" s="1"/>
  <c r="F70" i="86"/>
  <c r="M6" i="82"/>
  <c r="AT9" i="42"/>
  <c r="AT12" i="42" s="1"/>
  <c r="AS12" i="42"/>
  <c r="AT7" i="82"/>
  <c r="AS12" i="82"/>
  <c r="Y24" i="42"/>
  <c r="T24" i="42"/>
  <c r="AO21" i="82"/>
  <c r="AO24" i="82" s="1"/>
  <c r="AN24" i="82"/>
  <c r="F12" i="42"/>
  <c r="AI12" i="42"/>
  <c r="AJ9" i="42"/>
  <c r="AJ12" i="42" s="1"/>
  <c r="AI24" i="82"/>
  <c r="T24" i="82"/>
  <c r="N70" i="86"/>
  <c r="BA6" i="82"/>
  <c r="J70" i="86"/>
  <c r="AG6" i="82"/>
  <c r="G70" i="86"/>
  <c r="R6" i="82"/>
  <c r="L70" i="86"/>
  <c r="AQ6" i="82"/>
  <c r="AE9" i="42"/>
  <c r="AE12" i="42" s="1"/>
  <c r="AD12" i="42"/>
  <c r="Y24" i="82"/>
  <c r="D70" i="86"/>
  <c r="C6" i="82"/>
  <c r="V103" i="83"/>
  <c r="V104" i="83" s="1"/>
  <c r="F6" i="85"/>
  <c r="C27" i="85"/>
  <c r="I27" i="85"/>
  <c r="L27" i="85" s="1"/>
  <c r="O82" i="83" s="1"/>
  <c r="G28" i="85"/>
  <c r="BA18" i="82" l="1"/>
  <c r="BA12" i="82"/>
  <c r="BD6" i="82"/>
  <c r="BD12" i="82" s="1"/>
  <c r="M12" i="82"/>
  <c r="P6" i="82"/>
  <c r="P12" i="82" s="1"/>
  <c r="M18" i="82"/>
  <c r="H18" i="82"/>
  <c r="K6" i="82"/>
  <c r="K12" i="82" s="1"/>
  <c r="H12" i="82"/>
  <c r="AE6" i="82"/>
  <c r="AE12" i="82" s="1"/>
  <c r="AB18" i="82"/>
  <c r="AB12" i="82"/>
  <c r="Z6" i="82"/>
  <c r="Z12" i="82" s="1"/>
  <c r="W18" i="82"/>
  <c r="W12" i="82"/>
  <c r="R12" i="82"/>
  <c r="R18" i="82"/>
  <c r="U6" i="82"/>
  <c r="U12" i="82" s="1"/>
  <c r="AG18" i="82"/>
  <c r="AG12" i="82"/>
  <c r="AJ6" i="82"/>
  <c r="AJ12" i="82" s="1"/>
  <c r="AT6" i="82"/>
  <c r="AT12" i="82" s="1"/>
  <c r="AQ12" i="82"/>
  <c r="AQ18" i="82"/>
  <c r="AV24" i="82"/>
  <c r="AY18" i="82"/>
  <c r="AY24" i="82" s="1"/>
  <c r="C12" i="82"/>
  <c r="C18" i="82"/>
  <c r="C24" i="82" s="1"/>
  <c r="F6" i="82"/>
  <c r="F12" i="82" s="1"/>
  <c r="C6" i="85"/>
  <c r="F26" i="85"/>
  <c r="I6" i="85"/>
  <c r="F25" i="85"/>
  <c r="G7" i="85"/>
  <c r="N82" i="83"/>
  <c r="N85" i="83" s="1"/>
  <c r="O85" i="83"/>
  <c r="O99" i="83" s="1"/>
  <c r="O19" i="82" s="1"/>
  <c r="P19" i="82" s="1"/>
  <c r="H24" i="82" l="1"/>
  <c r="M24" i="82"/>
  <c r="AG24" i="82"/>
  <c r="AJ18" i="82"/>
  <c r="AJ24" i="82" s="1"/>
  <c r="AE18" i="82"/>
  <c r="AE24" i="82" s="1"/>
  <c r="AB24" i="82"/>
  <c r="W24" i="82"/>
  <c r="Z18" i="82"/>
  <c r="Z24" i="82" s="1"/>
  <c r="AT18" i="82"/>
  <c r="AT24" i="82" s="1"/>
  <c r="AQ24" i="82"/>
  <c r="R24" i="82"/>
  <c r="U18" i="82"/>
  <c r="U24" i="82" s="1"/>
  <c r="BA24" i="82"/>
  <c r="BD18" i="82"/>
  <c r="BD24" i="82" s="1"/>
  <c r="N87" i="83"/>
  <c r="I26" i="85"/>
  <c r="L26" i="85" s="1"/>
  <c r="K82" i="83" s="1"/>
  <c r="G26" i="85"/>
  <c r="G27" i="85"/>
  <c r="C25" i="85"/>
  <c r="C24" i="85" s="1"/>
  <c r="C26" i="85"/>
  <c r="C5" i="85"/>
  <c r="N99" i="83"/>
  <c r="O100" i="83"/>
  <c r="O102" i="83"/>
  <c r="O87" i="83"/>
  <c r="O98" i="83"/>
  <c r="O18" i="82" s="1"/>
  <c r="P18" i="82" s="1"/>
  <c r="L6" i="85"/>
  <c r="L25" i="85" s="1"/>
  <c r="G82" i="83" s="1"/>
  <c r="I25" i="85"/>
  <c r="N102" i="83" l="1"/>
  <c r="O22" i="82"/>
  <c r="P22" i="82" s="1"/>
  <c r="O21" i="82"/>
  <c r="P21" i="82" s="1"/>
  <c r="N100" i="83"/>
  <c r="O20" i="82"/>
  <c r="P20" i="82" s="1"/>
  <c r="P24" i="82" s="1"/>
  <c r="F82" i="83"/>
  <c r="F85" i="83" s="1"/>
  <c r="G85" i="83"/>
  <c r="J82" i="83"/>
  <c r="J85" i="83" s="1"/>
  <c r="K85" i="83"/>
  <c r="K99" i="83" s="1"/>
  <c r="J19" i="82" s="1"/>
  <c r="K19" i="82" s="1"/>
  <c r="N98" i="83"/>
  <c r="O103" i="83"/>
  <c r="O104" i="83" s="1"/>
  <c r="N103" i="83" l="1"/>
  <c r="N104" i="83" s="1"/>
  <c r="O24" i="82"/>
  <c r="G99" i="83"/>
  <c r="E19" i="82" s="1"/>
  <c r="F19" i="82" s="1"/>
  <c r="K98" i="83"/>
  <c r="J18" i="82" s="1"/>
  <c r="K18" i="82" s="1"/>
  <c r="K100" i="83"/>
  <c r="K102" i="83"/>
  <c r="J99" i="83"/>
  <c r="K87" i="83"/>
  <c r="J87" i="83"/>
  <c r="G87" i="83"/>
  <c r="G98" i="83"/>
  <c r="E18" i="82" s="1"/>
  <c r="G102" i="83"/>
  <c r="G100" i="83"/>
  <c r="F87" i="83"/>
  <c r="J102" i="83" l="1"/>
  <c r="J22" i="82"/>
  <c r="J21" i="82"/>
  <c r="K21" i="82" s="1"/>
  <c r="J100" i="83"/>
  <c r="J20" i="82"/>
  <c r="K20" i="82" s="1"/>
  <c r="F99" i="83"/>
  <c r="F18" i="82"/>
  <c r="F100" i="83"/>
  <c r="E20" i="82"/>
  <c r="F20" i="82" s="1"/>
  <c r="F102" i="83"/>
  <c r="E22" i="82"/>
  <c r="F22" i="82" s="1"/>
  <c r="E21" i="82"/>
  <c r="F21" i="82" s="1"/>
  <c r="K103" i="83"/>
  <c r="K104" i="83" s="1"/>
  <c r="J98" i="83"/>
  <c r="J103" i="83" s="1"/>
  <c r="J104" i="83" s="1"/>
  <c r="F98" i="83"/>
  <c r="G103" i="83"/>
  <c r="G104" i="83" s="1"/>
  <c r="J24" i="82" l="1"/>
  <c r="K22" i="82"/>
  <c r="K24" i="82"/>
  <c r="E24" i="82"/>
  <c r="F103" i="83"/>
  <c r="F104" i="83" s="1"/>
  <c r="F24" i="82"/>
  <c r="L86" i="63" l="1"/>
  <c r="K86" i="63"/>
  <c r="J86" i="63"/>
  <c r="I86" i="63"/>
  <c r="M85" i="63"/>
  <c r="M84" i="63"/>
  <c r="M83" i="63"/>
  <c r="M82" i="63"/>
  <c r="M81" i="63"/>
  <c r="L78" i="63"/>
  <c r="K78" i="63"/>
  <c r="J78" i="63"/>
  <c r="I78" i="63"/>
  <c r="M77" i="63"/>
  <c r="M76" i="63"/>
  <c r="M75" i="63"/>
  <c r="M74" i="63"/>
  <c r="M73" i="63"/>
  <c r="M86" i="63" l="1"/>
  <c r="M78" i="63"/>
  <c r="B2" i="58"/>
  <c r="H1" i="82" l="1"/>
  <c r="M1" i="82" s="1"/>
  <c r="R1" i="82" s="1"/>
  <c r="W1" i="82" s="1"/>
  <c r="AB1" i="82" s="1"/>
  <c r="AG1" i="82" s="1"/>
  <c r="AL1" i="82" s="1"/>
  <c r="AQ1" i="82" s="1"/>
  <c r="AV1" i="82" s="1"/>
  <c r="BA1" i="82" s="1"/>
  <c r="AK8" i="63" l="1"/>
  <c r="M8" i="63" l="1"/>
  <c r="AO8" i="63" s="1"/>
  <c r="B36" i="58"/>
  <c r="F49" i="40" l="1"/>
  <c r="E49" i="40"/>
  <c r="F48" i="40"/>
  <c r="E48" i="40"/>
  <c r="E50" i="40" l="1"/>
  <c r="B40" i="57" s="1"/>
  <c r="F50" i="40"/>
  <c r="B41" i="57" l="1"/>
  <c r="E29" i="62"/>
  <c r="AD29" i="62" s="1"/>
  <c r="A109" i="63"/>
  <c r="E36" i="62" l="1"/>
  <c r="AD36" i="62" s="1"/>
  <c r="D117" i="81"/>
  <c r="D116" i="81"/>
  <c r="D117" i="80"/>
  <c r="D116" i="80"/>
  <c r="D62" i="80"/>
  <c r="D61" i="80"/>
  <c r="E38" i="62" l="1"/>
  <c r="AD38" i="62" s="1"/>
  <c r="E117" i="81"/>
  <c r="E117" i="80"/>
  <c r="E62" i="80"/>
  <c r="B34" i="57"/>
  <c r="B33" i="57"/>
  <c r="E12" i="63"/>
  <c r="F12" i="63"/>
  <c r="F21" i="63"/>
  <c r="D38" i="63"/>
  <c r="AF38" i="63" s="1"/>
  <c r="D49" i="63"/>
  <c r="E49" i="63"/>
  <c r="F49" i="63"/>
  <c r="D50" i="63"/>
  <c r="E50" i="63"/>
  <c r="F50" i="63"/>
  <c r="D52" i="63"/>
  <c r="E52" i="63"/>
  <c r="F52" i="63"/>
  <c r="D53" i="63"/>
  <c r="E53" i="63"/>
  <c r="F53" i="63"/>
  <c r="D62" i="63"/>
  <c r="D70" i="63"/>
  <c r="D78" i="63"/>
  <c r="D86" i="63"/>
  <c r="E86" i="63"/>
  <c r="F86" i="63"/>
  <c r="D89" i="63"/>
  <c r="E89" i="63"/>
  <c r="F89" i="63"/>
  <c r="D90" i="63"/>
  <c r="E90" i="63"/>
  <c r="F90" i="63"/>
  <c r="D91" i="63"/>
  <c r="F91" i="63"/>
  <c r="D92" i="63"/>
  <c r="E92" i="63"/>
  <c r="D93" i="63"/>
  <c r="E93" i="63"/>
  <c r="F93" i="63"/>
  <c r="E100" i="63" l="1"/>
  <c r="F97" i="63"/>
  <c r="D47" i="63"/>
  <c r="E97" i="63"/>
  <c r="D97" i="63"/>
  <c r="D100" i="63"/>
  <c r="D101" i="63"/>
  <c r="F99" i="63"/>
  <c r="D99" i="63"/>
  <c r="F98" i="63"/>
  <c r="F101" i="63"/>
  <c r="E98" i="63"/>
  <c r="E101" i="63"/>
  <c r="D98" i="63"/>
  <c r="D102" i="63" s="1"/>
  <c r="D48" i="63"/>
  <c r="D94" i="63"/>
  <c r="D51" i="63" l="1"/>
  <c r="D108" i="63"/>
  <c r="J45" i="58"/>
  <c r="J46" i="58" s="1"/>
  <c r="K43" i="58"/>
  <c r="K46" i="58" s="1"/>
  <c r="K42" i="58"/>
  <c r="K45" i="58" s="1"/>
  <c r="J42" i="58"/>
  <c r="J43" i="58" s="1"/>
  <c r="J40" i="58"/>
  <c r="L53" i="57"/>
  <c r="L43" i="57"/>
  <c r="J41" i="57"/>
  <c r="J53" i="57"/>
  <c r="J54" i="57" s="1"/>
  <c r="K44" i="57"/>
  <c r="K54" i="57" s="1"/>
  <c r="K43" i="57"/>
  <c r="K53" i="57" s="1"/>
  <c r="J43" i="57"/>
  <c r="J44" i="57" s="1"/>
  <c r="L35" i="57"/>
  <c r="O33" i="57"/>
  <c r="N33" i="57"/>
  <c r="M33" i="57"/>
  <c r="K33" i="57"/>
  <c r="O32" i="58"/>
  <c r="N32" i="58"/>
  <c r="M32" i="58"/>
  <c r="K32" i="58"/>
  <c r="C73" i="52"/>
  <c r="D54" i="63" l="1"/>
  <c r="N9" i="57"/>
  <c r="O8" i="57" s="1"/>
  <c r="O9" i="57" s="1"/>
  <c r="P8" i="57" s="1"/>
  <c r="P9" i="57" s="1"/>
  <c r="Q8" i="57" s="1"/>
  <c r="Q9" i="57" s="1"/>
  <c r="R8" i="57" s="1"/>
  <c r="R9" i="57" s="1"/>
  <c r="S8" i="57" s="1"/>
  <c r="S9" i="57" s="1"/>
  <c r="T8" i="57" s="1"/>
  <c r="T9" i="57" s="1"/>
  <c r="U8" i="57" s="1"/>
  <c r="U9" i="57" s="1"/>
  <c r="V8" i="57" s="1"/>
  <c r="V9" i="57" s="1"/>
  <c r="W8" i="57" s="1"/>
  <c r="W9" i="57" s="1"/>
  <c r="X8" i="57" s="1"/>
  <c r="X9" i="57" s="1"/>
  <c r="Y8" i="57" s="1"/>
  <c r="Y9" i="57" s="1"/>
  <c r="Z8" i="57" s="1"/>
  <c r="Z9" i="57" s="1"/>
  <c r="AA8" i="57" s="1"/>
  <c r="AA9" i="57" s="1"/>
  <c r="AB8" i="57" s="1"/>
  <c r="AB9" i="57" s="1"/>
  <c r="AC8" i="57" s="1"/>
  <c r="AC9" i="57" s="1"/>
  <c r="AD8" i="57" s="1"/>
  <c r="AD9" i="57" s="1"/>
  <c r="AE8" i="57" s="1"/>
  <c r="AE9" i="57" s="1"/>
  <c r="AF8" i="57" s="1"/>
  <c r="AF9" i="57" s="1"/>
  <c r="AG8" i="57" s="1"/>
  <c r="AG9" i="57" s="1"/>
  <c r="AH8" i="57" s="1"/>
  <c r="AH9" i="57" s="1"/>
  <c r="AI8" i="57" s="1"/>
  <c r="AI9" i="57" s="1"/>
  <c r="AJ8" i="57" s="1"/>
  <c r="AJ9" i="57" s="1"/>
  <c r="AK8" i="57" s="1"/>
  <c r="AK9" i="57" s="1"/>
  <c r="AL8" i="57" s="1"/>
  <c r="AL9" i="57" s="1"/>
  <c r="AM8" i="57" s="1"/>
  <c r="AM9" i="57" s="1"/>
  <c r="AN8" i="57" s="1"/>
  <c r="AN9" i="57" s="1"/>
  <c r="AO8" i="57" s="1"/>
  <c r="AO9" i="57" s="1"/>
  <c r="AP8" i="57" s="1"/>
  <c r="AP9" i="57" s="1"/>
  <c r="AQ8" i="57" s="1"/>
  <c r="AQ9" i="57" s="1"/>
  <c r="AR8" i="57" s="1"/>
  <c r="AR9" i="57" s="1"/>
  <c r="AS8" i="57" s="1"/>
  <c r="AS9" i="57" s="1"/>
  <c r="AT8" i="57" s="1"/>
  <c r="AT9" i="57" s="1"/>
  <c r="AU8" i="57" s="1"/>
  <c r="AU9" i="57" s="1"/>
  <c r="AV8" i="57" s="1"/>
  <c r="AV9" i="57" s="1"/>
  <c r="AW8" i="57" s="1"/>
  <c r="AW9" i="57" s="1"/>
  <c r="AX8" i="57" s="1"/>
  <c r="AX9" i="57" s="1"/>
  <c r="AY8" i="57" s="1"/>
  <c r="AY9" i="57" s="1"/>
  <c r="AZ8" i="57" s="1"/>
  <c r="AZ9" i="57" s="1"/>
  <c r="BA8" i="57" s="1"/>
  <c r="BA9" i="57" s="1"/>
  <c r="BB8" i="57" s="1"/>
  <c r="BB9" i="57" s="1"/>
  <c r="BC8" i="57" s="1"/>
  <c r="BC9" i="57" s="1"/>
  <c r="BD8" i="57" s="1"/>
  <c r="BD9" i="57" s="1"/>
  <c r="BE8" i="57" s="1"/>
  <c r="BE9" i="57" s="1"/>
  <c r="BF8" i="57" s="1"/>
  <c r="BF9" i="57" s="1"/>
  <c r="BG8" i="57" s="1"/>
  <c r="BG9" i="57" s="1"/>
  <c r="BH8" i="57" s="1"/>
  <c r="BH9" i="57" s="1"/>
  <c r="BI8" i="57" s="1"/>
  <c r="BI9" i="57" s="1"/>
  <c r="BJ8" i="57" s="1"/>
  <c r="BJ9" i="57" s="1"/>
  <c r="BK8" i="57" s="1"/>
  <c r="BK9" i="57" s="1"/>
  <c r="BL8" i="57" s="1"/>
  <c r="BL9" i="57" s="1"/>
  <c r="BM8" i="57" s="1"/>
  <c r="BM9" i="57" s="1"/>
  <c r="BN8" i="57" s="1"/>
  <c r="BN9" i="57" s="1"/>
  <c r="BO8" i="57" s="1"/>
  <c r="BO9" i="57" s="1"/>
  <c r="BP8" i="57" s="1"/>
  <c r="BP9" i="57" s="1"/>
  <c r="BQ8" i="57" s="1"/>
  <c r="BQ9" i="57" s="1"/>
  <c r="BR8" i="57" s="1"/>
  <c r="BR9" i="57" s="1"/>
  <c r="BS8" i="57" s="1"/>
  <c r="BS9" i="57" s="1"/>
  <c r="BT8" i="57" s="1"/>
  <c r="BT9" i="57" s="1"/>
  <c r="BU8" i="57" s="1"/>
  <c r="BU9" i="57" s="1"/>
  <c r="BV8" i="57" s="1"/>
  <c r="BV9" i="57" s="1"/>
  <c r="BW8" i="57" s="1"/>
  <c r="BW9" i="57" s="1"/>
  <c r="BX8" i="57" s="1"/>
  <c r="BX9" i="57" s="1"/>
  <c r="BY8" i="57" s="1"/>
  <c r="BY9" i="57" s="1"/>
  <c r="BZ8" i="57" s="1"/>
  <c r="BZ9" i="57" s="1"/>
  <c r="CA8" i="57" s="1"/>
  <c r="CA9" i="57" s="1"/>
  <c r="CB8" i="57" s="1"/>
  <c r="CB9" i="57" s="1"/>
  <c r="CC8" i="57" s="1"/>
  <c r="CC9" i="57" s="1"/>
  <c r="CD8" i="57" s="1"/>
  <c r="CD9" i="57" s="1"/>
  <c r="CE8" i="57" s="1"/>
  <c r="CE9" i="57" s="1"/>
  <c r="CF8" i="57" s="1"/>
  <c r="CF9" i="57" s="1"/>
  <c r="CG8" i="57" s="1"/>
  <c r="CG9" i="57" s="1"/>
  <c r="M18" i="58" l="1"/>
  <c r="N9" i="58"/>
  <c r="O8" i="58" s="1"/>
  <c r="O9" i="58" s="1"/>
  <c r="P8" i="58" s="1"/>
  <c r="P9" i="58" s="1"/>
  <c r="Q8" i="58" s="1"/>
  <c r="Q9" i="58" s="1"/>
  <c r="R8" i="58" s="1"/>
  <c r="R9" i="58" s="1"/>
  <c r="S8" i="58" s="1"/>
  <c r="S9" i="58" s="1"/>
  <c r="T8" i="58" s="1"/>
  <c r="T9" i="58" s="1"/>
  <c r="U8" i="58" s="1"/>
  <c r="U9" i="58" s="1"/>
  <c r="V8" i="58" s="1"/>
  <c r="V9" i="58" s="1"/>
  <c r="W8" i="58" s="1"/>
  <c r="W9" i="58" s="1"/>
  <c r="X8" i="58" s="1"/>
  <c r="X9" i="58" s="1"/>
  <c r="Y8" i="58" s="1"/>
  <c r="Y9" i="58" s="1"/>
  <c r="Z8" i="58" s="1"/>
  <c r="Z9" i="58" s="1"/>
  <c r="AA8" i="58" s="1"/>
  <c r="AA9" i="58" s="1"/>
  <c r="AB8" i="58" s="1"/>
  <c r="AB9" i="58" s="1"/>
  <c r="AC8" i="58" s="1"/>
  <c r="AC9" i="58" s="1"/>
  <c r="AD8" i="58" s="1"/>
  <c r="AD9" i="58" s="1"/>
  <c r="AE8" i="58" s="1"/>
  <c r="AE9" i="58" s="1"/>
  <c r="AF8" i="58" s="1"/>
  <c r="AF9" i="58" s="1"/>
  <c r="AG8" i="58" s="1"/>
  <c r="AG9" i="58" s="1"/>
  <c r="AH8" i="58" s="1"/>
  <c r="AH9" i="58" s="1"/>
  <c r="AI8" i="58" s="1"/>
  <c r="AI9" i="58" s="1"/>
  <c r="AJ8" i="58" s="1"/>
  <c r="AJ9" i="58" s="1"/>
  <c r="AK8" i="58" s="1"/>
  <c r="AK9" i="58" s="1"/>
  <c r="AL8" i="58" s="1"/>
  <c r="AL9" i="58" s="1"/>
  <c r="AM8" i="58" s="1"/>
  <c r="AM9" i="58" s="1"/>
  <c r="AN8" i="58" s="1"/>
  <c r="AN9" i="58" s="1"/>
  <c r="AO8" i="58" s="1"/>
  <c r="AO9" i="58" s="1"/>
  <c r="AP8" i="58" s="1"/>
  <c r="AP9" i="58" s="1"/>
  <c r="AQ8" i="58" s="1"/>
  <c r="AQ9" i="58" s="1"/>
  <c r="AR8" i="58" s="1"/>
  <c r="AR9" i="58" s="1"/>
  <c r="AS8" i="58" s="1"/>
  <c r="AS9" i="58" s="1"/>
  <c r="AT8" i="58" s="1"/>
  <c r="AT9" i="58" s="1"/>
  <c r="AU8" i="58" s="1"/>
  <c r="AU9" i="58" s="1"/>
  <c r="AV8" i="58" s="1"/>
  <c r="AV9" i="58" s="1"/>
  <c r="AW8" i="58" s="1"/>
  <c r="AW9" i="58" s="1"/>
  <c r="AX8" i="58" s="1"/>
  <c r="AX9" i="58" s="1"/>
  <c r="AY8" i="58" s="1"/>
  <c r="AY9" i="58" s="1"/>
  <c r="AZ8" i="58" s="1"/>
  <c r="AZ9" i="58" s="1"/>
  <c r="BA8" i="58" s="1"/>
  <c r="BA9" i="58" s="1"/>
  <c r="BB8" i="58" s="1"/>
  <c r="BB9" i="58" s="1"/>
  <c r="BC8" i="58" s="1"/>
  <c r="BC9" i="58" s="1"/>
  <c r="BD8" i="58" s="1"/>
  <c r="BD9" i="58" s="1"/>
  <c r="BE8" i="58" s="1"/>
  <c r="BE9" i="58" s="1"/>
  <c r="BF8" i="58" s="1"/>
  <c r="BF9" i="58" s="1"/>
  <c r="BG8" i="58" s="1"/>
  <c r="BG9" i="58" s="1"/>
  <c r="BH8" i="58" s="1"/>
  <c r="BH9" i="58" s="1"/>
  <c r="BI8" i="58" s="1"/>
  <c r="BI9" i="58" s="1"/>
  <c r="BJ8" i="58" s="1"/>
  <c r="BJ9" i="58" s="1"/>
  <c r="BK8" i="58" s="1"/>
  <c r="BK9" i="58" s="1"/>
  <c r="BL8" i="58" s="1"/>
  <c r="BL9" i="58" s="1"/>
  <c r="BM8" i="58" s="1"/>
  <c r="BM9" i="58" s="1"/>
  <c r="BN8" i="58" s="1"/>
  <c r="BN9" i="58" s="1"/>
  <c r="BO8" i="58" s="1"/>
  <c r="BO9" i="58" s="1"/>
  <c r="BP8" i="58" s="1"/>
  <c r="BP9" i="58" s="1"/>
  <c r="BQ8" i="58" s="1"/>
  <c r="BQ9" i="58" s="1"/>
  <c r="BR8" i="58" s="1"/>
  <c r="BR9" i="58" s="1"/>
  <c r="BS8" i="58" s="1"/>
  <c r="BS9" i="58" s="1"/>
  <c r="BT8" i="58" s="1"/>
  <c r="BT9" i="58" s="1"/>
  <c r="BU8" i="58" s="1"/>
  <c r="BU9" i="58" s="1"/>
  <c r="BV8" i="58" s="1"/>
  <c r="BV9" i="58" s="1"/>
  <c r="BW8" i="58" s="1"/>
  <c r="BW9" i="58" s="1"/>
  <c r="BX8" i="58" s="1"/>
  <c r="BX9" i="58" s="1"/>
  <c r="BY8" i="58" s="1"/>
  <c r="BY9" i="58" s="1"/>
  <c r="BZ8" i="58" s="1"/>
  <c r="BZ9" i="58" s="1"/>
  <c r="CA8" i="58" s="1"/>
  <c r="CA9" i="58" s="1"/>
  <c r="CB8" i="58" s="1"/>
  <c r="CB9" i="58" s="1"/>
  <c r="CC8" i="58" s="1"/>
  <c r="CC9" i="58" s="1"/>
  <c r="CD8" i="58" s="1"/>
  <c r="CD9" i="58" s="1"/>
  <c r="CE8" i="58" s="1"/>
  <c r="CE9" i="58" s="1"/>
  <c r="CF8" i="58" s="1"/>
  <c r="CF9" i="58" s="1"/>
  <c r="CG8" i="58" s="1"/>
  <c r="CG9" i="58" s="1"/>
  <c r="G15" i="52" l="1"/>
  <c r="G16" i="52" s="1"/>
  <c r="G17" i="52" s="1"/>
  <c r="G18" i="52" s="1"/>
  <c r="G19" i="52" s="1"/>
  <c r="G20" i="52" s="1"/>
  <c r="G21" i="52" s="1"/>
  <c r="G22" i="52" s="1"/>
  <c r="G23" i="52" s="1"/>
  <c r="G24" i="52" s="1"/>
  <c r="G25" i="52" s="1"/>
  <c r="G26" i="52" s="1"/>
  <c r="G27" i="52" s="1"/>
  <c r="G28" i="52" s="1"/>
  <c r="G29" i="52" s="1"/>
  <c r="G30" i="52" s="1"/>
  <c r="G31" i="52" s="1"/>
  <c r="G32" i="52" s="1"/>
  <c r="G33" i="52" s="1"/>
  <c r="G34" i="52" s="1"/>
  <c r="G35" i="52" s="1"/>
  <c r="G36" i="52" s="1"/>
  <c r="G37" i="52" s="1"/>
  <c r="G38" i="52" s="1"/>
  <c r="B15" i="52"/>
  <c r="G39" i="52" l="1"/>
  <c r="G40" i="52" s="1"/>
  <c r="G41" i="52" s="1"/>
  <c r="G42" i="52" s="1"/>
  <c r="G43" i="52" s="1"/>
  <c r="G44" i="52" s="1"/>
  <c r="G45" i="52" s="1"/>
  <c r="G46" i="52" s="1"/>
  <c r="G47" i="52" s="1"/>
  <c r="G48" i="52" s="1"/>
  <c r="G49" i="52" s="1"/>
  <c r="G50" i="52" s="1"/>
  <c r="C36" i="58"/>
  <c r="M17" i="58" s="1"/>
  <c r="L40" i="58" s="1"/>
  <c r="B16" i="52"/>
  <c r="I16" i="52"/>
  <c r="I15" i="52"/>
  <c r="B17" i="52" l="1"/>
  <c r="I17" i="52"/>
  <c r="I18" i="52" l="1"/>
  <c r="B18" i="52"/>
  <c r="I19" i="52" l="1"/>
  <c r="B19" i="52"/>
  <c r="B20" i="52" l="1"/>
  <c r="I20" i="52"/>
  <c r="B21" i="52" l="1"/>
  <c r="I21" i="52"/>
  <c r="B22" i="52" l="1"/>
  <c r="I22" i="52"/>
  <c r="I23" i="52" l="1"/>
  <c r="B23" i="52"/>
  <c r="B24" i="52" l="1"/>
  <c r="I24" i="52"/>
  <c r="I25" i="52" l="1"/>
  <c r="B25" i="52"/>
  <c r="I26" i="52" l="1"/>
  <c r="B26" i="52"/>
  <c r="I27" i="52" l="1"/>
  <c r="B27" i="52"/>
  <c r="D26" i="52"/>
  <c r="D22" i="52"/>
  <c r="D18" i="52"/>
  <c r="D19" i="52"/>
  <c r="D21" i="52"/>
  <c r="D20" i="52"/>
  <c r="D15" i="52"/>
  <c r="F15" i="52" s="1"/>
  <c r="H15" i="52" s="1"/>
  <c r="J15" i="52" s="1"/>
  <c r="K15" i="52" s="1"/>
  <c r="L15" i="52" s="1"/>
  <c r="D23" i="52"/>
  <c r="D17" i="52"/>
  <c r="D25" i="52"/>
  <c r="D16" i="52"/>
  <c r="D24" i="52"/>
  <c r="F16" i="52" l="1"/>
  <c r="H16" i="52" s="1"/>
  <c r="J16" i="52" s="1"/>
  <c r="K16" i="52" s="1"/>
  <c r="L16" i="52" s="1"/>
  <c r="B28" i="52"/>
  <c r="I28" i="52"/>
  <c r="F17" i="52" l="1"/>
  <c r="H17" i="52" s="1"/>
  <c r="J17" i="52" s="1"/>
  <c r="K17" i="52" s="1"/>
  <c r="L17" i="52" s="1"/>
  <c r="B29" i="52"/>
  <c r="I29" i="52"/>
  <c r="F18" i="52" l="1"/>
  <c r="H18" i="52" s="1"/>
  <c r="J18" i="52" s="1"/>
  <c r="K18" i="52" s="1"/>
  <c r="L18" i="52" s="1"/>
  <c r="B30" i="52"/>
  <c r="I30" i="52"/>
  <c r="F19" i="52" l="1"/>
  <c r="H19" i="52" s="1"/>
  <c r="J19" i="52" s="1"/>
  <c r="K19" i="52" s="1"/>
  <c r="L19" i="52" s="1"/>
  <c r="I31" i="52"/>
  <c r="B31" i="52"/>
  <c r="F20" i="52" l="1"/>
  <c r="H20" i="52" s="1"/>
  <c r="J20" i="52" s="1"/>
  <c r="K20" i="52" s="1"/>
  <c r="L20" i="52" s="1"/>
  <c r="B32" i="52"/>
  <c r="I32" i="52"/>
  <c r="F21" i="52" l="1"/>
  <c r="H21" i="52" s="1"/>
  <c r="J21" i="52" s="1"/>
  <c r="K21" i="52" s="1"/>
  <c r="L21" i="52" s="1"/>
  <c r="I33" i="52"/>
  <c r="B33" i="52"/>
  <c r="F22" i="52" l="1"/>
  <c r="H22" i="52" s="1"/>
  <c r="J22" i="52" s="1"/>
  <c r="K22" i="52" s="1"/>
  <c r="L22" i="52" s="1"/>
  <c r="I34" i="52"/>
  <c r="B34" i="52"/>
  <c r="F23" i="52" l="1"/>
  <c r="H23" i="52" s="1"/>
  <c r="J23" i="52" s="1"/>
  <c r="K23" i="52" s="1"/>
  <c r="L23" i="52" s="1"/>
  <c r="I35" i="52"/>
  <c r="B35" i="52"/>
  <c r="F24" i="52" l="1"/>
  <c r="H24" i="52" s="1"/>
  <c r="J24" i="52" s="1"/>
  <c r="K24" i="52" s="1"/>
  <c r="L24" i="52" s="1"/>
  <c r="B36" i="52"/>
  <c r="I36" i="52"/>
  <c r="F25" i="52" l="1"/>
  <c r="H25" i="52" s="1"/>
  <c r="J25" i="52" s="1"/>
  <c r="K25" i="52" s="1"/>
  <c r="L25" i="52" s="1"/>
  <c r="B37" i="52"/>
  <c r="I37" i="52"/>
  <c r="F26" i="52" l="1"/>
  <c r="H26" i="52" s="1"/>
  <c r="J26" i="52" s="1"/>
  <c r="K26" i="52" s="1"/>
  <c r="L26" i="52" s="1"/>
  <c r="B38" i="52"/>
  <c r="I38" i="52"/>
  <c r="I39" i="52" l="1"/>
  <c r="B39" i="52"/>
  <c r="D38" i="52"/>
  <c r="D35" i="52"/>
  <c r="D28" i="52"/>
  <c r="D32" i="52"/>
  <c r="D34" i="52"/>
  <c r="D27" i="52"/>
  <c r="F27" i="52" s="1"/>
  <c r="H27" i="52" s="1"/>
  <c r="J27" i="52" s="1"/>
  <c r="K27" i="52" s="1"/>
  <c r="L27" i="52" s="1"/>
  <c r="D37" i="52"/>
  <c r="D33" i="52"/>
  <c r="D31" i="52"/>
  <c r="D30" i="52"/>
  <c r="D36" i="52"/>
  <c r="D29" i="52"/>
  <c r="N12" i="58" l="1"/>
  <c r="M12" i="58"/>
  <c r="F28" i="52"/>
  <c r="H28" i="52" s="1"/>
  <c r="J28" i="52" s="1"/>
  <c r="K28" i="52" s="1"/>
  <c r="L28" i="52" s="1"/>
  <c r="B40" i="52"/>
  <c r="O12" i="58" s="1"/>
  <c r="O13" i="58" s="1"/>
  <c r="I40" i="52"/>
  <c r="F29" i="52" l="1"/>
  <c r="L32" i="58"/>
  <c r="M19" i="58"/>
  <c r="N18" i="58"/>
  <c r="O18" i="58" s="1"/>
  <c r="N13" i="58"/>
  <c r="I41" i="52"/>
  <c r="B41" i="52"/>
  <c r="P12" i="58" s="1"/>
  <c r="P13" i="58" s="1"/>
  <c r="P14" i="58" s="1"/>
  <c r="P18" i="58" l="1"/>
  <c r="P32" i="58"/>
  <c r="N17" i="58"/>
  <c r="H29" i="52"/>
  <c r="J29" i="52" s="1"/>
  <c r="K29" i="52" s="1"/>
  <c r="L29" i="52" s="1"/>
  <c r="F30" i="52"/>
  <c r="I42" i="52"/>
  <c r="B42" i="52"/>
  <c r="Q12" i="58" s="1"/>
  <c r="Q13" i="58" l="1"/>
  <c r="H30" i="52"/>
  <c r="J30" i="52" s="1"/>
  <c r="K30" i="52" s="1"/>
  <c r="L30" i="52" s="1"/>
  <c r="F31" i="52"/>
  <c r="O17" i="58"/>
  <c r="N19" i="58"/>
  <c r="Q18" i="58"/>
  <c r="I43" i="52"/>
  <c r="B43" i="52"/>
  <c r="R12" i="58" s="1"/>
  <c r="Q14" i="58" l="1"/>
  <c r="O19" i="58"/>
  <c r="P17" i="58"/>
  <c r="F32" i="52"/>
  <c r="H31" i="52"/>
  <c r="J31" i="52" s="1"/>
  <c r="K31" i="52" s="1"/>
  <c r="L31" i="52" s="1"/>
  <c r="R13" i="58"/>
  <c r="R14" i="58" s="1"/>
  <c r="R18" i="58"/>
  <c r="B44" i="52"/>
  <c r="S12" i="58" s="1"/>
  <c r="I44" i="52"/>
  <c r="S13" i="58" l="1"/>
  <c r="S14" i="58" s="1"/>
  <c r="T12" i="58"/>
  <c r="P19" i="58"/>
  <c r="Q17" i="58"/>
  <c r="S18" i="58"/>
  <c r="F33" i="52"/>
  <c r="H32" i="52"/>
  <c r="J32" i="52" s="1"/>
  <c r="K32" i="52" s="1"/>
  <c r="L32" i="52" s="1"/>
  <c r="B45" i="52"/>
  <c r="I45" i="52"/>
  <c r="T18" i="58" l="1"/>
  <c r="H33" i="52"/>
  <c r="J33" i="52" s="1"/>
  <c r="K33" i="52" s="1"/>
  <c r="L33" i="52" s="1"/>
  <c r="F34" i="52"/>
  <c r="U12" i="58"/>
  <c r="T13" i="58"/>
  <c r="R17" i="58"/>
  <c r="Q19" i="58"/>
  <c r="I46" i="52"/>
  <c r="B46" i="52"/>
  <c r="T14" i="58" l="1"/>
  <c r="U18" i="58"/>
  <c r="U13" i="58"/>
  <c r="U14" i="58" s="1"/>
  <c r="V12" i="58"/>
  <c r="S17" i="58"/>
  <c r="R19" i="58"/>
  <c r="F35" i="52"/>
  <c r="H34" i="52"/>
  <c r="J34" i="52" s="1"/>
  <c r="K34" i="52" s="1"/>
  <c r="L34" i="52" s="1"/>
  <c r="I47" i="52"/>
  <c r="B47" i="52"/>
  <c r="T17" i="58" l="1"/>
  <c r="S19" i="58"/>
  <c r="H35" i="52"/>
  <c r="J35" i="52" s="1"/>
  <c r="K35" i="52" s="1"/>
  <c r="L35" i="52" s="1"/>
  <c r="F36" i="52"/>
  <c r="V18" i="58"/>
  <c r="V13" i="58"/>
  <c r="W12" i="58"/>
  <c r="I48" i="52"/>
  <c r="B48" i="52"/>
  <c r="X12" i="58" l="1"/>
  <c r="W13" i="58"/>
  <c r="W14" i="58" s="1"/>
  <c r="H36" i="52"/>
  <c r="J36" i="52" s="1"/>
  <c r="K36" i="52" s="1"/>
  <c r="L36" i="52" s="1"/>
  <c r="F37" i="52"/>
  <c r="V14" i="58"/>
  <c r="W18" i="58"/>
  <c r="U17" i="58"/>
  <c r="T19" i="58"/>
  <c r="I49" i="52"/>
  <c r="I50" i="52"/>
  <c r="B49" i="52"/>
  <c r="X18" i="58" l="1"/>
  <c r="V17" i="58"/>
  <c r="U19" i="58"/>
  <c r="H37" i="52"/>
  <c r="J37" i="52" s="1"/>
  <c r="K37" i="52" s="1"/>
  <c r="L37" i="52" s="1"/>
  <c r="F38" i="52"/>
  <c r="H38" i="52" s="1"/>
  <c r="J38" i="52" s="1"/>
  <c r="K38" i="52" s="1"/>
  <c r="Y12" i="58"/>
  <c r="X13" i="58"/>
  <c r="X14" i="58" s="1"/>
  <c r="B50" i="52"/>
  <c r="D47" i="52" l="1"/>
  <c r="D42" i="52"/>
  <c r="D49" i="52"/>
  <c r="D43" i="52"/>
  <c r="D44" i="52"/>
  <c r="D46" i="52"/>
  <c r="D41" i="52"/>
  <c r="D48" i="52"/>
  <c r="D45" i="52"/>
  <c r="D39" i="52"/>
  <c r="F39" i="52" s="1"/>
  <c r="H39" i="52" s="1"/>
  <c r="J39" i="52" s="1"/>
  <c r="K39" i="52" s="1"/>
  <c r="L39" i="52" s="1"/>
  <c r="D40" i="52"/>
  <c r="D50" i="52"/>
  <c r="Y13" i="58"/>
  <c r="Z12" i="58"/>
  <c r="W17" i="58"/>
  <c r="V19" i="58"/>
  <c r="L38" i="52"/>
  <c r="Y18" i="58"/>
  <c r="Z18" i="58" l="1"/>
  <c r="Z13" i="58"/>
  <c r="AA12" i="58"/>
  <c r="X17" i="58"/>
  <c r="W19" i="58"/>
  <c r="Y14" i="58"/>
  <c r="M39" i="58"/>
  <c r="M40" i="58" s="1"/>
  <c r="F40" i="52"/>
  <c r="H40" i="52" s="1"/>
  <c r="J40" i="52" s="1"/>
  <c r="K40" i="52" s="1"/>
  <c r="L40" i="52" s="1"/>
  <c r="AA18" i="58" l="1"/>
  <c r="Y17" i="58"/>
  <c r="X19" i="58"/>
  <c r="AA13" i="58"/>
  <c r="AA14" i="58" s="1"/>
  <c r="AB12" i="58"/>
  <c r="Z14" i="58"/>
  <c r="F41" i="52"/>
  <c r="AB18" i="58" l="1"/>
  <c r="AB13" i="58"/>
  <c r="AC12" i="58"/>
  <c r="Z17" i="58"/>
  <c r="Y19" i="58"/>
  <c r="H41" i="52"/>
  <c r="J41" i="52" s="1"/>
  <c r="K41" i="52" s="1"/>
  <c r="L41" i="52" s="1"/>
  <c r="F42" i="52"/>
  <c r="AC13" i="58" l="1"/>
  <c r="AC14" i="58" s="1"/>
  <c r="AD12" i="58"/>
  <c r="AB14" i="58"/>
  <c r="AA17" i="58"/>
  <c r="Z19" i="58"/>
  <c r="AC18" i="58"/>
  <c r="H42" i="52"/>
  <c r="J42" i="52" s="1"/>
  <c r="K42" i="52" s="1"/>
  <c r="L42" i="52" s="1"/>
  <c r="F43" i="52"/>
  <c r="AD18" i="58" l="1"/>
  <c r="AE12" i="58"/>
  <c r="AD13" i="58"/>
  <c r="AB17" i="58"/>
  <c r="AA19" i="58"/>
  <c r="H43" i="52"/>
  <c r="J43" i="52" s="1"/>
  <c r="K43" i="52" s="1"/>
  <c r="L43" i="52" s="1"/>
  <c r="F44" i="52"/>
  <c r="AE18" i="58" l="1"/>
  <c r="AD14" i="58"/>
  <c r="AC17" i="58"/>
  <c r="AB19" i="58"/>
  <c r="AF12" i="58"/>
  <c r="AE13" i="58"/>
  <c r="AE14" i="58" s="1"/>
  <c r="H44" i="52"/>
  <c r="J44" i="52" s="1"/>
  <c r="K44" i="52" s="1"/>
  <c r="L44" i="52" s="1"/>
  <c r="F45" i="52"/>
  <c r="AD17" i="58" l="1"/>
  <c r="AC19" i="58"/>
  <c r="AF13" i="58"/>
  <c r="AF14" i="58" s="1"/>
  <c r="AG12" i="58"/>
  <c r="AF18" i="58"/>
  <c r="H45" i="52"/>
  <c r="J45" i="52" s="1"/>
  <c r="K45" i="52" s="1"/>
  <c r="L45" i="52" s="1"/>
  <c r="F46" i="52"/>
  <c r="AG18" i="58" l="1"/>
  <c r="AG13" i="58"/>
  <c r="AG14" i="58" s="1"/>
  <c r="AH12" i="58"/>
  <c r="AE17" i="58"/>
  <c r="AD19" i="58"/>
  <c r="H46" i="52"/>
  <c r="J46" i="52" s="1"/>
  <c r="K46" i="52" s="1"/>
  <c r="L46" i="52" s="1"/>
  <c r="F47" i="52"/>
  <c r="AF17" i="58" l="1"/>
  <c r="AE19" i="58"/>
  <c r="AH13" i="58"/>
  <c r="AH14" i="58" s="1"/>
  <c r="AI12" i="58"/>
  <c r="AH18" i="58"/>
  <c r="H47" i="52"/>
  <c r="J47" i="52" s="1"/>
  <c r="K47" i="52" s="1"/>
  <c r="L47" i="52" s="1"/>
  <c r="F48" i="52"/>
  <c r="AI13" i="58" l="1"/>
  <c r="AI14" i="58" s="1"/>
  <c r="AJ12" i="58"/>
  <c r="AI18" i="58"/>
  <c r="AG17" i="58"/>
  <c r="AF19" i="58"/>
  <c r="H48" i="52"/>
  <c r="J48" i="52" s="1"/>
  <c r="K48" i="52" s="1"/>
  <c r="L48" i="52" s="1"/>
  <c r="F49" i="52"/>
  <c r="AJ18" i="58" l="1"/>
  <c r="AK12" i="58"/>
  <c r="AJ13" i="58"/>
  <c r="AJ14" i="58" s="1"/>
  <c r="AH17" i="58"/>
  <c r="AG19" i="58"/>
  <c r="H49" i="52"/>
  <c r="J49" i="52" s="1"/>
  <c r="K49" i="52" s="1"/>
  <c r="L49" i="52" s="1"/>
  <c r="F50" i="52"/>
  <c r="H50" i="52" s="1"/>
  <c r="J50" i="52" s="1"/>
  <c r="K50" i="52" s="1"/>
  <c r="L50" i="52" l="1"/>
  <c r="AL12" i="58"/>
  <c r="AK13" i="58"/>
  <c r="AI17" i="58"/>
  <c r="AH19" i="58"/>
  <c r="AK18" i="58"/>
  <c r="AL18" i="58" s="1"/>
  <c r="AJ17" i="58" l="1"/>
  <c r="AI19" i="58"/>
  <c r="AK14" i="58"/>
  <c r="N39" i="58"/>
  <c r="N40" i="58" s="1"/>
  <c r="AM12" i="58"/>
  <c r="AM18" i="58" s="1"/>
  <c r="AL13" i="58"/>
  <c r="AL14" i="58" l="1"/>
  <c r="AM13" i="58"/>
  <c r="AM14" i="58" s="1"/>
  <c r="AN12" i="58"/>
  <c r="AN18" i="58" s="1"/>
  <c r="AK17" i="58"/>
  <c r="AJ19" i="58"/>
  <c r="AL17" i="58" l="1"/>
  <c r="AK19" i="58"/>
  <c r="AN13" i="58"/>
  <c r="AN14" i="58" s="1"/>
  <c r="AO12" i="58"/>
  <c r="AO13" i="58" l="1"/>
  <c r="AP12" i="58"/>
  <c r="AM17" i="58"/>
  <c r="AL19" i="58"/>
  <c r="AO18" i="58"/>
  <c r="AP18" i="58" l="1"/>
  <c r="AP13" i="58"/>
  <c r="AP14" i="58" s="1"/>
  <c r="AQ12" i="58"/>
  <c r="AO14" i="58"/>
  <c r="AN17" i="58"/>
  <c r="AM19" i="58"/>
  <c r="AQ13" i="58" l="1"/>
  <c r="AR12" i="58"/>
  <c r="AO17" i="58"/>
  <c r="AN19" i="58"/>
  <c r="AQ18" i="58"/>
  <c r="AR18" i="58" l="1"/>
  <c r="AP17" i="58"/>
  <c r="AO19" i="58"/>
  <c r="AR13" i="58"/>
  <c r="AR14" i="58" s="1"/>
  <c r="AS12" i="58"/>
  <c r="AQ14" i="58"/>
  <c r="AS18" i="58" l="1"/>
  <c r="AS13" i="58"/>
  <c r="AT12" i="58"/>
  <c r="AQ17" i="58"/>
  <c r="AP19" i="58"/>
  <c r="CW18" i="58"/>
  <c r="CW17" i="58"/>
  <c r="CW13" i="58"/>
  <c r="CW12" i="58"/>
  <c r="D172" i="81"/>
  <c r="D171" i="81"/>
  <c r="B173" i="81"/>
  <c r="E170" i="81"/>
  <c r="B118" i="81"/>
  <c r="D118" i="81" s="1"/>
  <c r="E118" i="81" s="1"/>
  <c r="E115" i="81"/>
  <c r="D62" i="81"/>
  <c r="D61" i="81"/>
  <c r="B63" i="81"/>
  <c r="E60" i="81"/>
  <c r="D7" i="81"/>
  <c r="D6" i="81"/>
  <c r="B8" i="81"/>
  <c r="E5" i="81"/>
  <c r="D171" i="80"/>
  <c r="D170" i="80"/>
  <c r="B172" i="80"/>
  <c r="B173" i="80" s="1"/>
  <c r="E169" i="80"/>
  <c r="D10" i="80"/>
  <c r="D6" i="80"/>
  <c r="B118" i="80"/>
  <c r="D118" i="80" s="1"/>
  <c r="E118" i="80" s="1"/>
  <c r="E115" i="80"/>
  <c r="B63" i="80"/>
  <c r="E60" i="80"/>
  <c r="B11" i="80"/>
  <c r="D11" i="80" s="1"/>
  <c r="B7" i="80"/>
  <c r="E5" i="80"/>
  <c r="D172" i="80"/>
  <c r="K50" i="63"/>
  <c r="J50" i="63"/>
  <c r="K49" i="63"/>
  <c r="J49" i="63"/>
  <c r="A103" i="63"/>
  <c r="A95" i="63"/>
  <c r="L101" i="63"/>
  <c r="K101" i="63"/>
  <c r="J101" i="63"/>
  <c r="L100" i="63"/>
  <c r="J100" i="63"/>
  <c r="L99" i="63"/>
  <c r="K99" i="63"/>
  <c r="L98" i="63"/>
  <c r="K98" i="63"/>
  <c r="J98" i="63"/>
  <c r="K97" i="63"/>
  <c r="J97" i="63"/>
  <c r="A87" i="63"/>
  <c r="A79" i="63"/>
  <c r="A71" i="63"/>
  <c r="L70" i="63"/>
  <c r="A63" i="63"/>
  <c r="L62" i="63"/>
  <c r="A55" i="63"/>
  <c r="L53" i="63"/>
  <c r="K53" i="63"/>
  <c r="J53" i="63"/>
  <c r="L52" i="63"/>
  <c r="K52" i="63"/>
  <c r="J52" i="63"/>
  <c r="L50" i="63"/>
  <c r="L49" i="63"/>
  <c r="A45" i="63"/>
  <c r="A43" i="63"/>
  <c r="A41" i="63"/>
  <c r="A39" i="63"/>
  <c r="A22" i="63"/>
  <c r="L21" i="63"/>
  <c r="K21" i="63"/>
  <c r="J21" i="63"/>
  <c r="A15" i="63"/>
  <c r="A13" i="63"/>
  <c r="L12" i="63"/>
  <c r="K12" i="63"/>
  <c r="J12" i="63"/>
  <c r="A7" i="63"/>
  <c r="A130" i="12"/>
  <c r="A143" i="12"/>
  <c r="A144" i="12"/>
  <c r="A114" i="12"/>
  <c r="A122" i="1"/>
  <c r="A126" i="1"/>
  <c r="A130" i="1"/>
  <c r="A135" i="1"/>
  <c r="A139" i="1"/>
  <c r="A109" i="12"/>
  <c r="R70" i="60"/>
  <c r="R69" i="60"/>
  <c r="R68" i="60"/>
  <c r="R67" i="60"/>
  <c r="R66" i="60"/>
  <c r="R65" i="60"/>
  <c r="R64" i="60"/>
  <c r="R63" i="60"/>
  <c r="R62" i="60"/>
  <c r="R61" i="60"/>
  <c r="R60" i="60"/>
  <c r="R59" i="60"/>
  <c r="R58" i="60"/>
  <c r="R57" i="60"/>
  <c r="R56" i="60"/>
  <c r="R55" i="60"/>
  <c r="R54" i="60"/>
  <c r="R53" i="60"/>
  <c r="R52" i="60"/>
  <c r="R51" i="60"/>
  <c r="R50" i="60"/>
  <c r="R49" i="60"/>
  <c r="R48" i="60"/>
  <c r="R47" i="60"/>
  <c r="R46" i="60"/>
  <c r="R45" i="60"/>
  <c r="R44" i="60"/>
  <c r="R43" i="60"/>
  <c r="R42" i="60"/>
  <c r="R41" i="60"/>
  <c r="R40" i="60"/>
  <c r="R39" i="60"/>
  <c r="R38" i="60"/>
  <c r="R37" i="60"/>
  <c r="R36" i="60"/>
  <c r="R35" i="60"/>
  <c r="R34" i="60"/>
  <c r="R33" i="60"/>
  <c r="R32" i="60"/>
  <c r="R31" i="60"/>
  <c r="R30" i="60"/>
  <c r="R29" i="60"/>
  <c r="R28" i="60"/>
  <c r="R27" i="60"/>
  <c r="R26" i="60"/>
  <c r="R25" i="60"/>
  <c r="R24" i="60"/>
  <c r="R23" i="60"/>
  <c r="R22" i="60"/>
  <c r="R21" i="60"/>
  <c r="R20" i="60"/>
  <c r="R19" i="60"/>
  <c r="R18" i="60"/>
  <c r="R17" i="60"/>
  <c r="R16" i="60"/>
  <c r="R15" i="60"/>
  <c r="R14" i="60"/>
  <c r="R13" i="60"/>
  <c r="R12" i="60"/>
  <c r="C12" i="60"/>
  <c r="T11" i="60"/>
  <c r="R11" i="60"/>
  <c r="CQ13" i="58"/>
  <c r="CP13" i="58"/>
  <c r="CQ18" i="58"/>
  <c r="CP18" i="58"/>
  <c r="CQ17" i="58"/>
  <c r="CP17" i="58"/>
  <c r="CQ12" i="58"/>
  <c r="CP12" i="58"/>
  <c r="D51" i="57"/>
  <c r="B51" i="57"/>
  <c r="C50" i="57"/>
  <c r="C49" i="57"/>
  <c r="C48" i="57"/>
  <c r="B43" i="57"/>
  <c r="E36" i="57"/>
  <c r="D36" i="57"/>
  <c r="M18" i="57" s="1"/>
  <c r="C36" i="57"/>
  <c r="C54" i="57" s="1"/>
  <c r="B36" i="57"/>
  <c r="L21" i="57"/>
  <c r="L26" i="57" s="1"/>
  <c r="K21" i="57"/>
  <c r="K26" i="57" s="1"/>
  <c r="J21" i="57"/>
  <c r="J26" i="57" s="1"/>
  <c r="I21" i="57"/>
  <c r="I26" i="57" s="1"/>
  <c r="H21" i="57"/>
  <c r="G21" i="57"/>
  <c r="G26" i="57" s="1"/>
  <c r="F21" i="57"/>
  <c r="F26" i="57" s="1"/>
  <c r="E21" i="57"/>
  <c r="E26" i="57" s="1"/>
  <c r="D21" i="57"/>
  <c r="D26" i="57" s="1"/>
  <c r="C21" i="57"/>
  <c r="C26" i="57" s="1"/>
  <c r="B21" i="57"/>
  <c r="B26" i="57" s="1"/>
  <c r="CN17" i="57"/>
  <c r="CQ5" i="57"/>
  <c r="CR5" i="57" s="1"/>
  <c r="CG5" i="57"/>
  <c r="CF5" i="57"/>
  <c r="CE5" i="57"/>
  <c r="CD5" i="57"/>
  <c r="CC5" i="57"/>
  <c r="CB5" i="57"/>
  <c r="CA5" i="57"/>
  <c r="BZ5" i="57"/>
  <c r="BY5" i="57"/>
  <c r="BX5" i="57"/>
  <c r="BW5" i="57"/>
  <c r="BV5" i="57"/>
  <c r="BU5" i="57"/>
  <c r="BT5" i="57"/>
  <c r="BS5" i="57"/>
  <c r="BR5" i="57"/>
  <c r="BQ5" i="57"/>
  <c r="BP5" i="57"/>
  <c r="BO5" i="57"/>
  <c r="BN5" i="57"/>
  <c r="BM5" i="57"/>
  <c r="BL5" i="57"/>
  <c r="BK5" i="57"/>
  <c r="BJ5" i="57"/>
  <c r="BI5" i="57"/>
  <c r="BH5" i="57"/>
  <c r="BG5" i="57"/>
  <c r="BF5" i="57"/>
  <c r="BE5" i="57"/>
  <c r="BD5" i="57"/>
  <c r="BC5" i="57"/>
  <c r="BB5" i="57"/>
  <c r="BA5" i="57"/>
  <c r="AZ5" i="57"/>
  <c r="AY5" i="57"/>
  <c r="AX5" i="57"/>
  <c r="AW5" i="57"/>
  <c r="AV5" i="57"/>
  <c r="AU5" i="57"/>
  <c r="AT5" i="57"/>
  <c r="AS5" i="57"/>
  <c r="AR5" i="57"/>
  <c r="AQ5" i="57"/>
  <c r="AP5" i="57"/>
  <c r="AO5" i="57"/>
  <c r="AN5" i="57"/>
  <c r="AM5" i="57"/>
  <c r="AL5" i="57"/>
  <c r="AK5" i="57"/>
  <c r="AJ5" i="57"/>
  <c r="AI5" i="57"/>
  <c r="AH5" i="57"/>
  <c r="AG5" i="57"/>
  <c r="AF5" i="57"/>
  <c r="AE5" i="57"/>
  <c r="AD5" i="57"/>
  <c r="AC5" i="57"/>
  <c r="AB5" i="57"/>
  <c r="AA5" i="57"/>
  <c r="Z5" i="57"/>
  <c r="Y5" i="57"/>
  <c r="X5" i="57"/>
  <c r="W5" i="57"/>
  <c r="V5" i="57"/>
  <c r="U5" i="57"/>
  <c r="T5" i="57"/>
  <c r="S5" i="57"/>
  <c r="R5" i="57"/>
  <c r="Q5" i="57"/>
  <c r="P5" i="57"/>
  <c r="O5" i="57"/>
  <c r="N5" i="57"/>
  <c r="M5" i="57"/>
  <c r="L5" i="57"/>
  <c r="K5" i="57"/>
  <c r="J5" i="57"/>
  <c r="I5" i="57"/>
  <c r="H5" i="57"/>
  <c r="G5" i="57"/>
  <c r="F5" i="57"/>
  <c r="E5" i="57"/>
  <c r="D5" i="57"/>
  <c r="C5" i="57"/>
  <c r="B5" i="57"/>
  <c r="D54" i="57"/>
  <c r="D53" i="57"/>
  <c r="A113" i="1"/>
  <c r="A117" i="1"/>
  <c r="A143" i="1"/>
  <c r="A144" i="1"/>
  <c r="A145" i="1"/>
  <c r="A146" i="1"/>
  <c r="A147" i="1"/>
  <c r="A148" i="1"/>
  <c r="A149" i="1"/>
  <c r="A150" i="1"/>
  <c r="A151" i="1"/>
  <c r="A152" i="1"/>
  <c r="B64" i="52"/>
  <c r="A60" i="52"/>
  <c r="A65" i="52" s="1"/>
  <c r="A61" i="52"/>
  <c r="A66" i="52" s="1"/>
  <c r="A59" i="52"/>
  <c r="A64" i="52" s="1"/>
  <c r="E55" i="52"/>
  <c r="B43" i="58" s="1"/>
  <c r="L39" i="58" s="1"/>
  <c r="E54" i="52"/>
  <c r="E59" i="52" s="1"/>
  <c r="C5" i="52"/>
  <c r="D5" i="52" s="1"/>
  <c r="E5" i="52" s="1"/>
  <c r="F6" i="52"/>
  <c r="B8" i="51"/>
  <c r="B9" i="51" s="1"/>
  <c r="B10" i="51" s="1"/>
  <c r="B11" i="51" s="1"/>
  <c r="B12" i="51" s="1"/>
  <c r="B13" i="51" s="1"/>
  <c r="B14" i="51" s="1"/>
  <c r="B15" i="51" s="1"/>
  <c r="B16" i="51" s="1"/>
  <c r="B17" i="51" s="1"/>
  <c r="B18" i="51" s="1"/>
  <c r="B19" i="51" s="1"/>
  <c r="B20" i="51" s="1"/>
  <c r="E5" i="51"/>
  <c r="B8" i="49"/>
  <c r="B9" i="49" s="1"/>
  <c r="B10" i="49" s="1"/>
  <c r="B11" i="49" s="1"/>
  <c r="B12" i="49" s="1"/>
  <c r="B13" i="49" s="1"/>
  <c r="B14" i="49" s="1"/>
  <c r="B15" i="49" s="1"/>
  <c r="B16" i="49" s="1"/>
  <c r="B17" i="49" s="1"/>
  <c r="B18" i="49" s="1"/>
  <c r="B19" i="49" s="1"/>
  <c r="B20" i="49" s="1"/>
  <c r="E5" i="49"/>
  <c r="B8" i="48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E5" i="48"/>
  <c r="C22" i="47"/>
  <c r="B8" i="47"/>
  <c r="B9" i="47" s="1"/>
  <c r="B10" i="47" s="1"/>
  <c r="B11" i="47" s="1"/>
  <c r="B12" i="47" s="1"/>
  <c r="B13" i="47" s="1"/>
  <c r="B14" i="47" s="1"/>
  <c r="B15" i="47" s="1"/>
  <c r="B16" i="47" s="1"/>
  <c r="B17" i="47" s="1"/>
  <c r="B18" i="47" s="1"/>
  <c r="B19" i="47" s="1"/>
  <c r="B20" i="47" s="1"/>
  <c r="E5" i="47"/>
  <c r="C22" i="43"/>
  <c r="B8" i="43"/>
  <c r="B9" i="43" s="1"/>
  <c r="B10" i="43" s="1"/>
  <c r="B11" i="43" s="1"/>
  <c r="B12" i="43" s="1"/>
  <c r="E5" i="43"/>
  <c r="B8" i="29"/>
  <c r="E5" i="29"/>
  <c r="A107" i="12"/>
  <c r="D105" i="12"/>
  <c r="E105" i="12"/>
  <c r="F105" i="12"/>
  <c r="G105" i="12"/>
  <c r="H105" i="12"/>
  <c r="I105" i="12"/>
  <c r="J105" i="12"/>
  <c r="K105" i="12"/>
  <c r="L105" i="12"/>
  <c r="M105" i="12"/>
  <c r="C105" i="12"/>
  <c r="D104" i="12"/>
  <c r="E104" i="12"/>
  <c r="F104" i="12"/>
  <c r="G104" i="12"/>
  <c r="H104" i="12"/>
  <c r="I104" i="12"/>
  <c r="J104" i="12"/>
  <c r="K104" i="12"/>
  <c r="L104" i="12"/>
  <c r="M104" i="12"/>
  <c r="C104" i="12"/>
  <c r="A94" i="12"/>
  <c r="A102" i="12"/>
  <c r="D72" i="12"/>
  <c r="D73" i="12"/>
  <c r="D74" i="12"/>
  <c r="D126" i="12" s="1"/>
  <c r="D129" i="12" s="1"/>
  <c r="D75" i="12"/>
  <c r="D140" i="12" s="1"/>
  <c r="D142" i="12" s="1"/>
  <c r="D76" i="12"/>
  <c r="D88" i="12"/>
  <c r="D89" i="12"/>
  <c r="D90" i="12"/>
  <c r="D91" i="12"/>
  <c r="D92" i="12"/>
  <c r="C89" i="12"/>
  <c r="C90" i="12"/>
  <c r="C91" i="12"/>
  <c r="C92" i="12"/>
  <c r="C88" i="12"/>
  <c r="C73" i="12"/>
  <c r="C74" i="12"/>
  <c r="C126" i="12" s="1"/>
  <c r="C129" i="12" s="1"/>
  <c r="C75" i="12"/>
  <c r="C140" i="12" s="1"/>
  <c r="C142" i="12" s="1"/>
  <c r="C76" i="12"/>
  <c r="C72" i="12"/>
  <c r="D56" i="12"/>
  <c r="C56" i="12"/>
  <c r="D57" i="12"/>
  <c r="D58" i="12"/>
  <c r="D116" i="12" s="1"/>
  <c r="D119" i="12" s="1"/>
  <c r="D59" i="12"/>
  <c r="D132" i="12" s="1"/>
  <c r="D134" i="12" s="1"/>
  <c r="D60" i="12"/>
  <c r="C57" i="12"/>
  <c r="C58" i="12"/>
  <c r="C116" i="12" s="1"/>
  <c r="C119" i="12" s="1"/>
  <c r="C59" i="12"/>
  <c r="C132" i="12" s="1"/>
  <c r="C134" i="12" s="1"/>
  <c r="C60" i="12"/>
  <c r="D6" i="51" s="1"/>
  <c r="A78" i="12"/>
  <c r="A86" i="12"/>
  <c r="H1" i="42"/>
  <c r="M1" i="42" s="1"/>
  <c r="R1" i="42" s="1"/>
  <c r="W1" i="42" s="1"/>
  <c r="AB1" i="42" s="1"/>
  <c r="AG1" i="42" s="1"/>
  <c r="AL1" i="42" s="1"/>
  <c r="AQ1" i="42" s="1"/>
  <c r="AV1" i="42" s="1"/>
  <c r="BA1" i="42" s="1"/>
  <c r="A54" i="12"/>
  <c r="A62" i="12"/>
  <c r="A70" i="12"/>
  <c r="E5" i="35"/>
  <c r="E5" i="36"/>
  <c r="E5" i="37"/>
  <c r="E5" i="38"/>
  <c r="E5" i="39"/>
  <c r="F43" i="40"/>
  <c r="F44" i="40"/>
  <c r="F45" i="40"/>
  <c r="E44" i="40"/>
  <c r="E45" i="40"/>
  <c r="E43" i="40"/>
  <c r="B7" i="37"/>
  <c r="B8" i="37" s="1"/>
  <c r="M76" i="1"/>
  <c r="C75" i="63" s="1"/>
  <c r="M77" i="1"/>
  <c r="M78" i="1"/>
  <c r="C77" i="63" s="1"/>
  <c r="M75" i="1"/>
  <c r="C74" i="63" s="1"/>
  <c r="M74" i="1"/>
  <c r="C73" i="63" s="1"/>
  <c r="L76" i="1"/>
  <c r="L127" i="1" s="1"/>
  <c r="L77" i="1"/>
  <c r="L140" i="1" s="1"/>
  <c r="L78" i="1"/>
  <c r="L75" i="1"/>
  <c r="L74" i="1"/>
  <c r="K76" i="1"/>
  <c r="K127" i="1" s="1"/>
  <c r="K77" i="1"/>
  <c r="K140" i="1" s="1"/>
  <c r="K142" i="1" s="1"/>
  <c r="K78" i="1"/>
  <c r="K75" i="1"/>
  <c r="K74" i="1"/>
  <c r="J76" i="1"/>
  <c r="J127" i="1" s="1"/>
  <c r="J129" i="1" s="1"/>
  <c r="J77" i="1"/>
  <c r="J140" i="1" s="1"/>
  <c r="J142" i="1" s="1"/>
  <c r="J78" i="1"/>
  <c r="J75" i="1"/>
  <c r="J74" i="1"/>
  <c r="I76" i="1"/>
  <c r="I127" i="1" s="1"/>
  <c r="I129" i="1" s="1"/>
  <c r="I77" i="1"/>
  <c r="I78" i="1"/>
  <c r="I75" i="1"/>
  <c r="I74" i="1"/>
  <c r="H76" i="1"/>
  <c r="H127" i="1" s="1"/>
  <c r="H129" i="1" s="1"/>
  <c r="H77" i="1"/>
  <c r="H140" i="1" s="1"/>
  <c r="H142" i="1" s="1"/>
  <c r="H78" i="1"/>
  <c r="H75" i="1"/>
  <c r="H74" i="1"/>
  <c r="G76" i="1"/>
  <c r="G127" i="1" s="1"/>
  <c r="G129" i="1" s="1"/>
  <c r="G77" i="1"/>
  <c r="G140" i="1" s="1"/>
  <c r="G142" i="1" s="1"/>
  <c r="G78" i="1"/>
  <c r="G75" i="1"/>
  <c r="G74" i="1"/>
  <c r="F76" i="1"/>
  <c r="F127" i="1" s="1"/>
  <c r="F129" i="1" s="1"/>
  <c r="F77" i="1"/>
  <c r="F140" i="1" s="1"/>
  <c r="F142" i="1" s="1"/>
  <c r="F78" i="1"/>
  <c r="F75" i="1"/>
  <c r="F74" i="1"/>
  <c r="E76" i="1"/>
  <c r="E127" i="1" s="1"/>
  <c r="E129" i="1" s="1"/>
  <c r="E77" i="1"/>
  <c r="E140" i="1" s="1"/>
  <c r="E142" i="1" s="1"/>
  <c r="E78" i="1"/>
  <c r="E75" i="1"/>
  <c r="D75" i="1"/>
  <c r="D76" i="1"/>
  <c r="D127" i="1" s="1"/>
  <c r="D129" i="1" s="1"/>
  <c r="D77" i="1"/>
  <c r="D140" i="1" s="1"/>
  <c r="D142" i="1" s="1"/>
  <c r="D78" i="1"/>
  <c r="E74" i="1"/>
  <c r="D74" i="1"/>
  <c r="C75" i="1"/>
  <c r="C76" i="1"/>
  <c r="C127" i="1" s="1"/>
  <c r="C129" i="1" s="1"/>
  <c r="C77" i="1"/>
  <c r="C78" i="1"/>
  <c r="C74" i="1"/>
  <c r="I41" i="40"/>
  <c r="H41" i="40"/>
  <c r="M128" i="1" s="1"/>
  <c r="F41" i="40"/>
  <c r="E41" i="40"/>
  <c r="M124" i="1" s="1"/>
  <c r="E67" i="63" s="1"/>
  <c r="AG67" i="63" s="1"/>
  <c r="C41" i="40"/>
  <c r="M118" i="12" s="1"/>
  <c r="E56" i="62" s="1"/>
  <c r="AD56" i="62" s="1"/>
  <c r="B41" i="40"/>
  <c r="M120" i="1" s="1"/>
  <c r="I40" i="40"/>
  <c r="L128" i="12" s="1"/>
  <c r="H40" i="40"/>
  <c r="F40" i="40"/>
  <c r="L123" i="12" s="1"/>
  <c r="E40" i="40"/>
  <c r="L124" i="1" s="1"/>
  <c r="C40" i="40"/>
  <c r="B40" i="40"/>
  <c r="L120" i="1" s="1"/>
  <c r="I39" i="40"/>
  <c r="K128" i="12" s="1"/>
  <c r="H39" i="40"/>
  <c r="F39" i="40"/>
  <c r="K123" i="12" s="1"/>
  <c r="E39" i="40"/>
  <c r="K124" i="1" s="1"/>
  <c r="C39" i="40"/>
  <c r="K118" i="12" s="1"/>
  <c r="B39" i="40"/>
  <c r="K120" i="1" s="1"/>
  <c r="L36" i="40"/>
  <c r="K36" i="40"/>
  <c r="J36" i="40"/>
  <c r="G36" i="40"/>
  <c r="D36" i="40"/>
  <c r="L35" i="40"/>
  <c r="K35" i="40"/>
  <c r="J35" i="40"/>
  <c r="G35" i="40"/>
  <c r="D35" i="40"/>
  <c r="L34" i="40"/>
  <c r="K34" i="40"/>
  <c r="J34" i="40"/>
  <c r="G34" i="40"/>
  <c r="D34" i="40"/>
  <c r="L33" i="40"/>
  <c r="K33" i="40"/>
  <c r="J33" i="40"/>
  <c r="G33" i="40"/>
  <c r="D33" i="40"/>
  <c r="L32" i="40"/>
  <c r="K32" i="40"/>
  <c r="J32" i="40"/>
  <c r="G32" i="40"/>
  <c r="D32" i="40"/>
  <c r="L31" i="40"/>
  <c r="K31" i="40"/>
  <c r="J31" i="40"/>
  <c r="G31" i="40"/>
  <c r="D31" i="40"/>
  <c r="L30" i="40"/>
  <c r="K30" i="40"/>
  <c r="J30" i="40"/>
  <c r="G30" i="40"/>
  <c r="D30" i="40"/>
  <c r="L29" i="40"/>
  <c r="K29" i="40"/>
  <c r="J29" i="40"/>
  <c r="G29" i="40"/>
  <c r="D29" i="40"/>
  <c r="L28" i="40"/>
  <c r="K28" i="40"/>
  <c r="J28" i="40"/>
  <c r="G28" i="40"/>
  <c r="D28" i="40"/>
  <c r="L27" i="40"/>
  <c r="K27" i="40"/>
  <c r="J27" i="40"/>
  <c r="G27" i="40"/>
  <c r="D27" i="40"/>
  <c r="L26" i="40"/>
  <c r="K26" i="40"/>
  <c r="J26" i="40"/>
  <c r="G26" i="40"/>
  <c r="D26" i="40"/>
  <c r="L25" i="40"/>
  <c r="K25" i="40"/>
  <c r="J25" i="40"/>
  <c r="G25" i="40"/>
  <c r="D25" i="40"/>
  <c r="L24" i="40"/>
  <c r="K24" i="40"/>
  <c r="J24" i="40"/>
  <c r="G24" i="40"/>
  <c r="D24" i="40"/>
  <c r="L23" i="40"/>
  <c r="K23" i="40"/>
  <c r="J23" i="40"/>
  <c r="G23" i="40"/>
  <c r="D23" i="40"/>
  <c r="L22" i="40"/>
  <c r="K22" i="40"/>
  <c r="J22" i="40"/>
  <c r="G22" i="40"/>
  <c r="D22" i="40"/>
  <c r="L21" i="40"/>
  <c r="K21" i="40"/>
  <c r="J21" i="40"/>
  <c r="G21" i="40"/>
  <c r="D21" i="40"/>
  <c r="L20" i="40"/>
  <c r="K20" i="40"/>
  <c r="J20" i="40"/>
  <c r="G20" i="40"/>
  <c r="D20" i="40"/>
  <c r="L19" i="40"/>
  <c r="K19" i="40"/>
  <c r="J19" i="40"/>
  <c r="G19" i="40"/>
  <c r="D19" i="40"/>
  <c r="L18" i="40"/>
  <c r="K18" i="40"/>
  <c r="J18" i="40"/>
  <c r="G18" i="40"/>
  <c r="D18" i="40"/>
  <c r="L17" i="40"/>
  <c r="K17" i="40"/>
  <c r="J17" i="40"/>
  <c r="G17" i="40"/>
  <c r="D17" i="40"/>
  <c r="L16" i="40"/>
  <c r="K16" i="40"/>
  <c r="J16" i="40"/>
  <c r="G16" i="40"/>
  <c r="D16" i="40"/>
  <c r="L15" i="40"/>
  <c r="K15" i="40"/>
  <c r="J15" i="40"/>
  <c r="G15" i="40"/>
  <c r="D15" i="40"/>
  <c r="L14" i="40"/>
  <c r="K14" i="40"/>
  <c r="J14" i="40"/>
  <c r="G14" i="40"/>
  <c r="D14" i="40"/>
  <c r="L13" i="40"/>
  <c r="K13" i="40"/>
  <c r="J13" i="40"/>
  <c r="G13" i="40"/>
  <c r="D13" i="40"/>
  <c r="L12" i="40"/>
  <c r="K12" i="40"/>
  <c r="J12" i="40"/>
  <c r="G12" i="40"/>
  <c r="D12" i="40"/>
  <c r="L11" i="40"/>
  <c r="K11" i="40"/>
  <c r="J11" i="40"/>
  <c r="G11" i="40"/>
  <c r="D11" i="40"/>
  <c r="L10" i="40"/>
  <c r="K10" i="40"/>
  <c r="J10" i="40"/>
  <c r="G10" i="40"/>
  <c r="D10" i="40"/>
  <c r="L9" i="40"/>
  <c r="K9" i="40"/>
  <c r="J9" i="40"/>
  <c r="G9" i="40"/>
  <c r="D9" i="40"/>
  <c r="L8" i="40"/>
  <c r="K8" i="40"/>
  <c r="J8" i="40"/>
  <c r="G8" i="40"/>
  <c r="D8" i="40"/>
  <c r="L7" i="40"/>
  <c r="K7" i="40"/>
  <c r="J7" i="40"/>
  <c r="G7" i="40"/>
  <c r="D7" i="40"/>
  <c r="L6" i="40"/>
  <c r="K6" i="40"/>
  <c r="J6" i="40"/>
  <c r="G6" i="40"/>
  <c r="G43" i="40" s="1"/>
  <c r="D6" i="40"/>
  <c r="L5" i="40"/>
  <c r="K5" i="40"/>
  <c r="J5" i="40"/>
  <c r="G5" i="40"/>
  <c r="D5" i="40"/>
  <c r="L4" i="40"/>
  <c r="K4" i="40"/>
  <c r="J4" i="40"/>
  <c r="G4" i="40"/>
  <c r="D4" i="40"/>
  <c r="B8" i="39"/>
  <c r="B9" i="39" s="1"/>
  <c r="B8" i="38"/>
  <c r="B9" i="38" s="1"/>
  <c r="B8" i="36"/>
  <c r="B9" i="36" s="1"/>
  <c r="B8" i="35"/>
  <c r="B11" i="37"/>
  <c r="B12" i="37" s="1"/>
  <c r="A104" i="1"/>
  <c r="A110" i="1"/>
  <c r="A111" i="1"/>
  <c r="E90" i="1"/>
  <c r="F90" i="1"/>
  <c r="G90" i="1"/>
  <c r="H90" i="1"/>
  <c r="I90" i="1"/>
  <c r="J90" i="1"/>
  <c r="K90" i="1"/>
  <c r="L90" i="1"/>
  <c r="C92" i="1"/>
  <c r="D92" i="1"/>
  <c r="D84" i="1" s="1"/>
  <c r="E92" i="1"/>
  <c r="F92" i="1"/>
  <c r="G92" i="1"/>
  <c r="H92" i="1"/>
  <c r="I92" i="1"/>
  <c r="J92" i="1"/>
  <c r="K92" i="1"/>
  <c r="L92" i="1"/>
  <c r="M92" i="1"/>
  <c r="C93" i="1"/>
  <c r="D93" i="1"/>
  <c r="E93" i="1"/>
  <c r="F93" i="1"/>
  <c r="G93" i="1"/>
  <c r="H93" i="1"/>
  <c r="H85" i="1" s="1"/>
  <c r="I93" i="1"/>
  <c r="J93" i="1"/>
  <c r="K93" i="1"/>
  <c r="L93" i="1"/>
  <c r="L85" i="1" s="1"/>
  <c r="M93" i="1"/>
  <c r="C94" i="1"/>
  <c r="D94" i="1"/>
  <c r="E94" i="1"/>
  <c r="F94" i="1"/>
  <c r="G94" i="1"/>
  <c r="H94" i="1"/>
  <c r="I94" i="1"/>
  <c r="J94" i="1"/>
  <c r="K94" i="1"/>
  <c r="L94" i="1"/>
  <c r="M94" i="1"/>
  <c r="M86" i="1" s="1"/>
  <c r="C85" i="63" s="1"/>
  <c r="E91" i="1"/>
  <c r="F91" i="1"/>
  <c r="G91" i="1"/>
  <c r="H91" i="1"/>
  <c r="I91" i="1"/>
  <c r="J91" i="1"/>
  <c r="K91" i="1"/>
  <c r="L91" i="1"/>
  <c r="M91" i="1"/>
  <c r="D91" i="1"/>
  <c r="C91" i="1"/>
  <c r="C90" i="1"/>
  <c r="D90" i="1"/>
  <c r="D82" i="1" s="1"/>
  <c r="C67" i="1"/>
  <c r="C68" i="1"/>
  <c r="C69" i="1"/>
  <c r="C136" i="1" s="1"/>
  <c r="C138" i="1" s="1"/>
  <c r="C70" i="1"/>
  <c r="C66" i="1"/>
  <c r="C123" i="1" s="1"/>
  <c r="C125" i="1" s="1"/>
  <c r="C59" i="1"/>
  <c r="D6" i="36" s="1"/>
  <c r="C60" i="1"/>
  <c r="C119" i="1" s="1"/>
  <c r="C121" i="1" s="1"/>
  <c r="D6" i="37" s="1"/>
  <c r="C61" i="1"/>
  <c r="C62" i="1"/>
  <c r="D6" i="39" s="1"/>
  <c r="C58" i="1"/>
  <c r="D6" i="35" s="1"/>
  <c r="D67" i="1"/>
  <c r="D68" i="1"/>
  <c r="D69" i="1"/>
  <c r="D136" i="1" s="1"/>
  <c r="D138" i="1" s="1"/>
  <c r="D70" i="1"/>
  <c r="D66" i="1"/>
  <c r="D59" i="1"/>
  <c r="D7" i="36" s="1"/>
  <c r="D60" i="1"/>
  <c r="D61" i="1"/>
  <c r="D62" i="1"/>
  <c r="D7" i="39" s="1"/>
  <c r="D58" i="1"/>
  <c r="E68" i="1"/>
  <c r="E69" i="1"/>
  <c r="E136" i="1" s="1"/>
  <c r="E138" i="1" s="1"/>
  <c r="E70" i="1"/>
  <c r="E67" i="1"/>
  <c r="E66" i="1"/>
  <c r="E123" i="1" s="1"/>
  <c r="E125" i="1" s="1"/>
  <c r="E60" i="1"/>
  <c r="E119" i="1" s="1"/>
  <c r="E121" i="1" s="1"/>
  <c r="E61" i="1"/>
  <c r="E132" i="1" s="1"/>
  <c r="E134" i="1" s="1"/>
  <c r="E62" i="1"/>
  <c r="E59" i="1"/>
  <c r="E58" i="1"/>
  <c r="F68" i="1"/>
  <c r="F69" i="1"/>
  <c r="F136" i="1" s="1"/>
  <c r="F138" i="1" s="1"/>
  <c r="F70" i="1"/>
  <c r="F67" i="1"/>
  <c r="F66" i="1"/>
  <c r="F123" i="1" s="1"/>
  <c r="F125" i="1" s="1"/>
  <c r="F60" i="1"/>
  <c r="F61" i="1"/>
  <c r="F132" i="1" s="1"/>
  <c r="F134" i="1" s="1"/>
  <c r="F62" i="1"/>
  <c r="F59" i="1"/>
  <c r="F58" i="1"/>
  <c r="G68" i="1"/>
  <c r="G69" i="1"/>
  <c r="G136" i="1" s="1"/>
  <c r="G138" i="1" s="1"/>
  <c r="G70" i="1"/>
  <c r="G67" i="1"/>
  <c r="G66" i="1"/>
  <c r="G123" i="1" s="1"/>
  <c r="G125" i="1" s="1"/>
  <c r="G60" i="1"/>
  <c r="G61" i="1"/>
  <c r="G132" i="1" s="1"/>
  <c r="G134" i="1" s="1"/>
  <c r="G62" i="1"/>
  <c r="G59" i="1"/>
  <c r="G58" i="1"/>
  <c r="J66" i="1"/>
  <c r="J123" i="1" s="1"/>
  <c r="J125" i="1" s="1"/>
  <c r="J58" i="1"/>
  <c r="J67" i="1"/>
  <c r="J68" i="1"/>
  <c r="J69" i="1"/>
  <c r="J136" i="1" s="1"/>
  <c r="J138" i="1" s="1"/>
  <c r="J70" i="1"/>
  <c r="J59" i="1"/>
  <c r="J60" i="1"/>
  <c r="J119" i="1" s="1"/>
  <c r="J121" i="1" s="1"/>
  <c r="J61" i="1"/>
  <c r="J132" i="1" s="1"/>
  <c r="J134" i="1" s="1"/>
  <c r="J62" i="1"/>
  <c r="H66" i="1"/>
  <c r="H67" i="1"/>
  <c r="H68" i="1"/>
  <c r="H69" i="1"/>
  <c r="H136" i="1" s="1"/>
  <c r="H138" i="1" s="1"/>
  <c r="H70" i="1"/>
  <c r="H58" i="1"/>
  <c r="H60" i="1"/>
  <c r="H61" i="1"/>
  <c r="H132" i="1" s="1"/>
  <c r="H134" i="1" s="1"/>
  <c r="H62" i="1"/>
  <c r="H59" i="1"/>
  <c r="I66" i="1"/>
  <c r="I123" i="1" s="1"/>
  <c r="I125" i="1" s="1"/>
  <c r="I58" i="1"/>
  <c r="I68" i="1"/>
  <c r="I69" i="1"/>
  <c r="I136" i="1" s="1"/>
  <c r="I138" i="1" s="1"/>
  <c r="I70" i="1"/>
  <c r="I67" i="1"/>
  <c r="I60" i="1"/>
  <c r="I119" i="1" s="1"/>
  <c r="I121" i="1" s="1"/>
  <c r="I61" i="1"/>
  <c r="I132" i="1" s="1"/>
  <c r="I134" i="1" s="1"/>
  <c r="I62" i="1"/>
  <c r="I59" i="1"/>
  <c r="K66" i="1"/>
  <c r="K58" i="1"/>
  <c r="K68" i="1"/>
  <c r="K69" i="1"/>
  <c r="K136" i="1" s="1"/>
  <c r="K138" i="1" s="1"/>
  <c r="K70" i="1"/>
  <c r="K67" i="1"/>
  <c r="K60" i="1"/>
  <c r="K61" i="1"/>
  <c r="K62" i="1"/>
  <c r="K59" i="1"/>
  <c r="L66" i="1"/>
  <c r="L68" i="1"/>
  <c r="L69" i="1"/>
  <c r="L136" i="1" s="1"/>
  <c r="L70" i="1"/>
  <c r="L67" i="1"/>
  <c r="L58" i="1"/>
  <c r="L60" i="1"/>
  <c r="L119" i="1" s="1"/>
  <c r="L61" i="1"/>
  <c r="L132" i="1" s="1"/>
  <c r="L62" i="1"/>
  <c r="L59" i="1"/>
  <c r="K123" i="1"/>
  <c r="M58" i="1"/>
  <c r="C57" i="63" s="1"/>
  <c r="M90" i="1"/>
  <c r="M66" i="1"/>
  <c r="C65" i="63" s="1"/>
  <c r="M68" i="1"/>
  <c r="C67" i="63" s="1"/>
  <c r="M69" i="1"/>
  <c r="M70" i="1"/>
  <c r="C69" i="63" s="1"/>
  <c r="M67" i="1"/>
  <c r="C66" i="63" s="1"/>
  <c r="M60" i="1"/>
  <c r="M61" i="1"/>
  <c r="M62" i="1"/>
  <c r="C61" i="63" s="1"/>
  <c r="M59" i="1"/>
  <c r="C58" i="63" s="1"/>
  <c r="D106" i="1"/>
  <c r="E106" i="1"/>
  <c r="F106" i="1"/>
  <c r="G106" i="1"/>
  <c r="H106" i="1"/>
  <c r="I106" i="1"/>
  <c r="J106" i="1"/>
  <c r="K106" i="1"/>
  <c r="L106" i="1"/>
  <c r="M106" i="1"/>
  <c r="D107" i="1"/>
  <c r="E107" i="1"/>
  <c r="F107" i="1"/>
  <c r="G107" i="1"/>
  <c r="H107" i="1"/>
  <c r="I107" i="1"/>
  <c r="J107" i="1"/>
  <c r="K107" i="1"/>
  <c r="L107" i="1"/>
  <c r="M107" i="1"/>
  <c r="D108" i="1"/>
  <c r="E108" i="1"/>
  <c r="F108" i="1"/>
  <c r="G108" i="1"/>
  <c r="H108" i="1"/>
  <c r="I108" i="1"/>
  <c r="J108" i="1"/>
  <c r="K108" i="1"/>
  <c r="L108" i="1"/>
  <c r="M108" i="1"/>
  <c r="C108" i="1"/>
  <c r="C107" i="1"/>
  <c r="C106" i="1"/>
  <c r="A96" i="1"/>
  <c r="A64" i="1"/>
  <c r="A72" i="1"/>
  <c r="A80" i="1"/>
  <c r="A88" i="1"/>
  <c r="A56" i="1"/>
  <c r="D18" i="23"/>
  <c r="D17" i="23"/>
  <c r="D16" i="23"/>
  <c r="D15" i="23"/>
  <c r="D14" i="23"/>
  <c r="D13" i="23"/>
  <c r="D12" i="23"/>
  <c r="D11" i="23"/>
  <c r="D10" i="23"/>
  <c r="D9" i="23"/>
  <c r="D8" i="23"/>
  <c r="AT82" i="22"/>
  <c r="AP82" i="22"/>
  <c r="AL82" i="22"/>
  <c r="AH82" i="22"/>
  <c r="AD82" i="22"/>
  <c r="Z82" i="22"/>
  <c r="V82" i="22"/>
  <c r="R82" i="22"/>
  <c r="N82" i="22"/>
  <c r="J82" i="22"/>
  <c r="F82" i="22"/>
  <c r="AT86" i="22"/>
  <c r="AP86" i="22"/>
  <c r="AL86" i="22"/>
  <c r="AH86" i="22"/>
  <c r="AD86" i="22"/>
  <c r="Z86" i="22"/>
  <c r="V86" i="22"/>
  <c r="R86" i="22"/>
  <c r="N86" i="22"/>
  <c r="J86" i="22"/>
  <c r="F86" i="22"/>
  <c r="AT80" i="22"/>
  <c r="AL80" i="22"/>
  <c r="J80" i="22"/>
  <c r="AT74" i="22"/>
  <c r="AP74" i="22"/>
  <c r="AL74" i="22"/>
  <c r="AH74" i="22"/>
  <c r="AD74" i="22"/>
  <c r="Z74" i="22"/>
  <c r="V74" i="22"/>
  <c r="N74" i="22"/>
  <c r="J74" i="22"/>
  <c r="F74" i="22"/>
  <c r="AU72" i="22"/>
  <c r="AQ72" i="22"/>
  <c r="AM72" i="22"/>
  <c r="AI72" i="22"/>
  <c r="AE72" i="22"/>
  <c r="AU71" i="22"/>
  <c r="AQ71" i="22"/>
  <c r="AM71" i="22"/>
  <c r="AI71" i="22"/>
  <c r="AE71" i="22"/>
  <c r="AA71" i="22"/>
  <c r="AU70" i="22"/>
  <c r="AQ70" i="22"/>
  <c r="AM70" i="22"/>
  <c r="AI70" i="22"/>
  <c r="AE70" i="22"/>
  <c r="AA70" i="22"/>
  <c r="AQ69" i="22"/>
  <c r="AM69" i="22"/>
  <c r="AI69" i="22"/>
  <c r="AE69" i="22"/>
  <c r="AA69" i="22"/>
  <c r="W69" i="22"/>
  <c r="W68" i="22"/>
  <c r="S68" i="22"/>
  <c r="O68" i="22"/>
  <c r="AU67" i="22"/>
  <c r="AQ67" i="22"/>
  <c r="AM67" i="22"/>
  <c r="AI67" i="22"/>
  <c r="AE67" i="22"/>
  <c r="AA67" i="22"/>
  <c r="W67" i="22"/>
  <c r="S67" i="22"/>
  <c r="O67" i="22"/>
  <c r="AU66" i="22"/>
  <c r="AQ66" i="22"/>
  <c r="AM66" i="22"/>
  <c r="AI66" i="22"/>
  <c r="AE66" i="22"/>
  <c r="AA66" i="22"/>
  <c r="W66" i="22"/>
  <c r="S66" i="22"/>
  <c r="O66" i="22"/>
  <c r="K66" i="22"/>
  <c r="W65" i="22"/>
  <c r="S65" i="22"/>
  <c r="O65" i="22"/>
  <c r="AQ64" i="22"/>
  <c r="AM64" i="22"/>
  <c r="AI64" i="22"/>
  <c r="AA64" i="22"/>
  <c r="W64" i="22"/>
  <c r="S64" i="22"/>
  <c r="O64" i="22"/>
  <c r="K64" i="22"/>
  <c r="W63" i="22"/>
  <c r="S63" i="22"/>
  <c r="O63" i="22"/>
  <c r="AQ62" i="22"/>
  <c r="AM62" i="22"/>
  <c r="AI62" i="22"/>
  <c r="AA62" i="22"/>
  <c r="W62" i="22"/>
  <c r="S62" i="22"/>
  <c r="O62" i="22"/>
  <c r="K62" i="22"/>
  <c r="AU61" i="22"/>
  <c r="AQ61" i="22"/>
  <c r="AM61" i="22"/>
  <c r="AI61" i="22"/>
  <c r="AE61" i="22"/>
  <c r="AA61" i="22"/>
  <c r="W61" i="22"/>
  <c r="S61" i="22"/>
  <c r="O61" i="22"/>
  <c r="K61" i="22"/>
  <c r="G61" i="22"/>
  <c r="AU60" i="22"/>
  <c r="AQ60" i="22"/>
  <c r="AM60" i="22"/>
  <c r="AI60" i="22"/>
  <c r="AE60" i="22"/>
  <c r="AA60" i="22"/>
  <c r="W60" i="22"/>
  <c r="S60" i="22"/>
  <c r="O60" i="22"/>
  <c r="K60" i="22"/>
  <c r="G60" i="22"/>
  <c r="AU59" i="22"/>
  <c r="AQ59" i="22"/>
  <c r="AM59" i="22"/>
  <c r="AI59" i="22"/>
  <c r="AE59" i="22"/>
  <c r="AA59" i="22"/>
  <c r="W59" i="22"/>
  <c r="S59" i="22"/>
  <c r="O59" i="22"/>
  <c r="K59" i="22"/>
  <c r="G59" i="22"/>
  <c r="AU58" i="22"/>
  <c r="AQ58" i="22"/>
  <c r="AM58" i="22"/>
  <c r="AI58" i="22"/>
  <c r="AE58" i="22"/>
  <c r="AA58" i="22"/>
  <c r="W58" i="22"/>
  <c r="S58" i="22"/>
  <c r="AU57" i="22"/>
  <c r="AQ57" i="22"/>
  <c r="AM57" i="22"/>
  <c r="AI57" i="22"/>
  <c r="AE57" i="22"/>
  <c r="AA57" i="22"/>
  <c r="W57" i="22"/>
  <c r="S57" i="22"/>
  <c r="O57" i="22"/>
  <c r="K57" i="22"/>
  <c r="G57" i="22"/>
  <c r="AU56" i="22"/>
  <c r="AQ56" i="22"/>
  <c r="AM56" i="22"/>
  <c r="AI56" i="22"/>
  <c r="AE56" i="22"/>
  <c r="AA56" i="22"/>
  <c r="W56" i="22"/>
  <c r="S56" i="22"/>
  <c r="O56" i="22"/>
  <c r="K56" i="22"/>
  <c r="G56" i="22"/>
  <c r="AQ55" i="22"/>
  <c r="S55" i="22"/>
  <c r="K55" i="22"/>
  <c r="AU54" i="22"/>
  <c r="AQ54" i="22"/>
  <c r="AM54" i="22"/>
  <c r="AI54" i="22"/>
  <c r="AE54" i="22"/>
  <c r="AA54" i="22"/>
  <c r="W54" i="22"/>
  <c r="S54" i="22"/>
  <c r="O54" i="22"/>
  <c r="K54" i="22"/>
  <c r="G54" i="22"/>
  <c r="AU53" i="22"/>
  <c r="AQ53" i="22"/>
  <c r="AM53" i="22"/>
  <c r="AI53" i="22"/>
  <c r="AE53" i="22"/>
  <c r="AA53" i="22"/>
  <c r="W53" i="22"/>
  <c r="S53" i="22"/>
  <c r="O53" i="22"/>
  <c r="K53" i="22"/>
  <c r="G53" i="22"/>
  <c r="AV52" i="22"/>
  <c r="AR52" i="22"/>
  <c r="AN52" i="22"/>
  <c r="AJ52" i="22"/>
  <c r="AF52" i="22"/>
  <c r="AB52" i="22"/>
  <c r="X52" i="22"/>
  <c r="T52" i="22"/>
  <c r="P52" i="22"/>
  <c r="L52" i="22"/>
  <c r="H52" i="22"/>
  <c r="AU51" i="22"/>
  <c r="AQ51" i="22"/>
  <c r="AM51" i="22"/>
  <c r="AI51" i="22"/>
  <c r="AE51" i="22"/>
  <c r="AA51" i="22"/>
  <c r="W51" i="22"/>
  <c r="S51" i="22"/>
  <c r="O51" i="22"/>
  <c r="K51" i="22"/>
  <c r="G51" i="22"/>
  <c r="AU50" i="22"/>
  <c r="AQ50" i="22"/>
  <c r="AM50" i="22"/>
  <c r="AI50" i="22"/>
  <c r="AE50" i="22"/>
  <c r="AA50" i="22"/>
  <c r="W50" i="22"/>
  <c r="S50" i="22"/>
  <c r="O50" i="22"/>
  <c r="K50" i="22"/>
  <c r="G50" i="22"/>
  <c r="AU49" i="22"/>
  <c r="AQ49" i="22"/>
  <c r="AM49" i="22"/>
  <c r="AI49" i="22"/>
  <c r="AE49" i="22"/>
  <c r="AA49" i="22"/>
  <c r="W49" i="22"/>
  <c r="S49" i="22"/>
  <c r="O49" i="22"/>
  <c r="K49" i="22"/>
  <c r="G49" i="22"/>
  <c r="AQ48" i="22"/>
  <c r="AI48" i="22"/>
  <c r="K48" i="22"/>
  <c r="AU47" i="22"/>
  <c r="AQ47" i="22"/>
  <c r="AU46" i="22"/>
  <c r="AQ46" i="22"/>
  <c r="AM46" i="22"/>
  <c r="AI46" i="22"/>
  <c r="AE46" i="22"/>
  <c r="AA46" i="22"/>
  <c r="AU45" i="22"/>
  <c r="AQ45" i="22"/>
  <c r="AM45" i="22"/>
  <c r="AI45" i="22"/>
  <c r="AE45" i="22"/>
  <c r="AA45" i="22"/>
  <c r="W45" i="22"/>
  <c r="AV43" i="22"/>
  <c r="X43" i="22"/>
  <c r="P43" i="22"/>
  <c r="AU42" i="22"/>
  <c r="AQ42" i="22"/>
  <c r="AM42" i="22"/>
  <c r="AI42" i="22"/>
  <c r="AE42" i="22"/>
  <c r="AA42" i="22"/>
  <c r="W42" i="22"/>
  <c r="S42" i="22"/>
  <c r="O42" i="22"/>
  <c r="K42" i="22"/>
  <c r="G42" i="22"/>
  <c r="X41" i="22"/>
  <c r="W40" i="22"/>
  <c r="AU39" i="22"/>
  <c r="AQ39" i="22"/>
  <c r="AM39" i="22"/>
  <c r="AI39" i="22"/>
  <c r="AE39" i="22"/>
  <c r="AA39" i="22"/>
  <c r="W39" i="22"/>
  <c r="S39" i="22"/>
  <c r="O39" i="22"/>
  <c r="K39" i="22"/>
  <c r="G39" i="22"/>
  <c r="AV38" i="22"/>
  <c r="AR38" i="22"/>
  <c r="AN38" i="22"/>
  <c r="AJ38" i="22"/>
  <c r="AF38" i="22"/>
  <c r="AB38" i="22"/>
  <c r="X38" i="22"/>
  <c r="T38" i="22"/>
  <c r="P38" i="22"/>
  <c r="L38" i="22"/>
  <c r="H38" i="22"/>
  <c r="AU37" i="22"/>
  <c r="AQ37" i="22"/>
  <c r="AM37" i="22"/>
  <c r="AI37" i="22"/>
  <c r="AE37" i="22"/>
  <c r="AA37" i="22"/>
  <c r="W37" i="22"/>
  <c r="S37" i="22"/>
  <c r="O37" i="22"/>
  <c r="K37" i="22"/>
  <c r="G37" i="22"/>
  <c r="AU36" i="22"/>
  <c r="AQ36" i="22"/>
  <c r="AM36" i="22"/>
  <c r="AI36" i="22"/>
  <c r="AE36" i="22"/>
  <c r="AA36" i="22"/>
  <c r="W36" i="22"/>
  <c r="S36" i="22"/>
  <c r="O36" i="22"/>
  <c r="K36" i="22"/>
  <c r="G36" i="22"/>
  <c r="AU35" i="22"/>
  <c r="AQ35" i="22"/>
  <c r="AM35" i="22"/>
  <c r="AI35" i="22"/>
  <c r="AE35" i="22"/>
  <c r="AA35" i="22"/>
  <c r="W35" i="22"/>
  <c r="S35" i="22"/>
  <c r="O35" i="22"/>
  <c r="K35" i="22"/>
  <c r="G35" i="22"/>
  <c r="AU34" i="22"/>
  <c r="AQ34" i="22"/>
  <c r="AM34" i="22"/>
  <c r="AI34" i="22"/>
  <c r="AE34" i="22"/>
  <c r="AA34" i="22"/>
  <c r="W34" i="22"/>
  <c r="S34" i="22"/>
  <c r="O34" i="22"/>
  <c r="K34" i="22"/>
  <c r="G34" i="22"/>
  <c r="AU33" i="22"/>
  <c r="AQ33" i="22"/>
  <c r="AM33" i="22"/>
  <c r="AI33" i="22"/>
  <c r="AE33" i="22"/>
  <c r="AA33" i="22"/>
  <c r="W33" i="22"/>
  <c r="S33" i="22"/>
  <c r="O33" i="22"/>
  <c r="K33" i="22"/>
  <c r="G33" i="22"/>
  <c r="AU32" i="22"/>
  <c r="AN32" i="22"/>
  <c r="AM32" i="22"/>
  <c r="AF32" i="22"/>
  <c r="AE32" i="22"/>
  <c r="X32" i="22"/>
  <c r="W32" i="22"/>
  <c r="P32" i="22"/>
  <c r="O32" i="22"/>
  <c r="H32" i="22"/>
  <c r="G32" i="22"/>
  <c r="AV31" i="22"/>
  <c r="AR31" i="22"/>
  <c r="AN31" i="22"/>
  <c r="AJ31" i="22"/>
  <c r="AF31" i="22"/>
  <c r="AF78" i="22" s="1"/>
  <c r="AB31" i="22"/>
  <c r="AB78" i="22" s="1"/>
  <c r="X31" i="22"/>
  <c r="X78" i="22" s="1"/>
  <c r="T31" i="22"/>
  <c r="P31" i="22"/>
  <c r="P78" i="22" s="1"/>
  <c r="L31" i="22"/>
  <c r="H31" i="22"/>
  <c r="AV30" i="22"/>
  <c r="AR30" i="22"/>
  <c r="AN30" i="22"/>
  <c r="AJ30" i="22"/>
  <c r="AF30" i="22"/>
  <c r="AB30" i="22"/>
  <c r="X30" i="22"/>
  <c r="T30" i="22"/>
  <c r="P30" i="22"/>
  <c r="AR29" i="22"/>
  <c r="AN29" i="22"/>
  <c r="AJ29" i="22"/>
  <c r="AF29" i="22"/>
  <c r="AB29" i="22"/>
  <c r="AU28" i="22"/>
  <c r="AQ28" i="22"/>
  <c r="AM28" i="22"/>
  <c r="AI28" i="22"/>
  <c r="AE28" i="22"/>
  <c r="AA28" i="22"/>
  <c r="W28" i="22"/>
  <c r="S28" i="22"/>
  <c r="O28" i="22"/>
  <c r="AV27" i="22"/>
  <c r="AR27" i="22"/>
  <c r="AN27" i="22"/>
  <c r="AJ27" i="22"/>
  <c r="AF27" i="22"/>
  <c r="AB27" i="22"/>
  <c r="X27" i="22"/>
  <c r="T27" i="22"/>
  <c r="P27" i="22"/>
  <c r="L27" i="22"/>
  <c r="H27" i="22"/>
  <c r="AU26" i="22"/>
  <c r="AQ26" i="22"/>
  <c r="AM26" i="22"/>
  <c r="AI26" i="22"/>
  <c r="AE26" i="22"/>
  <c r="AA26" i="22"/>
  <c r="W26" i="22"/>
  <c r="S26" i="22"/>
  <c r="O26" i="22"/>
  <c r="K26" i="22"/>
  <c r="G26" i="22"/>
  <c r="AV25" i="22"/>
  <c r="AR25" i="22"/>
  <c r="AN25" i="22"/>
  <c r="AJ25" i="22"/>
  <c r="AF25" i="22"/>
  <c r="AB25" i="22"/>
  <c r="X25" i="22"/>
  <c r="T25" i="22"/>
  <c r="P25" i="22"/>
  <c r="L25" i="22"/>
  <c r="H25" i="22"/>
  <c r="AV24" i="22"/>
  <c r="AR24" i="22"/>
  <c r="AN24" i="22"/>
  <c r="AJ24" i="22"/>
  <c r="AF24" i="22"/>
  <c r="AB24" i="22"/>
  <c r="X24" i="22"/>
  <c r="T24" i="22"/>
  <c r="P24" i="22"/>
  <c r="L24" i="22"/>
  <c r="G24" i="22"/>
  <c r="AV23" i="22"/>
  <c r="AQ23" i="22"/>
  <c r="AN23" i="22"/>
  <c r="AI23" i="22"/>
  <c r="AF23" i="22"/>
  <c r="AA23" i="22"/>
  <c r="X23" i="22"/>
  <c r="S23" i="22"/>
  <c r="AU22" i="22"/>
  <c r="AQ22" i="22"/>
  <c r="AM22" i="22"/>
  <c r="AI22" i="22"/>
  <c r="AE22" i="22"/>
  <c r="AA22" i="22"/>
  <c r="W22" i="22"/>
  <c r="S22" i="22"/>
  <c r="O22" i="22"/>
  <c r="K22" i="22"/>
  <c r="G22" i="22"/>
  <c r="AV21" i="22"/>
  <c r="AU21" i="22"/>
  <c r="AQ21" i="22"/>
  <c r="AN21" i="22"/>
  <c r="AM21" i="22"/>
  <c r="AI21" i="22"/>
  <c r="AF21" i="22"/>
  <c r="AE21" i="22"/>
  <c r="AA21" i="22"/>
  <c r="X21" i="22"/>
  <c r="W21" i="22"/>
  <c r="S21" i="22"/>
  <c r="P21" i="22"/>
  <c r="O21" i="22"/>
  <c r="K21" i="22"/>
  <c r="H21" i="22"/>
  <c r="G21" i="22"/>
  <c r="AU20" i="22"/>
  <c r="AQ20" i="22"/>
  <c r="AM20" i="22"/>
  <c r="AI20" i="22"/>
  <c r="AE20" i="22"/>
  <c r="AA20" i="22"/>
  <c r="W20" i="22"/>
  <c r="S20" i="22"/>
  <c r="O20" i="22"/>
  <c r="K20" i="22"/>
  <c r="G20" i="22"/>
  <c r="AU18" i="22"/>
  <c r="AQ18" i="22"/>
  <c r="AM18" i="22"/>
  <c r="AI18" i="22"/>
  <c r="AE18" i="22"/>
  <c r="AA18" i="22"/>
  <c r="W18" i="22"/>
  <c r="S18" i="22"/>
  <c r="O18" i="22"/>
  <c r="K18" i="22"/>
  <c r="G18" i="22"/>
  <c r="AU17" i="22"/>
  <c r="AQ17" i="22"/>
  <c r="AM17" i="22"/>
  <c r="AI17" i="22"/>
  <c r="AE17" i="22"/>
  <c r="AA17" i="22"/>
  <c r="W17" i="22"/>
  <c r="S17" i="22"/>
  <c r="O17" i="22"/>
  <c r="K17" i="22"/>
  <c r="G17" i="22"/>
  <c r="AN16" i="22"/>
  <c r="AJ16" i="22"/>
  <c r="AF16" i="22"/>
  <c r="AB16" i="22"/>
  <c r="X16" i="22"/>
  <c r="P16" i="22"/>
  <c r="O16" i="22"/>
  <c r="AU15" i="22"/>
  <c r="AQ15" i="22"/>
  <c r="AM15" i="22"/>
  <c r="AI15" i="22"/>
  <c r="AE15" i="22"/>
  <c r="AA15" i="22"/>
  <c r="W15" i="22"/>
  <c r="S15" i="22"/>
  <c r="O15" i="22"/>
  <c r="K15" i="22"/>
  <c r="G15" i="22"/>
  <c r="AU14" i="22"/>
  <c r="AQ14" i="22"/>
  <c r="AM14" i="22"/>
  <c r="AI14" i="22"/>
  <c r="AE14" i="22"/>
  <c r="AA14" i="22"/>
  <c r="W14" i="22"/>
  <c r="S14" i="22"/>
  <c r="O14" i="22"/>
  <c r="K14" i="22"/>
  <c r="G14" i="22"/>
  <c r="AV13" i="22"/>
  <c r="AU13" i="22"/>
  <c r="AV12" i="22"/>
  <c r="AR12" i="22"/>
  <c r="AN12" i="22"/>
  <c r="AJ12" i="22"/>
  <c r="AF12" i="22"/>
  <c r="AB12" i="22"/>
  <c r="X12" i="22"/>
  <c r="T12" i="22"/>
  <c r="P12" i="22"/>
  <c r="L12" i="22"/>
  <c r="H12" i="22"/>
  <c r="AU11" i="22"/>
  <c r="AQ11" i="22"/>
  <c r="AM11" i="22"/>
  <c r="AI11" i="22"/>
  <c r="AE11" i="22"/>
  <c r="AA11" i="22"/>
  <c r="W11" i="22"/>
  <c r="S11" i="22"/>
  <c r="O11" i="22"/>
  <c r="K11" i="22"/>
  <c r="G11" i="22"/>
  <c r="AU10" i="22"/>
  <c r="AQ10" i="22"/>
  <c r="AM10" i="22"/>
  <c r="AI10" i="22"/>
  <c r="AE10" i="22"/>
  <c r="AA10" i="22"/>
  <c r="W10" i="22"/>
  <c r="S10" i="22"/>
  <c r="O10" i="22"/>
  <c r="K10" i="22"/>
  <c r="G10" i="22"/>
  <c r="AU9" i="22"/>
  <c r="AQ9" i="22"/>
  <c r="AM9" i="22"/>
  <c r="AI9" i="22"/>
  <c r="AE9" i="22"/>
  <c r="AA9" i="22"/>
  <c r="W9" i="22"/>
  <c r="S9" i="22"/>
  <c r="O9" i="22"/>
  <c r="K9" i="22"/>
  <c r="G9" i="22"/>
  <c r="AU8" i="22"/>
  <c r="AU79" i="22" s="1"/>
  <c r="AQ8" i="22"/>
  <c r="AM8" i="22"/>
  <c r="AI8" i="22"/>
  <c r="AE8" i="22"/>
  <c r="AA8" i="22"/>
  <c r="W8" i="22"/>
  <c r="S8" i="22"/>
  <c r="O8" i="22"/>
  <c r="O79" i="22" s="1"/>
  <c r="K8" i="22"/>
  <c r="G8" i="22"/>
  <c r="AV7" i="22"/>
  <c r="AR7" i="22"/>
  <c r="AN7" i="22"/>
  <c r="AJ7" i="22"/>
  <c r="AF7" i="22"/>
  <c r="AB7" i="22"/>
  <c r="X7" i="22"/>
  <c r="T7" i="22"/>
  <c r="P7" i="22"/>
  <c r="L7" i="22"/>
  <c r="H7" i="22"/>
  <c r="AV6" i="22"/>
  <c r="AR6" i="22"/>
  <c r="AN6" i="22"/>
  <c r="AN79" i="22" s="1"/>
  <c r="AJ6" i="22"/>
  <c r="AF6" i="22"/>
  <c r="AB6" i="22"/>
  <c r="X6" i="22"/>
  <c r="T6" i="22"/>
  <c r="P6" i="22"/>
  <c r="L6" i="22"/>
  <c r="H6" i="22"/>
  <c r="H79" i="22" s="1"/>
  <c r="AQ32" i="22"/>
  <c r="AI32" i="22"/>
  <c r="AA55" i="22"/>
  <c r="S48" i="22"/>
  <c r="L44" i="22"/>
  <c r="K32" i="22"/>
  <c r="X19" i="22"/>
  <c r="W19" i="22"/>
  <c r="AB43" i="22"/>
  <c r="AB55" i="22"/>
  <c r="AB48" i="22"/>
  <c r="T43" i="22"/>
  <c r="T55" i="22"/>
  <c r="T48" i="22"/>
  <c r="AR43" i="22"/>
  <c r="AR55" i="22"/>
  <c r="AR48" i="22"/>
  <c r="O43" i="22"/>
  <c r="O55" i="22"/>
  <c r="O48" i="22"/>
  <c r="O44" i="22"/>
  <c r="AE43" i="22"/>
  <c r="AE55" i="22"/>
  <c r="AE48" i="22"/>
  <c r="AE44" i="22"/>
  <c r="AU43" i="22"/>
  <c r="AU55" i="22"/>
  <c r="AU48" i="22"/>
  <c r="AU44" i="22"/>
  <c r="H55" i="22"/>
  <c r="AV48" i="22"/>
  <c r="H48" i="22"/>
  <c r="H44" i="22"/>
  <c r="P55" i="22"/>
  <c r="P48" i="22"/>
  <c r="P44" i="22"/>
  <c r="AF55" i="22"/>
  <c r="AF48" i="22"/>
  <c r="AF44" i="22"/>
  <c r="AV55" i="22"/>
  <c r="AV32" i="22"/>
  <c r="AV44" i="22"/>
  <c r="AB23" i="22"/>
  <c r="AR23" i="22"/>
  <c r="S32" i="22"/>
  <c r="AA32" i="22"/>
  <c r="AF43" i="22"/>
  <c r="T44" i="22"/>
  <c r="L43" i="22"/>
  <c r="L55" i="22"/>
  <c r="L48" i="22"/>
  <c r="AJ43" i="22"/>
  <c r="AJ55" i="22"/>
  <c r="AJ48" i="22"/>
  <c r="AJ44" i="22"/>
  <c r="G43" i="22"/>
  <c r="G55" i="22"/>
  <c r="G48" i="22"/>
  <c r="G44" i="22"/>
  <c r="W43" i="22"/>
  <c r="W55" i="22"/>
  <c r="W48" i="22"/>
  <c r="W44" i="22"/>
  <c r="AM43" i="22"/>
  <c r="AM55" i="22"/>
  <c r="AM48" i="22"/>
  <c r="AM44" i="22"/>
  <c r="AR44" i="22"/>
  <c r="X55" i="22"/>
  <c r="X48" i="22"/>
  <c r="X44" i="22"/>
  <c r="AN55" i="22"/>
  <c r="AN48" i="22"/>
  <c r="AN44" i="22"/>
  <c r="T23" i="22"/>
  <c r="AJ23" i="22"/>
  <c r="K44" i="22"/>
  <c r="K43" i="22"/>
  <c r="S44" i="22"/>
  <c r="S43" i="22"/>
  <c r="AA44" i="22"/>
  <c r="AA43" i="22"/>
  <c r="AI44" i="22"/>
  <c r="AI43" i="22"/>
  <c r="AQ44" i="22"/>
  <c r="AQ43" i="22"/>
  <c r="L21" i="22"/>
  <c r="T21" i="22"/>
  <c r="AB21" i="22"/>
  <c r="AJ21" i="22"/>
  <c r="AR21" i="22"/>
  <c r="W23" i="22"/>
  <c r="AE23" i="22"/>
  <c r="AM23" i="22"/>
  <c r="AU23" i="22"/>
  <c r="R74" i="22"/>
  <c r="L32" i="22"/>
  <c r="T32" i="22"/>
  <c r="AB32" i="22"/>
  <c r="AJ32" i="22"/>
  <c r="AR32" i="22"/>
  <c r="H43" i="22"/>
  <c r="AN43" i="22"/>
  <c r="AB44" i="22"/>
  <c r="AA48" i="22"/>
  <c r="AI55" i="22"/>
  <c r="C39" i="19"/>
  <c r="D39" i="19" s="1"/>
  <c r="E33" i="19"/>
  <c r="F33" i="19" s="1"/>
  <c r="G33" i="19" s="1"/>
  <c r="E32" i="19"/>
  <c r="F32" i="19" s="1"/>
  <c r="G32" i="19" s="1"/>
  <c r="E31" i="19"/>
  <c r="F31" i="19" s="1"/>
  <c r="G31" i="19" s="1"/>
  <c r="E30" i="19"/>
  <c r="F30" i="19" s="1"/>
  <c r="G30" i="19" s="1"/>
  <c r="E29" i="19"/>
  <c r="F29" i="19" s="1"/>
  <c r="G29" i="19" s="1"/>
  <c r="E28" i="19"/>
  <c r="F28" i="19" s="1"/>
  <c r="G28" i="19" s="1"/>
  <c r="E27" i="19"/>
  <c r="F27" i="19" s="1"/>
  <c r="G27" i="19" s="1"/>
  <c r="E26" i="19"/>
  <c r="F26" i="19" s="1"/>
  <c r="G26" i="19" s="1"/>
  <c r="E25" i="19"/>
  <c r="F25" i="19" s="1"/>
  <c r="G25" i="19" s="1"/>
  <c r="E24" i="19"/>
  <c r="F24" i="19" s="1"/>
  <c r="G24" i="19" s="1"/>
  <c r="E23" i="19"/>
  <c r="F23" i="19" s="1"/>
  <c r="G23" i="19" s="1"/>
  <c r="E22" i="19"/>
  <c r="F22" i="19" s="1"/>
  <c r="G22" i="19" s="1"/>
  <c r="E21" i="19"/>
  <c r="F21" i="19" s="1"/>
  <c r="G21" i="19" s="1"/>
  <c r="E20" i="19"/>
  <c r="F20" i="19" s="1"/>
  <c r="G20" i="19" s="1"/>
  <c r="E19" i="19"/>
  <c r="F19" i="19" s="1"/>
  <c r="G19" i="19" s="1"/>
  <c r="E18" i="19"/>
  <c r="F18" i="19" s="1"/>
  <c r="G18" i="19" s="1"/>
  <c r="E17" i="19"/>
  <c r="F17" i="19" s="1"/>
  <c r="G17" i="19" s="1"/>
  <c r="E16" i="19"/>
  <c r="F16" i="19" s="1"/>
  <c r="G16" i="19" s="1"/>
  <c r="E15" i="19"/>
  <c r="F15" i="19" s="1"/>
  <c r="G15" i="19" s="1"/>
  <c r="E14" i="19"/>
  <c r="F14" i="19" s="1"/>
  <c r="G14" i="19" s="1"/>
  <c r="E13" i="19"/>
  <c r="F13" i="19" s="1"/>
  <c r="G13" i="19" s="1"/>
  <c r="E12" i="19"/>
  <c r="F12" i="19" s="1"/>
  <c r="G12" i="19" s="1"/>
  <c r="E11" i="19"/>
  <c r="F11" i="19" s="1"/>
  <c r="G11" i="19" s="1"/>
  <c r="E10" i="19"/>
  <c r="F10" i="19" s="1"/>
  <c r="G10" i="19" s="1"/>
  <c r="E9" i="19"/>
  <c r="F9" i="19" s="1"/>
  <c r="G9" i="19" s="1"/>
  <c r="E8" i="19"/>
  <c r="F8" i="19" s="1"/>
  <c r="G8" i="19" s="1"/>
  <c r="E7" i="19"/>
  <c r="F7" i="19" s="1"/>
  <c r="G7" i="19" s="1"/>
  <c r="E6" i="19"/>
  <c r="F6" i="19" s="1"/>
  <c r="G6" i="19" s="1"/>
  <c r="E5" i="19"/>
  <c r="F5" i="19" s="1"/>
  <c r="G5" i="19" s="1"/>
  <c r="C34" i="19"/>
  <c r="E4" i="19"/>
  <c r="F4" i="19" s="1"/>
  <c r="M112" i="1"/>
  <c r="H30" i="17"/>
  <c r="G30" i="17"/>
  <c r="F30" i="17"/>
  <c r="B29" i="17"/>
  <c r="E30" i="17"/>
  <c r="D30" i="17"/>
  <c r="C30" i="17"/>
  <c r="H25" i="17"/>
  <c r="D25" i="17"/>
  <c r="G25" i="17"/>
  <c r="G32" i="17" s="1"/>
  <c r="G111" i="12" s="1"/>
  <c r="F25" i="17"/>
  <c r="F32" i="17" s="1"/>
  <c r="F111" i="12" s="1"/>
  <c r="E25" i="17"/>
  <c r="C25" i="17"/>
  <c r="H14" i="17"/>
  <c r="G14" i="17"/>
  <c r="F14" i="17"/>
  <c r="E14" i="17"/>
  <c r="D14" i="17"/>
  <c r="C14" i="17"/>
  <c r="H10" i="17"/>
  <c r="H16" i="17" s="1"/>
  <c r="H115" i="1" s="1"/>
  <c r="D10" i="17"/>
  <c r="D16" i="17" s="1"/>
  <c r="D115" i="1" s="1"/>
  <c r="B9" i="17"/>
  <c r="B8" i="17"/>
  <c r="B7" i="17"/>
  <c r="G10" i="17"/>
  <c r="G16" i="17" s="1"/>
  <c r="G115" i="1" s="1"/>
  <c r="F10" i="17"/>
  <c r="F16" i="17" s="1"/>
  <c r="F115" i="1" s="1"/>
  <c r="E10" i="17"/>
  <c r="E16" i="17" s="1"/>
  <c r="E115" i="1" s="1"/>
  <c r="B6" i="17"/>
  <c r="C10" i="17"/>
  <c r="C16" i="17" s="1"/>
  <c r="B13" i="17"/>
  <c r="B14" i="17" s="1"/>
  <c r="B28" i="17"/>
  <c r="B24" i="17"/>
  <c r="B25" i="17" s="1"/>
  <c r="M51" i="12"/>
  <c r="M53" i="12" s="1"/>
  <c r="M108" i="12"/>
  <c r="E31" i="2"/>
  <c r="F31" i="2"/>
  <c r="B8" i="2"/>
  <c r="B9" i="2" s="1"/>
  <c r="B10" i="2" s="1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B8" i="16"/>
  <c r="E5" i="16"/>
  <c r="G31" i="2"/>
  <c r="E5" i="13"/>
  <c r="D108" i="12"/>
  <c r="D7" i="13" s="1"/>
  <c r="B8" i="13"/>
  <c r="B9" i="13" s="1"/>
  <c r="B10" i="13" s="1"/>
  <c r="B11" i="13" s="1"/>
  <c r="E108" i="12"/>
  <c r="F108" i="12"/>
  <c r="G108" i="12"/>
  <c r="H108" i="12"/>
  <c r="I108" i="12"/>
  <c r="J108" i="12"/>
  <c r="K108" i="12"/>
  <c r="L108" i="12"/>
  <c r="C108" i="12"/>
  <c r="D6" i="13" s="1"/>
  <c r="A9" i="1"/>
  <c r="A10" i="1" s="1"/>
  <c r="A11" i="1" s="1"/>
  <c r="A15" i="1"/>
  <c r="A17" i="1"/>
  <c r="A24" i="1"/>
  <c r="A41" i="1"/>
  <c r="A43" i="1"/>
  <c r="A45" i="1"/>
  <c r="A47" i="1"/>
  <c r="A9" i="12"/>
  <c r="A14" i="12"/>
  <c r="A15" i="12"/>
  <c r="A17" i="12"/>
  <c r="A19" i="12"/>
  <c r="A21" i="12"/>
  <c r="A23" i="12"/>
  <c r="A39" i="12"/>
  <c r="A41" i="12"/>
  <c r="A43" i="12"/>
  <c r="A45" i="12"/>
  <c r="D51" i="12"/>
  <c r="D53" i="12" s="1"/>
  <c r="D42" i="12" s="1"/>
  <c r="E51" i="12"/>
  <c r="E53" i="12" s="1"/>
  <c r="E42" i="12" s="1"/>
  <c r="F51" i="12"/>
  <c r="F53" i="12" s="1"/>
  <c r="F42" i="12" s="1"/>
  <c r="G51" i="12"/>
  <c r="G53" i="12" s="1"/>
  <c r="G42" i="12" s="1"/>
  <c r="H51" i="12"/>
  <c r="H53" i="12" s="1"/>
  <c r="H42" i="12" s="1"/>
  <c r="I51" i="12"/>
  <c r="I53" i="12" s="1"/>
  <c r="I42" i="12" s="1"/>
  <c r="J51" i="12"/>
  <c r="J53" i="12" s="1"/>
  <c r="J42" i="12" s="1"/>
  <c r="K51" i="12"/>
  <c r="K53" i="12" s="1"/>
  <c r="K42" i="12" s="1"/>
  <c r="L51" i="12"/>
  <c r="L53" i="12" s="1"/>
  <c r="L42" i="12" s="1"/>
  <c r="C51" i="12"/>
  <c r="C53" i="12" s="1"/>
  <c r="C42" i="12" s="1"/>
  <c r="D13" i="12"/>
  <c r="D22" i="12"/>
  <c r="E13" i="12"/>
  <c r="E22" i="12"/>
  <c r="E38" i="12" s="1"/>
  <c r="F13" i="12"/>
  <c r="F22" i="12"/>
  <c r="F38" i="12" s="1"/>
  <c r="G13" i="12"/>
  <c r="G22" i="12"/>
  <c r="G38" i="12" s="1"/>
  <c r="H13" i="12"/>
  <c r="H22" i="12"/>
  <c r="I13" i="12"/>
  <c r="I22" i="12"/>
  <c r="I38" i="12" s="1"/>
  <c r="J13" i="12"/>
  <c r="J22" i="12"/>
  <c r="J38" i="12" s="1"/>
  <c r="K13" i="12"/>
  <c r="K22" i="12"/>
  <c r="K38" i="12" s="1"/>
  <c r="L13" i="12"/>
  <c r="L22" i="12"/>
  <c r="M13" i="12"/>
  <c r="M22" i="12"/>
  <c r="M38" i="12" s="1"/>
  <c r="C13" i="12"/>
  <c r="C22" i="12"/>
  <c r="C38" i="12" s="1"/>
  <c r="L55" i="1"/>
  <c r="K55" i="1"/>
  <c r="K44" i="1" s="1"/>
  <c r="J55" i="1"/>
  <c r="J44" i="1" s="1"/>
  <c r="I55" i="1"/>
  <c r="I44" i="1" s="1"/>
  <c r="H55" i="1"/>
  <c r="H44" i="1" s="1"/>
  <c r="L14" i="1"/>
  <c r="L40" i="1"/>
  <c r="L44" i="1"/>
  <c r="K14" i="1"/>
  <c r="K40" i="1"/>
  <c r="H14" i="1"/>
  <c r="H40" i="1"/>
  <c r="G14" i="1"/>
  <c r="G40" i="1"/>
  <c r="D14" i="1"/>
  <c r="D40" i="1"/>
  <c r="C14" i="1"/>
  <c r="C40" i="1"/>
  <c r="C42" i="1" s="1"/>
  <c r="J14" i="1"/>
  <c r="J40" i="1"/>
  <c r="I14" i="1"/>
  <c r="I40" i="1"/>
  <c r="F14" i="1"/>
  <c r="F40" i="1"/>
  <c r="E14" i="1"/>
  <c r="E40" i="1"/>
  <c r="L23" i="1"/>
  <c r="L41" i="1" s="1"/>
  <c r="K23" i="1"/>
  <c r="K41" i="1" s="1"/>
  <c r="J23" i="1"/>
  <c r="J41" i="1" s="1"/>
  <c r="I23" i="1"/>
  <c r="I41" i="1" s="1"/>
  <c r="H23" i="1"/>
  <c r="H41" i="1" s="1"/>
  <c r="G23" i="1"/>
  <c r="G41" i="1" s="1"/>
  <c r="F23" i="1"/>
  <c r="F41" i="1" s="1"/>
  <c r="E23" i="1"/>
  <c r="E41" i="1" s="1"/>
  <c r="D23" i="1"/>
  <c r="D41" i="1" s="1"/>
  <c r="C23" i="1"/>
  <c r="C41" i="1" s="1"/>
  <c r="E7" i="12"/>
  <c r="E58" i="12" s="1"/>
  <c r="E116" i="12" s="1"/>
  <c r="E119" i="12" s="1"/>
  <c r="C112" i="1"/>
  <c r="D6" i="2" s="1"/>
  <c r="O6" i="2" s="1"/>
  <c r="M55" i="1"/>
  <c r="M114" i="1"/>
  <c r="M116" i="1" s="1"/>
  <c r="D114" i="1"/>
  <c r="C114" i="1"/>
  <c r="D112" i="1"/>
  <c r="D7" i="2" s="1"/>
  <c r="E112" i="1"/>
  <c r="F112" i="1"/>
  <c r="G112" i="1"/>
  <c r="H112" i="1"/>
  <c r="I112" i="1"/>
  <c r="J112" i="1"/>
  <c r="K112" i="1"/>
  <c r="L112" i="1"/>
  <c r="B8" i="5"/>
  <c r="B9" i="5" s="1"/>
  <c r="B10" i="5" s="1"/>
  <c r="E5" i="5"/>
  <c r="E114" i="1"/>
  <c r="F114" i="1"/>
  <c r="G114" i="1"/>
  <c r="H114" i="1"/>
  <c r="I114" i="1"/>
  <c r="I116" i="1" s="1"/>
  <c r="J114" i="1"/>
  <c r="J116" i="1" s="1"/>
  <c r="K114" i="1"/>
  <c r="K116" i="1" s="1"/>
  <c r="L114" i="1"/>
  <c r="L116" i="1" s="1"/>
  <c r="E22" i="2"/>
  <c r="F22" i="2"/>
  <c r="G22" i="2"/>
  <c r="H22" i="2"/>
  <c r="I22" i="2"/>
  <c r="J22" i="2"/>
  <c r="K22" i="2"/>
  <c r="L22" i="2"/>
  <c r="D22" i="2"/>
  <c r="I31" i="2"/>
  <c r="H31" i="2"/>
  <c r="P5" i="2"/>
  <c r="Q5" i="2"/>
  <c r="R5" i="2"/>
  <c r="S5" i="2"/>
  <c r="T5" i="2"/>
  <c r="O5" i="2"/>
  <c r="M23" i="1"/>
  <c r="M41" i="1" s="1"/>
  <c r="M14" i="1"/>
  <c r="M40" i="1"/>
  <c r="E7" i="1"/>
  <c r="F7" i="1" s="1"/>
  <c r="G7" i="1" s="1"/>
  <c r="H7" i="1" s="1"/>
  <c r="I7" i="1" s="1"/>
  <c r="J7" i="1" s="1"/>
  <c r="K7" i="1" s="1"/>
  <c r="L7" i="1" s="1"/>
  <c r="M7" i="1" s="1"/>
  <c r="G58" i="63" l="1"/>
  <c r="G61" i="63"/>
  <c r="J38" i="63"/>
  <c r="K38" i="63"/>
  <c r="L47" i="63"/>
  <c r="G66" i="63"/>
  <c r="L38" i="63"/>
  <c r="G69" i="63"/>
  <c r="G85" i="63"/>
  <c r="L48" i="63"/>
  <c r="E59" i="62"/>
  <c r="AD59" i="62" s="1"/>
  <c r="E70" i="63"/>
  <c r="AG70" i="63" s="1"/>
  <c r="AR79" i="22"/>
  <c r="AA78" i="22"/>
  <c r="K78" i="22"/>
  <c r="P79" i="22"/>
  <c r="AV79" i="22"/>
  <c r="AV86" i="22" s="1"/>
  <c r="W79" i="22"/>
  <c r="W86" i="22" s="1"/>
  <c r="J15" i="23"/>
  <c r="J112" i="12" s="1"/>
  <c r="J113" i="12" s="1"/>
  <c r="H15" i="23"/>
  <c r="F15" i="23"/>
  <c r="AU78" i="22"/>
  <c r="S78" i="22"/>
  <c r="T79" i="22"/>
  <c r="AA79" i="22"/>
  <c r="AA86" i="22" s="1"/>
  <c r="AJ78" i="22"/>
  <c r="AJ85" i="22" s="1"/>
  <c r="W78" i="22"/>
  <c r="H8" i="23"/>
  <c r="F8" i="23"/>
  <c r="J8" i="23"/>
  <c r="C112" i="12" s="1"/>
  <c r="H16" i="23"/>
  <c r="F16" i="23"/>
  <c r="J16" i="23"/>
  <c r="K112" i="12" s="1"/>
  <c r="K113" i="12" s="1"/>
  <c r="S79" i="22"/>
  <c r="X79" i="22"/>
  <c r="AE79" i="22"/>
  <c r="H78" i="22"/>
  <c r="AN78" i="22"/>
  <c r="J9" i="23"/>
  <c r="D112" i="12" s="1"/>
  <c r="H9" i="23"/>
  <c r="F9" i="23"/>
  <c r="J17" i="23"/>
  <c r="L112" i="12" s="1"/>
  <c r="L113" i="12" s="1"/>
  <c r="H17" i="23"/>
  <c r="F17" i="23"/>
  <c r="O78" i="22"/>
  <c r="AB79" i="22"/>
  <c r="AI79" i="22"/>
  <c r="L78" i="22"/>
  <c r="L85" i="22" s="1"/>
  <c r="AR78" i="22"/>
  <c r="AR85" i="22" s="1"/>
  <c r="AE78" i="22"/>
  <c r="J10" i="23"/>
  <c r="H10" i="23"/>
  <c r="F10" i="23"/>
  <c r="J18" i="23"/>
  <c r="M112" i="12" s="1"/>
  <c r="M113" i="12" s="1"/>
  <c r="H18" i="23"/>
  <c r="F18" i="23"/>
  <c r="L79" i="22"/>
  <c r="J14" i="23"/>
  <c r="I112" i="12" s="1"/>
  <c r="I113" i="12" s="1"/>
  <c r="H14" i="23"/>
  <c r="F14" i="23"/>
  <c r="AI78" i="22"/>
  <c r="AF79" i="22"/>
  <c r="G79" i="22"/>
  <c r="AM79" i="22"/>
  <c r="AV78" i="22"/>
  <c r="AV80" i="22" s="1"/>
  <c r="F11" i="23"/>
  <c r="H11" i="23"/>
  <c r="J11" i="23"/>
  <c r="I82" i="1"/>
  <c r="J13" i="23"/>
  <c r="H112" i="12" s="1"/>
  <c r="H13" i="23"/>
  <c r="F13" i="23"/>
  <c r="AQ78" i="22"/>
  <c r="AQ85" i="22" s="1"/>
  <c r="AJ79" i="22"/>
  <c r="K79" i="22"/>
  <c r="AQ79" i="22"/>
  <c r="T78" i="22"/>
  <c r="G78" i="22"/>
  <c r="AM78" i="22"/>
  <c r="J12" i="23"/>
  <c r="G112" i="12" s="1"/>
  <c r="G113" i="12" s="1"/>
  <c r="H12" i="23"/>
  <c r="F12" i="23"/>
  <c r="M128" i="12"/>
  <c r="E72" i="62" s="1"/>
  <c r="AD72" i="62" s="1"/>
  <c r="M123" i="12"/>
  <c r="E64" i="62" s="1"/>
  <c r="AD64" i="62" s="1"/>
  <c r="E30" i="63"/>
  <c r="AG30" i="63" s="1"/>
  <c r="L118" i="12"/>
  <c r="E59" i="63"/>
  <c r="AG59" i="63" s="1"/>
  <c r="D6" i="49"/>
  <c r="D7" i="49"/>
  <c r="D6" i="48"/>
  <c r="D7" i="48"/>
  <c r="D8" i="48"/>
  <c r="A10" i="12"/>
  <c r="E72" i="12"/>
  <c r="E68" i="12"/>
  <c r="E64" i="12"/>
  <c r="E65" i="12"/>
  <c r="E66" i="12"/>
  <c r="E121" i="12" s="1"/>
  <c r="E124" i="12" s="1"/>
  <c r="E67" i="12"/>
  <c r="E136" i="12" s="1"/>
  <c r="E138" i="12" s="1"/>
  <c r="E172" i="80"/>
  <c r="G85" i="1"/>
  <c r="E10" i="80"/>
  <c r="E171" i="80"/>
  <c r="E7" i="81"/>
  <c r="E62" i="81"/>
  <c r="E11" i="80"/>
  <c r="E7" i="13"/>
  <c r="E172" i="81"/>
  <c r="Z85" i="22"/>
  <c r="M21" i="40"/>
  <c r="M29" i="40"/>
  <c r="E82" i="1"/>
  <c r="M85" i="1"/>
  <c r="F82" i="1"/>
  <c r="I83" i="1"/>
  <c r="M31" i="40"/>
  <c r="A11" i="12"/>
  <c r="A12" i="12" s="1"/>
  <c r="A13" i="12" s="1"/>
  <c r="D10" i="2"/>
  <c r="O10" i="2" s="1"/>
  <c r="J85" i="1"/>
  <c r="I84" i="1"/>
  <c r="F83" i="1"/>
  <c r="L86" i="1"/>
  <c r="K99" i="1"/>
  <c r="E83" i="1"/>
  <c r="J95" i="1"/>
  <c r="J105" i="1" s="1"/>
  <c r="H82" i="1"/>
  <c r="J83" i="1"/>
  <c r="M101" i="1"/>
  <c r="E100" i="1"/>
  <c r="E74" i="12"/>
  <c r="E126" i="12" s="1"/>
  <c r="E129" i="12" s="1"/>
  <c r="D9" i="2"/>
  <c r="O9" i="2" s="1"/>
  <c r="E32" i="17"/>
  <c r="E111" i="12" s="1"/>
  <c r="AN74" i="22"/>
  <c r="M123" i="1"/>
  <c r="M125" i="1" s="1"/>
  <c r="K100" i="1"/>
  <c r="I102" i="1"/>
  <c r="J98" i="1"/>
  <c r="M6" i="40"/>
  <c r="M14" i="40"/>
  <c r="P85" i="22"/>
  <c r="AF85" i="22"/>
  <c r="K102" i="1"/>
  <c r="M12" i="40"/>
  <c r="M24" i="40"/>
  <c r="C82" i="1"/>
  <c r="E64" i="52"/>
  <c r="C68" i="63"/>
  <c r="M136" i="1"/>
  <c r="F7" i="12"/>
  <c r="K119" i="1"/>
  <c r="K121" i="1" s="1"/>
  <c r="G45" i="40"/>
  <c r="D8" i="38"/>
  <c r="D8" i="43"/>
  <c r="E73" i="12"/>
  <c r="E76" i="12"/>
  <c r="E75" i="12"/>
  <c r="E140" i="12" s="1"/>
  <c r="E142" i="12" s="1"/>
  <c r="E59" i="12"/>
  <c r="E132" i="12" s="1"/>
  <c r="E134" i="12" s="1"/>
  <c r="E60" i="12"/>
  <c r="D8" i="51" s="1"/>
  <c r="E8" i="51" s="1"/>
  <c r="J82" i="1"/>
  <c r="R80" i="22"/>
  <c r="AI85" i="22"/>
  <c r="O86" i="22"/>
  <c r="C99" i="1"/>
  <c r="G101" i="1"/>
  <c r="G67" i="63"/>
  <c r="AI67" i="63" s="1"/>
  <c r="D85" i="1"/>
  <c r="G84" i="1"/>
  <c r="C84" i="1"/>
  <c r="M28" i="40"/>
  <c r="L42" i="1"/>
  <c r="L46" i="1" s="1"/>
  <c r="J40" i="12"/>
  <c r="I14" i="12"/>
  <c r="J85" i="22"/>
  <c r="J87" i="22" s="1"/>
  <c r="I100" i="1"/>
  <c r="M119" i="1"/>
  <c r="M121" i="1" s="1"/>
  <c r="C83" i="1"/>
  <c r="F84" i="1"/>
  <c r="G102" i="1"/>
  <c r="G99" i="1"/>
  <c r="E99" i="1"/>
  <c r="H86" i="1"/>
  <c r="D86" i="1"/>
  <c r="K85" i="1"/>
  <c r="J84" i="1"/>
  <c r="K82" i="1"/>
  <c r="G98" i="1"/>
  <c r="M13" i="40"/>
  <c r="M22" i="40"/>
  <c r="H79" i="1"/>
  <c r="J86" i="1"/>
  <c r="F7" i="2"/>
  <c r="AD85" i="22"/>
  <c r="AD87" i="22" s="1"/>
  <c r="L100" i="1"/>
  <c r="I99" i="1"/>
  <c r="I71" i="1"/>
  <c r="I72" i="1" s="1"/>
  <c r="K39" i="40"/>
  <c r="M11" i="40"/>
  <c r="M19" i="40"/>
  <c r="M35" i="40"/>
  <c r="B64" i="80"/>
  <c r="D64" i="80" s="1"/>
  <c r="E64" i="80" s="1"/>
  <c r="D63" i="80"/>
  <c r="E63" i="80" s="1"/>
  <c r="B12" i="13"/>
  <c r="D11" i="13"/>
  <c r="E11" i="13" s="1"/>
  <c r="M44" i="1"/>
  <c r="E57" i="12"/>
  <c r="G116" i="1"/>
  <c r="D10" i="5" s="1"/>
  <c r="D8" i="2"/>
  <c r="O8" i="2" s="1"/>
  <c r="E42" i="1"/>
  <c r="D6" i="43"/>
  <c r="AH85" i="22"/>
  <c r="AH87" i="22" s="1"/>
  <c r="AH80" i="22"/>
  <c r="F79" i="1"/>
  <c r="I85" i="1"/>
  <c r="H84" i="1"/>
  <c r="H95" i="1"/>
  <c r="H105" i="1" s="1"/>
  <c r="G71" i="1"/>
  <c r="G50" i="1" s="1"/>
  <c r="G72" i="1" s="1"/>
  <c r="L84" i="1"/>
  <c r="K98" i="1"/>
  <c r="K132" i="1"/>
  <c r="K134" i="1" s="1"/>
  <c r="K63" i="1"/>
  <c r="J14" i="12"/>
  <c r="A12" i="1"/>
  <c r="A13" i="1" s="1"/>
  <c r="A14" i="1" s="1"/>
  <c r="A16" i="1" s="1"/>
  <c r="M42" i="1"/>
  <c r="F42" i="1"/>
  <c r="J42" i="1"/>
  <c r="J46" i="1" s="1"/>
  <c r="D42" i="1"/>
  <c r="H42" i="1"/>
  <c r="H46" i="1" s="1"/>
  <c r="M14" i="12"/>
  <c r="D8" i="13"/>
  <c r="E8" i="13" s="1"/>
  <c r="F116" i="1"/>
  <c r="D9" i="5" s="1"/>
  <c r="I140" i="1"/>
  <c r="I142" i="1" s="1"/>
  <c r="I79" i="1"/>
  <c r="L79" i="1"/>
  <c r="L82" i="1"/>
  <c r="C76" i="63"/>
  <c r="M79" i="1"/>
  <c r="M140" i="1"/>
  <c r="B10" i="17"/>
  <c r="G57" i="63"/>
  <c r="K71" i="1"/>
  <c r="K72" i="1" s="1"/>
  <c r="G100" i="1"/>
  <c r="K95" i="1"/>
  <c r="K105" i="1" s="1"/>
  <c r="J40" i="40"/>
  <c r="G41" i="40"/>
  <c r="E75" i="63" s="1"/>
  <c r="AG75" i="63" s="1"/>
  <c r="D41" i="40"/>
  <c r="J41" i="40"/>
  <c r="G74" i="63"/>
  <c r="C51" i="57"/>
  <c r="I6" i="2"/>
  <c r="T6" i="2" s="1"/>
  <c r="L31" i="2"/>
  <c r="H116" i="1"/>
  <c r="D32" i="17"/>
  <c r="K85" i="22"/>
  <c r="W74" i="22"/>
  <c r="AB85" i="22"/>
  <c r="O85" i="22"/>
  <c r="O87" i="22" s="1"/>
  <c r="N80" i="22"/>
  <c r="AT85" i="22"/>
  <c r="AT87" i="22" s="1"/>
  <c r="Z87" i="22"/>
  <c r="AP85" i="22"/>
  <c r="AP87" i="22" s="1"/>
  <c r="G65" i="63"/>
  <c r="K83" i="1"/>
  <c r="D123" i="1"/>
  <c r="D125" i="1" s="1"/>
  <c r="F102" i="1"/>
  <c r="G86" i="1"/>
  <c r="F85" i="1"/>
  <c r="E84" i="1"/>
  <c r="M4" i="40"/>
  <c r="M8" i="40"/>
  <c r="M18" i="40"/>
  <c r="M36" i="40"/>
  <c r="F86" i="1"/>
  <c r="G83" i="1"/>
  <c r="G77" i="63"/>
  <c r="C93" i="63"/>
  <c r="AU12" i="58"/>
  <c r="AT13" i="58"/>
  <c r="B12" i="80"/>
  <c r="AS14" i="58"/>
  <c r="R85" i="22"/>
  <c r="R87" i="22" s="1"/>
  <c r="I101" i="1"/>
  <c r="M132" i="1"/>
  <c r="K125" i="1"/>
  <c r="L102" i="1"/>
  <c r="L99" i="1"/>
  <c r="L71" i="1"/>
  <c r="L72" i="1" s="1"/>
  <c r="J102" i="1"/>
  <c r="D8" i="39"/>
  <c r="D101" i="1"/>
  <c r="H83" i="1"/>
  <c r="K79" i="1"/>
  <c r="G73" i="63"/>
  <c r="D43" i="57"/>
  <c r="L40" i="57"/>
  <c r="AR17" i="58"/>
  <c r="AQ19" i="58"/>
  <c r="AT18" i="58"/>
  <c r="B65" i="52"/>
  <c r="B72" i="52" s="1"/>
  <c r="J35" i="58" s="1"/>
  <c r="B71" i="52"/>
  <c r="B11" i="5"/>
  <c r="B13" i="43"/>
  <c r="D12" i="43"/>
  <c r="AQ74" i="22"/>
  <c r="M95" i="1"/>
  <c r="M105" i="1" s="1"/>
  <c r="M82" i="1"/>
  <c r="C81" i="63" s="1"/>
  <c r="I98" i="1"/>
  <c r="I63" i="1"/>
  <c r="J99" i="1"/>
  <c r="P74" i="22"/>
  <c r="G86" i="22"/>
  <c r="K74" i="22"/>
  <c r="C71" i="1"/>
  <c r="C50" i="1" s="1"/>
  <c r="C72" i="1" s="1"/>
  <c r="L63" i="1"/>
  <c r="L123" i="1"/>
  <c r="L125" i="1" s="1"/>
  <c r="H119" i="1"/>
  <c r="H121" i="1" s="1"/>
  <c r="D11" i="37" s="1"/>
  <c r="H100" i="1"/>
  <c r="G95" i="1"/>
  <c r="G105" i="1" s="1"/>
  <c r="M5" i="40"/>
  <c r="L39" i="40"/>
  <c r="L40" i="40"/>
  <c r="G40" i="40"/>
  <c r="L128" i="1" s="1"/>
  <c r="L129" i="1" s="1"/>
  <c r="B174" i="81"/>
  <c r="D173" i="81"/>
  <c r="E173" i="81" s="1"/>
  <c r="AJ86" i="22"/>
  <c r="AQ86" i="22"/>
  <c r="C95" i="1"/>
  <c r="C105" i="1" s="1"/>
  <c r="D63" i="1"/>
  <c r="D49" i="1" s="1"/>
  <c r="M102" i="1"/>
  <c r="L101" i="1"/>
  <c r="G7" i="2"/>
  <c r="AU74" i="22"/>
  <c r="O74" i="22"/>
  <c r="K86" i="22"/>
  <c r="W85" i="22"/>
  <c r="D95" i="1"/>
  <c r="D105" i="1" s="1"/>
  <c r="D79" i="1"/>
  <c r="D71" i="1"/>
  <c r="D50" i="1" s="1"/>
  <c r="D72" i="1" s="1"/>
  <c r="J71" i="1"/>
  <c r="J72" i="1" s="1"/>
  <c r="E63" i="1"/>
  <c r="E49" i="1" s="1"/>
  <c r="K101" i="1"/>
  <c r="F101" i="1"/>
  <c r="F99" i="1"/>
  <c r="M84" i="1"/>
  <c r="C83" i="63" s="1"/>
  <c r="D7" i="80"/>
  <c r="E7" i="80" s="1"/>
  <c r="B8" i="80"/>
  <c r="D8" i="81"/>
  <c r="E8" i="81" s="1"/>
  <c r="B9" i="81"/>
  <c r="E71" i="1"/>
  <c r="E50" i="1" s="1"/>
  <c r="E72" i="1" s="1"/>
  <c r="L83" i="1"/>
  <c r="L95" i="1"/>
  <c r="L105" i="1" s="1"/>
  <c r="F80" i="22"/>
  <c r="F85" i="22"/>
  <c r="F87" i="22" s="1"/>
  <c r="L98" i="1"/>
  <c r="G8" i="2"/>
  <c r="H6" i="2"/>
  <c r="S6" i="2" s="1"/>
  <c r="H74" i="22"/>
  <c r="E98" i="1"/>
  <c r="M40" i="12"/>
  <c r="E92" i="12"/>
  <c r="E91" i="12"/>
  <c r="E90" i="12"/>
  <c r="I42" i="1"/>
  <c r="I46" i="1" s="1"/>
  <c r="G42" i="1"/>
  <c r="K42" i="1"/>
  <c r="K46" i="1" s="1"/>
  <c r="I40" i="12"/>
  <c r="E14" i="12"/>
  <c r="E40" i="12"/>
  <c r="C32" i="17"/>
  <c r="C111" i="12" s="1"/>
  <c r="AL85" i="22"/>
  <c r="T85" i="22"/>
  <c r="AP80" i="22"/>
  <c r="N85" i="22"/>
  <c r="N87" i="22" s="1"/>
  <c r="M83" i="1"/>
  <c r="C82" i="63" s="1"/>
  <c r="F95" i="1"/>
  <c r="F105" i="1" s="1"/>
  <c r="E79" i="1"/>
  <c r="J79" i="1"/>
  <c r="F71" i="1"/>
  <c r="F50" i="1" s="1"/>
  <c r="F72" i="1" s="1"/>
  <c r="H63" i="1"/>
  <c r="C100" i="1"/>
  <c r="D102" i="1"/>
  <c r="J101" i="1"/>
  <c r="E101" i="1"/>
  <c r="H99" i="1"/>
  <c r="H102" i="1"/>
  <c r="J100" i="1"/>
  <c r="D8" i="36"/>
  <c r="D132" i="1"/>
  <c r="D134" i="1" s="1"/>
  <c r="D7" i="38" s="1"/>
  <c r="C98" i="1"/>
  <c r="M34" i="40"/>
  <c r="E86" i="1"/>
  <c r="G82" i="1"/>
  <c r="G79" i="1"/>
  <c r="C53" i="57"/>
  <c r="E116" i="1"/>
  <c r="D8" i="5" s="1"/>
  <c r="C40" i="12"/>
  <c r="F14" i="12"/>
  <c r="H7" i="2"/>
  <c r="H32" i="17"/>
  <c r="H111" i="12" s="1"/>
  <c r="H113" i="12" s="1"/>
  <c r="H86" i="22"/>
  <c r="X86" i="22"/>
  <c r="X85" i="22"/>
  <c r="AN85" i="22"/>
  <c r="AE85" i="22"/>
  <c r="S85" i="22"/>
  <c r="G85" i="22"/>
  <c r="AM85" i="22"/>
  <c r="AD80" i="22"/>
  <c r="E85" i="1"/>
  <c r="J39" i="40"/>
  <c r="G39" i="40"/>
  <c r="K128" i="1" s="1"/>
  <c r="D39" i="40"/>
  <c r="M33" i="40"/>
  <c r="M9" i="40"/>
  <c r="M26" i="40"/>
  <c r="M32" i="40"/>
  <c r="M10" i="40"/>
  <c r="M16" i="40"/>
  <c r="G44" i="40"/>
  <c r="M30" i="40"/>
  <c r="L121" i="1"/>
  <c r="I86" i="1"/>
  <c r="K84" i="1"/>
  <c r="B54" i="57"/>
  <c r="M12" i="57"/>
  <c r="L33" i="57" s="1"/>
  <c r="A8" i="63"/>
  <c r="D97" i="12"/>
  <c r="D80" i="12"/>
  <c r="D100" i="12"/>
  <c r="D83" i="12"/>
  <c r="D7" i="51"/>
  <c r="E7" i="51" s="1"/>
  <c r="D96" i="12"/>
  <c r="C80" i="12"/>
  <c r="D81" i="12"/>
  <c r="C96" i="12"/>
  <c r="D99" i="12"/>
  <c r="C98" i="12"/>
  <c r="C69" i="12"/>
  <c r="C70" i="12" s="1"/>
  <c r="C81" i="12"/>
  <c r="E8" i="2"/>
  <c r="E6" i="2"/>
  <c r="E7" i="2"/>
  <c r="E9" i="2"/>
  <c r="E10" i="2"/>
  <c r="M42" i="12"/>
  <c r="O7" i="2"/>
  <c r="H38" i="12"/>
  <c r="H40" i="12" s="1"/>
  <c r="D11" i="43"/>
  <c r="H14" i="12"/>
  <c r="AV74" i="22"/>
  <c r="V80" i="22"/>
  <c r="V85" i="22"/>
  <c r="V87" i="22" s="1"/>
  <c r="I23" i="2"/>
  <c r="M100" i="1"/>
  <c r="K14" i="12"/>
  <c r="K40" i="12"/>
  <c r="B13" i="13"/>
  <c r="D12" i="13"/>
  <c r="E12" i="13" s="1"/>
  <c r="B9" i="16"/>
  <c r="B16" i="17"/>
  <c r="C115" i="1"/>
  <c r="C116" i="1" s="1"/>
  <c r="D6" i="5" s="1"/>
  <c r="M71" i="1"/>
  <c r="M72" i="1" s="1"/>
  <c r="M99" i="1"/>
  <c r="F98" i="1"/>
  <c r="F63" i="1"/>
  <c r="F49" i="1" s="1"/>
  <c r="F119" i="1"/>
  <c r="F121" i="1" s="1"/>
  <c r="F100" i="1"/>
  <c r="D99" i="1"/>
  <c r="C132" i="1"/>
  <c r="C134" i="1" s="1"/>
  <c r="D6" i="38" s="1"/>
  <c r="C101" i="1"/>
  <c r="C63" i="1"/>
  <c r="C49" i="1" s="1"/>
  <c r="D9" i="39"/>
  <c r="B10" i="39"/>
  <c r="L38" i="12"/>
  <c r="L40" i="12" s="1"/>
  <c r="L14" i="12"/>
  <c r="D38" i="12"/>
  <c r="D40" i="12" s="1"/>
  <c r="D14" i="12"/>
  <c r="D7" i="43"/>
  <c r="I8" i="2"/>
  <c r="F9" i="2"/>
  <c r="G9" i="2"/>
  <c r="H9" i="2"/>
  <c r="I7" i="2"/>
  <c r="F6" i="2"/>
  <c r="G6" i="2"/>
  <c r="I9" i="2"/>
  <c r="H8" i="2"/>
  <c r="B30" i="17"/>
  <c r="AL87" i="22"/>
  <c r="AE86" i="22"/>
  <c r="AU86" i="22"/>
  <c r="G23" i="2"/>
  <c r="M98" i="1"/>
  <c r="M63" i="1"/>
  <c r="G119" i="1"/>
  <c r="G121" i="1" s="1"/>
  <c r="D10" i="37" s="1"/>
  <c r="G63" i="1"/>
  <c r="G49" i="1" s="1"/>
  <c r="G55" i="1" s="1"/>
  <c r="G44" i="1" s="1"/>
  <c r="B9" i="37"/>
  <c r="D8" i="37"/>
  <c r="D10" i="13"/>
  <c r="E10" i="13" s="1"/>
  <c r="I10" i="2"/>
  <c r="G10" i="2"/>
  <c r="B11" i="2"/>
  <c r="H10" i="2"/>
  <c r="F10" i="2"/>
  <c r="D116" i="1"/>
  <c r="D7" i="5" s="1"/>
  <c r="C14" i="12"/>
  <c r="D10" i="43"/>
  <c r="G40" i="12"/>
  <c r="G14" i="12"/>
  <c r="F8" i="2"/>
  <c r="G4" i="19"/>
  <c r="G34" i="19" s="1"/>
  <c r="F34" i="19"/>
  <c r="H85" i="22"/>
  <c r="L74" i="22"/>
  <c r="AB74" i="22"/>
  <c r="AR74" i="22"/>
  <c r="P86" i="22"/>
  <c r="P87" i="22" s="1"/>
  <c r="S74" i="22"/>
  <c r="AI74" i="22"/>
  <c r="AI86" i="22"/>
  <c r="G74" i="22"/>
  <c r="AM74" i="22"/>
  <c r="AA74" i="22"/>
  <c r="AE74" i="22"/>
  <c r="T86" i="22"/>
  <c r="T74" i="22"/>
  <c r="X74" i="22"/>
  <c r="B10" i="36"/>
  <c r="D9" i="36"/>
  <c r="C140" i="1"/>
  <c r="C142" i="1" s="1"/>
  <c r="C85" i="1"/>
  <c r="C79" i="1"/>
  <c r="C77" i="12"/>
  <c r="C82" i="12"/>
  <c r="C83" i="12"/>
  <c r="C93" i="12"/>
  <c r="C103" i="12" s="1"/>
  <c r="D82" i="12"/>
  <c r="D93" i="12"/>
  <c r="D103" i="12" s="1"/>
  <c r="D9" i="43"/>
  <c r="D7" i="29"/>
  <c r="Z80" i="22"/>
  <c r="E95" i="1"/>
  <c r="E105" i="1" s="1"/>
  <c r="I95" i="1"/>
  <c r="I105" i="1" s="1"/>
  <c r="H71" i="1"/>
  <c r="H72" i="1" s="1"/>
  <c r="J63" i="1"/>
  <c r="H101" i="1"/>
  <c r="D83" i="1"/>
  <c r="D7" i="35"/>
  <c r="D98" i="1"/>
  <c r="M127" i="1"/>
  <c r="M15" i="40"/>
  <c r="K41" i="40"/>
  <c r="M25" i="40"/>
  <c r="E88" i="12"/>
  <c r="E89" i="12"/>
  <c r="E56" i="12"/>
  <c r="F40" i="12"/>
  <c r="D9" i="13"/>
  <c r="E9" i="13" s="1"/>
  <c r="AF74" i="22"/>
  <c r="AJ74" i="22"/>
  <c r="C102" i="1"/>
  <c r="E102" i="1"/>
  <c r="H23" i="2"/>
  <c r="H123" i="1"/>
  <c r="H125" i="1" s="1"/>
  <c r="H98" i="1"/>
  <c r="K86" i="1"/>
  <c r="C86" i="1"/>
  <c r="B13" i="37"/>
  <c r="D12" i="37"/>
  <c r="B10" i="38"/>
  <c r="D9" i="38"/>
  <c r="D40" i="40"/>
  <c r="L41" i="40"/>
  <c r="C97" i="12"/>
  <c r="C99" i="12"/>
  <c r="C84" i="12"/>
  <c r="D6" i="29"/>
  <c r="D119" i="1"/>
  <c r="D121" i="1" s="1"/>
  <c r="D7" i="37" s="1"/>
  <c r="D100" i="1"/>
  <c r="D8" i="35"/>
  <c r="B9" i="35"/>
  <c r="K40" i="40"/>
  <c r="M7" i="40"/>
  <c r="M17" i="40"/>
  <c r="M20" i="40"/>
  <c r="M23" i="40"/>
  <c r="M27" i="40"/>
  <c r="C61" i="12"/>
  <c r="D6" i="47"/>
  <c r="D84" i="12"/>
  <c r="D98" i="12"/>
  <c r="D7" i="47"/>
  <c r="D61" i="12"/>
  <c r="D8" i="29"/>
  <c r="C100" i="12"/>
  <c r="B9" i="29"/>
  <c r="E56" i="52"/>
  <c r="E60" i="52"/>
  <c r="D69" i="12"/>
  <c r="D70" i="12" s="1"/>
  <c r="D77" i="12"/>
  <c r="CS5" i="57"/>
  <c r="E54" i="57"/>
  <c r="E53" i="57"/>
  <c r="C55" i="52"/>
  <c r="B66" i="52"/>
  <c r="H26" i="57"/>
  <c r="L94" i="63"/>
  <c r="L97" i="63"/>
  <c r="C13" i="60"/>
  <c r="T12" i="60"/>
  <c r="B53" i="57"/>
  <c r="B119" i="81"/>
  <c r="D119" i="81" s="1"/>
  <c r="E119" i="81" s="1"/>
  <c r="C43" i="57"/>
  <c r="C44" i="57" s="1"/>
  <c r="B2" i="57" s="1"/>
  <c r="D173" i="80"/>
  <c r="E173" i="80" s="1"/>
  <c r="B174" i="80"/>
  <c r="D63" i="81"/>
  <c r="E63" i="81" s="1"/>
  <c r="B64" i="81"/>
  <c r="B119" i="80"/>
  <c r="D119" i="80" s="1"/>
  <c r="E119" i="80" s="1"/>
  <c r="G93" i="63" l="1"/>
  <c r="C89" i="63"/>
  <c r="C101" i="63"/>
  <c r="G83" i="63"/>
  <c r="C78" i="63"/>
  <c r="C70" i="63"/>
  <c r="L102" i="63"/>
  <c r="G82" i="63"/>
  <c r="E67" i="62"/>
  <c r="AD67" i="62" s="1"/>
  <c r="E75" i="62"/>
  <c r="AD75" i="62" s="1"/>
  <c r="E88" i="62"/>
  <c r="AD88" i="62" s="1"/>
  <c r="E45" i="62"/>
  <c r="AD45" i="62" s="1"/>
  <c r="E62" i="63"/>
  <c r="AG62" i="63" s="1"/>
  <c r="E38" i="63"/>
  <c r="AG38" i="63" s="1"/>
  <c r="E48" i="63"/>
  <c r="AG48" i="63" s="1"/>
  <c r="E65" i="52"/>
  <c r="AV85" i="22"/>
  <c r="AV87" i="22" s="1"/>
  <c r="D111" i="12"/>
  <c r="D113" i="12" s="1"/>
  <c r="D7" i="16" s="1"/>
  <c r="H87" i="22"/>
  <c r="E113" i="12"/>
  <c r="C113" i="12"/>
  <c r="D6" i="16" s="1"/>
  <c r="E6" i="16" s="1"/>
  <c r="AJ87" i="22"/>
  <c r="F112" i="12"/>
  <c r="F113" i="12" s="1"/>
  <c r="E112" i="12"/>
  <c r="F31" i="63"/>
  <c r="AH31" i="63" s="1"/>
  <c r="E7" i="48"/>
  <c r="E8" i="48"/>
  <c r="D8" i="49"/>
  <c r="E10" i="43"/>
  <c r="E9" i="39"/>
  <c r="G7" i="12"/>
  <c r="G60" i="12" s="1"/>
  <c r="F65" i="12"/>
  <c r="F66" i="12"/>
  <c r="F121" i="12" s="1"/>
  <c r="F124" i="12" s="1"/>
  <c r="F67" i="12"/>
  <c r="F136" i="12" s="1"/>
  <c r="F138" i="12" s="1"/>
  <c r="F68" i="12"/>
  <c r="F64" i="12"/>
  <c r="F74" i="12"/>
  <c r="F126" i="12" s="1"/>
  <c r="F129" i="12" s="1"/>
  <c r="E12" i="43"/>
  <c r="E12" i="37"/>
  <c r="E9" i="43"/>
  <c r="E7" i="43"/>
  <c r="E11" i="43"/>
  <c r="G87" i="22"/>
  <c r="E11" i="37"/>
  <c r="E8" i="43"/>
  <c r="AJ80" i="22"/>
  <c r="L42" i="58"/>
  <c r="AQ80" i="22"/>
  <c r="H80" i="22"/>
  <c r="K80" i="22"/>
  <c r="D55" i="1"/>
  <c r="D44" i="1" s="1"/>
  <c r="D46" i="1" s="1"/>
  <c r="F55" i="1"/>
  <c r="F44" i="1" s="1"/>
  <c r="F46" i="1" s="1"/>
  <c r="G46" i="1"/>
  <c r="D9" i="37"/>
  <c r="C55" i="1"/>
  <c r="C44" i="1" s="1"/>
  <c r="C46" i="1" s="1"/>
  <c r="E55" i="1"/>
  <c r="E44" i="1" s="1"/>
  <c r="E46" i="1" s="1"/>
  <c r="E103" i="1"/>
  <c r="S10" i="2"/>
  <c r="I87" i="1"/>
  <c r="B65" i="80"/>
  <c r="D65" i="80" s="1"/>
  <c r="E65" i="80" s="1"/>
  <c r="T9" i="2"/>
  <c r="S9" i="2"/>
  <c r="X87" i="22"/>
  <c r="AQ87" i="22"/>
  <c r="R7" i="2"/>
  <c r="S7" i="2"/>
  <c r="F56" i="12"/>
  <c r="D9" i="47" s="1"/>
  <c r="F73" i="12"/>
  <c r="F76" i="12"/>
  <c r="F90" i="12"/>
  <c r="M46" i="1"/>
  <c r="J87" i="1"/>
  <c r="H87" i="1"/>
  <c r="K129" i="1"/>
  <c r="M103" i="1"/>
  <c r="G87" i="1"/>
  <c r="E98" i="12"/>
  <c r="I103" i="1"/>
  <c r="I109" i="1" s="1"/>
  <c r="I110" i="1" s="1"/>
  <c r="M39" i="40"/>
  <c r="AE87" i="22"/>
  <c r="F103" i="1"/>
  <c r="G103" i="1"/>
  <c r="E83" i="12"/>
  <c r="E77" i="12"/>
  <c r="F92" i="12"/>
  <c r="F88" i="12"/>
  <c r="F59" i="12"/>
  <c r="F132" i="12" s="1"/>
  <c r="F134" i="12" s="1"/>
  <c r="F91" i="12"/>
  <c r="F60" i="12"/>
  <c r="D9" i="51" s="1"/>
  <c r="E9" i="51" s="1"/>
  <c r="T10" i="2"/>
  <c r="O80" i="22"/>
  <c r="L103" i="1"/>
  <c r="F89" i="12"/>
  <c r="F75" i="12"/>
  <c r="F140" i="12" s="1"/>
  <c r="F142" i="12" s="1"/>
  <c r="K103" i="1"/>
  <c r="W87" i="22"/>
  <c r="E81" i="12"/>
  <c r="F72" i="12"/>
  <c r="F87" i="1"/>
  <c r="C90" i="63"/>
  <c r="K87" i="1"/>
  <c r="D103" i="1"/>
  <c r="G80" i="22"/>
  <c r="T8" i="2"/>
  <c r="F57" i="12"/>
  <c r="K87" i="22"/>
  <c r="F58" i="12"/>
  <c r="F116" i="12" s="1"/>
  <c r="F119" i="12" s="1"/>
  <c r="E100" i="12"/>
  <c r="G75" i="63"/>
  <c r="AI75" i="63" s="1"/>
  <c r="E91" i="63"/>
  <c r="AG91" i="63" s="1"/>
  <c r="E78" i="63"/>
  <c r="AG78" i="63" s="1"/>
  <c r="W80" i="22"/>
  <c r="D12" i="80"/>
  <c r="E12" i="80" s="1"/>
  <c r="B13" i="80"/>
  <c r="C97" i="63"/>
  <c r="AU13" i="58"/>
  <c r="AU14" i="58" s="1"/>
  <c r="AV12" i="58"/>
  <c r="M129" i="1"/>
  <c r="B32" i="17"/>
  <c r="Q10" i="2"/>
  <c r="J103" i="1"/>
  <c r="N35" i="58"/>
  <c r="L46" i="58"/>
  <c r="O35" i="58"/>
  <c r="M35" i="58"/>
  <c r="M45" i="58"/>
  <c r="M46" i="58"/>
  <c r="N45" i="58"/>
  <c r="N46" i="58"/>
  <c r="L35" i="58"/>
  <c r="P35" i="58"/>
  <c r="AS17" i="58"/>
  <c r="AR19" i="58"/>
  <c r="AU18" i="58"/>
  <c r="X80" i="22"/>
  <c r="L87" i="1"/>
  <c r="G81" i="63"/>
  <c r="C91" i="63"/>
  <c r="AT14" i="58"/>
  <c r="J35" i="57"/>
  <c r="L36" i="57"/>
  <c r="P33" i="57"/>
  <c r="A9" i="63"/>
  <c r="L51" i="63"/>
  <c r="J34" i="58"/>
  <c r="C71" i="52"/>
  <c r="E84" i="12"/>
  <c r="E99" i="12"/>
  <c r="E69" i="12"/>
  <c r="E70" i="12" s="1"/>
  <c r="E82" i="12"/>
  <c r="G76" i="12"/>
  <c r="B175" i="81"/>
  <c r="D174" i="81"/>
  <c r="E174" i="81" s="1"/>
  <c r="E87" i="1"/>
  <c r="B14" i="43"/>
  <c r="D13" i="43"/>
  <c r="E13" i="43" s="1"/>
  <c r="M41" i="40"/>
  <c r="G24" i="2"/>
  <c r="N12" i="57"/>
  <c r="M13" i="57"/>
  <c r="M17" i="57" s="1"/>
  <c r="L41" i="57" s="1"/>
  <c r="AA85" i="22"/>
  <c r="AA87" i="22" s="1"/>
  <c r="AA80" i="22"/>
  <c r="B10" i="81"/>
  <c r="D9" i="81"/>
  <c r="E9" i="81" s="1"/>
  <c r="C103" i="1"/>
  <c r="P10" i="2"/>
  <c r="M87" i="1"/>
  <c r="B12" i="5"/>
  <c r="D11" i="5"/>
  <c r="E11" i="5" s="1"/>
  <c r="P9" i="2"/>
  <c r="D8" i="80"/>
  <c r="E8" i="80" s="1"/>
  <c r="B9" i="80"/>
  <c r="D9" i="80" s="1"/>
  <c r="E9" i="80" s="1"/>
  <c r="D101" i="12"/>
  <c r="D106" i="12" s="1"/>
  <c r="C101" i="12"/>
  <c r="C106" i="12" s="1"/>
  <c r="D85" i="12"/>
  <c r="E8" i="5"/>
  <c r="E9" i="5"/>
  <c r="E10" i="5"/>
  <c r="B65" i="81"/>
  <c r="D64" i="81"/>
  <c r="E64" i="81" s="1"/>
  <c r="CT5" i="57"/>
  <c r="D87" i="1"/>
  <c r="AB86" i="22"/>
  <c r="AB87" i="22" s="1"/>
  <c r="AB80" i="22"/>
  <c r="D11" i="2"/>
  <c r="B12" i="2"/>
  <c r="H11" i="2"/>
  <c r="E11" i="2"/>
  <c r="F11" i="2"/>
  <c r="G11" i="2"/>
  <c r="I11" i="2"/>
  <c r="R9" i="2"/>
  <c r="D174" i="80"/>
  <c r="E174" i="80" s="1"/>
  <c r="B175" i="80"/>
  <c r="B120" i="81"/>
  <c r="D120" i="81" s="1"/>
  <c r="E120" i="81" s="1"/>
  <c r="E61" i="52"/>
  <c r="E66" i="52"/>
  <c r="M40" i="40"/>
  <c r="B14" i="37"/>
  <c r="D13" i="37"/>
  <c r="E13" i="37" s="1"/>
  <c r="D10" i="36"/>
  <c r="B11" i="36"/>
  <c r="AM86" i="22"/>
  <c r="AM87" i="22" s="1"/>
  <c r="AM80" i="22"/>
  <c r="E7" i="5"/>
  <c r="R10" i="2"/>
  <c r="Q6" i="2"/>
  <c r="Q9" i="2"/>
  <c r="Q7" i="2"/>
  <c r="D10" i="39"/>
  <c r="E10" i="39" s="1"/>
  <c r="B11" i="39"/>
  <c r="D9" i="16"/>
  <c r="D8" i="16"/>
  <c r="E97" i="12"/>
  <c r="P7" i="2"/>
  <c r="D10" i="38"/>
  <c r="B11" i="38"/>
  <c r="H24" i="2"/>
  <c r="D8" i="47"/>
  <c r="E61" i="12"/>
  <c r="E96" i="12"/>
  <c r="AU80" i="22"/>
  <c r="AU85" i="22"/>
  <c r="AU87" i="22" s="1"/>
  <c r="AR80" i="22"/>
  <c r="AR86" i="22"/>
  <c r="AR87" i="22" s="1"/>
  <c r="L80" i="22"/>
  <c r="L86" i="22"/>
  <c r="L87" i="22" s="1"/>
  <c r="T87" i="22"/>
  <c r="Q8" i="2"/>
  <c r="S8" i="2"/>
  <c r="T7" i="2"/>
  <c r="B14" i="13"/>
  <c r="D13" i="13"/>
  <c r="E13" i="13" s="1"/>
  <c r="AF86" i="22"/>
  <c r="AF87" i="22" s="1"/>
  <c r="AF80" i="22"/>
  <c r="A18" i="1"/>
  <c r="P6" i="2"/>
  <c r="A16" i="12"/>
  <c r="T13" i="60"/>
  <c r="C14" i="60"/>
  <c r="D9" i="35"/>
  <c r="B10" i="35"/>
  <c r="E93" i="12"/>
  <c r="E103" i="12" s="1"/>
  <c r="E80" i="12"/>
  <c r="AI87" i="22"/>
  <c r="R6" i="2"/>
  <c r="B120" i="80"/>
  <c r="D120" i="80" s="1"/>
  <c r="E120" i="80" s="1"/>
  <c r="C65" i="52"/>
  <c r="M133" i="12" s="1"/>
  <c r="F57" i="62" s="1"/>
  <c r="AE57" i="62" s="1"/>
  <c r="C60" i="52"/>
  <c r="M133" i="1" s="1"/>
  <c r="D9" i="29"/>
  <c r="B10" i="29"/>
  <c r="C85" i="12"/>
  <c r="H103" i="1"/>
  <c r="C87" i="1"/>
  <c r="AN86" i="22"/>
  <c r="AN87" i="22" s="1"/>
  <c r="AN80" i="22"/>
  <c r="S86" i="22"/>
  <c r="S87" i="22" s="1"/>
  <c r="S80" i="22"/>
  <c r="AI80" i="22"/>
  <c r="F35" i="19"/>
  <c r="AE80" i="22"/>
  <c r="T80" i="22"/>
  <c r="B10" i="16"/>
  <c r="I24" i="2"/>
  <c r="P80" i="22"/>
  <c r="R8" i="2"/>
  <c r="P8" i="2"/>
  <c r="L108" i="63" l="1"/>
  <c r="L54" i="63"/>
  <c r="C48" i="63"/>
  <c r="C98" i="63"/>
  <c r="G90" i="63"/>
  <c r="G101" i="63"/>
  <c r="L45" i="58"/>
  <c r="F29" i="62"/>
  <c r="AE29" i="62" s="1"/>
  <c r="F59" i="62"/>
  <c r="AE59" i="62" s="1"/>
  <c r="E91" i="62"/>
  <c r="AD91" i="62" s="1"/>
  <c r="E96" i="62"/>
  <c r="AD96" i="62" s="1"/>
  <c r="E46" i="62"/>
  <c r="AD46" i="62" s="1"/>
  <c r="F38" i="63"/>
  <c r="AH38" i="63" s="1"/>
  <c r="E47" i="63"/>
  <c r="AG47" i="63" s="1"/>
  <c r="G91" i="63"/>
  <c r="AI91" i="63" s="1"/>
  <c r="AV18" i="58"/>
  <c r="F60" i="63"/>
  <c r="AH60" i="63" s="1"/>
  <c r="C109" i="1"/>
  <c r="C110" i="1" s="1"/>
  <c r="L109" i="1"/>
  <c r="L110" i="1" s="1"/>
  <c r="E109" i="1"/>
  <c r="K109" i="1"/>
  <c r="K110" i="1" s="1"/>
  <c r="E110" i="1"/>
  <c r="D9" i="49"/>
  <c r="G88" i="12"/>
  <c r="G72" i="12"/>
  <c r="G90" i="12"/>
  <c r="D9" i="48"/>
  <c r="E9" i="48" s="1"/>
  <c r="G56" i="12"/>
  <c r="D10" i="47" s="1"/>
  <c r="G89" i="12"/>
  <c r="G73" i="12"/>
  <c r="G58" i="12"/>
  <c r="G116" i="12" s="1"/>
  <c r="G119" i="12" s="1"/>
  <c r="G59" i="12"/>
  <c r="G132" i="12" s="1"/>
  <c r="G134" i="12" s="1"/>
  <c r="G57" i="12"/>
  <c r="G92" i="12"/>
  <c r="G84" i="12" s="1"/>
  <c r="G75" i="12"/>
  <c r="G140" i="12" s="1"/>
  <c r="G142" i="12" s="1"/>
  <c r="H7" i="12"/>
  <c r="H65" i="12" s="1"/>
  <c r="G91" i="12"/>
  <c r="G74" i="12"/>
  <c r="G126" i="12" s="1"/>
  <c r="G129" i="12" s="1"/>
  <c r="G66" i="12"/>
  <c r="G121" i="12" s="1"/>
  <c r="G124" i="12" s="1"/>
  <c r="G68" i="12"/>
  <c r="G64" i="12"/>
  <c r="G67" i="12"/>
  <c r="G136" i="12" s="1"/>
  <c r="G138" i="12" s="1"/>
  <c r="G65" i="12"/>
  <c r="F82" i="12"/>
  <c r="E8" i="16"/>
  <c r="E9" i="16"/>
  <c r="E7" i="16"/>
  <c r="G109" i="1"/>
  <c r="G110" i="1" s="1"/>
  <c r="D109" i="1"/>
  <c r="D110" i="1" s="1"/>
  <c r="B66" i="80"/>
  <c r="D66" i="80" s="1"/>
  <c r="E66" i="80" s="1"/>
  <c r="F81" i="12"/>
  <c r="F84" i="12"/>
  <c r="F109" i="1"/>
  <c r="F110" i="1" s="1"/>
  <c r="M109" i="1"/>
  <c r="M110" i="1" s="1"/>
  <c r="F93" i="12"/>
  <c r="F103" i="12" s="1"/>
  <c r="F100" i="12"/>
  <c r="F80" i="12"/>
  <c r="F69" i="12"/>
  <c r="F70" i="12" s="1"/>
  <c r="F97" i="12"/>
  <c r="F61" i="12"/>
  <c r="F77" i="12"/>
  <c r="F99" i="12"/>
  <c r="F83" i="12"/>
  <c r="F98" i="12"/>
  <c r="F96" i="12"/>
  <c r="L43" i="58"/>
  <c r="N34" i="58"/>
  <c r="O34" i="58"/>
  <c r="M34" i="58"/>
  <c r="M42" i="58"/>
  <c r="M43" i="58"/>
  <c r="N42" i="58"/>
  <c r="N43" i="58"/>
  <c r="L34" i="58"/>
  <c r="L36" i="58" s="1"/>
  <c r="P34" i="58"/>
  <c r="G89" i="63"/>
  <c r="AV13" i="58"/>
  <c r="AW12" i="58"/>
  <c r="D13" i="80"/>
  <c r="E13" i="80" s="1"/>
  <c r="B14" i="80"/>
  <c r="J109" i="1"/>
  <c r="J110" i="1" s="1"/>
  <c r="E99" i="63"/>
  <c r="AG99" i="63" s="1"/>
  <c r="E94" i="63"/>
  <c r="AG94" i="63" s="1"/>
  <c r="AT17" i="58"/>
  <c r="AS19" i="58"/>
  <c r="M19" i="57"/>
  <c r="L44" i="57"/>
  <c r="L37" i="57"/>
  <c r="M35" i="57"/>
  <c r="N35" i="57"/>
  <c r="J36" i="57"/>
  <c r="L54" i="57" s="1"/>
  <c r="O35" i="57"/>
  <c r="A10" i="63"/>
  <c r="C72" i="52"/>
  <c r="E85" i="12"/>
  <c r="B13" i="5"/>
  <c r="D12" i="5"/>
  <c r="E12" i="5" s="1"/>
  <c r="B11" i="81"/>
  <c r="D10" i="81"/>
  <c r="E10" i="81" s="1"/>
  <c r="N13" i="57"/>
  <c r="O12" i="57"/>
  <c r="N18" i="57"/>
  <c r="B176" i="81"/>
  <c r="D175" i="81"/>
  <c r="E175" i="81" s="1"/>
  <c r="B15" i="43"/>
  <c r="D14" i="43"/>
  <c r="E14" i="43" s="1"/>
  <c r="J31" i="2"/>
  <c r="K31" i="2" s="1"/>
  <c r="H89" i="12"/>
  <c r="H76" i="12"/>
  <c r="D10" i="51"/>
  <c r="E10" i="51" s="1"/>
  <c r="H109" i="1"/>
  <c r="H110" i="1" s="1"/>
  <c r="B121" i="81"/>
  <c r="D121" i="81" s="1"/>
  <c r="E121" i="81" s="1"/>
  <c r="Q11" i="2"/>
  <c r="O11" i="2"/>
  <c r="D10" i="29"/>
  <c r="B11" i="29"/>
  <c r="M134" i="1"/>
  <c r="A18" i="12"/>
  <c r="D10" i="16"/>
  <c r="E10" i="16" s="1"/>
  <c r="B11" i="16"/>
  <c r="C15" i="60"/>
  <c r="T14" i="60"/>
  <c r="B12" i="38"/>
  <c r="D11" i="38"/>
  <c r="E11" i="38" s="1"/>
  <c r="B15" i="37"/>
  <c r="D14" i="37"/>
  <c r="E14" i="37" s="1"/>
  <c r="T11" i="2"/>
  <c r="S11" i="2"/>
  <c r="D65" i="81"/>
  <c r="E65" i="81" s="1"/>
  <c r="B66" i="81"/>
  <c r="B176" i="80"/>
  <c r="D175" i="80"/>
  <c r="E175" i="80" s="1"/>
  <c r="A19" i="1"/>
  <c r="R11" i="2"/>
  <c r="F12" i="2"/>
  <c r="B13" i="2"/>
  <c r="G12" i="2"/>
  <c r="R12" i="2" s="1"/>
  <c r="E12" i="2"/>
  <c r="H12" i="2"/>
  <c r="I12" i="2"/>
  <c r="D12" i="2"/>
  <c r="O12" i="2" s="1"/>
  <c r="CU5" i="57"/>
  <c r="B121" i="80"/>
  <c r="D121" i="80" s="1"/>
  <c r="E121" i="80" s="1"/>
  <c r="B11" i="35"/>
  <c r="D10" i="35"/>
  <c r="B15" i="13"/>
  <c r="D14" i="13"/>
  <c r="E14" i="13" s="1"/>
  <c r="E101" i="12"/>
  <c r="E106" i="12" s="1"/>
  <c r="D11" i="39"/>
  <c r="E11" i="39" s="1"/>
  <c r="B12" i="39"/>
  <c r="B12" i="36"/>
  <c r="D11" i="36"/>
  <c r="E11" i="36" s="1"/>
  <c r="CH15" i="57"/>
  <c r="P11" i="2"/>
  <c r="P36" i="58" l="1"/>
  <c r="G98" i="63"/>
  <c r="F45" i="62"/>
  <c r="AE45" i="62" s="1"/>
  <c r="F36" i="62"/>
  <c r="AE36" i="62" s="1"/>
  <c r="E99" i="62"/>
  <c r="AD99" i="62" s="1"/>
  <c r="E47" i="62"/>
  <c r="AD47" i="62" s="1"/>
  <c r="E51" i="63"/>
  <c r="AG51" i="63" s="1"/>
  <c r="E102" i="63"/>
  <c r="AG102" i="63" s="1"/>
  <c r="B67" i="80"/>
  <c r="D67" i="80" s="1"/>
  <c r="E67" i="80" s="1"/>
  <c r="F62" i="63"/>
  <c r="AH62" i="63" s="1"/>
  <c r="G80" i="12"/>
  <c r="H88" i="12"/>
  <c r="H68" i="12"/>
  <c r="G97" i="12"/>
  <c r="D10" i="49"/>
  <c r="E10" i="49" s="1"/>
  <c r="D10" i="48"/>
  <c r="E10" i="48" s="1"/>
  <c r="G81" i="12"/>
  <c r="H57" i="12"/>
  <c r="H97" i="12" s="1"/>
  <c r="H75" i="12"/>
  <c r="H140" i="12" s="1"/>
  <c r="H142" i="12" s="1"/>
  <c r="H60" i="12"/>
  <c r="G96" i="12"/>
  <c r="H64" i="12"/>
  <c r="H73" i="12"/>
  <c r="H81" i="12" s="1"/>
  <c r="H90" i="12"/>
  <c r="I7" i="12"/>
  <c r="I67" i="12" s="1"/>
  <c r="I136" i="12" s="1"/>
  <c r="I138" i="12" s="1"/>
  <c r="H67" i="12"/>
  <c r="H136" i="12" s="1"/>
  <c r="H138" i="12" s="1"/>
  <c r="H91" i="12"/>
  <c r="H74" i="12"/>
  <c r="H126" i="12" s="1"/>
  <c r="H129" i="12" s="1"/>
  <c r="H56" i="12"/>
  <c r="D11" i="47" s="1"/>
  <c r="H66" i="12"/>
  <c r="H121" i="12" s="1"/>
  <c r="H124" i="12" s="1"/>
  <c r="G61" i="12"/>
  <c r="G77" i="12"/>
  <c r="G93" i="12"/>
  <c r="G103" i="12" s="1"/>
  <c r="G83" i="12"/>
  <c r="G100" i="12"/>
  <c r="G82" i="12"/>
  <c r="H58" i="12"/>
  <c r="H116" i="12" s="1"/>
  <c r="H119" i="12" s="1"/>
  <c r="H92" i="12"/>
  <c r="H84" i="12" s="1"/>
  <c r="H59" i="12"/>
  <c r="H132" i="12" s="1"/>
  <c r="H134" i="12" s="1"/>
  <c r="H72" i="12"/>
  <c r="G99" i="12"/>
  <c r="G98" i="12"/>
  <c r="G69" i="12"/>
  <c r="G70" i="12" s="1"/>
  <c r="I66" i="12"/>
  <c r="I121" i="12" s="1"/>
  <c r="I124" i="12" s="1"/>
  <c r="I65" i="12"/>
  <c r="M36" i="58"/>
  <c r="O36" i="58"/>
  <c r="N36" i="58"/>
  <c r="A11" i="63"/>
  <c r="A12" i="63" s="1"/>
  <c r="F101" i="12"/>
  <c r="F106" i="12" s="1"/>
  <c r="F85" i="12"/>
  <c r="AU17" i="58"/>
  <c r="AT19" i="58"/>
  <c r="AX12" i="58"/>
  <c r="AW13" i="58"/>
  <c r="CR13" i="58" s="1"/>
  <c r="D14" i="80"/>
  <c r="E14" i="80" s="1"/>
  <c r="B15" i="80"/>
  <c r="AV14" i="58"/>
  <c r="CR12" i="58"/>
  <c r="G97" i="63"/>
  <c r="AW18" i="58"/>
  <c r="O18" i="57"/>
  <c r="N36" i="57"/>
  <c r="N17" i="57"/>
  <c r="N19" i="57" s="1"/>
  <c r="M36" i="57"/>
  <c r="P35" i="57"/>
  <c r="O36" i="57"/>
  <c r="J7" i="12"/>
  <c r="I90" i="12"/>
  <c r="I60" i="12"/>
  <c r="I75" i="12"/>
  <c r="I140" i="12" s="1"/>
  <c r="I142" i="12" s="1"/>
  <c r="I56" i="12"/>
  <c r="I57" i="12"/>
  <c r="I91" i="12"/>
  <c r="I76" i="12"/>
  <c r="O13" i="57"/>
  <c r="P12" i="57"/>
  <c r="D11" i="81"/>
  <c r="E11" i="81" s="1"/>
  <c r="B12" i="81"/>
  <c r="B16" i="43"/>
  <c r="D15" i="43"/>
  <c r="E15" i="43" s="1"/>
  <c r="D13" i="5"/>
  <c r="E13" i="5" s="1"/>
  <c r="B14" i="5"/>
  <c r="D176" i="81"/>
  <c r="E176" i="81" s="1"/>
  <c r="B177" i="81"/>
  <c r="D15" i="13"/>
  <c r="E15" i="13" s="1"/>
  <c r="B16" i="13"/>
  <c r="B122" i="80"/>
  <c r="D122" i="80" s="1"/>
  <c r="E122" i="80" s="1"/>
  <c r="H13" i="2"/>
  <c r="G13" i="2"/>
  <c r="F13" i="2"/>
  <c r="D13" i="2"/>
  <c r="B14" i="2"/>
  <c r="E13" i="2"/>
  <c r="I13" i="2"/>
  <c r="B68" i="80"/>
  <c r="D68" i="80" s="1"/>
  <c r="E68" i="80" s="1"/>
  <c r="B16" i="37"/>
  <c r="D15" i="37"/>
  <c r="E15" i="37" s="1"/>
  <c r="A20" i="12"/>
  <c r="M21" i="57"/>
  <c r="B13" i="39"/>
  <c r="D12" i="39"/>
  <c r="E12" i="39" s="1"/>
  <c r="S12" i="2"/>
  <c r="Q12" i="2"/>
  <c r="D12" i="38"/>
  <c r="E12" i="38" s="1"/>
  <c r="B13" i="38"/>
  <c r="T15" i="60"/>
  <c r="C16" i="60"/>
  <c r="D11" i="16"/>
  <c r="E11" i="16" s="1"/>
  <c r="B12" i="16"/>
  <c r="D11" i="29"/>
  <c r="B12" i="29"/>
  <c r="B122" i="81"/>
  <c r="D122" i="81" s="1"/>
  <c r="E122" i="81" s="1"/>
  <c r="D12" i="36"/>
  <c r="E12" i="36" s="1"/>
  <c r="B13" i="36"/>
  <c r="P12" i="2"/>
  <c r="B177" i="80"/>
  <c r="D176" i="80"/>
  <c r="E176" i="80" s="1"/>
  <c r="A20" i="1"/>
  <c r="D66" i="81"/>
  <c r="E66" i="81" s="1"/>
  <c r="B67" i="81"/>
  <c r="B12" i="35"/>
  <c r="D11" i="35"/>
  <c r="T12" i="2"/>
  <c r="F38" i="62" l="1"/>
  <c r="AE38" i="62" s="1"/>
  <c r="E49" i="62"/>
  <c r="AD49" i="62" s="1"/>
  <c r="E104" i="62"/>
  <c r="AD104" i="62" s="1"/>
  <c r="F47" i="63"/>
  <c r="AH47" i="63" s="1"/>
  <c r="E108" i="63"/>
  <c r="AG108" i="63" s="1"/>
  <c r="E54" i="63"/>
  <c r="AG54" i="63" s="1"/>
  <c r="H83" i="12"/>
  <c r="H80" i="12"/>
  <c r="H69" i="12"/>
  <c r="H70" i="12" s="1"/>
  <c r="H82" i="12"/>
  <c r="I72" i="12"/>
  <c r="I89" i="12"/>
  <c r="I97" i="12" s="1"/>
  <c r="I92" i="12"/>
  <c r="I84" i="12" s="1"/>
  <c r="I73" i="12"/>
  <c r="I68" i="12"/>
  <c r="I64" i="12"/>
  <c r="I59" i="12"/>
  <c r="I132" i="12" s="1"/>
  <c r="I134" i="12" s="1"/>
  <c r="D12" i="49" s="1"/>
  <c r="E12" i="49" s="1"/>
  <c r="I88" i="12"/>
  <c r="I74" i="12"/>
  <c r="I126" i="12" s="1"/>
  <c r="I129" i="12" s="1"/>
  <c r="I58" i="12"/>
  <c r="I116" i="12" s="1"/>
  <c r="I119" i="12" s="1"/>
  <c r="D12" i="48" s="1"/>
  <c r="E12" i="48" s="1"/>
  <c r="D11" i="49"/>
  <c r="E11" i="49" s="1"/>
  <c r="H96" i="12"/>
  <c r="G85" i="12"/>
  <c r="H100" i="12"/>
  <c r="D11" i="51"/>
  <c r="E11" i="51" s="1"/>
  <c r="H98" i="12"/>
  <c r="H99" i="12"/>
  <c r="H93" i="12"/>
  <c r="H103" i="12" s="1"/>
  <c r="D11" i="48"/>
  <c r="E11" i="48" s="1"/>
  <c r="G101" i="12"/>
  <c r="G106" i="12" s="1"/>
  <c r="H77" i="12"/>
  <c r="H61" i="12"/>
  <c r="J65" i="12"/>
  <c r="J68" i="12"/>
  <c r="J67" i="12"/>
  <c r="J136" i="12" s="1"/>
  <c r="J138" i="12" s="1"/>
  <c r="J64" i="12"/>
  <c r="J66" i="12"/>
  <c r="J121" i="12" s="1"/>
  <c r="J124" i="12" s="1"/>
  <c r="O17" i="57"/>
  <c r="O19" i="57" s="1"/>
  <c r="AY12" i="58"/>
  <c r="AX13" i="58"/>
  <c r="D15" i="80"/>
  <c r="E15" i="80" s="1"/>
  <c r="B16" i="80"/>
  <c r="AX18" i="58"/>
  <c r="CR18" i="58"/>
  <c r="P18" i="57"/>
  <c r="AW14" i="58"/>
  <c r="O39" i="58"/>
  <c r="AV17" i="58"/>
  <c r="AU19" i="58"/>
  <c r="O37" i="57"/>
  <c r="P36" i="57"/>
  <c r="M37" i="57"/>
  <c r="N37" i="57"/>
  <c r="I83" i="12"/>
  <c r="B178" i="81"/>
  <c r="D177" i="81"/>
  <c r="E177" i="81" s="1"/>
  <c r="B13" i="81"/>
  <c r="D12" i="81"/>
  <c r="E12" i="81" s="1"/>
  <c r="B17" i="43"/>
  <c r="B18" i="43" s="1"/>
  <c r="B19" i="43" s="1"/>
  <c r="B20" i="43" s="1"/>
  <c r="D16" i="43"/>
  <c r="E16" i="43" s="1"/>
  <c r="P13" i="57"/>
  <c r="P14" i="57" s="1"/>
  <c r="Q12" i="57"/>
  <c r="D12" i="51"/>
  <c r="E12" i="51" s="1"/>
  <c r="J75" i="12"/>
  <c r="J140" i="12" s="1"/>
  <c r="J142" i="12" s="1"/>
  <c r="J57" i="12"/>
  <c r="J58" i="12"/>
  <c r="J116" i="12" s="1"/>
  <c r="J119" i="12" s="1"/>
  <c r="J90" i="12"/>
  <c r="J91" i="12"/>
  <c r="J56" i="12"/>
  <c r="J60" i="12"/>
  <c r="K7" i="12"/>
  <c r="J73" i="12"/>
  <c r="J92" i="12"/>
  <c r="J72" i="12"/>
  <c r="J74" i="12"/>
  <c r="J126" i="12" s="1"/>
  <c r="J129" i="12" s="1"/>
  <c r="J88" i="12"/>
  <c r="J89" i="12"/>
  <c r="J76" i="12"/>
  <c r="J59" i="12"/>
  <c r="J132" i="12" s="1"/>
  <c r="J134" i="12" s="1"/>
  <c r="B15" i="5"/>
  <c r="D14" i="5"/>
  <c r="E14" i="5" s="1"/>
  <c r="D12" i="47"/>
  <c r="D27" i="36"/>
  <c r="D26" i="36"/>
  <c r="D25" i="36"/>
  <c r="D12" i="29"/>
  <c r="E12" i="29" s="1"/>
  <c r="B13" i="29"/>
  <c r="C17" i="60"/>
  <c r="T16" i="60"/>
  <c r="B14" i="38"/>
  <c r="D13" i="38"/>
  <c r="E13" i="38" s="1"/>
  <c r="D16" i="37"/>
  <c r="E16" i="37" s="1"/>
  <c r="B17" i="37"/>
  <c r="B18" i="37" s="1"/>
  <c r="B19" i="37" s="1"/>
  <c r="B20" i="37" s="1"/>
  <c r="P13" i="2"/>
  <c r="R13" i="2"/>
  <c r="C56" i="52"/>
  <c r="D67" i="81"/>
  <c r="E67" i="81" s="1"/>
  <c r="B68" i="81"/>
  <c r="A21" i="1"/>
  <c r="B178" i="80"/>
  <c r="D177" i="80"/>
  <c r="E177" i="80" s="1"/>
  <c r="CH22" i="57"/>
  <c r="CH27" i="57" s="1"/>
  <c r="M26" i="57"/>
  <c r="H14" i="2"/>
  <c r="I14" i="2"/>
  <c r="D14" i="2"/>
  <c r="F14" i="2"/>
  <c r="Q14" i="2" s="1"/>
  <c r="B15" i="2"/>
  <c r="E14" i="2"/>
  <c r="P14" i="2" s="1"/>
  <c r="G14" i="2"/>
  <c r="R14" i="2" s="1"/>
  <c r="S13" i="2"/>
  <c r="B17" i="13"/>
  <c r="B18" i="13" s="1"/>
  <c r="B19" i="13" s="1"/>
  <c r="B20" i="13" s="1"/>
  <c r="D16" i="13"/>
  <c r="E16" i="13" s="1"/>
  <c r="A14" i="63"/>
  <c r="N21" i="57"/>
  <c r="B69" i="80"/>
  <c r="D69" i="80" s="1"/>
  <c r="E69" i="80" s="1"/>
  <c r="O13" i="2"/>
  <c r="D12" i="35"/>
  <c r="E12" i="35" s="1"/>
  <c r="B13" i="35"/>
  <c r="C54" i="52"/>
  <c r="D13" i="36"/>
  <c r="E13" i="36" s="1"/>
  <c r="B14" i="36"/>
  <c r="B123" i="81"/>
  <c r="D123" i="81" s="1"/>
  <c r="E123" i="81" s="1"/>
  <c r="B13" i="16"/>
  <c r="D12" i="16"/>
  <c r="E12" i="16" s="1"/>
  <c r="B14" i="39"/>
  <c r="D13" i="39"/>
  <c r="E13" i="39" s="1"/>
  <c r="A22" i="12"/>
  <c r="T13" i="2"/>
  <c r="Q13" i="2"/>
  <c r="B123" i="80"/>
  <c r="D123" i="80" s="1"/>
  <c r="E123" i="80" s="1"/>
  <c r="P37" i="57" l="1"/>
  <c r="E51" i="62"/>
  <c r="AD51" i="62" s="1"/>
  <c r="H85" i="12"/>
  <c r="P17" i="57"/>
  <c r="I100" i="12"/>
  <c r="I80" i="12"/>
  <c r="I69" i="12"/>
  <c r="I70" i="12" s="1"/>
  <c r="I82" i="12"/>
  <c r="I77" i="12"/>
  <c r="I99" i="12"/>
  <c r="I61" i="12"/>
  <c r="I98" i="12"/>
  <c r="I81" i="12"/>
  <c r="I93" i="12"/>
  <c r="I103" i="12" s="1"/>
  <c r="I96" i="12"/>
  <c r="H101" i="12"/>
  <c r="H106" i="12" s="1"/>
  <c r="K66" i="12"/>
  <c r="K121" i="12" s="1"/>
  <c r="K124" i="12" s="1"/>
  <c r="K67" i="12"/>
  <c r="K136" i="12" s="1"/>
  <c r="K138" i="12" s="1"/>
  <c r="K64" i="12"/>
  <c r="K68" i="12"/>
  <c r="K65" i="12"/>
  <c r="U6" i="43" a="1"/>
  <c r="V9" i="43" s="1"/>
  <c r="C42" i="43" s="1"/>
  <c r="C47" i="43" s="1"/>
  <c r="C48" i="43" s="1"/>
  <c r="AW17" i="58"/>
  <c r="CR17" i="58" s="1"/>
  <c r="AV19" i="58"/>
  <c r="AZ12" i="58"/>
  <c r="AY13" i="58"/>
  <c r="AY14" i="58" s="1"/>
  <c r="O40" i="58"/>
  <c r="O45" i="58"/>
  <c r="O42" i="58"/>
  <c r="AY18" i="58"/>
  <c r="B17" i="80"/>
  <c r="B18" i="80" s="1"/>
  <c r="B19" i="80" s="1"/>
  <c r="B20" i="80" s="1"/>
  <c r="D16" i="80"/>
  <c r="E16" i="80" s="1"/>
  <c r="AX14" i="58"/>
  <c r="J82" i="12"/>
  <c r="J77" i="12"/>
  <c r="Q13" i="57"/>
  <c r="Q14" i="57" s="1"/>
  <c r="R12" i="57"/>
  <c r="D15" i="5"/>
  <c r="E15" i="5" s="1"/>
  <c r="B16" i="5"/>
  <c r="J81" i="12"/>
  <c r="J84" i="12"/>
  <c r="D13" i="51"/>
  <c r="E13" i="51" s="1"/>
  <c r="J100" i="12"/>
  <c r="J83" i="12"/>
  <c r="J97" i="12"/>
  <c r="B14" i="81"/>
  <c r="D13" i="81"/>
  <c r="E13" i="81" s="1"/>
  <c r="J99" i="12"/>
  <c r="D13" i="49"/>
  <c r="E13" i="49" s="1"/>
  <c r="J93" i="12"/>
  <c r="J103" i="12" s="1"/>
  <c r="J80" i="12"/>
  <c r="J69" i="12"/>
  <c r="J70" i="12" s="1"/>
  <c r="D27" i="43"/>
  <c r="U13" i="43" a="1"/>
  <c r="D26" i="43"/>
  <c r="D25" i="43"/>
  <c r="K72" i="12"/>
  <c r="K91" i="12"/>
  <c r="K58" i="12"/>
  <c r="K116" i="12" s="1"/>
  <c r="K119" i="12" s="1"/>
  <c r="K59" i="12"/>
  <c r="K132" i="12" s="1"/>
  <c r="K134" i="12" s="1"/>
  <c r="K76" i="12"/>
  <c r="K73" i="12"/>
  <c r="K75" i="12"/>
  <c r="K140" i="12" s="1"/>
  <c r="K142" i="12" s="1"/>
  <c r="K74" i="12"/>
  <c r="K126" i="12" s="1"/>
  <c r="K129" i="12" s="1"/>
  <c r="L7" i="12"/>
  <c r="K89" i="12"/>
  <c r="K60" i="12"/>
  <c r="K92" i="12"/>
  <c r="K56" i="12"/>
  <c r="K90" i="12"/>
  <c r="K57" i="12"/>
  <c r="K88" i="12"/>
  <c r="J96" i="12"/>
  <c r="J61" i="12"/>
  <c r="D13" i="47"/>
  <c r="E13" i="47" s="1"/>
  <c r="D13" i="48"/>
  <c r="E13" i="48" s="1"/>
  <c r="J98" i="12"/>
  <c r="P19" i="57"/>
  <c r="D22" i="43"/>
  <c r="Q18" i="57"/>
  <c r="D178" i="81"/>
  <c r="E178" i="81" s="1"/>
  <c r="B179" i="81"/>
  <c r="B124" i="80"/>
  <c r="D124" i="80" s="1"/>
  <c r="E124" i="80" s="1"/>
  <c r="B70" i="80"/>
  <c r="D70" i="80" s="1"/>
  <c r="E70" i="80" s="1"/>
  <c r="D27" i="13"/>
  <c r="U13" i="13" a="1"/>
  <c r="D26" i="13"/>
  <c r="D25" i="13"/>
  <c r="U6" i="13" a="1"/>
  <c r="B14" i="16"/>
  <c r="D13" i="16"/>
  <c r="E13" i="16" s="1"/>
  <c r="B14" i="35"/>
  <c r="D13" i="35"/>
  <c r="E13" i="35" s="1"/>
  <c r="N26" i="57"/>
  <c r="A16" i="63"/>
  <c r="O14" i="2"/>
  <c r="D14" i="39"/>
  <c r="E14" i="39" s="1"/>
  <c r="B15" i="39"/>
  <c r="C59" i="52"/>
  <c r="L133" i="1" s="1"/>
  <c r="C64" i="52"/>
  <c r="L133" i="12" s="1"/>
  <c r="T14" i="2"/>
  <c r="B179" i="80"/>
  <c r="D178" i="80"/>
  <c r="E178" i="80" s="1"/>
  <c r="A22" i="1"/>
  <c r="D68" i="81"/>
  <c r="E68" i="81" s="1"/>
  <c r="B69" i="81"/>
  <c r="O21" i="57"/>
  <c r="O26" i="57" s="1"/>
  <c r="B16" i="2"/>
  <c r="F15" i="2"/>
  <c r="Q15" i="2" s="1"/>
  <c r="G15" i="2"/>
  <c r="R15" i="2" s="1"/>
  <c r="E15" i="2"/>
  <c r="H15" i="2"/>
  <c r="S15" i="2" s="1"/>
  <c r="D15" i="2"/>
  <c r="O15" i="2" s="1"/>
  <c r="I15" i="2"/>
  <c r="T15" i="2" s="1"/>
  <c r="S14" i="2"/>
  <c r="D14" i="38"/>
  <c r="E14" i="38" s="1"/>
  <c r="B15" i="38"/>
  <c r="T17" i="60"/>
  <c r="C18" i="60"/>
  <c r="D13" i="29"/>
  <c r="E13" i="29" s="1"/>
  <c r="B14" i="29"/>
  <c r="A24" i="12"/>
  <c r="B124" i="81"/>
  <c r="D124" i="81" s="1"/>
  <c r="E124" i="81" s="1"/>
  <c r="B15" i="36"/>
  <c r="D14" i="36"/>
  <c r="E14" i="36" s="1"/>
  <c r="C66" i="52"/>
  <c r="C61" i="52"/>
  <c r="U13" i="37" a="1"/>
  <c r="D26" i="37"/>
  <c r="D27" i="37"/>
  <c r="D25" i="37"/>
  <c r="U6" i="37" a="1"/>
  <c r="E40" i="62" l="1"/>
  <c r="AD40" i="62" s="1"/>
  <c r="E105" i="62"/>
  <c r="AD105" i="62" s="1"/>
  <c r="I85" i="12"/>
  <c r="I101" i="12"/>
  <c r="I106" i="12" s="1"/>
  <c r="L67" i="12"/>
  <c r="L136" i="12" s="1"/>
  <c r="L65" i="12"/>
  <c r="L68" i="12"/>
  <c r="L66" i="12"/>
  <c r="L121" i="12" s="1"/>
  <c r="L64" i="12"/>
  <c r="U9" i="43"/>
  <c r="U6" i="43"/>
  <c r="C52" i="43" s="1"/>
  <c r="D28" i="43" s="1"/>
  <c r="V10" i="43"/>
  <c r="D47" i="43" s="1"/>
  <c r="E47" i="43" s="1"/>
  <c r="U10" i="43"/>
  <c r="D46" i="43" s="1"/>
  <c r="E46" i="43" s="1"/>
  <c r="V8" i="43"/>
  <c r="C41" i="43" s="1"/>
  <c r="V7" i="43"/>
  <c r="D51" i="43" s="1"/>
  <c r="U7" i="43"/>
  <c r="D52" i="43" s="1"/>
  <c r="V6" i="43"/>
  <c r="C51" i="43" s="1"/>
  <c r="U8" i="43"/>
  <c r="C39" i="43" s="1"/>
  <c r="C40" i="43" s="1"/>
  <c r="P42" i="58"/>
  <c r="P45" i="58"/>
  <c r="AZ18" i="58"/>
  <c r="BA12" i="58"/>
  <c r="AZ13" i="58"/>
  <c r="U6" i="80" a="1"/>
  <c r="D27" i="80"/>
  <c r="D26" i="80"/>
  <c r="D25" i="80"/>
  <c r="U13" i="80" a="1"/>
  <c r="P40" i="58"/>
  <c r="O46" i="58"/>
  <c r="O43" i="58"/>
  <c r="AX17" i="58"/>
  <c r="AW19" i="58"/>
  <c r="Q17" i="57"/>
  <c r="Q19" i="57" s="1"/>
  <c r="R18" i="57"/>
  <c r="K81" i="12"/>
  <c r="K84" i="12"/>
  <c r="J85" i="12"/>
  <c r="K97" i="12"/>
  <c r="K82" i="12"/>
  <c r="D14" i="51"/>
  <c r="E14" i="51" s="1"/>
  <c r="K100" i="12"/>
  <c r="K98" i="12"/>
  <c r="D14" i="48"/>
  <c r="E14" i="48" s="1"/>
  <c r="B17" i="5"/>
  <c r="B18" i="5" s="1"/>
  <c r="B19" i="5" s="1"/>
  <c r="B20" i="5" s="1"/>
  <c r="D16" i="5"/>
  <c r="D179" i="81"/>
  <c r="E179" i="81" s="1"/>
  <c r="B180" i="81"/>
  <c r="L92" i="12"/>
  <c r="L90" i="12"/>
  <c r="L56" i="12"/>
  <c r="L60" i="12"/>
  <c r="L57" i="12"/>
  <c r="M7" i="12"/>
  <c r="L72" i="12"/>
  <c r="L88" i="12"/>
  <c r="L58" i="12"/>
  <c r="L116" i="12" s="1"/>
  <c r="L89" i="12"/>
  <c r="L91" i="12"/>
  <c r="L76" i="12"/>
  <c r="L75" i="12"/>
  <c r="L140" i="12" s="1"/>
  <c r="L73" i="12"/>
  <c r="L59" i="12"/>
  <c r="L132" i="12" s="1"/>
  <c r="L134" i="12" s="1"/>
  <c r="L74" i="12"/>
  <c r="L126" i="12" s="1"/>
  <c r="K83" i="12"/>
  <c r="B15" i="81"/>
  <c r="D14" i="81"/>
  <c r="E14" i="81" s="1"/>
  <c r="J101" i="12"/>
  <c r="J106" i="12" s="1"/>
  <c r="D14" i="47"/>
  <c r="E14" i="47" s="1"/>
  <c r="K61" i="12"/>
  <c r="K96" i="12"/>
  <c r="K77" i="12"/>
  <c r="K93" i="12"/>
  <c r="K103" i="12" s="1"/>
  <c r="K80" i="12"/>
  <c r="K99" i="12"/>
  <c r="D14" i="49"/>
  <c r="E14" i="49" s="1"/>
  <c r="K69" i="12"/>
  <c r="K70" i="12" s="1"/>
  <c r="V15" i="43"/>
  <c r="N41" i="43" s="1"/>
  <c r="V13" i="43"/>
  <c r="V16" i="43"/>
  <c r="N42" i="43" s="1"/>
  <c r="N47" i="43" s="1"/>
  <c r="N48" i="43" s="1"/>
  <c r="U16" i="43"/>
  <c r="U15" i="43"/>
  <c r="N39" i="43" s="1"/>
  <c r="U14" i="43"/>
  <c r="O52" i="43" s="1"/>
  <c r="U13" i="43"/>
  <c r="N52" i="43" s="1"/>
  <c r="U17" i="43"/>
  <c r="O46" i="43" s="1"/>
  <c r="V17" i="43"/>
  <c r="O47" i="43" s="1"/>
  <c r="V14" i="43"/>
  <c r="R13" i="57"/>
  <c r="R14" i="57" s="1"/>
  <c r="S12" i="57"/>
  <c r="U15" i="37"/>
  <c r="N39" i="37" s="1"/>
  <c r="V13" i="37"/>
  <c r="U16" i="37"/>
  <c r="U17" i="37"/>
  <c r="O46" i="37" s="1"/>
  <c r="V17" i="37"/>
  <c r="O47" i="37" s="1"/>
  <c r="V14" i="37"/>
  <c r="U13" i="37"/>
  <c r="N52" i="37" s="1"/>
  <c r="U14" i="37"/>
  <c r="O52" i="37" s="1"/>
  <c r="V16" i="37"/>
  <c r="N42" i="37" s="1"/>
  <c r="N47" i="37" s="1"/>
  <c r="N48" i="37" s="1"/>
  <c r="V15" i="37"/>
  <c r="N41" i="37" s="1"/>
  <c r="P15" i="2"/>
  <c r="B180" i="80"/>
  <c r="D179" i="80"/>
  <c r="E179" i="80" s="1"/>
  <c r="D15" i="39"/>
  <c r="E15" i="39" s="1"/>
  <c r="B16" i="39"/>
  <c r="D14" i="16"/>
  <c r="E14" i="16" s="1"/>
  <c r="B15" i="16"/>
  <c r="U8" i="13"/>
  <c r="C39" i="13" s="1"/>
  <c r="V9" i="13"/>
  <c r="C42" i="13" s="1"/>
  <c r="C47" i="13" s="1"/>
  <c r="C48" i="13" s="1"/>
  <c r="V7" i="13"/>
  <c r="D51" i="13" s="1"/>
  <c r="U9" i="13"/>
  <c r="V10" i="13"/>
  <c r="D47" i="13" s="1"/>
  <c r="V8" i="13"/>
  <c r="C41" i="13" s="1"/>
  <c r="V6" i="13"/>
  <c r="C51" i="13" s="1"/>
  <c r="U10" i="13"/>
  <c r="D46" i="13" s="1"/>
  <c r="U6" i="13"/>
  <c r="C52" i="13" s="1"/>
  <c r="U7" i="13"/>
  <c r="D52" i="13" s="1"/>
  <c r="U9" i="37"/>
  <c r="V7" i="37"/>
  <c r="D51" i="37" s="1"/>
  <c r="V6" i="37"/>
  <c r="C51" i="37" s="1"/>
  <c r="V9" i="37"/>
  <c r="C42" i="37" s="1"/>
  <c r="C47" i="37" s="1"/>
  <c r="C48" i="37" s="1"/>
  <c r="U6" i="37"/>
  <c r="C52" i="37" s="1"/>
  <c r="V10" i="37"/>
  <c r="D47" i="37" s="1"/>
  <c r="U8" i="37"/>
  <c r="C39" i="37" s="1"/>
  <c r="U10" i="37"/>
  <c r="D46" i="37" s="1"/>
  <c r="V8" i="37"/>
  <c r="C41" i="37" s="1"/>
  <c r="U7" i="37"/>
  <c r="D52" i="37" s="1"/>
  <c r="B16" i="36"/>
  <c r="D15" i="36"/>
  <c r="E15" i="36" s="1"/>
  <c r="D14" i="29"/>
  <c r="E14" i="29" s="1"/>
  <c r="B15" i="29"/>
  <c r="D69" i="81"/>
  <c r="E69" i="81" s="1"/>
  <c r="B70" i="81"/>
  <c r="A23" i="1"/>
  <c r="B15" i="35"/>
  <c r="D14" i="35"/>
  <c r="E14" i="35" s="1"/>
  <c r="B125" i="80"/>
  <c r="D125" i="80" s="1"/>
  <c r="E125" i="80" s="1"/>
  <c r="B125" i="81"/>
  <c r="D125" i="81" s="1"/>
  <c r="E125" i="81" s="1"/>
  <c r="B16" i="38"/>
  <c r="P21" i="57"/>
  <c r="A17" i="63"/>
  <c r="A18" i="63" s="1"/>
  <c r="A19" i="63" s="1"/>
  <c r="A20" i="63" s="1"/>
  <c r="A25" i="12"/>
  <c r="C19" i="60"/>
  <c r="T18" i="60"/>
  <c r="F16" i="2"/>
  <c r="B17" i="2"/>
  <c r="B18" i="2" s="1"/>
  <c r="B19" i="2" s="1"/>
  <c r="B20" i="2" s="1"/>
  <c r="D16" i="2"/>
  <c r="X6" i="2" s="1" a="1"/>
  <c r="H16" i="2"/>
  <c r="I16" i="2"/>
  <c r="E16" i="2"/>
  <c r="G16" i="2"/>
  <c r="L134" i="1"/>
  <c r="D15" i="38" s="1"/>
  <c r="E15" i="38" s="1"/>
  <c r="U14" i="13"/>
  <c r="O52" i="13" s="1"/>
  <c r="U15" i="13"/>
  <c r="N39" i="13" s="1"/>
  <c r="V16" i="13"/>
  <c r="N42" i="13" s="1"/>
  <c r="N47" i="13" s="1"/>
  <c r="N48" i="13" s="1"/>
  <c r="V14" i="13"/>
  <c r="V15" i="13"/>
  <c r="N41" i="13" s="1"/>
  <c r="U16" i="13"/>
  <c r="V17" i="13"/>
  <c r="O47" i="13" s="1"/>
  <c r="U13" i="13"/>
  <c r="N52" i="13" s="1"/>
  <c r="V13" i="13"/>
  <c r="U17" i="13"/>
  <c r="O46" i="13" s="1"/>
  <c r="B71" i="80"/>
  <c r="D71" i="80" s="1"/>
  <c r="E71" i="80" s="1"/>
  <c r="D29" i="43" l="1"/>
  <c r="M64" i="12"/>
  <c r="M68" i="12"/>
  <c r="M66" i="12"/>
  <c r="M67" i="12"/>
  <c r="M65" i="12"/>
  <c r="C38" i="43"/>
  <c r="E51" i="43"/>
  <c r="F51" i="43" s="1"/>
  <c r="E52" i="43"/>
  <c r="F52" i="43" s="1"/>
  <c r="D48" i="43"/>
  <c r="AZ14" i="58"/>
  <c r="U15" i="80"/>
  <c r="N39" i="80" s="1"/>
  <c r="V16" i="80"/>
  <c r="N42" i="80" s="1"/>
  <c r="N47" i="80" s="1"/>
  <c r="N48" i="80" s="1"/>
  <c r="V13" i="80"/>
  <c r="U17" i="80"/>
  <c r="O46" i="80" s="1"/>
  <c r="V14" i="80"/>
  <c r="U14" i="80"/>
  <c r="O52" i="80" s="1"/>
  <c r="V17" i="80"/>
  <c r="O47" i="80" s="1"/>
  <c r="V15" i="80"/>
  <c r="N41" i="80" s="1"/>
  <c r="U13" i="80"/>
  <c r="N52" i="80" s="1"/>
  <c r="U16" i="80"/>
  <c r="V7" i="80"/>
  <c r="D51" i="80" s="1"/>
  <c r="U10" i="80"/>
  <c r="D46" i="80" s="1"/>
  <c r="V8" i="80"/>
  <c r="C41" i="80" s="1"/>
  <c r="V6" i="80"/>
  <c r="C51" i="80" s="1"/>
  <c r="V9" i="80"/>
  <c r="C42" i="80" s="1"/>
  <c r="C47" i="80" s="1"/>
  <c r="C48" i="80" s="1"/>
  <c r="U8" i="80"/>
  <c r="C39" i="80" s="1"/>
  <c r="V10" i="80"/>
  <c r="D47" i="80" s="1"/>
  <c r="U7" i="80"/>
  <c r="D52" i="80" s="1"/>
  <c r="U6" i="80"/>
  <c r="C52" i="80" s="1"/>
  <c r="D29" i="80" s="1"/>
  <c r="U9" i="80"/>
  <c r="BA13" i="58"/>
  <c r="BA14" i="58" s="1"/>
  <c r="BB12" i="58"/>
  <c r="AY17" i="58"/>
  <c r="AX19" i="58"/>
  <c r="BA18" i="58"/>
  <c r="F46" i="43"/>
  <c r="G46" i="43" s="1"/>
  <c r="P47" i="43"/>
  <c r="K85" i="12"/>
  <c r="B181" i="81"/>
  <c r="D180" i="81"/>
  <c r="E180" i="81" s="1"/>
  <c r="P46" i="43"/>
  <c r="O48" i="43"/>
  <c r="D15" i="81"/>
  <c r="E15" i="81" s="1"/>
  <c r="B16" i="81"/>
  <c r="L80" i="12"/>
  <c r="L93" i="12"/>
  <c r="L103" i="12" s="1"/>
  <c r="L96" i="12"/>
  <c r="D15" i="47"/>
  <c r="E15" i="47" s="1"/>
  <c r="L61" i="12"/>
  <c r="E16" i="5"/>
  <c r="U13" i="5" s="1" a="1"/>
  <c r="U6" i="5" a="1"/>
  <c r="D26" i="5"/>
  <c r="D27" i="5"/>
  <c r="D25" i="5"/>
  <c r="N38" i="43"/>
  <c r="N40" i="43"/>
  <c r="D30" i="43"/>
  <c r="P52" i="43"/>
  <c r="Q52" i="43" s="1"/>
  <c r="K101" i="12"/>
  <c r="K106" i="12" s="1"/>
  <c r="L69" i="12"/>
  <c r="L70" i="12" s="1"/>
  <c r="L83" i="12"/>
  <c r="L77" i="12"/>
  <c r="L97" i="12"/>
  <c r="L82" i="12"/>
  <c r="L99" i="12"/>
  <c r="D15" i="49"/>
  <c r="E15" i="49" s="1"/>
  <c r="L98" i="12"/>
  <c r="M58" i="12"/>
  <c r="M56" i="12"/>
  <c r="M92" i="12"/>
  <c r="M88" i="12"/>
  <c r="M90" i="12"/>
  <c r="M76" i="12"/>
  <c r="M89" i="12"/>
  <c r="M73" i="12"/>
  <c r="M72" i="12"/>
  <c r="M74" i="12"/>
  <c r="M57" i="12"/>
  <c r="M59" i="12"/>
  <c r="M60" i="12"/>
  <c r="M91" i="12"/>
  <c r="M75" i="12"/>
  <c r="D15" i="51"/>
  <c r="E15" i="51" s="1"/>
  <c r="L100" i="12"/>
  <c r="T12" i="57"/>
  <c r="S13" i="57"/>
  <c r="S14" i="57" s="1"/>
  <c r="S18" i="57"/>
  <c r="L81" i="12"/>
  <c r="L84" i="12"/>
  <c r="R17" i="57"/>
  <c r="A21" i="63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E51" i="13"/>
  <c r="F51" i="13" s="1"/>
  <c r="P47" i="13"/>
  <c r="E51" i="37"/>
  <c r="F51" i="37" s="1"/>
  <c r="E47" i="37"/>
  <c r="X6" i="2"/>
  <c r="C51" i="2" s="1"/>
  <c r="X8" i="2"/>
  <c r="C38" i="2" s="1"/>
  <c r="Y6" i="2"/>
  <c r="C50" i="2" s="1"/>
  <c r="Y10" i="2"/>
  <c r="D46" i="2" s="1"/>
  <c r="X9" i="2"/>
  <c r="Y7" i="2"/>
  <c r="D50" i="2" s="1"/>
  <c r="X7" i="2"/>
  <c r="D51" i="2" s="1"/>
  <c r="Y8" i="2"/>
  <c r="C40" i="2" s="1"/>
  <c r="X10" i="2"/>
  <c r="D45" i="2" s="1"/>
  <c r="Y9" i="2"/>
  <c r="N38" i="13"/>
  <c r="N40" i="13"/>
  <c r="B72" i="80"/>
  <c r="B73" i="80" s="1"/>
  <c r="B74" i="80" s="1"/>
  <c r="B75" i="80" s="1"/>
  <c r="U61" i="80" a="1"/>
  <c r="D30" i="13"/>
  <c r="P52" i="13"/>
  <c r="Q52" i="13" s="1"/>
  <c r="E29" i="2"/>
  <c r="P16" i="2"/>
  <c r="E28" i="2"/>
  <c r="E27" i="2"/>
  <c r="E26" i="2"/>
  <c r="P26" i="57"/>
  <c r="C38" i="37"/>
  <c r="C40" i="37"/>
  <c r="E52" i="13"/>
  <c r="F52" i="13" s="1"/>
  <c r="D28" i="13"/>
  <c r="D29" i="13"/>
  <c r="E47" i="13"/>
  <c r="C40" i="13"/>
  <c r="C38" i="13"/>
  <c r="B17" i="39"/>
  <c r="B18" i="39" s="1"/>
  <c r="B19" i="39" s="1"/>
  <c r="B20" i="39" s="1"/>
  <c r="D16" i="39"/>
  <c r="E16" i="39" s="1"/>
  <c r="B181" i="80"/>
  <c r="B182" i="80" s="1"/>
  <c r="B183" i="80" s="1"/>
  <c r="B184" i="80" s="1"/>
  <c r="D180" i="80"/>
  <c r="E180" i="80" s="1"/>
  <c r="I29" i="2"/>
  <c r="I28" i="2"/>
  <c r="T16" i="2"/>
  <c r="I27" i="2"/>
  <c r="I26" i="2"/>
  <c r="F29" i="2"/>
  <c r="Q16" i="2"/>
  <c r="F28" i="2"/>
  <c r="F27" i="2"/>
  <c r="F26" i="2"/>
  <c r="F30" i="2"/>
  <c r="A26" i="12"/>
  <c r="Q21" i="57"/>
  <c r="G54" i="52"/>
  <c r="B126" i="80"/>
  <c r="D126" i="80" s="1"/>
  <c r="E126" i="80" s="1"/>
  <c r="I30" i="2"/>
  <c r="A25" i="1"/>
  <c r="E46" i="13"/>
  <c r="D48" i="13"/>
  <c r="D15" i="16"/>
  <c r="E15" i="16" s="1"/>
  <c r="B16" i="16"/>
  <c r="E30" i="2"/>
  <c r="P47" i="37"/>
  <c r="N40" i="37"/>
  <c r="N38" i="37"/>
  <c r="H29" i="2"/>
  <c r="S16" i="2"/>
  <c r="H28" i="2"/>
  <c r="H27" i="2"/>
  <c r="H26" i="2"/>
  <c r="H30" i="2"/>
  <c r="D16" i="38"/>
  <c r="E16" i="38" s="1"/>
  <c r="B17" i="38"/>
  <c r="B18" i="38" s="1"/>
  <c r="B19" i="38" s="1"/>
  <c r="B20" i="38" s="1"/>
  <c r="D15" i="29"/>
  <c r="E15" i="29" s="1"/>
  <c r="B16" i="29"/>
  <c r="B17" i="36"/>
  <c r="B18" i="36" s="1"/>
  <c r="B19" i="36" s="1"/>
  <c r="B20" i="36" s="1"/>
  <c r="D16" i="36"/>
  <c r="E16" i="36" s="1"/>
  <c r="E52" i="37"/>
  <c r="F52" i="37" s="1"/>
  <c r="D28" i="37"/>
  <c r="D29" i="37"/>
  <c r="O48" i="37"/>
  <c r="P46" i="37"/>
  <c r="O48" i="13"/>
  <c r="P46" i="13"/>
  <c r="R16" i="2"/>
  <c r="G28" i="2"/>
  <c r="G27" i="2"/>
  <c r="G26" i="2"/>
  <c r="O16" i="2"/>
  <c r="X12" i="2" s="1" a="1"/>
  <c r="D28" i="2"/>
  <c r="D27" i="2"/>
  <c r="D26" i="2"/>
  <c r="C20" i="60"/>
  <c r="T19" i="60"/>
  <c r="B126" i="81"/>
  <c r="D126" i="81" s="1"/>
  <c r="E126" i="81" s="1"/>
  <c r="B16" i="35"/>
  <c r="D15" i="35"/>
  <c r="E15" i="35" s="1"/>
  <c r="D70" i="81"/>
  <c r="E70" i="81" s="1"/>
  <c r="B71" i="81"/>
  <c r="E46" i="37"/>
  <c r="D48" i="37"/>
  <c r="D30" i="37"/>
  <c r="AJ59" i="96" s="1"/>
  <c r="P52" i="37"/>
  <c r="Q52" i="37" s="1"/>
  <c r="AB57" i="97" l="1"/>
  <c r="AB55" i="97"/>
  <c r="AB72" i="97"/>
  <c r="AB54" i="97"/>
  <c r="AB63" i="97"/>
  <c r="AF63" i="97"/>
  <c r="AB75" i="97"/>
  <c r="AB70" i="97"/>
  <c r="AB56" i="97"/>
  <c r="AB65" i="97"/>
  <c r="AF65" i="97"/>
  <c r="AB71" i="97"/>
  <c r="AF64" i="97"/>
  <c r="AB64" i="97"/>
  <c r="AB66" i="97"/>
  <c r="AF66" i="97"/>
  <c r="AB73" i="97"/>
  <c r="AB74" i="97"/>
  <c r="AG10" i="97"/>
  <c r="AB62" i="97"/>
  <c r="AB58" i="97"/>
  <c r="C71" i="62"/>
  <c r="AB71" i="62" s="1"/>
  <c r="H59" i="63"/>
  <c r="C55" i="62"/>
  <c r="AB55" i="62" s="1"/>
  <c r="C66" i="62"/>
  <c r="AB66" i="62" s="1"/>
  <c r="C74" i="62"/>
  <c r="AB74" i="62" s="1"/>
  <c r="C54" i="62"/>
  <c r="AB54" i="62" s="1"/>
  <c r="H10" i="62"/>
  <c r="AG10" i="62" s="1"/>
  <c r="C63" i="62"/>
  <c r="AB63" i="62" s="1"/>
  <c r="C62" i="62"/>
  <c r="AB62" i="62" s="1"/>
  <c r="C58" i="62"/>
  <c r="AB58" i="62" s="1"/>
  <c r="C70" i="62"/>
  <c r="AB70" i="62" s="1"/>
  <c r="M132" i="12"/>
  <c r="M134" i="12" s="1"/>
  <c r="D16" i="49" s="1"/>
  <c r="E16" i="49" s="1"/>
  <c r="M116" i="12"/>
  <c r="C56" i="62"/>
  <c r="AB56" i="62" s="1"/>
  <c r="M121" i="12"/>
  <c r="C64" i="62"/>
  <c r="AB64" i="62" s="1"/>
  <c r="M126" i="12"/>
  <c r="C72" i="62"/>
  <c r="AB72" i="62" s="1"/>
  <c r="M140" i="12"/>
  <c r="C73" i="62"/>
  <c r="AB73" i="62" s="1"/>
  <c r="M136" i="12"/>
  <c r="C65" i="62"/>
  <c r="AB65" i="62" s="1"/>
  <c r="U13" i="38" a="1"/>
  <c r="U17" i="38" s="1"/>
  <c r="U6" i="38" a="1"/>
  <c r="E51" i="80"/>
  <c r="F51" i="80" s="1"/>
  <c r="AZ17" i="58"/>
  <c r="AY19" i="58"/>
  <c r="C38" i="80"/>
  <c r="C40" i="80"/>
  <c r="E46" i="80"/>
  <c r="D48" i="80"/>
  <c r="O48" i="80"/>
  <c r="P46" i="80"/>
  <c r="BB18" i="58"/>
  <c r="D28" i="80"/>
  <c r="E52" i="80"/>
  <c r="F52" i="80" s="1"/>
  <c r="P47" i="80"/>
  <c r="BB13" i="58"/>
  <c r="BC12" i="58"/>
  <c r="E47" i="80"/>
  <c r="P52" i="80"/>
  <c r="Q52" i="80" s="1"/>
  <c r="D30" i="80"/>
  <c r="N38" i="80"/>
  <c r="N40" i="80"/>
  <c r="T18" i="57"/>
  <c r="Q46" i="43"/>
  <c r="R46" i="43" s="1"/>
  <c r="M82" i="12"/>
  <c r="T13" i="57"/>
  <c r="T14" i="57" s="1"/>
  <c r="U12" i="57"/>
  <c r="M97" i="12"/>
  <c r="M81" i="12"/>
  <c r="M93" i="12"/>
  <c r="M103" i="12" s="1"/>
  <c r="M80" i="12"/>
  <c r="M98" i="12"/>
  <c r="U9" i="5"/>
  <c r="U7" i="5"/>
  <c r="D52" i="5" s="1"/>
  <c r="V9" i="5"/>
  <c r="C42" i="5" s="1"/>
  <c r="C47" i="5" s="1"/>
  <c r="C48" i="5" s="1"/>
  <c r="V7" i="5"/>
  <c r="D51" i="5" s="1"/>
  <c r="V10" i="5"/>
  <c r="D47" i="5" s="1"/>
  <c r="V8" i="5"/>
  <c r="C41" i="5" s="1"/>
  <c r="U10" i="5"/>
  <c r="D46" i="5" s="1"/>
  <c r="U8" i="5"/>
  <c r="C39" i="5" s="1"/>
  <c r="U6" i="5"/>
  <c r="C52" i="5" s="1"/>
  <c r="V6" i="5"/>
  <c r="C51" i="5" s="1"/>
  <c r="L85" i="12"/>
  <c r="M69" i="12"/>
  <c r="M70" i="12" s="1"/>
  <c r="J27" i="2"/>
  <c r="K27" i="2" s="1"/>
  <c r="M83" i="12"/>
  <c r="M84" i="12"/>
  <c r="AB90" i="97" s="1"/>
  <c r="V17" i="5"/>
  <c r="O47" i="5" s="1"/>
  <c r="V15" i="5"/>
  <c r="N41" i="5" s="1"/>
  <c r="V14" i="5"/>
  <c r="V16" i="5"/>
  <c r="U17" i="5"/>
  <c r="O46" i="5" s="1"/>
  <c r="U15" i="5"/>
  <c r="N39" i="5" s="1"/>
  <c r="N38" i="5" s="1"/>
  <c r="V13" i="5"/>
  <c r="U14" i="5"/>
  <c r="O52" i="5" s="1"/>
  <c r="U16" i="5"/>
  <c r="U13" i="5"/>
  <c r="N52" i="5" s="1"/>
  <c r="B17" i="81"/>
  <c r="B18" i="81" s="1"/>
  <c r="B19" i="81" s="1"/>
  <c r="B20" i="81" s="1"/>
  <c r="D16" i="81"/>
  <c r="E16" i="81" s="1"/>
  <c r="M99" i="12"/>
  <c r="S17" i="57"/>
  <c r="R19" i="57"/>
  <c r="R21" i="57" s="1"/>
  <c r="M100" i="12"/>
  <c r="D16" i="51"/>
  <c r="E16" i="51" s="1"/>
  <c r="M77" i="12"/>
  <c r="M61" i="12"/>
  <c r="M96" i="12"/>
  <c r="D16" i="47"/>
  <c r="E16" i="47" s="1"/>
  <c r="L101" i="12"/>
  <c r="L106" i="12" s="1"/>
  <c r="B182" i="81"/>
  <c r="B183" i="81" s="1"/>
  <c r="B184" i="81" s="1"/>
  <c r="B185" i="81" s="1"/>
  <c r="D181" i="81"/>
  <c r="E181" i="81" s="1"/>
  <c r="Q46" i="13"/>
  <c r="R46" i="13" s="1"/>
  <c r="F46" i="13"/>
  <c r="G46" i="13" s="1"/>
  <c r="F46" i="37"/>
  <c r="G46" i="37" s="1"/>
  <c r="E50" i="2"/>
  <c r="B72" i="81"/>
  <c r="B73" i="81" s="1"/>
  <c r="B74" i="81" s="1"/>
  <c r="B75" i="81" s="1"/>
  <c r="D71" i="81"/>
  <c r="E71" i="81" s="1"/>
  <c r="T20" i="60"/>
  <c r="C21" i="60"/>
  <c r="D16" i="35"/>
  <c r="E16" i="35" s="1"/>
  <c r="B17" i="35"/>
  <c r="B18" i="35" s="1"/>
  <c r="B19" i="35" s="1"/>
  <c r="B20" i="35" s="1"/>
  <c r="B127" i="81"/>
  <c r="B128" i="81" s="1"/>
  <c r="B129" i="81" s="1"/>
  <c r="B130" i="81" s="1"/>
  <c r="Q46" i="37"/>
  <c r="R46" i="37" s="1"/>
  <c r="B17" i="29"/>
  <c r="B18" i="29" s="1"/>
  <c r="B19" i="29" s="1"/>
  <c r="B20" i="29" s="1"/>
  <c r="D16" i="29"/>
  <c r="E16" i="29" s="1"/>
  <c r="L30" i="2"/>
  <c r="L26" i="2"/>
  <c r="L29" i="2"/>
  <c r="D82" i="80"/>
  <c r="U68" i="80" a="1"/>
  <c r="D81" i="80"/>
  <c r="D80" i="80"/>
  <c r="Q26" i="57"/>
  <c r="D191" i="80"/>
  <c r="U177" i="80" a="1"/>
  <c r="D190" i="80"/>
  <c r="U170" i="80" a="1"/>
  <c r="D189" i="80"/>
  <c r="L27" i="2"/>
  <c r="C46" i="2"/>
  <c r="C47" i="2" s="1"/>
  <c r="C41" i="2"/>
  <c r="C39" i="2" s="1"/>
  <c r="C37" i="2"/>
  <c r="A35" i="63"/>
  <c r="A36" i="63" s="1"/>
  <c r="B17" i="16"/>
  <c r="B18" i="16" s="1"/>
  <c r="B19" i="16" s="1"/>
  <c r="B20" i="16" s="1"/>
  <c r="D16" i="16"/>
  <c r="E16" i="16" s="1"/>
  <c r="X13" i="2"/>
  <c r="P51" i="2" s="1"/>
  <c r="Y12" i="2"/>
  <c r="O50" i="2" s="1"/>
  <c r="Y13" i="2"/>
  <c r="Y14" i="2"/>
  <c r="O40" i="2" s="1"/>
  <c r="Y15" i="2"/>
  <c r="X16" i="2"/>
  <c r="P45" i="2" s="1"/>
  <c r="X12" i="2"/>
  <c r="O51" i="2" s="1"/>
  <c r="X14" i="2"/>
  <c r="O38" i="2" s="1"/>
  <c r="X15" i="2"/>
  <c r="Y16" i="2"/>
  <c r="P46" i="2" s="1"/>
  <c r="U13" i="36" a="1"/>
  <c r="U6" i="36" a="1"/>
  <c r="D27" i="38"/>
  <c r="D26" i="38"/>
  <c r="D25" i="38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2" i="1" s="1"/>
  <c r="A44" i="1" s="1"/>
  <c r="A46" i="1" s="1"/>
  <c r="A48" i="1" s="1"/>
  <c r="A49" i="1" s="1"/>
  <c r="A50" i="1" s="1"/>
  <c r="A51" i="1" s="1"/>
  <c r="A52" i="1" s="1"/>
  <c r="A53" i="1" s="1"/>
  <c r="A54" i="1" s="1"/>
  <c r="A55" i="1" s="1"/>
  <c r="A57" i="1" s="1"/>
  <c r="A58" i="1" s="1"/>
  <c r="A59" i="1" s="1"/>
  <c r="A60" i="1" s="1"/>
  <c r="A61" i="1" s="1"/>
  <c r="A62" i="1" s="1"/>
  <c r="A63" i="1" s="1"/>
  <c r="A65" i="1" s="1"/>
  <c r="A66" i="1" s="1"/>
  <c r="A67" i="1" s="1"/>
  <c r="A68" i="1" s="1"/>
  <c r="A69" i="1" s="1"/>
  <c r="A70" i="1" s="1"/>
  <c r="A71" i="1" s="1"/>
  <c r="A73" i="1" s="1"/>
  <c r="A74" i="1" s="1"/>
  <c r="A75" i="1" s="1"/>
  <c r="A76" i="1" s="1"/>
  <c r="A77" i="1" s="1"/>
  <c r="A78" i="1" s="1"/>
  <c r="A79" i="1" s="1"/>
  <c r="A81" i="1" s="1"/>
  <c r="A82" i="1" s="1"/>
  <c r="A83" i="1" s="1"/>
  <c r="A84" i="1" s="1"/>
  <c r="A85" i="1" s="1"/>
  <c r="A86" i="1" s="1"/>
  <c r="A87" i="1" s="1"/>
  <c r="A89" i="1" s="1"/>
  <c r="A90" i="1" s="1"/>
  <c r="A91" i="1" s="1"/>
  <c r="A92" i="1" s="1"/>
  <c r="A93" i="1" s="1"/>
  <c r="A94" i="1" s="1"/>
  <c r="A95" i="1" s="1"/>
  <c r="A97" i="1" s="1"/>
  <c r="A98" i="1" s="1"/>
  <c r="A99" i="1" s="1"/>
  <c r="A100" i="1" s="1"/>
  <c r="A101" i="1" s="1"/>
  <c r="A102" i="1" s="1"/>
  <c r="A103" i="1" s="1"/>
  <c r="A105" i="1" s="1"/>
  <c r="A106" i="1" s="1"/>
  <c r="A107" i="1" s="1"/>
  <c r="A108" i="1" s="1"/>
  <c r="A109" i="1" s="1"/>
  <c r="A112" i="1" s="1"/>
  <c r="G59" i="52"/>
  <c r="L137" i="1" s="1"/>
  <c r="G64" i="52"/>
  <c r="L137" i="12" s="1"/>
  <c r="L138" i="12" s="1"/>
  <c r="A27" i="12"/>
  <c r="A28" i="12" s="1"/>
  <c r="A29" i="12" s="1"/>
  <c r="A30" i="12" s="1"/>
  <c r="A31" i="12" s="1"/>
  <c r="A32" i="12" s="1"/>
  <c r="A33" i="12" s="1"/>
  <c r="A34" i="12" s="1"/>
  <c r="A35" i="12" s="1"/>
  <c r="L28" i="2"/>
  <c r="E45" i="2"/>
  <c r="D47" i="2"/>
  <c r="D30" i="2"/>
  <c r="E51" i="2"/>
  <c r="D29" i="2"/>
  <c r="G30" i="2"/>
  <c r="J30" i="2" s="1"/>
  <c r="K30" i="2" s="1"/>
  <c r="G29" i="2"/>
  <c r="J29" i="2" s="1"/>
  <c r="K29" i="2" s="1"/>
  <c r="J28" i="2"/>
  <c r="K28" i="2" s="1"/>
  <c r="U63" i="80"/>
  <c r="C94" i="80" s="1"/>
  <c r="U65" i="80"/>
  <c r="D101" i="80" s="1"/>
  <c r="U61" i="80"/>
  <c r="C107" i="80" s="1"/>
  <c r="V62" i="80"/>
  <c r="D106" i="80" s="1"/>
  <c r="V65" i="80"/>
  <c r="D102" i="80" s="1"/>
  <c r="V63" i="80"/>
  <c r="C96" i="80" s="1"/>
  <c r="V64" i="80"/>
  <c r="C97" i="80" s="1"/>
  <c r="C102" i="80" s="1"/>
  <c r="C103" i="80" s="1"/>
  <c r="V61" i="80"/>
  <c r="C106" i="80" s="1"/>
  <c r="U62" i="80"/>
  <c r="D107" i="80" s="1"/>
  <c r="U64" i="80"/>
  <c r="J26" i="2"/>
  <c r="K26" i="2" s="1"/>
  <c r="B127" i="80"/>
  <c r="B128" i="80" s="1"/>
  <c r="B129" i="80" s="1"/>
  <c r="B130" i="80" s="1"/>
  <c r="U13" i="39" a="1"/>
  <c r="D27" i="39"/>
  <c r="D26" i="39"/>
  <c r="D25" i="39"/>
  <c r="U6" i="39" a="1"/>
  <c r="AB88" i="97" l="1"/>
  <c r="AB96" i="97"/>
  <c r="AB79" i="97"/>
  <c r="AF79" i="97"/>
  <c r="AF73" i="97"/>
  <c r="AF89" i="97"/>
  <c r="AF75" i="97"/>
  <c r="AF70" i="97"/>
  <c r="AF72" i="97"/>
  <c r="AH10" i="97"/>
  <c r="AF80" i="97"/>
  <c r="AB80" i="97"/>
  <c r="AB98" i="97"/>
  <c r="AF74" i="97"/>
  <c r="AF58" i="97"/>
  <c r="AB59" i="97"/>
  <c r="AF57" i="97"/>
  <c r="AF55" i="97"/>
  <c r="AF56" i="97"/>
  <c r="AF59" i="97"/>
  <c r="AF54" i="97"/>
  <c r="AB82" i="97"/>
  <c r="AF82" i="97"/>
  <c r="AB83" i="97"/>
  <c r="AB78" i="97"/>
  <c r="AF67" i="97"/>
  <c r="AF62" i="97"/>
  <c r="AF71" i="97"/>
  <c r="AF81" i="97"/>
  <c r="AB81" i="97"/>
  <c r="AB101" i="97"/>
  <c r="AB67" i="97"/>
  <c r="AJ59" i="63"/>
  <c r="AJ23" i="96"/>
  <c r="G58" i="62"/>
  <c r="AF58" i="62" s="1"/>
  <c r="G54" i="62"/>
  <c r="AF54" i="62" s="1"/>
  <c r="G70" i="62"/>
  <c r="AF70" i="62" s="1"/>
  <c r="G62" i="62"/>
  <c r="AF62" i="62" s="1"/>
  <c r="G71" i="62"/>
  <c r="AF71" i="62" s="1"/>
  <c r="G74" i="62"/>
  <c r="AF74" i="62" s="1"/>
  <c r="G66" i="62"/>
  <c r="AF66" i="62" s="1"/>
  <c r="G63" i="62"/>
  <c r="AF63" i="62" s="1"/>
  <c r="C79" i="62"/>
  <c r="AB79" i="62" s="1"/>
  <c r="C80" i="62"/>
  <c r="AB80" i="62" s="1"/>
  <c r="G55" i="62"/>
  <c r="AF55" i="62" s="1"/>
  <c r="H23" i="63"/>
  <c r="C82" i="62"/>
  <c r="AB82" i="62" s="1"/>
  <c r="C78" i="62"/>
  <c r="AB78" i="62" s="1"/>
  <c r="G64" i="62"/>
  <c r="AF64" i="62" s="1"/>
  <c r="C67" i="62"/>
  <c r="AB67" i="62" s="1"/>
  <c r="G56" i="62"/>
  <c r="AF56" i="62" s="1"/>
  <c r="G72" i="62"/>
  <c r="AF72" i="62" s="1"/>
  <c r="C75" i="62"/>
  <c r="AB75" i="62" s="1"/>
  <c r="A114" i="1"/>
  <c r="A115" i="1" s="1"/>
  <c r="A116" i="1" s="1"/>
  <c r="V17" i="38"/>
  <c r="O47" i="38" s="1"/>
  <c r="U15" i="38"/>
  <c r="N39" i="38" s="1"/>
  <c r="V16" i="38"/>
  <c r="N42" i="38" s="1"/>
  <c r="N47" i="38" s="1"/>
  <c r="N48" i="38" s="1"/>
  <c r="V14" i="38"/>
  <c r="V15" i="38"/>
  <c r="N41" i="38" s="1"/>
  <c r="U13" i="38"/>
  <c r="N52" i="38" s="1"/>
  <c r="U16" i="38"/>
  <c r="V13" i="38"/>
  <c r="U14" i="38"/>
  <c r="O52" i="38" s="1"/>
  <c r="U6" i="16" a="1"/>
  <c r="U6" i="16" s="1"/>
  <c r="C52" i="16" s="1"/>
  <c r="U6" i="29" a="1"/>
  <c r="U7" i="29" s="1"/>
  <c r="D52" i="29" s="1"/>
  <c r="U61" i="81" a="1"/>
  <c r="V61" i="81" s="1"/>
  <c r="C106" i="81" s="1"/>
  <c r="U6" i="81" a="1"/>
  <c r="U7" i="81" s="1"/>
  <c r="D52" i="81" s="1"/>
  <c r="U13" i="49" a="1"/>
  <c r="U6" i="49" a="1"/>
  <c r="V6" i="38"/>
  <c r="C51" i="38" s="1"/>
  <c r="V8" i="38"/>
  <c r="C41" i="38" s="1"/>
  <c r="V10" i="38"/>
  <c r="D47" i="38" s="1"/>
  <c r="U7" i="38"/>
  <c r="D52" i="38" s="1"/>
  <c r="U9" i="38"/>
  <c r="V7" i="38"/>
  <c r="D51" i="38" s="1"/>
  <c r="V9" i="38"/>
  <c r="C42" i="38" s="1"/>
  <c r="C47" i="38" s="1"/>
  <c r="C48" i="38" s="1"/>
  <c r="U6" i="38"/>
  <c r="C52" i="38" s="1"/>
  <c r="D29" i="38" s="1"/>
  <c r="U8" i="38"/>
  <c r="C39" i="38" s="1"/>
  <c r="U10" i="38"/>
  <c r="D46" i="38" s="1"/>
  <c r="U13" i="35" a="1"/>
  <c r="U6" i="35" a="1"/>
  <c r="Q46" i="80"/>
  <c r="R46" i="80" s="1"/>
  <c r="BB14" i="58"/>
  <c r="U18" i="57"/>
  <c r="BC18" i="58"/>
  <c r="BD12" i="58"/>
  <c r="BC13" i="58"/>
  <c r="BC14" i="58" s="1"/>
  <c r="F46" i="80"/>
  <c r="G46" i="80" s="1"/>
  <c r="BA17" i="58"/>
  <c r="AZ19" i="58"/>
  <c r="P46" i="5"/>
  <c r="O48" i="5"/>
  <c r="E46" i="5"/>
  <c r="D48" i="5"/>
  <c r="U6" i="47" a="1"/>
  <c r="U13" i="47" a="1"/>
  <c r="D27" i="47"/>
  <c r="D25" i="47"/>
  <c r="D26" i="47"/>
  <c r="D22" i="47"/>
  <c r="T17" i="57"/>
  <c r="S19" i="57"/>
  <c r="S21" i="57" s="1"/>
  <c r="S26" i="57" s="1"/>
  <c r="D26" i="49"/>
  <c r="D25" i="49"/>
  <c r="D27" i="49"/>
  <c r="D27" i="81"/>
  <c r="D26" i="81"/>
  <c r="U13" i="81" a="1"/>
  <c r="D25" i="81"/>
  <c r="N42" i="5"/>
  <c r="N40" i="5" s="1"/>
  <c r="N47" i="5"/>
  <c r="E51" i="5"/>
  <c r="F51" i="5" s="1"/>
  <c r="D30" i="5"/>
  <c r="P52" i="5"/>
  <c r="C38" i="5"/>
  <c r="C40" i="5"/>
  <c r="A36" i="12"/>
  <c r="A37" i="12" s="1"/>
  <c r="A38" i="12" s="1"/>
  <c r="A40" i="12" s="1"/>
  <c r="A42" i="12" s="1"/>
  <c r="A44" i="12" s="1"/>
  <c r="A46" i="12" s="1"/>
  <c r="A47" i="12" s="1"/>
  <c r="A48" i="12" s="1"/>
  <c r="A49" i="12" s="1"/>
  <c r="A50" i="12" s="1"/>
  <c r="A51" i="12" s="1"/>
  <c r="A52" i="12" s="1"/>
  <c r="A53" i="12" s="1"/>
  <c r="A55" i="12" s="1"/>
  <c r="A56" i="12" s="1"/>
  <c r="A57" i="12" s="1"/>
  <c r="A58" i="12" s="1"/>
  <c r="A59" i="12" s="1"/>
  <c r="A60" i="12" s="1"/>
  <c r="A61" i="12" s="1"/>
  <c r="A63" i="12" s="1"/>
  <c r="A64" i="12" s="1"/>
  <c r="A65" i="12" s="1"/>
  <c r="A66" i="12" s="1"/>
  <c r="A67" i="12" s="1"/>
  <c r="A68" i="12" s="1"/>
  <c r="A69" i="12" s="1"/>
  <c r="A71" i="12" s="1"/>
  <c r="A72" i="12" s="1"/>
  <c r="A73" i="12" s="1"/>
  <c r="A74" i="12" s="1"/>
  <c r="A75" i="12" s="1"/>
  <c r="A76" i="12" s="1"/>
  <c r="A77" i="12" s="1"/>
  <c r="A79" i="12" s="1"/>
  <c r="A80" i="12" s="1"/>
  <c r="A81" i="12" s="1"/>
  <c r="A82" i="12" s="1"/>
  <c r="A83" i="12" s="1"/>
  <c r="A84" i="12" s="1"/>
  <c r="A85" i="12" s="1"/>
  <c r="A87" i="12" s="1"/>
  <c r="A88" i="12" s="1"/>
  <c r="A89" i="12" s="1"/>
  <c r="A90" i="12" s="1"/>
  <c r="A91" i="12" s="1"/>
  <c r="A92" i="12" s="1"/>
  <c r="A93" i="12" s="1"/>
  <c r="A95" i="12" s="1"/>
  <c r="A96" i="12" s="1"/>
  <c r="A97" i="12" s="1"/>
  <c r="A98" i="12" s="1"/>
  <c r="A99" i="12" s="1"/>
  <c r="A100" i="12" s="1"/>
  <c r="A101" i="12" s="1"/>
  <c r="A103" i="12" s="1"/>
  <c r="A104" i="12" s="1"/>
  <c r="A105" i="12" s="1"/>
  <c r="A106" i="12" s="1"/>
  <c r="A108" i="12" s="1"/>
  <c r="D191" i="81"/>
  <c r="D192" i="81"/>
  <c r="D190" i="81"/>
  <c r="U178" i="81" a="1"/>
  <c r="U171" i="81" a="1"/>
  <c r="M101" i="12"/>
  <c r="M106" i="12" s="1"/>
  <c r="U6" i="51" a="1"/>
  <c r="U13" i="51" a="1"/>
  <c r="D26" i="51"/>
  <c r="D25" i="51"/>
  <c r="D27" i="51"/>
  <c r="D29" i="5"/>
  <c r="E52" i="5"/>
  <c r="F52" i="5" s="1"/>
  <c r="D28" i="5"/>
  <c r="E47" i="5"/>
  <c r="M85" i="12"/>
  <c r="U13" i="57"/>
  <c r="U14" i="57" s="1"/>
  <c r="V12" i="57"/>
  <c r="A37" i="63"/>
  <c r="E106" i="80"/>
  <c r="F106" i="80" s="1"/>
  <c r="E102" i="80"/>
  <c r="F51" i="2"/>
  <c r="E46" i="2"/>
  <c r="F45" i="2" s="1"/>
  <c r="G45" i="2" s="1"/>
  <c r="L54" i="52"/>
  <c r="K54" i="52"/>
  <c r="O46" i="38"/>
  <c r="O37" i="2"/>
  <c r="D137" i="81"/>
  <c r="U123" i="81" a="1"/>
  <c r="D136" i="81"/>
  <c r="U116" i="81" a="1"/>
  <c r="D135" i="81"/>
  <c r="D103" i="80"/>
  <c r="E101" i="80"/>
  <c r="C95" i="80"/>
  <c r="C93" i="80"/>
  <c r="L138" i="1"/>
  <c r="V9" i="36"/>
  <c r="C42" i="36" s="1"/>
  <c r="C47" i="36" s="1"/>
  <c r="C48" i="36" s="1"/>
  <c r="V7" i="36"/>
  <c r="D51" i="36" s="1"/>
  <c r="U6" i="36"/>
  <c r="C52" i="36" s="1"/>
  <c r="U8" i="36"/>
  <c r="C39" i="36" s="1"/>
  <c r="U10" i="36"/>
  <c r="D46" i="36" s="1"/>
  <c r="U9" i="36"/>
  <c r="V8" i="36"/>
  <c r="C41" i="36" s="1"/>
  <c r="V6" i="36"/>
  <c r="C51" i="36" s="1"/>
  <c r="U7" i="36"/>
  <c r="D52" i="36" s="1"/>
  <c r="V10" i="36"/>
  <c r="D47" i="36" s="1"/>
  <c r="Q51" i="2"/>
  <c r="D31" i="2"/>
  <c r="V178" i="80"/>
  <c r="U181" i="80"/>
  <c r="O210" i="80" s="1"/>
  <c r="V181" i="80"/>
  <c r="O211" i="80" s="1"/>
  <c r="V177" i="80"/>
  <c r="V180" i="80"/>
  <c r="N206" i="80" s="1"/>
  <c r="N211" i="80" s="1"/>
  <c r="N212" i="80" s="1"/>
  <c r="U180" i="80"/>
  <c r="U179" i="80"/>
  <c r="N203" i="80" s="1"/>
  <c r="U177" i="80"/>
  <c r="N216" i="80" s="1"/>
  <c r="U178" i="80"/>
  <c r="O216" i="80" s="1"/>
  <c r="V179" i="80"/>
  <c r="N205" i="80" s="1"/>
  <c r="U69" i="80"/>
  <c r="O107" i="80" s="1"/>
  <c r="V72" i="80"/>
  <c r="O102" i="80" s="1"/>
  <c r="U71" i="80"/>
  <c r="V71" i="80"/>
  <c r="N97" i="80" s="1"/>
  <c r="N102" i="80" s="1"/>
  <c r="N103" i="80" s="1"/>
  <c r="U68" i="80"/>
  <c r="N107" i="80" s="1"/>
  <c r="U70" i="80"/>
  <c r="N94" i="80" s="1"/>
  <c r="U72" i="80"/>
  <c r="O101" i="80" s="1"/>
  <c r="V70" i="80"/>
  <c r="N96" i="80" s="1"/>
  <c r="V69" i="80"/>
  <c r="V68" i="80"/>
  <c r="U13" i="29" a="1"/>
  <c r="D27" i="29"/>
  <c r="D26" i="29"/>
  <c r="D25" i="29"/>
  <c r="U68" i="81" a="1"/>
  <c r="D82" i="81"/>
  <c r="D81" i="81"/>
  <c r="D80" i="81"/>
  <c r="R26" i="57"/>
  <c r="U17" i="36"/>
  <c r="O46" i="36" s="1"/>
  <c r="V13" i="36"/>
  <c r="V17" i="36"/>
  <c r="O47" i="36" s="1"/>
  <c r="U15" i="36"/>
  <c r="N39" i="36" s="1"/>
  <c r="U13" i="36"/>
  <c r="N52" i="36" s="1"/>
  <c r="V15" i="36"/>
  <c r="N41" i="36" s="1"/>
  <c r="V14" i="36"/>
  <c r="V16" i="36"/>
  <c r="N42" i="36" s="1"/>
  <c r="N47" i="36" s="1"/>
  <c r="N48" i="36" s="1"/>
  <c r="U14" i="36"/>
  <c r="O52" i="36" s="1"/>
  <c r="U16" i="36"/>
  <c r="Q45" i="2"/>
  <c r="P47" i="2"/>
  <c r="F50" i="2"/>
  <c r="C22" i="60"/>
  <c r="T21" i="60"/>
  <c r="U10" i="39"/>
  <c r="D46" i="39" s="1"/>
  <c r="V7" i="39"/>
  <c r="D51" i="39" s="1"/>
  <c r="V8" i="39"/>
  <c r="C41" i="39" s="1"/>
  <c r="U7" i="39"/>
  <c r="D52" i="39" s="1"/>
  <c r="U6" i="39"/>
  <c r="C52" i="39" s="1"/>
  <c r="V6" i="39"/>
  <c r="C51" i="39" s="1"/>
  <c r="U8" i="39"/>
  <c r="C39" i="39" s="1"/>
  <c r="V9" i="39"/>
  <c r="C42" i="39" s="1"/>
  <c r="C47" i="39" s="1"/>
  <c r="C48" i="39" s="1"/>
  <c r="V10" i="39"/>
  <c r="D47" i="39" s="1"/>
  <c r="U9" i="39"/>
  <c r="V16" i="39"/>
  <c r="N42" i="39" s="1"/>
  <c r="N47" i="39" s="1"/>
  <c r="N48" i="39" s="1"/>
  <c r="U17" i="39"/>
  <c r="O46" i="39" s="1"/>
  <c r="V17" i="39"/>
  <c r="O47" i="39" s="1"/>
  <c r="U14" i="39"/>
  <c r="O52" i="39" s="1"/>
  <c r="U16" i="39"/>
  <c r="V14" i="39"/>
  <c r="V15" i="39"/>
  <c r="N41" i="39" s="1"/>
  <c r="U13" i="39"/>
  <c r="N52" i="39" s="1"/>
  <c r="U15" i="39"/>
  <c r="N39" i="39" s="1"/>
  <c r="V13" i="39"/>
  <c r="U123" i="80" a="1"/>
  <c r="D137" i="80"/>
  <c r="D136" i="80"/>
  <c r="D135" i="80"/>
  <c r="U116" i="80" a="1"/>
  <c r="D83" i="80"/>
  <c r="D84" i="80"/>
  <c r="E107" i="80"/>
  <c r="F107" i="80" s="1"/>
  <c r="O46" i="2"/>
  <c r="O47" i="2" s="1"/>
  <c r="O41" i="2"/>
  <c r="O39" i="2" s="1"/>
  <c r="D27" i="16"/>
  <c r="D26" i="16"/>
  <c r="D25" i="16"/>
  <c r="V170" i="80"/>
  <c r="C215" i="80" s="1"/>
  <c r="U174" i="80"/>
  <c r="D210" i="80" s="1"/>
  <c r="U170" i="80"/>
  <c r="C216" i="80" s="1"/>
  <c r="V174" i="80"/>
  <c r="D211" i="80" s="1"/>
  <c r="U173" i="80"/>
  <c r="U172" i="80"/>
  <c r="C203" i="80" s="1"/>
  <c r="V171" i="80"/>
  <c r="D215" i="80" s="1"/>
  <c r="U171" i="80"/>
  <c r="D216" i="80" s="1"/>
  <c r="V173" i="80"/>
  <c r="C206" i="80" s="1"/>
  <c r="C211" i="80" s="1"/>
  <c r="C212" i="80" s="1"/>
  <c r="V172" i="80"/>
  <c r="C205" i="80" s="1"/>
  <c r="D27" i="35"/>
  <c r="D26" i="35"/>
  <c r="D25" i="35"/>
  <c r="AF86" i="97" l="1"/>
  <c r="AF46" i="97"/>
  <c r="AB46" i="97"/>
  <c r="AF97" i="97"/>
  <c r="AB45" i="97"/>
  <c r="AF101" i="97"/>
  <c r="AH11" i="97"/>
  <c r="AF83" i="97"/>
  <c r="AF78" i="97"/>
  <c r="AL10" i="97"/>
  <c r="AB87" i="97"/>
  <c r="AB95" i="97"/>
  <c r="AB86" i="97"/>
  <c r="AB89" i="97"/>
  <c r="AB97" i="97"/>
  <c r="C88" i="62"/>
  <c r="AB88" i="62" s="1"/>
  <c r="AJ23" i="63"/>
  <c r="AJ35" i="96"/>
  <c r="AP35" i="96"/>
  <c r="AK23" i="96"/>
  <c r="C90" i="62"/>
  <c r="AB90" i="62" s="1"/>
  <c r="G78" i="62"/>
  <c r="C86" i="62"/>
  <c r="AB86" i="62" s="1"/>
  <c r="G82" i="62"/>
  <c r="AF82" i="62" s="1"/>
  <c r="G80" i="62"/>
  <c r="AF80" i="62" s="1"/>
  <c r="C87" i="62"/>
  <c r="AB87" i="62" s="1"/>
  <c r="G79" i="62"/>
  <c r="AF79" i="62" s="1"/>
  <c r="H35" i="63"/>
  <c r="C46" i="62"/>
  <c r="AB46" i="62" s="1"/>
  <c r="V18" i="57"/>
  <c r="A118" i="1"/>
  <c r="A119" i="1" s="1"/>
  <c r="A120" i="1" s="1"/>
  <c r="A121" i="1" s="1"/>
  <c r="A123" i="1" s="1"/>
  <c r="A124" i="1" s="1"/>
  <c r="A125" i="1" s="1"/>
  <c r="A127" i="1" s="1"/>
  <c r="A128" i="1" s="1"/>
  <c r="A129" i="1" s="1"/>
  <c r="A131" i="1" s="1"/>
  <c r="A132" i="1" s="1"/>
  <c r="A133" i="1" s="1"/>
  <c r="A134" i="1" s="1"/>
  <c r="A136" i="1" s="1"/>
  <c r="A137" i="1" s="1"/>
  <c r="A138" i="1" s="1"/>
  <c r="A140" i="1" s="1"/>
  <c r="A141" i="1" s="1"/>
  <c r="A142" i="1" s="1"/>
  <c r="A110" i="12"/>
  <c r="A111" i="12" s="1"/>
  <c r="A112" i="12" s="1"/>
  <c r="A113" i="12" s="1"/>
  <c r="V9" i="81"/>
  <c r="C42" i="81" s="1"/>
  <c r="C47" i="81" s="1"/>
  <c r="C48" i="81" s="1"/>
  <c r="V7" i="29"/>
  <c r="D51" i="29" s="1"/>
  <c r="V65" i="81"/>
  <c r="D102" i="81" s="1"/>
  <c r="V6" i="81"/>
  <c r="C51" i="81" s="1"/>
  <c r="V10" i="81"/>
  <c r="D47" i="81" s="1"/>
  <c r="V7" i="81"/>
  <c r="D51" i="81" s="1"/>
  <c r="U10" i="81"/>
  <c r="D46" i="81" s="1"/>
  <c r="E46" i="81" s="1"/>
  <c r="U6" i="81"/>
  <c r="C52" i="81" s="1"/>
  <c r="D28" i="81" s="1"/>
  <c r="V8" i="81"/>
  <c r="C41" i="81" s="1"/>
  <c r="V7" i="16"/>
  <c r="D51" i="16" s="1"/>
  <c r="U64" i="81"/>
  <c r="V64" i="81"/>
  <c r="C97" i="81" s="1"/>
  <c r="C102" i="81" s="1"/>
  <c r="C103" i="81" s="1"/>
  <c r="U62" i="81"/>
  <c r="D107" i="81" s="1"/>
  <c r="U63" i="81"/>
  <c r="C94" i="81" s="1"/>
  <c r="U10" i="16"/>
  <c r="D46" i="16" s="1"/>
  <c r="E46" i="16" s="1"/>
  <c r="V6" i="29"/>
  <c r="C51" i="29" s="1"/>
  <c r="U9" i="16"/>
  <c r="V8" i="16"/>
  <c r="C41" i="16" s="1"/>
  <c r="V10" i="16"/>
  <c r="D47" i="16" s="1"/>
  <c r="U7" i="16"/>
  <c r="D52" i="16" s="1"/>
  <c r="E52" i="16" s="1"/>
  <c r="V6" i="16"/>
  <c r="C51" i="16" s="1"/>
  <c r="U8" i="16"/>
  <c r="C39" i="16" s="1"/>
  <c r="C38" i="16" s="1"/>
  <c r="V9" i="16"/>
  <c r="C42" i="16" s="1"/>
  <c r="C47" i="16" s="1"/>
  <c r="C48" i="16" s="1"/>
  <c r="V10" i="29"/>
  <c r="D47" i="29" s="1"/>
  <c r="U10" i="29"/>
  <c r="D46" i="29" s="1"/>
  <c r="U8" i="29"/>
  <c r="C39" i="29" s="1"/>
  <c r="C38" i="29" s="1"/>
  <c r="U9" i="29"/>
  <c r="V9" i="29"/>
  <c r="C42" i="29" s="1"/>
  <c r="C47" i="29" s="1"/>
  <c r="C48" i="29" s="1"/>
  <c r="U6" i="29"/>
  <c r="C52" i="29" s="1"/>
  <c r="E52" i="29" s="1"/>
  <c r="V8" i="29"/>
  <c r="C41" i="29" s="1"/>
  <c r="U61" i="81"/>
  <c r="C107" i="81" s="1"/>
  <c r="D83" i="81" s="1"/>
  <c r="V62" i="81"/>
  <c r="D106" i="81" s="1"/>
  <c r="E106" i="81" s="1"/>
  <c r="V63" i="81"/>
  <c r="C96" i="81" s="1"/>
  <c r="U65" i="81"/>
  <c r="D101" i="81" s="1"/>
  <c r="U8" i="81"/>
  <c r="C39" i="81" s="1"/>
  <c r="C38" i="81" s="1"/>
  <c r="U9" i="81"/>
  <c r="V6" i="49"/>
  <c r="C51" i="49" s="1"/>
  <c r="V8" i="49"/>
  <c r="C41" i="49" s="1"/>
  <c r="V10" i="49"/>
  <c r="D47" i="49" s="1"/>
  <c r="U7" i="49"/>
  <c r="D52" i="49" s="1"/>
  <c r="U9" i="49"/>
  <c r="V7" i="49"/>
  <c r="D51" i="49" s="1"/>
  <c r="V9" i="49"/>
  <c r="C42" i="49" s="1"/>
  <c r="C47" i="49" s="1"/>
  <c r="C48" i="49" s="1"/>
  <c r="U6" i="49"/>
  <c r="C52" i="49" s="1"/>
  <c r="D29" i="49" s="1"/>
  <c r="U8" i="49"/>
  <c r="C39" i="49" s="1"/>
  <c r="U10" i="49"/>
  <c r="D46" i="49" s="1"/>
  <c r="U13" i="49"/>
  <c r="N52" i="49" s="1"/>
  <c r="U15" i="49"/>
  <c r="N39" i="49" s="1"/>
  <c r="U17" i="49"/>
  <c r="O46" i="49" s="1"/>
  <c r="U14" i="49"/>
  <c r="O52" i="49" s="1"/>
  <c r="V13" i="49"/>
  <c r="V15" i="49"/>
  <c r="N41" i="49" s="1"/>
  <c r="V17" i="49"/>
  <c r="O47" i="49" s="1"/>
  <c r="U16" i="49"/>
  <c r="V14" i="49"/>
  <c r="V16" i="49"/>
  <c r="N42" i="49" s="1"/>
  <c r="N47" i="49" s="1"/>
  <c r="N48" i="49" s="1"/>
  <c r="U10" i="35"/>
  <c r="D46" i="35" s="1"/>
  <c r="V6" i="35"/>
  <c r="C51" i="35" s="1"/>
  <c r="V8" i="35"/>
  <c r="C41" i="35" s="1"/>
  <c r="V10" i="35"/>
  <c r="D47" i="35" s="1"/>
  <c r="U7" i="35"/>
  <c r="D52" i="35" s="1"/>
  <c r="U9" i="35"/>
  <c r="V7" i="35"/>
  <c r="D51" i="35" s="1"/>
  <c r="V9" i="35"/>
  <c r="C42" i="35" s="1"/>
  <c r="C47" i="35" s="1"/>
  <c r="C48" i="35" s="1"/>
  <c r="U6" i="35"/>
  <c r="C52" i="35" s="1"/>
  <c r="D29" i="35" s="1"/>
  <c r="U8" i="35"/>
  <c r="C39" i="35" s="1"/>
  <c r="U13" i="35"/>
  <c r="N52" i="35" s="1"/>
  <c r="U15" i="35"/>
  <c r="N39" i="35" s="1"/>
  <c r="U17" i="35"/>
  <c r="O46" i="35" s="1"/>
  <c r="V13" i="35"/>
  <c r="V15" i="35"/>
  <c r="N41" i="35" s="1"/>
  <c r="U14" i="35"/>
  <c r="O52" i="35" s="1"/>
  <c r="U16" i="35"/>
  <c r="V17" i="35"/>
  <c r="O47" i="35" s="1"/>
  <c r="V14" i="35"/>
  <c r="V16" i="35"/>
  <c r="N42" i="35" s="1"/>
  <c r="N47" i="35" s="1"/>
  <c r="N48" i="35" s="1"/>
  <c r="BB17" i="58"/>
  <c r="BA19" i="58"/>
  <c r="BD13" i="58"/>
  <c r="BD14" i="58" s="1"/>
  <c r="BE12" i="58"/>
  <c r="BD18" i="58"/>
  <c r="A38" i="63"/>
  <c r="A40" i="63" s="1"/>
  <c r="A42" i="63" s="1"/>
  <c r="A44" i="63" s="1"/>
  <c r="A46" i="63" s="1"/>
  <c r="A47" i="63" s="1"/>
  <c r="Q52" i="5"/>
  <c r="U15" i="81"/>
  <c r="N39" i="81" s="1"/>
  <c r="U14" i="81"/>
  <c r="O52" i="81" s="1"/>
  <c r="V14" i="81"/>
  <c r="U17" i="81"/>
  <c r="O46" i="81" s="1"/>
  <c r="V17" i="81"/>
  <c r="O47" i="81" s="1"/>
  <c r="V13" i="81"/>
  <c r="U16" i="81"/>
  <c r="V16" i="81"/>
  <c r="N42" i="81" s="1"/>
  <c r="N47" i="81" s="1"/>
  <c r="N48" i="81" s="1"/>
  <c r="V15" i="81"/>
  <c r="N41" i="81" s="1"/>
  <c r="U13" i="81"/>
  <c r="N52" i="81" s="1"/>
  <c r="V13" i="57"/>
  <c r="V14" i="57" s="1"/>
  <c r="W12" i="57"/>
  <c r="N48" i="5"/>
  <c r="P47" i="5"/>
  <c r="Q46" i="5" s="1"/>
  <c r="R46" i="5" s="1"/>
  <c r="U17" i="57"/>
  <c r="T19" i="57"/>
  <c r="T21" i="57" s="1"/>
  <c r="F46" i="5"/>
  <c r="V8" i="51"/>
  <c r="C41" i="51" s="1"/>
  <c r="U7" i="51"/>
  <c r="D52" i="51" s="1"/>
  <c r="U8" i="51"/>
  <c r="C39" i="51" s="1"/>
  <c r="V9" i="51"/>
  <c r="C42" i="51" s="1"/>
  <c r="C47" i="51" s="1"/>
  <c r="C48" i="51" s="1"/>
  <c r="U10" i="51"/>
  <c r="D46" i="51" s="1"/>
  <c r="U9" i="51"/>
  <c r="V7" i="51"/>
  <c r="D51" i="51" s="1"/>
  <c r="V10" i="51"/>
  <c r="D47" i="51" s="1"/>
  <c r="U6" i="51"/>
  <c r="C52" i="51" s="1"/>
  <c r="V6" i="51"/>
  <c r="C51" i="51" s="1"/>
  <c r="V175" i="81"/>
  <c r="D212" i="81" s="1"/>
  <c r="V173" i="81"/>
  <c r="C206" i="81" s="1"/>
  <c r="V174" i="81"/>
  <c r="C207" i="81" s="1"/>
  <c r="C212" i="81" s="1"/>
  <c r="C213" i="81" s="1"/>
  <c r="V171" i="81"/>
  <c r="C216" i="81" s="1"/>
  <c r="V172" i="81"/>
  <c r="D216" i="81" s="1"/>
  <c r="U174" i="81"/>
  <c r="U172" i="81"/>
  <c r="D217" i="81" s="1"/>
  <c r="U173" i="81"/>
  <c r="C204" i="81" s="1"/>
  <c r="U175" i="81"/>
  <c r="D211" i="81" s="1"/>
  <c r="U171" i="81"/>
  <c r="C217" i="81" s="1"/>
  <c r="U13" i="47"/>
  <c r="N52" i="47" s="1"/>
  <c r="U15" i="47"/>
  <c r="N39" i="47" s="1"/>
  <c r="V17" i="47"/>
  <c r="O47" i="47" s="1"/>
  <c r="U16" i="47"/>
  <c r="V13" i="47"/>
  <c r="V14" i="47"/>
  <c r="U14" i="47"/>
  <c r="O52" i="47" s="1"/>
  <c r="V16" i="47"/>
  <c r="N42" i="47" s="1"/>
  <c r="N47" i="47" s="1"/>
  <c r="N48" i="47" s="1"/>
  <c r="U17" i="47"/>
  <c r="O46" i="47" s="1"/>
  <c r="V15" i="47"/>
  <c r="N41" i="47" s="1"/>
  <c r="U13" i="51"/>
  <c r="N52" i="51" s="1"/>
  <c r="V16" i="51"/>
  <c r="N42" i="51" s="1"/>
  <c r="N47" i="51" s="1"/>
  <c r="N48" i="51" s="1"/>
  <c r="U17" i="51"/>
  <c r="O46" i="51" s="1"/>
  <c r="V17" i="51"/>
  <c r="O47" i="51" s="1"/>
  <c r="V15" i="51"/>
  <c r="N41" i="51" s="1"/>
  <c r="V13" i="51"/>
  <c r="U15" i="51"/>
  <c r="N39" i="51" s="1"/>
  <c r="U16" i="51"/>
  <c r="U14" i="51"/>
  <c r="O52" i="51" s="1"/>
  <c r="V14" i="51"/>
  <c r="V181" i="81"/>
  <c r="N207" i="81" s="1"/>
  <c r="N212" i="81" s="1"/>
  <c r="N213" i="81" s="1"/>
  <c r="U181" i="81"/>
  <c r="U182" i="81"/>
  <c r="O211" i="81" s="1"/>
  <c r="V179" i="81"/>
  <c r="U179" i="81"/>
  <c r="O217" i="81" s="1"/>
  <c r="U178" i="81"/>
  <c r="N217" i="81" s="1"/>
  <c r="V180" i="81"/>
  <c r="N206" i="81" s="1"/>
  <c r="U180" i="81"/>
  <c r="N204" i="81" s="1"/>
  <c r="V178" i="81"/>
  <c r="V182" i="81"/>
  <c r="O212" i="81" s="1"/>
  <c r="V8" i="47"/>
  <c r="C41" i="47" s="1"/>
  <c r="U7" i="47"/>
  <c r="D52" i="47" s="1"/>
  <c r="U8" i="47"/>
  <c r="C39" i="47" s="1"/>
  <c r="U9" i="47"/>
  <c r="V10" i="47"/>
  <c r="D47" i="47" s="1"/>
  <c r="U6" i="47"/>
  <c r="C52" i="47" s="1"/>
  <c r="V9" i="47"/>
  <c r="C42" i="47" s="1"/>
  <c r="C47" i="47" s="1"/>
  <c r="C48" i="47" s="1"/>
  <c r="V6" i="47"/>
  <c r="C51" i="47" s="1"/>
  <c r="V7" i="47"/>
  <c r="D51" i="47" s="1"/>
  <c r="U10" i="47"/>
  <c r="D46" i="47" s="1"/>
  <c r="E51" i="39"/>
  <c r="F51" i="39" s="1"/>
  <c r="F101" i="80"/>
  <c r="G101" i="80" s="1"/>
  <c r="E47" i="36"/>
  <c r="E47" i="38"/>
  <c r="E215" i="80"/>
  <c r="F215" i="80" s="1"/>
  <c r="P47" i="39"/>
  <c r="E47" i="39"/>
  <c r="Q46" i="2"/>
  <c r="R45" i="2" s="1"/>
  <c r="S45" i="2" s="1"/>
  <c r="V119" i="80"/>
  <c r="C152" i="80" s="1"/>
  <c r="C157" i="80" s="1"/>
  <c r="C158" i="80" s="1"/>
  <c r="V117" i="80"/>
  <c r="D161" i="80" s="1"/>
  <c r="U120" i="80"/>
  <c r="D156" i="80" s="1"/>
  <c r="V118" i="80"/>
  <c r="C151" i="80" s="1"/>
  <c r="V120" i="80"/>
  <c r="D157" i="80" s="1"/>
  <c r="U119" i="80"/>
  <c r="U118" i="80"/>
  <c r="C149" i="80" s="1"/>
  <c r="U117" i="80"/>
  <c r="D162" i="80" s="1"/>
  <c r="V116" i="80"/>
  <c r="C161" i="80" s="1"/>
  <c r="U116" i="80"/>
  <c r="C162" i="80" s="1"/>
  <c r="D29" i="39"/>
  <c r="D28" i="39"/>
  <c r="E52" i="39"/>
  <c r="F52" i="39" s="1"/>
  <c r="U17" i="29"/>
  <c r="O46" i="29" s="1"/>
  <c r="V17" i="29"/>
  <c r="O47" i="29" s="1"/>
  <c r="U16" i="29"/>
  <c r="V14" i="29"/>
  <c r="U14" i="29"/>
  <c r="O52" i="29" s="1"/>
  <c r="U15" i="29"/>
  <c r="N39" i="29" s="1"/>
  <c r="V13" i="29"/>
  <c r="U13" i="29"/>
  <c r="N52" i="29" s="1"/>
  <c r="V16" i="29"/>
  <c r="N42" i="29" s="1"/>
  <c r="N47" i="29" s="1"/>
  <c r="N48" i="29" s="1"/>
  <c r="V15" i="29"/>
  <c r="N41" i="29" s="1"/>
  <c r="P101" i="80"/>
  <c r="O103" i="80"/>
  <c r="U119" i="81"/>
  <c r="U117" i="81"/>
  <c r="D162" i="81" s="1"/>
  <c r="V118" i="81"/>
  <c r="C151" i="81" s="1"/>
  <c r="U120" i="81"/>
  <c r="D156" i="81" s="1"/>
  <c r="U116" i="81"/>
  <c r="C162" i="81" s="1"/>
  <c r="V120" i="81"/>
  <c r="D157" i="81" s="1"/>
  <c r="U118" i="81"/>
  <c r="C149" i="81" s="1"/>
  <c r="V117" i="81"/>
  <c r="D161" i="81" s="1"/>
  <c r="V116" i="81"/>
  <c r="C161" i="81" s="1"/>
  <c r="V119" i="81"/>
  <c r="C152" i="81" s="1"/>
  <c r="C157" i="81" s="1"/>
  <c r="C158" i="81" s="1"/>
  <c r="P47" i="38"/>
  <c r="O48" i="38"/>
  <c r="P46" i="38"/>
  <c r="K64" i="52"/>
  <c r="K59" i="52"/>
  <c r="L141" i="1" s="1"/>
  <c r="D192" i="80"/>
  <c r="E216" i="80"/>
  <c r="F216" i="80" s="1"/>
  <c r="D193" i="80"/>
  <c r="N38" i="39"/>
  <c r="N40" i="39"/>
  <c r="C40" i="39"/>
  <c r="C38" i="39"/>
  <c r="N93" i="80"/>
  <c r="N95" i="80"/>
  <c r="P102" i="80"/>
  <c r="D194" i="80"/>
  <c r="P216" i="80"/>
  <c r="Q216" i="80" s="1"/>
  <c r="E51" i="36"/>
  <c r="F51" i="36" s="1"/>
  <c r="C40" i="36"/>
  <c r="C38" i="36"/>
  <c r="E51" i="38"/>
  <c r="F51" i="38" s="1"/>
  <c r="L64" i="52"/>
  <c r="L59" i="52"/>
  <c r="U125" i="80"/>
  <c r="N149" i="80" s="1"/>
  <c r="U126" i="80"/>
  <c r="V125" i="80"/>
  <c r="N151" i="80" s="1"/>
  <c r="V126" i="80"/>
  <c r="N152" i="80" s="1"/>
  <c r="N157" i="80" s="1"/>
  <c r="N158" i="80" s="1"/>
  <c r="U124" i="80"/>
  <c r="O162" i="80" s="1"/>
  <c r="U127" i="80"/>
  <c r="O156" i="80" s="1"/>
  <c r="U123" i="80"/>
  <c r="N162" i="80" s="1"/>
  <c r="V124" i="80"/>
  <c r="V123" i="80"/>
  <c r="V127" i="80"/>
  <c r="O157" i="80" s="1"/>
  <c r="D48" i="39"/>
  <c r="E46" i="39"/>
  <c r="N38" i="36"/>
  <c r="N40" i="36"/>
  <c r="P210" i="80"/>
  <c r="O212" i="80"/>
  <c r="D30" i="38"/>
  <c r="AJ60" i="96" s="1"/>
  <c r="P52" i="38"/>
  <c r="Q52" i="38" s="1"/>
  <c r="N40" i="38"/>
  <c r="N38" i="38"/>
  <c r="E211" i="80"/>
  <c r="P46" i="39"/>
  <c r="O48" i="39"/>
  <c r="C23" i="60"/>
  <c r="T22" i="60"/>
  <c r="D6" i="60"/>
  <c r="D7" i="60"/>
  <c r="P47" i="36"/>
  <c r="E46" i="36"/>
  <c r="D48" i="36"/>
  <c r="C40" i="38"/>
  <c r="C38" i="38"/>
  <c r="D28" i="38"/>
  <c r="E52" i="38"/>
  <c r="F52" i="38" s="1"/>
  <c r="C204" i="80"/>
  <c r="C202" i="80"/>
  <c r="D212" i="80"/>
  <c r="E210" i="80"/>
  <c r="D30" i="39"/>
  <c r="AJ61" i="96" s="1"/>
  <c r="P52" i="39"/>
  <c r="Q52" i="39" s="1"/>
  <c r="D30" i="36"/>
  <c r="AJ58" i="96" s="1"/>
  <c r="P52" i="36"/>
  <c r="Q52" i="36" s="1"/>
  <c r="O48" i="36"/>
  <c r="P46" i="36"/>
  <c r="D28" i="16"/>
  <c r="D29" i="16"/>
  <c r="V68" i="81"/>
  <c r="U72" i="81"/>
  <c r="O101" i="81" s="1"/>
  <c r="U70" i="81"/>
  <c r="N94" i="81" s="1"/>
  <c r="U68" i="81"/>
  <c r="N107" i="81" s="1"/>
  <c r="V69" i="81"/>
  <c r="V71" i="81"/>
  <c r="N97" i="81" s="1"/>
  <c r="N102" i="81" s="1"/>
  <c r="N103" i="81" s="1"/>
  <c r="V70" i="81"/>
  <c r="N96" i="81" s="1"/>
  <c r="U69" i="81"/>
  <c r="O107" i="81" s="1"/>
  <c r="U71" i="81"/>
  <c r="V72" i="81"/>
  <c r="O102" i="81" s="1"/>
  <c r="D85" i="80"/>
  <c r="P107" i="80"/>
  <c r="Q107" i="80" s="1"/>
  <c r="N202" i="80"/>
  <c r="N204" i="80"/>
  <c r="P211" i="80"/>
  <c r="R51" i="2"/>
  <c r="D28" i="36"/>
  <c r="D29" i="36"/>
  <c r="E52" i="36"/>
  <c r="F52" i="36" s="1"/>
  <c r="E46" i="38"/>
  <c r="D48" i="38"/>
  <c r="U125" i="81"/>
  <c r="N149" i="81" s="1"/>
  <c r="V126" i="81"/>
  <c r="N152" i="81" s="1"/>
  <c r="N157" i="81" s="1"/>
  <c r="N158" i="81" s="1"/>
  <c r="V124" i="81"/>
  <c r="V127" i="81"/>
  <c r="O157" i="81" s="1"/>
  <c r="V123" i="81"/>
  <c r="U126" i="81"/>
  <c r="U127" i="81"/>
  <c r="O156" i="81" s="1"/>
  <c r="V125" i="81"/>
  <c r="N151" i="81" s="1"/>
  <c r="U123" i="81"/>
  <c r="N162" i="81" s="1"/>
  <c r="U124" i="81"/>
  <c r="O162" i="81" s="1"/>
  <c r="AF45" i="97" l="1"/>
  <c r="AB94" i="97"/>
  <c r="AF90" i="97"/>
  <c r="AF98" i="97"/>
  <c r="AF87" i="97"/>
  <c r="AF95" i="97"/>
  <c r="AL111" i="97"/>
  <c r="AG11" i="97"/>
  <c r="AF94" i="97"/>
  <c r="AB91" i="97"/>
  <c r="AL11" i="97"/>
  <c r="AL101" i="97"/>
  <c r="AH101" i="97"/>
  <c r="AF88" i="97"/>
  <c r="AF96" i="97"/>
  <c r="AF91" i="97"/>
  <c r="C96" i="62"/>
  <c r="AB96" i="62" s="1"/>
  <c r="AO23" i="96"/>
  <c r="AJ29" i="96"/>
  <c r="AP29" i="96"/>
  <c r="AO35" i="96"/>
  <c r="AK35" i="96"/>
  <c r="AJ35" i="63"/>
  <c r="G86" i="62"/>
  <c r="AF86" i="62" s="1"/>
  <c r="AF78" i="62"/>
  <c r="C98" i="62"/>
  <c r="AB98" i="62" s="1"/>
  <c r="C95" i="62"/>
  <c r="AB95" i="62" s="1"/>
  <c r="G88" i="62"/>
  <c r="G90" i="62"/>
  <c r="C94" i="62"/>
  <c r="AB94" i="62" s="1"/>
  <c r="G87" i="62"/>
  <c r="H61" i="63"/>
  <c r="H58" i="63"/>
  <c r="H60" i="63"/>
  <c r="H29" i="63"/>
  <c r="D11" i="60"/>
  <c r="D12" i="60" s="1"/>
  <c r="D13" i="60" s="1"/>
  <c r="D14" i="60" s="1"/>
  <c r="D15" i="60" s="1"/>
  <c r="D16" i="60" s="1"/>
  <c r="D17" i="60" s="1"/>
  <c r="D18" i="60" s="1"/>
  <c r="D19" i="60" s="1"/>
  <c r="D20" i="60" s="1"/>
  <c r="D21" i="60" s="1"/>
  <c r="D22" i="60" s="1"/>
  <c r="D23" i="60" s="1"/>
  <c r="D24" i="60" s="1"/>
  <c r="D25" i="60" s="1"/>
  <c r="D26" i="60" s="1"/>
  <c r="D27" i="60" s="1"/>
  <c r="D28" i="60" s="1"/>
  <c r="D29" i="60" s="1"/>
  <c r="D30" i="60" s="1"/>
  <c r="D31" i="60" s="1"/>
  <c r="D32" i="60" s="1"/>
  <c r="D33" i="60" s="1"/>
  <c r="D34" i="60" s="1"/>
  <c r="D35" i="60" s="1"/>
  <c r="D36" i="60" s="1"/>
  <c r="D37" i="60" s="1"/>
  <c r="D38" i="60" s="1"/>
  <c r="D39" i="60" s="1"/>
  <c r="D40" i="60" s="1"/>
  <c r="D41" i="60" s="1"/>
  <c r="D42" i="60" s="1"/>
  <c r="D43" i="60" s="1"/>
  <c r="D44" i="60" s="1"/>
  <c r="D45" i="60" s="1"/>
  <c r="D46" i="60" s="1"/>
  <c r="D47" i="60" s="1"/>
  <c r="D48" i="60" s="1"/>
  <c r="D49" i="60" s="1"/>
  <c r="D50" i="60" s="1"/>
  <c r="D51" i="60" s="1"/>
  <c r="D52" i="60" s="1"/>
  <c r="D53" i="60" s="1"/>
  <c r="D54" i="60" s="1"/>
  <c r="D55" i="60" s="1"/>
  <c r="D56" i="60" s="1"/>
  <c r="D57" i="60" s="1"/>
  <c r="D58" i="60" s="1"/>
  <c r="D59" i="60" s="1"/>
  <c r="D60" i="60" s="1"/>
  <c r="D61" i="60" s="1"/>
  <c r="D62" i="60" s="1"/>
  <c r="D63" i="60" s="1"/>
  <c r="D64" i="60" s="1"/>
  <c r="D65" i="60" s="1"/>
  <c r="D66" i="60" s="1"/>
  <c r="D67" i="60" s="1"/>
  <c r="D68" i="60" s="1"/>
  <c r="D69" i="60" s="1"/>
  <c r="D70" i="60" s="1"/>
  <c r="E11" i="60"/>
  <c r="E12" i="60" s="1"/>
  <c r="E13" i="60" s="1"/>
  <c r="E14" i="60" s="1"/>
  <c r="E15" i="60" s="1"/>
  <c r="E16" i="60" s="1"/>
  <c r="E17" i="60" s="1"/>
  <c r="E18" i="60" s="1"/>
  <c r="E19" i="60" s="1"/>
  <c r="E20" i="60" s="1"/>
  <c r="E21" i="60" s="1"/>
  <c r="E22" i="60" s="1"/>
  <c r="W18" i="57"/>
  <c r="L141" i="12"/>
  <c r="L142" i="12" s="1"/>
  <c r="A115" i="12"/>
  <c r="A116" i="12" s="1"/>
  <c r="A117" i="12" s="1"/>
  <c r="A118" i="12" s="1"/>
  <c r="A119" i="12" s="1"/>
  <c r="A121" i="12" s="1"/>
  <c r="A122" i="12" s="1"/>
  <c r="A123" i="12" s="1"/>
  <c r="A124" i="12" s="1"/>
  <c r="A126" i="12" s="1"/>
  <c r="A127" i="12" s="1"/>
  <c r="A128" i="12" s="1"/>
  <c r="A129" i="12" s="1"/>
  <c r="A131" i="12" s="1"/>
  <c r="A132" i="12" s="1"/>
  <c r="A133" i="12" s="1"/>
  <c r="A134" i="12" s="1"/>
  <c r="A136" i="12" s="1"/>
  <c r="A137" i="12" s="1"/>
  <c r="A138" i="12" s="1"/>
  <c r="A140" i="12" s="1"/>
  <c r="A141" i="12" s="1"/>
  <c r="A142" i="12" s="1"/>
  <c r="E47" i="81"/>
  <c r="F46" i="81" s="1"/>
  <c r="G46" i="81" s="1"/>
  <c r="D48" i="16"/>
  <c r="F106" i="81"/>
  <c r="D103" i="81"/>
  <c r="E51" i="29"/>
  <c r="F51" i="29" s="1"/>
  <c r="E52" i="81"/>
  <c r="F52" i="81" s="1"/>
  <c r="D29" i="81"/>
  <c r="E51" i="81"/>
  <c r="F51" i="81" s="1"/>
  <c r="D48" i="81"/>
  <c r="E51" i="16"/>
  <c r="F51" i="16" s="1"/>
  <c r="D28" i="29"/>
  <c r="C40" i="16"/>
  <c r="E47" i="29"/>
  <c r="E102" i="81"/>
  <c r="F52" i="29"/>
  <c r="D48" i="29"/>
  <c r="C40" i="29"/>
  <c r="C95" i="81"/>
  <c r="C93" i="81"/>
  <c r="E46" i="29"/>
  <c r="E101" i="81"/>
  <c r="E47" i="16"/>
  <c r="F46" i="16" s="1"/>
  <c r="G46" i="16" s="1"/>
  <c r="D29" i="29"/>
  <c r="F52" i="16"/>
  <c r="H25" i="63"/>
  <c r="AJ25" i="63" s="1"/>
  <c r="H24" i="63"/>
  <c r="AJ24" i="63" s="1"/>
  <c r="D84" i="81"/>
  <c r="E107" i="81"/>
  <c r="F107" i="81" s="1"/>
  <c r="C40" i="81"/>
  <c r="A49" i="63"/>
  <c r="BE18" i="58"/>
  <c r="BC17" i="58"/>
  <c r="BB19" i="58"/>
  <c r="BE13" i="58"/>
  <c r="BF12" i="58"/>
  <c r="A48" i="63"/>
  <c r="A50" i="63" s="1"/>
  <c r="E47" i="51"/>
  <c r="P47" i="47"/>
  <c r="E51" i="51"/>
  <c r="F51" i="51" s="1"/>
  <c r="P47" i="49"/>
  <c r="E51" i="47"/>
  <c r="F51" i="47" s="1"/>
  <c r="P212" i="81"/>
  <c r="C40" i="47"/>
  <c r="C38" i="47"/>
  <c r="O48" i="49"/>
  <c r="P46" i="49"/>
  <c r="D195" i="81"/>
  <c r="P217" i="81"/>
  <c r="Q217" i="81" s="1"/>
  <c r="P47" i="51"/>
  <c r="O48" i="47"/>
  <c r="P46" i="47"/>
  <c r="P52" i="47"/>
  <c r="Q52" i="47" s="1"/>
  <c r="D30" i="47"/>
  <c r="AG54" i="97" s="1"/>
  <c r="E211" i="81"/>
  <c r="D213" i="81"/>
  <c r="E212" i="81"/>
  <c r="W13" i="57"/>
  <c r="W14" i="57" s="1"/>
  <c r="X12" i="57"/>
  <c r="D30" i="49"/>
  <c r="AG57" i="97" s="1"/>
  <c r="P52" i="49"/>
  <c r="Q52" i="49" s="1"/>
  <c r="E52" i="49"/>
  <c r="F52" i="49" s="1"/>
  <c r="D28" i="49"/>
  <c r="P211" i="81"/>
  <c r="O213" i="81"/>
  <c r="N38" i="47"/>
  <c r="N40" i="47"/>
  <c r="P46" i="81"/>
  <c r="O48" i="81"/>
  <c r="E46" i="47"/>
  <c r="D48" i="47"/>
  <c r="E52" i="47"/>
  <c r="F52" i="47" s="1"/>
  <c r="D29" i="47"/>
  <c r="D28" i="47"/>
  <c r="N40" i="49"/>
  <c r="N38" i="49"/>
  <c r="C40" i="49"/>
  <c r="C38" i="49"/>
  <c r="N40" i="51"/>
  <c r="N38" i="51"/>
  <c r="P46" i="51"/>
  <c r="O48" i="51"/>
  <c r="C203" i="81"/>
  <c r="C205" i="81"/>
  <c r="E216" i="81"/>
  <c r="F216" i="81" s="1"/>
  <c r="C38" i="51"/>
  <c r="C40" i="51"/>
  <c r="P52" i="81"/>
  <c r="Q52" i="81" s="1"/>
  <c r="D30" i="81"/>
  <c r="D30" i="51"/>
  <c r="AG58" i="97" s="1"/>
  <c r="P52" i="51"/>
  <c r="Q52" i="51" s="1"/>
  <c r="D193" i="81"/>
  <c r="E217" i="81"/>
  <c r="F217" i="81" s="1"/>
  <c r="D194" i="81"/>
  <c r="E52" i="51"/>
  <c r="F52" i="51" s="1"/>
  <c r="D28" i="51"/>
  <c r="D29" i="51"/>
  <c r="D48" i="51"/>
  <c r="E46" i="51"/>
  <c r="E47" i="47"/>
  <c r="E46" i="49"/>
  <c r="D48" i="49"/>
  <c r="E47" i="49"/>
  <c r="E51" i="49"/>
  <c r="F51" i="49" s="1"/>
  <c r="N205" i="81"/>
  <c r="N203" i="81"/>
  <c r="V17" i="57"/>
  <c r="U19" i="57"/>
  <c r="U21" i="57" s="1"/>
  <c r="U26" i="57" s="1"/>
  <c r="P47" i="81"/>
  <c r="N38" i="81"/>
  <c r="N40" i="81"/>
  <c r="E157" i="80"/>
  <c r="F46" i="38"/>
  <c r="G46" i="38" s="1"/>
  <c r="Q46" i="39"/>
  <c r="R46" i="39" s="1"/>
  <c r="E161" i="81"/>
  <c r="F161" i="81" s="1"/>
  <c r="E161" i="80"/>
  <c r="F161" i="80" s="1"/>
  <c r="P102" i="81"/>
  <c r="F46" i="36"/>
  <c r="G46" i="36" s="1"/>
  <c r="F210" i="80"/>
  <c r="G210" i="80" s="1"/>
  <c r="E47" i="35"/>
  <c r="P47" i="29"/>
  <c r="F46" i="39"/>
  <c r="G46" i="39" s="1"/>
  <c r="P157" i="80"/>
  <c r="P157" i="81"/>
  <c r="N38" i="35"/>
  <c r="N40" i="35"/>
  <c r="P162" i="80"/>
  <c r="Q162" i="80" s="1"/>
  <c r="D140" i="80"/>
  <c r="L142" i="1"/>
  <c r="C150" i="81"/>
  <c r="C148" i="81"/>
  <c r="N40" i="29"/>
  <c r="N38" i="29"/>
  <c r="D85" i="81"/>
  <c r="P107" i="81"/>
  <c r="Q107" i="81" s="1"/>
  <c r="T23" i="60"/>
  <c r="C24" i="60"/>
  <c r="O48" i="35"/>
  <c r="P46" i="35"/>
  <c r="O158" i="80"/>
  <c r="P156" i="80"/>
  <c r="E157" i="81"/>
  <c r="O48" i="29"/>
  <c r="P46" i="29"/>
  <c r="N95" i="81"/>
  <c r="N93" i="81"/>
  <c r="Q46" i="36"/>
  <c r="R46" i="36" s="1"/>
  <c r="P52" i="35"/>
  <c r="Q52" i="35" s="1"/>
  <c r="D30" i="35"/>
  <c r="AJ57" i="96" s="1"/>
  <c r="Q210" i="80"/>
  <c r="R210" i="80" s="1"/>
  <c r="N148" i="80"/>
  <c r="N150" i="80"/>
  <c r="D28" i="35"/>
  <c r="E52" i="35"/>
  <c r="F52" i="35" s="1"/>
  <c r="D48" i="35"/>
  <c r="E46" i="35"/>
  <c r="Q46" i="38"/>
  <c r="R46" i="38" s="1"/>
  <c r="D139" i="81"/>
  <c r="E162" i="81"/>
  <c r="F162" i="81" s="1"/>
  <c r="D138" i="81"/>
  <c r="Q101" i="80"/>
  <c r="R101" i="80" s="1"/>
  <c r="D30" i="29"/>
  <c r="P52" i="29"/>
  <c r="Q52" i="29" s="1"/>
  <c r="C148" i="80"/>
  <c r="C150" i="80"/>
  <c r="D158" i="80"/>
  <c r="E156" i="80"/>
  <c r="P156" i="81"/>
  <c r="O158" i="81"/>
  <c r="P162" i="81"/>
  <c r="Q162" i="81" s="1"/>
  <c r="D140" i="81"/>
  <c r="N148" i="81"/>
  <c r="N150" i="81"/>
  <c r="P101" i="81"/>
  <c r="O103" i="81"/>
  <c r="T26" i="57"/>
  <c r="G7" i="60"/>
  <c r="F7" i="60"/>
  <c r="P47" i="35"/>
  <c r="E51" i="35"/>
  <c r="F51" i="35" s="1"/>
  <c r="C38" i="35"/>
  <c r="C40" i="35"/>
  <c r="D158" i="81"/>
  <c r="E156" i="81"/>
  <c r="E162" i="80"/>
  <c r="F162" i="80" s="1"/>
  <c r="D139" i="80"/>
  <c r="D138" i="80"/>
  <c r="AB47" i="97" l="1"/>
  <c r="AG22" i="97"/>
  <c r="AG28" i="97"/>
  <c r="AB99" i="97"/>
  <c r="AB104" i="97"/>
  <c r="AG24" i="97"/>
  <c r="AJ61" i="63"/>
  <c r="AJ60" i="63"/>
  <c r="AJ58" i="63"/>
  <c r="AJ25" i="96"/>
  <c r="AJ24" i="96"/>
  <c r="AO29" i="96"/>
  <c r="AK29" i="96"/>
  <c r="AJ29" i="63"/>
  <c r="G94" i="62"/>
  <c r="AF94" i="62" s="1"/>
  <c r="G98" i="62"/>
  <c r="AF98" i="62" s="1"/>
  <c r="AF90" i="62"/>
  <c r="G96" i="62"/>
  <c r="AF96" i="62" s="1"/>
  <c r="AF88" i="62"/>
  <c r="G95" i="62"/>
  <c r="AF95" i="62" s="1"/>
  <c r="AF87" i="62"/>
  <c r="H57" i="62"/>
  <c r="H28" i="62"/>
  <c r="AG28" i="62" s="1"/>
  <c r="H57" i="63"/>
  <c r="H22" i="62"/>
  <c r="AG22" i="62" s="1"/>
  <c r="H24" i="62"/>
  <c r="AG24" i="62" s="1"/>
  <c r="H58" i="62"/>
  <c r="H54" i="62"/>
  <c r="H26" i="62"/>
  <c r="AG26" i="62" s="1"/>
  <c r="H25" i="62"/>
  <c r="AG25" i="62" s="1"/>
  <c r="V11" i="60"/>
  <c r="BF18" i="58"/>
  <c r="F46" i="29"/>
  <c r="G46" i="29" s="1"/>
  <c r="F101" i="81"/>
  <c r="G101" i="81" s="1"/>
  <c r="H27" i="63"/>
  <c r="AJ27" i="63" s="1"/>
  <c r="H26" i="63"/>
  <c r="H11" i="63"/>
  <c r="AJ11" i="63" s="1"/>
  <c r="H9" i="63"/>
  <c r="Q211" i="81"/>
  <c r="R211" i="81" s="1"/>
  <c r="BG12" i="58"/>
  <c r="BF13" i="58"/>
  <c r="BF14" i="58" s="1"/>
  <c r="BE14" i="58"/>
  <c r="BD17" i="58"/>
  <c r="BC19" i="58"/>
  <c r="A51" i="63"/>
  <c r="Q46" i="49"/>
  <c r="R46" i="49" s="1"/>
  <c r="F46" i="51"/>
  <c r="G46" i="51" s="1"/>
  <c r="Q46" i="47"/>
  <c r="R46" i="47" s="1"/>
  <c r="F211" i="81"/>
  <c r="G211" i="81" s="1"/>
  <c r="Q46" i="51"/>
  <c r="R46" i="51" s="1"/>
  <c r="F46" i="47"/>
  <c r="G46" i="47" s="1"/>
  <c r="Y12" i="57"/>
  <c r="X13" i="57"/>
  <c r="X14" i="57" s="1"/>
  <c r="X18" i="57"/>
  <c r="W17" i="57"/>
  <c r="V19" i="57"/>
  <c r="V21" i="57" s="1"/>
  <c r="F46" i="49"/>
  <c r="G46" i="49" s="1"/>
  <c r="Q46" i="81"/>
  <c r="R46" i="81" s="1"/>
  <c r="F156" i="80"/>
  <c r="G156" i="80" s="1"/>
  <c r="Q101" i="81"/>
  <c r="R101" i="81" s="1"/>
  <c r="Q156" i="81"/>
  <c r="R156" i="81" s="1"/>
  <c r="F46" i="35"/>
  <c r="G46" i="35" s="1"/>
  <c r="Q46" i="29"/>
  <c r="R46" i="29" s="1"/>
  <c r="Q156" i="80"/>
  <c r="R156" i="80" s="1"/>
  <c r="Q46" i="35"/>
  <c r="R46" i="35" s="1"/>
  <c r="F156" i="81"/>
  <c r="G156" i="81" s="1"/>
  <c r="U12" i="60"/>
  <c r="F12" i="60"/>
  <c r="V12" i="60"/>
  <c r="F13" i="60"/>
  <c r="U13" i="60"/>
  <c r="T24" i="60"/>
  <c r="L117" i="12" s="1"/>
  <c r="L119" i="12" s="1"/>
  <c r="C25" i="60"/>
  <c r="U11" i="60"/>
  <c r="W11" i="60" s="1"/>
  <c r="F11" i="60"/>
  <c r="AH22" i="97" l="1"/>
  <c r="AH24" i="97"/>
  <c r="AL24" i="97"/>
  <c r="AB49" i="97"/>
  <c r="AF47" i="97"/>
  <c r="AF104" i="97"/>
  <c r="AF99" i="97"/>
  <c r="AG25" i="97"/>
  <c r="AL28" i="97"/>
  <c r="AH28" i="97"/>
  <c r="AG26" i="97"/>
  <c r="AG57" i="62"/>
  <c r="AG54" i="62"/>
  <c r="AG58" i="62"/>
  <c r="AJ57" i="63"/>
  <c r="AK24" i="96"/>
  <c r="AJ26" i="96"/>
  <c r="AP26" i="96"/>
  <c r="AJ27" i="96"/>
  <c r="AJ9" i="96"/>
  <c r="AP9" i="96"/>
  <c r="AK25" i="96"/>
  <c r="AO25" i="96"/>
  <c r="AJ11" i="96"/>
  <c r="AJ9" i="63"/>
  <c r="AJ26" i="63"/>
  <c r="BE17" i="58"/>
  <c r="BD19" i="58"/>
  <c r="BG13" i="58"/>
  <c r="BG14" i="58" s="1"/>
  <c r="BH12" i="58"/>
  <c r="BG18" i="58"/>
  <c r="A52" i="63"/>
  <c r="W12" i="60"/>
  <c r="Y13" i="57"/>
  <c r="Z12" i="57"/>
  <c r="X17" i="57"/>
  <c r="W19" i="57"/>
  <c r="W21" i="57" s="1"/>
  <c r="W26" i="57" s="1"/>
  <c r="Y18" i="57"/>
  <c r="V13" i="60"/>
  <c r="F14" i="60"/>
  <c r="U14" i="60"/>
  <c r="C26" i="60"/>
  <c r="T25" i="60"/>
  <c r="V26" i="57"/>
  <c r="AL25" i="97" l="1"/>
  <c r="AH25" i="97"/>
  <c r="AB105" i="97"/>
  <c r="AB51" i="97"/>
  <c r="AB52" i="97"/>
  <c r="AB40" i="97"/>
  <c r="AL26" i="97"/>
  <c r="AH26" i="97"/>
  <c r="AF49" i="97"/>
  <c r="AL22" i="97"/>
  <c r="AO27" i="96"/>
  <c r="AK27" i="96"/>
  <c r="AO26" i="96"/>
  <c r="AK26" i="96"/>
  <c r="AK38" i="96"/>
  <c r="AK9" i="96"/>
  <c r="AO24" i="96"/>
  <c r="AO11" i="96"/>
  <c r="AK11" i="96"/>
  <c r="BH18" i="58"/>
  <c r="BH13" i="58"/>
  <c r="BH14" i="58" s="1"/>
  <c r="BI12" i="58"/>
  <c r="BF17" i="58"/>
  <c r="BE19" i="58"/>
  <c r="Y14" i="57"/>
  <c r="M40" i="57"/>
  <c r="A53" i="63"/>
  <c r="Z13" i="57"/>
  <c r="AA12" i="57"/>
  <c r="Z18" i="57"/>
  <c r="Y17" i="57"/>
  <c r="X19" i="57"/>
  <c r="X21" i="57" s="1"/>
  <c r="C27" i="60"/>
  <c r="T26" i="60"/>
  <c r="W13" i="60"/>
  <c r="U15" i="60"/>
  <c r="CK13" i="57"/>
  <c r="CI13" i="57"/>
  <c r="CJ13" i="57"/>
  <c r="D15" i="48"/>
  <c r="E15" i="48" s="1"/>
  <c r="V14" i="60"/>
  <c r="W14" i="60" s="1"/>
  <c r="F15" i="60"/>
  <c r="AF105" i="97" l="1"/>
  <c r="AF40" i="97"/>
  <c r="AF51" i="97"/>
  <c r="AO9" i="96"/>
  <c r="AK12" i="96"/>
  <c r="AO38" i="96"/>
  <c r="BI13" i="58"/>
  <c r="BI14" i="58" s="1"/>
  <c r="BJ12" i="58"/>
  <c r="BG17" i="58"/>
  <c r="BF19" i="58"/>
  <c r="BI18" i="58"/>
  <c r="M53" i="57"/>
  <c r="M43" i="57"/>
  <c r="M41" i="57"/>
  <c r="Z14" i="57"/>
  <c r="A54" i="63"/>
  <c r="AA13" i="57"/>
  <c r="AA14" i="57" s="1"/>
  <c r="AB12" i="57"/>
  <c r="Z17" i="57"/>
  <c r="Y19" i="57"/>
  <c r="Y21" i="57" s="1"/>
  <c r="AA18" i="57"/>
  <c r="CJ17" i="57"/>
  <c r="CJ16" i="57"/>
  <c r="CJ15" i="57"/>
  <c r="X26" i="57"/>
  <c r="CI16" i="57"/>
  <c r="CI15" i="57"/>
  <c r="CI17" i="57"/>
  <c r="C28" i="60"/>
  <c r="T27" i="60"/>
  <c r="CK16" i="57"/>
  <c r="CK17" i="57"/>
  <c r="CK15" i="57"/>
  <c r="U16" i="60"/>
  <c r="V15" i="60"/>
  <c r="AK44" i="96" l="1"/>
  <c r="AK40" i="96"/>
  <c r="AJ12" i="96"/>
  <c r="AO115" i="96"/>
  <c r="N115" i="96" s="1"/>
  <c r="AO12" i="96"/>
  <c r="AB18" i="57"/>
  <c r="BJ18" i="58"/>
  <c r="BH17" i="58"/>
  <c r="BG19" i="58"/>
  <c r="BK12" i="58"/>
  <c r="BJ13" i="58"/>
  <c r="M44" i="57"/>
  <c r="M54" i="57"/>
  <c r="A56" i="63"/>
  <c r="AA17" i="57"/>
  <c r="Z19" i="57"/>
  <c r="Z21" i="57" s="1"/>
  <c r="AB13" i="57"/>
  <c r="AB14" i="57" s="1"/>
  <c r="AC12" i="57"/>
  <c r="CI21" i="57"/>
  <c r="CI22" i="57" s="1"/>
  <c r="CJ21" i="57"/>
  <c r="CJ22" i="57" s="1"/>
  <c r="Y26" i="57"/>
  <c r="CI26" i="57" s="1"/>
  <c r="CK21" i="57"/>
  <c r="CK22" i="57" s="1"/>
  <c r="W15" i="60"/>
  <c r="V16" i="60"/>
  <c r="W16" i="60" s="1"/>
  <c r="U17" i="60"/>
  <c r="F16" i="60"/>
  <c r="C29" i="60"/>
  <c r="T28" i="60"/>
  <c r="AL66" i="97" l="1"/>
  <c r="AH66" i="97"/>
  <c r="AH65" i="97"/>
  <c r="AL65" i="97"/>
  <c r="AL30" i="97"/>
  <c r="AH30" i="97"/>
  <c r="AO44" i="96"/>
  <c r="AO40" i="96"/>
  <c r="BK18" i="58"/>
  <c r="BJ14" i="58"/>
  <c r="CJ26" i="57"/>
  <c r="BK13" i="58"/>
  <c r="BK14" i="58" s="1"/>
  <c r="BL12" i="58"/>
  <c r="BI17" i="58"/>
  <c r="BH19" i="58"/>
  <c r="CL13" i="57"/>
  <c r="CL17" i="57" s="1"/>
  <c r="CK26" i="57"/>
  <c r="A57" i="63"/>
  <c r="AC18" i="57"/>
  <c r="AC13" i="57"/>
  <c r="AC14" i="57" s="1"/>
  <c r="AD12" i="57"/>
  <c r="AB17" i="57"/>
  <c r="AA19" i="57"/>
  <c r="AA21" i="57" s="1"/>
  <c r="AA26" i="57" s="1"/>
  <c r="V17" i="60"/>
  <c r="W17" i="60" s="1"/>
  <c r="F18" i="60"/>
  <c r="U18" i="60"/>
  <c r="CH13" i="57"/>
  <c r="Z26" i="57"/>
  <c r="F17" i="60"/>
  <c r="C30" i="60"/>
  <c r="T29" i="60"/>
  <c r="AH58" i="97" l="1"/>
  <c r="AH57" i="97"/>
  <c r="AO112" i="96"/>
  <c r="N112" i="96" s="1"/>
  <c r="N114" i="96" s="1"/>
  <c r="CL15" i="57"/>
  <c r="BJ17" i="58"/>
  <c r="BI19" i="58"/>
  <c r="BL13" i="58"/>
  <c r="BM12" i="58"/>
  <c r="BL18" i="58"/>
  <c r="CL16" i="57"/>
  <c r="A58" i="63"/>
  <c r="AD13" i="57"/>
  <c r="AD14" i="57" s="1"/>
  <c r="AE12" i="57"/>
  <c r="AC17" i="57"/>
  <c r="AB19" i="57"/>
  <c r="AB21" i="57" s="1"/>
  <c r="AD18" i="57"/>
  <c r="C31" i="60"/>
  <c r="T30" i="60"/>
  <c r="CH16" i="57"/>
  <c r="U19" i="60"/>
  <c r="V18" i="60"/>
  <c r="W18" i="60" s="1"/>
  <c r="AL57" i="97" l="1"/>
  <c r="AH62" i="97"/>
  <c r="AL58" i="97"/>
  <c r="AH54" i="97"/>
  <c r="AO116" i="96"/>
  <c r="N116" i="96" s="1"/>
  <c r="N117" i="96" s="1"/>
  <c r="AO114" i="96"/>
  <c r="N119" i="96"/>
  <c r="BM13" i="58"/>
  <c r="BM14" i="58" s="1"/>
  <c r="BN12" i="58"/>
  <c r="BM18" i="58"/>
  <c r="BL14" i="58"/>
  <c r="BK17" i="58"/>
  <c r="BJ19" i="58"/>
  <c r="AE18" i="57"/>
  <c r="A59" i="63"/>
  <c r="AD17" i="57"/>
  <c r="AC19" i="57"/>
  <c r="AC21" i="57" s="1"/>
  <c r="AC26" i="57" s="1"/>
  <c r="AF12" i="57"/>
  <c r="AE13" i="57"/>
  <c r="AE14" i="57" s="1"/>
  <c r="V19" i="60"/>
  <c r="W19" i="60" s="1"/>
  <c r="C32" i="60"/>
  <c r="T31" i="60"/>
  <c r="F19" i="60"/>
  <c r="CH21" i="57"/>
  <c r="AB26" i="57"/>
  <c r="CL21" i="57"/>
  <c r="CL22" i="57" s="1"/>
  <c r="G55" i="52"/>
  <c r="U20" i="60"/>
  <c r="AL62" i="97" l="1"/>
  <c r="AL54" i="97"/>
  <c r="O119" i="96"/>
  <c r="BN18" i="58"/>
  <c r="BL17" i="58"/>
  <c r="BK19" i="58"/>
  <c r="BN13" i="58"/>
  <c r="BO12" i="58"/>
  <c r="A60" i="63"/>
  <c r="AG12" i="57"/>
  <c r="AF13" i="57"/>
  <c r="AF14" i="57" s="1"/>
  <c r="AF18" i="57"/>
  <c r="AE17" i="57"/>
  <c r="AD19" i="57"/>
  <c r="AD21" i="57" s="1"/>
  <c r="AD26" i="57" s="1"/>
  <c r="C33" i="60"/>
  <c r="T32" i="60"/>
  <c r="CH23" i="57"/>
  <c r="CH28" i="57" s="1"/>
  <c r="CH26" i="57"/>
  <c r="V20" i="60"/>
  <c r="W20" i="60" s="1"/>
  <c r="F21" i="60"/>
  <c r="G65" i="52"/>
  <c r="M137" i="12" s="1"/>
  <c r="G60" i="52"/>
  <c r="M137" i="1" s="1"/>
  <c r="U21" i="60"/>
  <c r="F20" i="60"/>
  <c r="BO18" i="58" l="1"/>
  <c r="M138" i="12"/>
  <c r="F65" i="62"/>
  <c r="AE65" i="62" s="1"/>
  <c r="F68" i="63"/>
  <c r="AH68" i="63" s="1"/>
  <c r="BN14" i="58"/>
  <c r="BO13" i="58"/>
  <c r="BO14" i="58" s="1"/>
  <c r="BP12" i="58"/>
  <c r="BM17" i="58"/>
  <c r="BL19" i="58"/>
  <c r="AG18" i="57"/>
  <c r="A61" i="63"/>
  <c r="AF17" i="57"/>
  <c r="AE19" i="57"/>
  <c r="AE21" i="57" s="1"/>
  <c r="AE26" i="57" s="1"/>
  <c r="AG13" i="57"/>
  <c r="AG14" i="57" s="1"/>
  <c r="AH12" i="57"/>
  <c r="M138" i="1"/>
  <c r="H22" i="60"/>
  <c r="U22" i="60"/>
  <c r="G22" i="60"/>
  <c r="T33" i="60"/>
  <c r="C34" i="60"/>
  <c r="L55" i="52"/>
  <c r="K55" i="52"/>
  <c r="V21" i="60"/>
  <c r="W21" i="60" s="1"/>
  <c r="V22" i="60"/>
  <c r="BP18" i="58" l="1"/>
  <c r="F67" i="62"/>
  <c r="AE67" i="62" s="1"/>
  <c r="G65" i="62"/>
  <c r="AF65" i="62" s="1"/>
  <c r="F70" i="63"/>
  <c r="AH70" i="63" s="1"/>
  <c r="G68" i="63"/>
  <c r="AI68" i="63" s="1"/>
  <c r="BN17" i="58"/>
  <c r="BM19" i="58"/>
  <c r="BP13" i="58"/>
  <c r="BP14" i="58" s="1"/>
  <c r="BQ12" i="58"/>
  <c r="A62" i="63"/>
  <c r="A64" i="63" s="1"/>
  <c r="A65" i="63" s="1"/>
  <c r="A66" i="63" s="1"/>
  <c r="A67" i="63" s="1"/>
  <c r="A68" i="63" s="1"/>
  <c r="A69" i="63" s="1"/>
  <c r="A70" i="63" s="1"/>
  <c r="A72" i="63" s="1"/>
  <c r="A73" i="63" s="1"/>
  <c r="A74" i="63" s="1"/>
  <c r="A75" i="63" s="1"/>
  <c r="A76" i="63" s="1"/>
  <c r="A77" i="63" s="1"/>
  <c r="A78" i="63" s="1"/>
  <c r="A80" i="63" s="1"/>
  <c r="A81" i="63" s="1"/>
  <c r="A82" i="63" s="1"/>
  <c r="A83" i="63" s="1"/>
  <c r="A84" i="63" s="1"/>
  <c r="A85" i="63" s="1"/>
  <c r="A86" i="63" s="1"/>
  <c r="A88" i="63" s="1"/>
  <c r="A89" i="63" s="1"/>
  <c r="A90" i="63" s="1"/>
  <c r="A91" i="63" s="1"/>
  <c r="A92" i="63" s="1"/>
  <c r="A93" i="63" s="1"/>
  <c r="A94" i="63" s="1"/>
  <c r="A96" i="63" s="1"/>
  <c r="A97" i="63" s="1"/>
  <c r="A98" i="63" s="1"/>
  <c r="A99" i="63" s="1"/>
  <c r="A100" i="63" s="1"/>
  <c r="A101" i="63" s="1"/>
  <c r="A102" i="63" s="1"/>
  <c r="AG17" i="57"/>
  <c r="AF19" i="57"/>
  <c r="AF21" i="57" s="1"/>
  <c r="AF26" i="57" s="1"/>
  <c r="AI12" i="57"/>
  <c r="AH13" i="57"/>
  <c r="AH14" i="57" s="1"/>
  <c r="AH18" i="57"/>
  <c r="K65" i="52"/>
  <c r="K60" i="52"/>
  <c r="M141" i="1" s="1"/>
  <c r="C35" i="60"/>
  <c r="T34" i="60"/>
  <c r="F22" i="60"/>
  <c r="W22" i="60"/>
  <c r="L65" i="52"/>
  <c r="L60" i="52"/>
  <c r="U23" i="60"/>
  <c r="G70" i="63" l="1"/>
  <c r="AI70" i="63" s="1"/>
  <c r="G67" i="62"/>
  <c r="AF67" i="62" s="1"/>
  <c r="F46" i="62"/>
  <c r="AE46" i="62" s="1"/>
  <c r="F48" i="63"/>
  <c r="AH48" i="63" s="1"/>
  <c r="M141" i="12"/>
  <c r="F76" i="63"/>
  <c r="AH76" i="63" s="1"/>
  <c r="BO17" i="58"/>
  <c r="BN19" i="58"/>
  <c r="BQ13" i="58"/>
  <c r="BR12" i="58"/>
  <c r="BQ18" i="58"/>
  <c r="A104" i="63"/>
  <c r="A105" i="63"/>
  <c r="AI18" i="57"/>
  <c r="AI13" i="57"/>
  <c r="AI14" i="57" s="1"/>
  <c r="AJ12" i="57"/>
  <c r="AH17" i="57"/>
  <c r="AG19" i="57"/>
  <c r="AG21" i="57" s="1"/>
  <c r="AG26" i="57" s="1"/>
  <c r="U24" i="60"/>
  <c r="L122" i="12" s="1"/>
  <c r="L124" i="12" s="1"/>
  <c r="C36" i="60"/>
  <c r="T35" i="60"/>
  <c r="M142" i="1"/>
  <c r="G48" i="63" l="1"/>
  <c r="AI48" i="63" s="1"/>
  <c r="G46" i="62"/>
  <c r="AF46" i="62" s="1"/>
  <c r="M142" i="12"/>
  <c r="F73" i="62"/>
  <c r="AE73" i="62" s="1"/>
  <c r="F78" i="63"/>
  <c r="AH78" i="63" s="1"/>
  <c r="G76" i="63"/>
  <c r="AI76" i="63" s="1"/>
  <c r="F92" i="63"/>
  <c r="AH92" i="63" s="1"/>
  <c r="BS12" i="58"/>
  <c r="BR13" i="58"/>
  <c r="BR14" i="58" s="1"/>
  <c r="BP17" i="58"/>
  <c r="BO19" i="58"/>
  <c r="BR18" i="58"/>
  <c r="BQ14" i="58"/>
  <c r="A106" i="63"/>
  <c r="A107" i="63" s="1"/>
  <c r="A108" i="63" s="1"/>
  <c r="A110" i="63" s="1"/>
  <c r="A111" i="63" s="1"/>
  <c r="A112" i="63" s="1"/>
  <c r="A113" i="63" s="1"/>
  <c r="A114" i="63" s="1"/>
  <c r="A115" i="63" s="1"/>
  <c r="A116" i="63" s="1"/>
  <c r="AK12" i="57"/>
  <c r="AJ13" i="57"/>
  <c r="AJ14" i="57" s="1"/>
  <c r="AI17" i="57"/>
  <c r="AH19" i="57"/>
  <c r="AH21" i="57" s="1"/>
  <c r="AH26" i="57" s="1"/>
  <c r="AJ18" i="57"/>
  <c r="U25" i="60"/>
  <c r="X24" i="60"/>
  <c r="T36" i="60"/>
  <c r="M117" i="12" s="1"/>
  <c r="M119" i="12" s="1"/>
  <c r="C37" i="60"/>
  <c r="F75" i="62" l="1"/>
  <c r="AE75" i="62" s="1"/>
  <c r="F89" i="62"/>
  <c r="AE89" i="62" s="1"/>
  <c r="G73" i="62"/>
  <c r="AF73" i="62" s="1"/>
  <c r="F94" i="63"/>
  <c r="AH94" i="63" s="1"/>
  <c r="BS18" i="58"/>
  <c r="G78" i="63"/>
  <c r="AI78" i="63" s="1"/>
  <c r="F100" i="63"/>
  <c r="AH100" i="63" s="1"/>
  <c r="AK18" i="57"/>
  <c r="BQ17" i="58"/>
  <c r="BP19" i="58"/>
  <c r="BS13" i="58"/>
  <c r="BS14" i="58" s="1"/>
  <c r="BT12" i="58"/>
  <c r="AJ17" i="57"/>
  <c r="AI19" i="57"/>
  <c r="AI21" i="57" s="1"/>
  <c r="AI26" i="57" s="1"/>
  <c r="AL12" i="57"/>
  <c r="AK13" i="57"/>
  <c r="C38" i="60"/>
  <c r="T37" i="60"/>
  <c r="U26" i="60"/>
  <c r="G75" i="62" l="1"/>
  <c r="AF75" i="62" s="1"/>
  <c r="F91" i="62"/>
  <c r="AE91" i="62" s="1"/>
  <c r="F97" i="62"/>
  <c r="AE97" i="62" s="1"/>
  <c r="F102" i="63"/>
  <c r="AH102" i="63" s="1"/>
  <c r="F51" i="63"/>
  <c r="AH51" i="63" s="1"/>
  <c r="BT13" i="58"/>
  <c r="BT14" i="58" s="1"/>
  <c r="BU12" i="58"/>
  <c r="BR17" i="58"/>
  <c r="BQ19" i="58"/>
  <c r="BT18" i="58"/>
  <c r="AK14" i="57"/>
  <c r="N40" i="57"/>
  <c r="AL13" i="57"/>
  <c r="AM12" i="57"/>
  <c r="AK17" i="57"/>
  <c r="AJ19" i="57"/>
  <c r="AJ21" i="57" s="1"/>
  <c r="AJ26" i="57" s="1"/>
  <c r="AL18" i="57"/>
  <c r="D16" i="48"/>
  <c r="E16" i="48" s="1"/>
  <c r="U27" i="60"/>
  <c r="T38" i="60"/>
  <c r="C39" i="60"/>
  <c r="F99" i="62" l="1"/>
  <c r="AE99" i="62" s="1"/>
  <c r="F47" i="62"/>
  <c r="AE47" i="62" s="1"/>
  <c r="F54" i="63"/>
  <c r="AH54" i="63" s="1"/>
  <c r="F108" i="63"/>
  <c r="AH108" i="63" s="1"/>
  <c r="BU18" i="58"/>
  <c r="BS17" i="58"/>
  <c r="BR19" i="58"/>
  <c r="BV12" i="58"/>
  <c r="BU13" i="58"/>
  <c r="BU14" i="58" s="1"/>
  <c r="AM18" i="57"/>
  <c r="AL14" i="57"/>
  <c r="N43" i="57"/>
  <c r="N53" i="57"/>
  <c r="N41" i="57"/>
  <c r="AL17" i="57"/>
  <c r="AK19" i="57"/>
  <c r="AK21" i="57" s="1"/>
  <c r="AK26" i="57" s="1"/>
  <c r="AM13" i="57"/>
  <c r="AM14" i="57" s="1"/>
  <c r="AN12" i="57"/>
  <c r="C40" i="60"/>
  <c r="T39" i="60"/>
  <c r="U13" i="48" a="1"/>
  <c r="D27" i="48"/>
  <c r="D26" i="48"/>
  <c r="D25" i="48"/>
  <c r="U6" i="48" a="1"/>
  <c r="U28" i="60"/>
  <c r="F49" i="62" l="1"/>
  <c r="AE49" i="62" s="1"/>
  <c r="F104" i="62"/>
  <c r="AE104" i="62" s="1"/>
  <c r="AN18" i="57"/>
  <c r="BV18" i="58"/>
  <c r="BW12" i="58"/>
  <c r="BV13" i="58"/>
  <c r="BT17" i="58"/>
  <c r="BS19" i="58"/>
  <c r="N54" i="57"/>
  <c r="N44" i="57"/>
  <c r="AO12" i="57"/>
  <c r="AN13" i="57"/>
  <c r="AM17" i="57"/>
  <c r="AL19" i="57"/>
  <c r="AL21" i="57" s="1"/>
  <c r="AL26" i="57" s="1"/>
  <c r="C41" i="60"/>
  <c r="T40" i="60"/>
  <c r="U29" i="60"/>
  <c r="U10" i="48"/>
  <c r="D46" i="48" s="1"/>
  <c r="V10" i="48"/>
  <c r="D47" i="48" s="1"/>
  <c r="V7" i="48"/>
  <c r="D51" i="48" s="1"/>
  <c r="U7" i="48"/>
  <c r="D52" i="48" s="1"/>
  <c r="U9" i="48"/>
  <c r="U6" i="48"/>
  <c r="C52" i="48" s="1"/>
  <c r="U8" i="48"/>
  <c r="C39" i="48" s="1"/>
  <c r="V9" i="48"/>
  <c r="C42" i="48" s="1"/>
  <c r="C47" i="48" s="1"/>
  <c r="C48" i="48" s="1"/>
  <c r="V6" i="48"/>
  <c r="C51" i="48" s="1"/>
  <c r="V8" i="48"/>
  <c r="C41" i="48" s="1"/>
  <c r="U15" i="48"/>
  <c r="N39" i="48" s="1"/>
  <c r="V15" i="48"/>
  <c r="N41" i="48" s="1"/>
  <c r="V14" i="48"/>
  <c r="V13" i="48"/>
  <c r="V17" i="48"/>
  <c r="O47" i="48" s="1"/>
  <c r="U13" i="48"/>
  <c r="N52" i="48" s="1"/>
  <c r="U17" i="48"/>
  <c r="O46" i="48" s="1"/>
  <c r="V16" i="48"/>
  <c r="N42" i="48" s="1"/>
  <c r="N47" i="48" s="1"/>
  <c r="N48" i="48" s="1"/>
  <c r="U14" i="48"/>
  <c r="O52" i="48" s="1"/>
  <c r="U16" i="48"/>
  <c r="F51" i="62" l="1"/>
  <c r="AE51" i="62" s="1"/>
  <c r="BV14" i="58"/>
  <c r="BU17" i="58"/>
  <c r="BT19" i="58"/>
  <c r="BW13" i="58"/>
  <c r="BW14" i="58" s="1"/>
  <c r="BX12" i="58"/>
  <c r="BW18" i="58"/>
  <c r="AN14" i="57"/>
  <c r="AO13" i="57"/>
  <c r="AO14" i="57" s="1"/>
  <c r="AP12" i="57"/>
  <c r="AN17" i="57"/>
  <c r="AM19" i="57"/>
  <c r="AM21" i="57" s="1"/>
  <c r="AM26" i="57" s="1"/>
  <c r="AO18" i="57"/>
  <c r="P47" i="48"/>
  <c r="E51" i="48"/>
  <c r="F51" i="48" s="1"/>
  <c r="E46" i="48"/>
  <c r="D48" i="48"/>
  <c r="D30" i="48"/>
  <c r="AG56" i="97" s="1"/>
  <c r="P52" i="48"/>
  <c r="Q52" i="48" s="1"/>
  <c r="U30" i="60"/>
  <c r="G30" i="60"/>
  <c r="CW12" i="57"/>
  <c r="C42" i="60"/>
  <c r="T41" i="60"/>
  <c r="P46" i="48"/>
  <c r="O48" i="48"/>
  <c r="N40" i="48"/>
  <c r="N38" i="48"/>
  <c r="C38" i="48"/>
  <c r="C40" i="48"/>
  <c r="D28" i="48"/>
  <c r="D29" i="48"/>
  <c r="E52" i="48"/>
  <c r="F52" i="48" s="1"/>
  <c r="E47" i="48"/>
  <c r="H56" i="62" l="1"/>
  <c r="F105" i="62"/>
  <c r="AE105" i="62" s="1"/>
  <c r="F40" i="62"/>
  <c r="AE40" i="62" s="1"/>
  <c r="BX18" i="58"/>
  <c r="BV17" i="58"/>
  <c r="BU19" i="58"/>
  <c r="BY12" i="58"/>
  <c r="BX13" i="58"/>
  <c r="AP18" i="57"/>
  <c r="AO17" i="57"/>
  <c r="AN19" i="57"/>
  <c r="AN21" i="57" s="1"/>
  <c r="AN26" i="57" s="1"/>
  <c r="AP13" i="57"/>
  <c r="AP14" i="57" s="1"/>
  <c r="AQ12" i="57"/>
  <c r="Q46" i="48"/>
  <c r="R46" i="48" s="1"/>
  <c r="CW18" i="57"/>
  <c r="U31" i="60"/>
  <c r="T42" i="60"/>
  <c r="C43" i="60"/>
  <c r="CW14" i="57"/>
  <c r="CW13" i="57"/>
  <c r="F46" i="48"/>
  <c r="G46" i="48" s="1"/>
  <c r="AG56" i="62" l="1"/>
  <c r="AQ18" i="57"/>
  <c r="BW17" i="58"/>
  <c r="BV19" i="58"/>
  <c r="BX14" i="58"/>
  <c r="BY13" i="58"/>
  <c r="BY14" i="58" s="1"/>
  <c r="BZ12" i="58"/>
  <c r="BY18" i="58"/>
  <c r="AQ13" i="57"/>
  <c r="AQ14" i="57" s="1"/>
  <c r="AR12" i="57"/>
  <c r="AP17" i="57"/>
  <c r="AO19" i="57"/>
  <c r="AO21" i="57" s="1"/>
  <c r="AO26" i="57" s="1"/>
  <c r="U32" i="60"/>
  <c r="C44" i="60"/>
  <c r="T43" i="60"/>
  <c r="CW17" i="57"/>
  <c r="G56" i="52"/>
  <c r="BZ18" i="58" l="1"/>
  <c r="BZ13" i="58"/>
  <c r="BZ14" i="58" s="1"/>
  <c r="CA12" i="58"/>
  <c r="BX17" i="58"/>
  <c r="BW19" i="58"/>
  <c r="AS12" i="57"/>
  <c r="AR13" i="57"/>
  <c r="AR14" i="57" s="1"/>
  <c r="AQ17" i="57"/>
  <c r="AP19" i="57"/>
  <c r="AP21" i="57" s="1"/>
  <c r="AP26" i="57" s="1"/>
  <c r="AR18" i="57"/>
  <c r="G66" i="52"/>
  <c r="G61" i="52"/>
  <c r="C45" i="60"/>
  <c r="T44" i="60"/>
  <c r="L56" i="52"/>
  <c r="K56" i="52"/>
  <c r="U33" i="60"/>
  <c r="AS18" i="57" l="1"/>
  <c r="BY17" i="58"/>
  <c r="BX19" i="58"/>
  <c r="CB12" i="58"/>
  <c r="CA13" i="58"/>
  <c r="CA18" i="58"/>
  <c r="AR17" i="57"/>
  <c r="AQ19" i="57"/>
  <c r="AQ21" i="57" s="1"/>
  <c r="AQ26" i="57" s="1"/>
  <c r="AS13" i="57"/>
  <c r="AS14" i="57" s="1"/>
  <c r="AT12" i="57"/>
  <c r="K61" i="52"/>
  <c r="K66" i="52"/>
  <c r="L61" i="52"/>
  <c r="L66" i="52"/>
  <c r="T45" i="60"/>
  <c r="C46" i="60"/>
  <c r="U34" i="60"/>
  <c r="G34" i="60"/>
  <c r="AT18" i="57" l="1"/>
  <c r="CB13" i="58"/>
  <c r="CB14" i="58" s="1"/>
  <c r="CC12" i="58"/>
  <c r="CB18" i="58"/>
  <c r="CA14" i="58"/>
  <c r="BZ17" i="58"/>
  <c r="BY19" i="58"/>
  <c r="AT13" i="57"/>
  <c r="AT14" i="57" s="1"/>
  <c r="AU12" i="57"/>
  <c r="AS17" i="57"/>
  <c r="AR19" i="57"/>
  <c r="AR21" i="57" s="1"/>
  <c r="AR26" i="57" s="1"/>
  <c r="E23" i="60"/>
  <c r="U35" i="60"/>
  <c r="T46" i="60"/>
  <c r="C47" i="60"/>
  <c r="CC18" i="58" l="1"/>
  <c r="CC13" i="58"/>
  <c r="CD12" i="58"/>
  <c r="CA17" i="58"/>
  <c r="BZ19" i="58"/>
  <c r="AU13" i="57"/>
  <c r="AU14" i="57" s="1"/>
  <c r="AV12" i="57"/>
  <c r="AT17" i="57"/>
  <c r="AS19" i="57"/>
  <c r="AS21" i="57" s="1"/>
  <c r="AS26" i="57" s="1"/>
  <c r="AU18" i="57"/>
  <c r="V23" i="60"/>
  <c r="W23" i="60" s="1"/>
  <c r="F23" i="60"/>
  <c r="T47" i="60"/>
  <c r="C48" i="60"/>
  <c r="G36" i="60"/>
  <c r="U36" i="60"/>
  <c r="M122" i="12" s="1"/>
  <c r="M124" i="12" s="1"/>
  <c r="E24" i="60"/>
  <c r="CD18" i="58" l="1"/>
  <c r="CB17" i="58"/>
  <c r="CA19" i="58"/>
  <c r="CD13" i="58"/>
  <c r="CD14" i="58" s="1"/>
  <c r="CE12" i="58"/>
  <c r="CC14" i="58"/>
  <c r="AV18" i="57"/>
  <c r="AW12" i="57"/>
  <c r="AV13" i="57"/>
  <c r="AV14" i="57" s="1"/>
  <c r="AU17" i="57"/>
  <c r="AT19" i="57"/>
  <c r="AT21" i="57" s="1"/>
  <c r="AT26" i="57" s="1"/>
  <c r="V24" i="60"/>
  <c r="L127" i="12" s="1"/>
  <c r="L129" i="12" s="1"/>
  <c r="F24" i="60"/>
  <c r="E25" i="60"/>
  <c r="U37" i="60"/>
  <c r="C49" i="60"/>
  <c r="T48" i="60"/>
  <c r="X36" i="60"/>
  <c r="AH29" i="97" l="1"/>
  <c r="CE18" i="58"/>
  <c r="CE13" i="58"/>
  <c r="CE14" i="58" s="1"/>
  <c r="CF12" i="58"/>
  <c r="Q33" i="57"/>
  <c r="Q37" i="57"/>
  <c r="CC17" i="58"/>
  <c r="CB19" i="58"/>
  <c r="AX12" i="57"/>
  <c r="AW13" i="57"/>
  <c r="AV17" i="57"/>
  <c r="AU19" i="57"/>
  <c r="AU21" i="57" s="1"/>
  <c r="AU26" i="57" s="1"/>
  <c r="AW18" i="57"/>
  <c r="U38" i="60"/>
  <c r="V25" i="60"/>
  <c r="F25" i="60"/>
  <c r="E26" i="60"/>
  <c r="C50" i="60"/>
  <c r="T49" i="60"/>
  <c r="W24" i="60"/>
  <c r="AH56" i="97" l="1"/>
  <c r="AL29" i="97"/>
  <c r="AX18" i="57"/>
  <c r="CD17" i="58"/>
  <c r="CC19" i="58"/>
  <c r="CF13" i="58"/>
  <c r="CF14" i="58" s="1"/>
  <c r="CG12" i="58"/>
  <c r="CF18" i="58"/>
  <c r="AW14" i="57"/>
  <c r="O40" i="57"/>
  <c r="AW17" i="57"/>
  <c r="AV19" i="57"/>
  <c r="AV21" i="57" s="1"/>
  <c r="AV26" i="57" s="1"/>
  <c r="AX13" i="57"/>
  <c r="AX14" i="57" s="1"/>
  <c r="AY12" i="57"/>
  <c r="W25" i="60"/>
  <c r="U39" i="60"/>
  <c r="V26" i="60"/>
  <c r="W26" i="60" s="1"/>
  <c r="F26" i="60"/>
  <c r="E27" i="60"/>
  <c r="T50" i="60"/>
  <c r="C51" i="60"/>
  <c r="AH59" i="97" l="1"/>
  <c r="AL56" i="97"/>
  <c r="AY18" i="57"/>
  <c r="CG13" i="58"/>
  <c r="CS12" i="58"/>
  <c r="CT12" i="58"/>
  <c r="CU12" i="58"/>
  <c r="CG18" i="58"/>
  <c r="CE17" i="58"/>
  <c r="CD19" i="58"/>
  <c r="O43" i="57"/>
  <c r="O53" i="57"/>
  <c r="O41" i="57"/>
  <c r="AY13" i="57"/>
  <c r="AY14" i="57" s="1"/>
  <c r="AZ12" i="57"/>
  <c r="AX17" i="57"/>
  <c r="AW19" i="57"/>
  <c r="AW21" i="57" s="1"/>
  <c r="AW26" i="57" s="1"/>
  <c r="U40" i="60"/>
  <c r="C52" i="60"/>
  <c r="T51" i="60"/>
  <c r="V27" i="60"/>
  <c r="W27" i="60" s="1"/>
  <c r="F27" i="60"/>
  <c r="E28" i="60"/>
  <c r="AL59" i="97" l="1"/>
  <c r="AH64" i="97"/>
  <c r="AH45" i="97"/>
  <c r="CF17" i="58"/>
  <c r="CE19" i="58"/>
  <c r="CS18" i="58"/>
  <c r="CT18" i="58"/>
  <c r="CU18" i="58"/>
  <c r="CG14" i="58"/>
  <c r="CS13" i="58"/>
  <c r="CT13" i="58"/>
  <c r="CU13" i="58"/>
  <c r="P53" i="57"/>
  <c r="P43" i="57"/>
  <c r="O44" i="57"/>
  <c r="O54" i="57"/>
  <c r="AZ13" i="57"/>
  <c r="AZ14" i="57" s="1"/>
  <c r="BA12" i="57"/>
  <c r="AY17" i="57"/>
  <c r="AX19" i="57"/>
  <c r="AX21" i="57" s="1"/>
  <c r="AX26" i="57" s="1"/>
  <c r="AZ18" i="57"/>
  <c r="V28" i="60"/>
  <c r="W28" i="60" s="1"/>
  <c r="F28" i="60"/>
  <c r="E29" i="60"/>
  <c r="T52" i="60"/>
  <c r="C53" i="60"/>
  <c r="U41" i="60"/>
  <c r="AH67" i="97" l="1"/>
  <c r="AL64" i="97"/>
  <c r="AL45" i="97"/>
  <c r="CG17" i="58"/>
  <c r="CF19" i="58"/>
  <c r="BA18" i="57"/>
  <c r="AZ17" i="57"/>
  <c r="AY19" i="57"/>
  <c r="AY21" i="57" s="1"/>
  <c r="AY26" i="57" s="1"/>
  <c r="BA13" i="57"/>
  <c r="BA14" i="57" s="1"/>
  <c r="BB12" i="57"/>
  <c r="T53" i="60"/>
  <c r="C54" i="60"/>
  <c r="U42" i="60"/>
  <c r="V29" i="60"/>
  <c r="F29" i="60"/>
  <c r="E30" i="60"/>
  <c r="AL67" i="97" l="1"/>
  <c r="AH46" i="97"/>
  <c r="CG19" i="58"/>
  <c r="CS17" i="58"/>
  <c r="CT17" i="58"/>
  <c r="CU17" i="58"/>
  <c r="BB18" i="57"/>
  <c r="BB13" i="57"/>
  <c r="BB14" i="57" s="1"/>
  <c r="BC12" i="57"/>
  <c r="BA17" i="57"/>
  <c r="AZ19" i="57"/>
  <c r="AZ21" i="57" s="1"/>
  <c r="AZ26" i="57" s="1"/>
  <c r="V30" i="60"/>
  <c r="W30" i="60" s="1"/>
  <c r="F30" i="60"/>
  <c r="E31" i="60"/>
  <c r="T54" i="60"/>
  <c r="C55" i="60"/>
  <c r="W29" i="60"/>
  <c r="U43" i="60"/>
  <c r="AL46" i="97" l="1"/>
  <c r="BC13" i="57"/>
  <c r="BC14" i="57" s="1"/>
  <c r="BD12" i="57"/>
  <c r="BB17" i="57"/>
  <c r="BA19" i="57"/>
  <c r="BA21" i="57" s="1"/>
  <c r="BA26" i="57" s="1"/>
  <c r="BC18" i="57"/>
  <c r="V31" i="60"/>
  <c r="W31" i="60" s="1"/>
  <c r="F31" i="60"/>
  <c r="E32" i="60"/>
  <c r="U44" i="60"/>
  <c r="T55" i="60"/>
  <c r="C56" i="60"/>
  <c r="BD18" i="57" l="1"/>
  <c r="BC17" i="57"/>
  <c r="BB19" i="57"/>
  <c r="BB21" i="57" s="1"/>
  <c r="BB26" i="57" s="1"/>
  <c r="BE12" i="57"/>
  <c r="BD13" i="57"/>
  <c r="BD14" i="57" s="1"/>
  <c r="C57" i="60"/>
  <c r="T56" i="60"/>
  <c r="U45" i="60"/>
  <c r="V32" i="60"/>
  <c r="W32" i="60" s="1"/>
  <c r="F32" i="60"/>
  <c r="E33" i="60"/>
  <c r="BF12" i="57" l="1"/>
  <c r="BE13" i="57"/>
  <c r="BE14" i="57" s="1"/>
  <c r="BE18" i="57"/>
  <c r="BD17" i="57"/>
  <c r="BC19" i="57"/>
  <c r="BC21" i="57" s="1"/>
  <c r="BC26" i="57" s="1"/>
  <c r="C58" i="60"/>
  <c r="T57" i="60"/>
  <c r="V33" i="60"/>
  <c r="W33" i="60" s="1"/>
  <c r="F33" i="60"/>
  <c r="E34" i="60"/>
  <c r="E35" i="60" s="1"/>
  <c r="E36" i="60" s="1"/>
  <c r="E37" i="60" s="1"/>
  <c r="E38" i="60" s="1"/>
  <c r="E39" i="60" s="1"/>
  <c r="E40" i="60" s="1"/>
  <c r="E41" i="60" s="1"/>
  <c r="E42" i="60" s="1"/>
  <c r="E43" i="60" s="1"/>
  <c r="E44" i="60" s="1"/>
  <c r="E45" i="60" s="1"/>
  <c r="E46" i="60" s="1"/>
  <c r="E47" i="60" s="1"/>
  <c r="E48" i="60" s="1"/>
  <c r="E49" i="60" s="1"/>
  <c r="E50" i="60" s="1"/>
  <c r="E51" i="60" s="1"/>
  <c r="E52" i="60" s="1"/>
  <c r="E53" i="60" s="1"/>
  <c r="E54" i="60" s="1"/>
  <c r="E55" i="60" s="1"/>
  <c r="E56" i="60" s="1"/>
  <c r="E57" i="60" s="1"/>
  <c r="E58" i="60" s="1"/>
  <c r="E59" i="60" s="1"/>
  <c r="E60" i="60" s="1"/>
  <c r="E61" i="60" s="1"/>
  <c r="E62" i="60" s="1"/>
  <c r="E63" i="60" s="1"/>
  <c r="E64" i="60" s="1"/>
  <c r="E65" i="60" s="1"/>
  <c r="E66" i="60" s="1"/>
  <c r="E67" i="60" s="1"/>
  <c r="E68" i="60" s="1"/>
  <c r="E69" i="60" s="1"/>
  <c r="E70" i="60" s="1"/>
  <c r="U46" i="60"/>
  <c r="BF18" i="57" l="1"/>
  <c r="BE17" i="57"/>
  <c r="BD19" i="57"/>
  <c r="BD21" i="57" s="1"/>
  <c r="BD26" i="57" s="1"/>
  <c r="BF13" i="57"/>
  <c r="BF14" i="57" s="1"/>
  <c r="BG12" i="57"/>
  <c r="V34" i="60"/>
  <c r="W34" i="60" s="1"/>
  <c r="H34" i="60"/>
  <c r="F34" i="60"/>
  <c r="U47" i="60"/>
  <c r="C59" i="60"/>
  <c r="T58" i="60"/>
  <c r="BF17" i="57" l="1"/>
  <c r="BE19" i="57"/>
  <c r="BE21" i="57" s="1"/>
  <c r="BE26" i="57" s="1"/>
  <c r="BG13" i="57"/>
  <c r="BG14" i="57" s="1"/>
  <c r="BH12" i="57"/>
  <c r="BG18" i="57"/>
  <c r="T59" i="60"/>
  <c r="C60" i="60"/>
  <c r="U48" i="60"/>
  <c r="V35" i="60"/>
  <c r="W35" i="60" s="1"/>
  <c r="F35" i="60"/>
  <c r="AH95" i="97" l="1"/>
  <c r="BI12" i="57"/>
  <c r="BH13" i="57"/>
  <c r="BH14" i="57" s="1"/>
  <c r="BH18" i="57"/>
  <c r="BG17" i="57"/>
  <c r="BF19" i="57"/>
  <c r="BF21" i="57" s="1"/>
  <c r="BF26" i="57" s="1"/>
  <c r="V36" i="60"/>
  <c r="H36" i="60"/>
  <c r="F36" i="60"/>
  <c r="C61" i="60"/>
  <c r="T60" i="60"/>
  <c r="U49" i="60"/>
  <c r="X48" i="60"/>
  <c r="AH87" i="97" l="1"/>
  <c r="AH88" i="97"/>
  <c r="AH96" i="97"/>
  <c r="AL87" i="97"/>
  <c r="AL95" i="97"/>
  <c r="AH89" i="97"/>
  <c r="AH97" i="97"/>
  <c r="AH90" i="97"/>
  <c r="AH98" i="97"/>
  <c r="AK89" i="97"/>
  <c r="AJ88" i="97"/>
  <c r="AH86" i="97"/>
  <c r="Z36" i="60"/>
  <c r="M127" i="12"/>
  <c r="M129" i="12" s="1"/>
  <c r="BI18" i="57"/>
  <c r="BH17" i="57"/>
  <c r="BG19" i="57"/>
  <c r="BG21" i="57" s="1"/>
  <c r="BG26" i="57" s="1"/>
  <c r="BI13" i="57"/>
  <c r="BI14" i="57" s="1"/>
  <c r="BJ12" i="57"/>
  <c r="U50" i="60"/>
  <c r="V37" i="60"/>
  <c r="W37" i="60" s="1"/>
  <c r="F37" i="60"/>
  <c r="C62" i="60"/>
  <c r="T61" i="60"/>
  <c r="W36" i="60"/>
  <c r="AK97" i="97" l="1"/>
  <c r="AH91" i="97"/>
  <c r="AK91" i="97"/>
  <c r="AL91" i="97"/>
  <c r="AL86" i="97"/>
  <c r="AJ91" i="97"/>
  <c r="AH94" i="97"/>
  <c r="AL89" i="97"/>
  <c r="AL97" i="97"/>
  <c r="AJ96" i="97"/>
  <c r="AL90" i="97"/>
  <c r="AL98" i="97"/>
  <c r="AL88" i="97"/>
  <c r="AL96" i="97"/>
  <c r="BI17" i="57"/>
  <c r="BH19" i="57"/>
  <c r="BH21" i="57" s="1"/>
  <c r="BH26" i="57" s="1"/>
  <c r="BJ13" i="57"/>
  <c r="BJ14" i="57" s="1"/>
  <c r="BK12" i="57"/>
  <c r="BJ18" i="57"/>
  <c r="C63" i="60"/>
  <c r="T62" i="60"/>
  <c r="U51" i="60"/>
  <c r="V38" i="60"/>
  <c r="W38" i="60" s="1"/>
  <c r="F38" i="60"/>
  <c r="AK47" i="97" l="1"/>
  <c r="AH99" i="97"/>
  <c r="AH104" i="97"/>
  <c r="AJ47" i="97"/>
  <c r="AH47" i="97"/>
  <c r="AK99" i="97"/>
  <c r="AK104" i="97"/>
  <c r="AJ104" i="97"/>
  <c r="AJ99" i="97"/>
  <c r="AL94" i="97"/>
  <c r="BK13" i="57"/>
  <c r="BK14" i="57" s="1"/>
  <c r="BL12" i="57"/>
  <c r="BK18" i="57"/>
  <c r="BJ17" i="57"/>
  <c r="BI19" i="57"/>
  <c r="BI21" i="57" s="1"/>
  <c r="BI26" i="57" s="1"/>
  <c r="V39" i="60"/>
  <c r="W39" i="60" s="1"/>
  <c r="F39" i="60"/>
  <c r="U52" i="60"/>
  <c r="T63" i="60"/>
  <c r="C64" i="60"/>
  <c r="AL47" i="97" l="1"/>
  <c r="AJ49" i="97"/>
  <c r="AL99" i="97"/>
  <c r="AL104" i="97"/>
  <c r="AK49" i="97"/>
  <c r="AH49" i="97"/>
  <c r="BL18" i="57"/>
  <c r="BM12" i="57"/>
  <c r="BL13" i="57"/>
  <c r="BL14" i="57" s="1"/>
  <c r="BK17" i="57"/>
  <c r="BJ19" i="57"/>
  <c r="BJ21" i="57" s="1"/>
  <c r="BJ26" i="57" s="1"/>
  <c r="T64" i="60"/>
  <c r="C65" i="60"/>
  <c r="U53" i="60"/>
  <c r="V40" i="60"/>
  <c r="W40" i="60" s="1"/>
  <c r="F40" i="60"/>
  <c r="AK105" i="97" l="1"/>
  <c r="AK51" i="97"/>
  <c r="AJ105" i="97"/>
  <c r="AJ51" i="97"/>
  <c r="AH105" i="97"/>
  <c r="AH51" i="97"/>
  <c r="AH40" i="97"/>
  <c r="AL49" i="97"/>
  <c r="BN12" i="57"/>
  <c r="BM13" i="57"/>
  <c r="BM14" i="57" s="1"/>
  <c r="BL17" i="57"/>
  <c r="BK19" i="57"/>
  <c r="BK21" i="57" s="1"/>
  <c r="BK26" i="57" s="1"/>
  <c r="BM18" i="57"/>
  <c r="C66" i="60"/>
  <c r="T65" i="60"/>
  <c r="V41" i="60"/>
  <c r="W41" i="60" s="1"/>
  <c r="F41" i="60"/>
  <c r="U54" i="60"/>
  <c r="AL51" i="97" l="1"/>
  <c r="AL40" i="97"/>
  <c r="AL105" i="97"/>
  <c r="BN18" i="57"/>
  <c r="BM17" i="57"/>
  <c r="BL19" i="57"/>
  <c r="BL21" i="57" s="1"/>
  <c r="BL26" i="57" s="1"/>
  <c r="BN13" i="57"/>
  <c r="BN14" i="57" s="1"/>
  <c r="BO12" i="57"/>
  <c r="U55" i="60"/>
  <c r="V42" i="60"/>
  <c r="W42" i="60" s="1"/>
  <c r="F42" i="60"/>
  <c r="T66" i="60"/>
  <c r="C67" i="60"/>
  <c r="AL107" i="97" l="1"/>
  <c r="BO18" i="57"/>
  <c r="BO13" i="57"/>
  <c r="BO14" i="57" s="1"/>
  <c r="BP12" i="57"/>
  <c r="BN17" i="57"/>
  <c r="BM19" i="57"/>
  <c r="BM21" i="57" s="1"/>
  <c r="BM26" i="57" s="1"/>
  <c r="C68" i="60"/>
  <c r="T67" i="60"/>
  <c r="U56" i="60"/>
  <c r="V43" i="60"/>
  <c r="W43" i="60" s="1"/>
  <c r="F43" i="60"/>
  <c r="BQ12" i="57" l="1"/>
  <c r="BP13" i="57"/>
  <c r="BP14" i="57" s="1"/>
  <c r="BO17" i="57"/>
  <c r="BN19" i="57"/>
  <c r="BN21" i="57" s="1"/>
  <c r="BN26" i="57" s="1"/>
  <c r="BP18" i="57"/>
  <c r="V44" i="60"/>
  <c r="W44" i="60" s="1"/>
  <c r="F44" i="60"/>
  <c r="U57" i="60"/>
  <c r="C69" i="60"/>
  <c r="T68" i="60"/>
  <c r="BQ18" i="57" l="1"/>
  <c r="BP17" i="57"/>
  <c r="BO19" i="57"/>
  <c r="BO21" i="57" s="1"/>
  <c r="BO26" i="57" s="1"/>
  <c r="BQ13" i="57"/>
  <c r="BQ14" i="57" s="1"/>
  <c r="BR12" i="57"/>
  <c r="C70" i="60"/>
  <c r="T69" i="60"/>
  <c r="V45" i="60"/>
  <c r="W45" i="60" s="1"/>
  <c r="F45" i="60"/>
  <c r="U58" i="60"/>
  <c r="BR18" i="57" l="1"/>
  <c r="BR13" i="57"/>
  <c r="BR14" i="57" s="1"/>
  <c r="BS12" i="57"/>
  <c r="BQ17" i="57"/>
  <c r="BP19" i="57"/>
  <c r="BP21" i="57" s="1"/>
  <c r="BP26" i="57" s="1"/>
  <c r="V46" i="60"/>
  <c r="W46" i="60" s="1"/>
  <c r="F46" i="60"/>
  <c r="U59" i="60"/>
  <c r="T70" i="60"/>
  <c r="BS13" i="57" l="1"/>
  <c r="BS14" i="57" s="1"/>
  <c r="BT12" i="57"/>
  <c r="BR17" i="57"/>
  <c r="BQ19" i="57"/>
  <c r="BQ21" i="57" s="1"/>
  <c r="BQ26" i="57" s="1"/>
  <c r="BS18" i="57"/>
  <c r="V47" i="60"/>
  <c r="W47" i="60" s="1"/>
  <c r="F47" i="60"/>
  <c r="U60" i="60"/>
  <c r="BT18" i="57" l="1"/>
  <c r="BS17" i="57"/>
  <c r="BR19" i="57"/>
  <c r="BR21" i="57" s="1"/>
  <c r="BR26" i="57" s="1"/>
  <c r="BU12" i="57"/>
  <c r="BT13" i="57"/>
  <c r="BT14" i="57" s="1"/>
  <c r="U61" i="60"/>
  <c r="X60" i="60"/>
  <c r="V48" i="60"/>
  <c r="F48" i="60"/>
  <c r="W48" i="60" l="1"/>
  <c r="Z48" i="60"/>
  <c r="AA48" i="60" s="1"/>
  <c r="BV12" i="57"/>
  <c r="BU13" i="57"/>
  <c r="BU14" i="57" s="1"/>
  <c r="BU18" i="57"/>
  <c r="BT17" i="57"/>
  <c r="BS19" i="57"/>
  <c r="BS21" i="57" s="1"/>
  <c r="BS26" i="57" s="1"/>
  <c r="V49" i="60"/>
  <c r="W49" i="60" s="1"/>
  <c r="F49" i="60"/>
  <c r="U62" i="60"/>
  <c r="BV18" i="57" l="1"/>
  <c r="BU17" i="57"/>
  <c r="BT19" i="57"/>
  <c r="BT21" i="57" s="1"/>
  <c r="BT26" i="57" s="1"/>
  <c r="BV13" i="57"/>
  <c r="BV14" i="57" s="1"/>
  <c r="BW12" i="57"/>
  <c r="V50" i="60"/>
  <c r="W50" i="60" s="1"/>
  <c r="F50" i="60"/>
  <c r="U63" i="60"/>
  <c r="BV17" i="57" l="1"/>
  <c r="BU19" i="57"/>
  <c r="BU21" i="57" s="1"/>
  <c r="BU26" i="57" s="1"/>
  <c r="BW13" i="57"/>
  <c r="BW14" i="57" s="1"/>
  <c r="BX12" i="57"/>
  <c r="BW18" i="57"/>
  <c r="V51" i="60"/>
  <c r="W51" i="60" s="1"/>
  <c r="F51" i="60"/>
  <c r="U64" i="60"/>
  <c r="G64" i="60"/>
  <c r="BY12" i="57" l="1"/>
  <c r="BX13" i="57"/>
  <c r="BX14" i="57" s="1"/>
  <c r="BX18" i="57"/>
  <c r="BW17" i="57"/>
  <c r="BV19" i="57"/>
  <c r="BV21" i="57" s="1"/>
  <c r="BV26" i="57" s="1"/>
  <c r="U65" i="60"/>
  <c r="X64" i="60"/>
  <c r="V52" i="60"/>
  <c r="W52" i="60" s="1"/>
  <c r="F52" i="60"/>
  <c r="BY18" i="57" l="1"/>
  <c r="BX17" i="57"/>
  <c r="BW19" i="57"/>
  <c r="BW21" i="57" s="1"/>
  <c r="BW26" i="57" s="1"/>
  <c r="BY13" i="57"/>
  <c r="BY14" i="57" s="1"/>
  <c r="BZ12" i="57"/>
  <c r="U66" i="60"/>
  <c r="V53" i="60"/>
  <c r="F53" i="60"/>
  <c r="G65" i="60"/>
  <c r="BY17" i="57" l="1"/>
  <c r="BX19" i="57"/>
  <c r="BX21" i="57" s="1"/>
  <c r="BX26" i="57" s="1"/>
  <c r="BZ13" i="57"/>
  <c r="BZ14" i="57" s="1"/>
  <c r="CA12" i="57"/>
  <c r="BZ18" i="57"/>
  <c r="V54" i="60"/>
  <c r="W54" i="60" s="1"/>
  <c r="F54" i="60"/>
  <c r="U67" i="60"/>
  <c r="W53" i="60"/>
  <c r="CA13" i="57" l="1"/>
  <c r="CA14" i="57" s="1"/>
  <c r="CB12" i="57"/>
  <c r="CA18" i="57"/>
  <c r="BZ17" i="57"/>
  <c r="BY19" i="57"/>
  <c r="BY21" i="57" s="1"/>
  <c r="BY26" i="57" s="1"/>
  <c r="V55" i="60"/>
  <c r="F55" i="60"/>
  <c r="U68" i="60"/>
  <c r="CB18" i="57" l="1"/>
  <c r="CC12" i="57"/>
  <c r="CB13" i="57"/>
  <c r="CB14" i="57" s="1"/>
  <c r="CA17" i="57"/>
  <c r="BZ19" i="57"/>
  <c r="BZ21" i="57" s="1"/>
  <c r="BZ26" i="57" s="1"/>
  <c r="W55" i="60"/>
  <c r="U69" i="60"/>
  <c r="V56" i="60"/>
  <c r="W56" i="60" s="1"/>
  <c r="F56" i="60"/>
  <c r="CD12" i="57" l="1"/>
  <c r="CC13" i="57"/>
  <c r="CC14" i="57" s="1"/>
  <c r="CB17" i="57"/>
  <c r="CA19" i="57"/>
  <c r="CA21" i="57" s="1"/>
  <c r="CA26" i="57" s="1"/>
  <c r="CC18" i="57"/>
  <c r="U70" i="60"/>
  <c r="V57" i="60"/>
  <c r="W57" i="60" s="1"/>
  <c r="F57" i="60"/>
  <c r="CD18" i="57" l="1"/>
  <c r="CC17" i="57"/>
  <c r="CB19" i="57"/>
  <c r="CB21" i="57" s="1"/>
  <c r="CB26" i="57" s="1"/>
  <c r="CD13" i="57"/>
  <c r="CD14" i="57" s="1"/>
  <c r="CE12" i="57"/>
  <c r="V58" i="60"/>
  <c r="F58" i="60"/>
  <c r="CE18" i="57" l="1"/>
  <c r="CE13" i="57"/>
  <c r="CE14" i="57" s="1"/>
  <c r="CF12" i="57"/>
  <c r="CD17" i="57"/>
  <c r="CC19" i="57"/>
  <c r="CC21" i="57" s="1"/>
  <c r="CC26" i="57" s="1"/>
  <c r="W58" i="60"/>
  <c r="V59" i="60"/>
  <c r="W59" i="60" s="1"/>
  <c r="F59" i="60"/>
  <c r="CG12" i="57" l="1"/>
  <c r="CG13" i="57" s="1"/>
  <c r="CG14" i="57" s="1"/>
  <c r="CF13" i="57"/>
  <c r="CF14" i="57" s="1"/>
  <c r="CE17" i="57"/>
  <c r="CD19" i="57"/>
  <c r="CD21" i="57" s="1"/>
  <c r="CD26" i="57" s="1"/>
  <c r="CF18" i="57"/>
  <c r="V60" i="60"/>
  <c r="F60" i="60"/>
  <c r="CG18" i="57" l="1"/>
  <c r="W60" i="60"/>
  <c r="Z60" i="60"/>
  <c r="CF17" i="57"/>
  <c r="CE19" i="57"/>
  <c r="CE21" i="57" s="1"/>
  <c r="CE26" i="57" s="1"/>
  <c r="V61" i="60"/>
  <c r="W61" i="60" s="1"/>
  <c r="F61" i="60"/>
  <c r="CP12" i="57"/>
  <c r="CQ12" i="57"/>
  <c r="CR12" i="57"/>
  <c r="CS12" i="57"/>
  <c r="CT12" i="57"/>
  <c r="CU12" i="57"/>
  <c r="AA60" i="60" l="1"/>
  <c r="CG17" i="57"/>
  <c r="CG19" i="57" s="1"/>
  <c r="CF19" i="57"/>
  <c r="CF21" i="57" s="1"/>
  <c r="CF26" i="57" s="1"/>
  <c r="CP18" i="57"/>
  <c r="CQ18" i="57"/>
  <c r="CR18" i="57"/>
  <c r="CS18" i="57"/>
  <c r="CT18" i="57"/>
  <c r="CU18" i="57"/>
  <c r="CP13" i="57"/>
  <c r="CQ13" i="57"/>
  <c r="CR13" i="57"/>
  <c r="CS13" i="57"/>
  <c r="CT13" i="57"/>
  <c r="CU13" i="57"/>
  <c r="V62" i="60"/>
  <c r="W62" i="60" s="1"/>
  <c r="F62" i="60"/>
  <c r="CP17" i="57" l="1"/>
  <c r="CQ17" i="57"/>
  <c r="CR17" i="57"/>
  <c r="CS17" i="57"/>
  <c r="CT17" i="57"/>
  <c r="CU17" i="57"/>
  <c r="CG21" i="57"/>
  <c r="CG26" i="57" s="1"/>
  <c r="V63" i="60"/>
  <c r="W63" i="60" s="1"/>
  <c r="F63" i="60"/>
  <c r="H64" i="60" l="1"/>
  <c r="V64" i="60"/>
  <c r="F64" i="60"/>
  <c r="V65" i="60" l="1"/>
  <c r="W65" i="60" s="1"/>
  <c r="F65" i="60"/>
  <c r="W64" i="60"/>
  <c r="V66" i="60" l="1"/>
  <c r="W66" i="60" s="1"/>
  <c r="F66" i="60"/>
  <c r="V67" i="60" l="1"/>
  <c r="W67" i="60" s="1"/>
  <c r="F67" i="60"/>
  <c r="V68" i="60" l="1"/>
  <c r="W68" i="60" s="1"/>
  <c r="F68" i="60"/>
  <c r="V69" i="60" l="1"/>
  <c r="W69" i="60" s="1"/>
  <c r="F69" i="60"/>
  <c r="V70" i="60" l="1"/>
  <c r="F70" i="60"/>
  <c r="W70" i="60" l="1"/>
  <c r="Z70" i="60"/>
  <c r="AA70" i="60" s="1"/>
  <c r="U13" i="16" l="1" a="1"/>
  <c r="V13" i="16" s="1"/>
  <c r="V17" i="16" l="1"/>
  <c r="O47" i="16" s="1"/>
  <c r="U13" i="16"/>
  <c r="N52" i="16" s="1"/>
  <c r="U16" i="16"/>
  <c r="U17" i="16"/>
  <c r="O46" i="16" s="1"/>
  <c r="V16" i="16"/>
  <c r="N42" i="16" s="1"/>
  <c r="N47" i="16" s="1"/>
  <c r="N48" i="16" s="1"/>
  <c r="V14" i="16"/>
  <c r="U15" i="16"/>
  <c r="N39" i="16" s="1"/>
  <c r="V15" i="16"/>
  <c r="N41" i="16" s="1"/>
  <c r="U14" i="16"/>
  <c r="O52" i="16" s="1"/>
  <c r="N40" i="16" l="1"/>
  <c r="N38" i="16"/>
  <c r="P52" i="16"/>
  <c r="Q52" i="16" s="1"/>
  <c r="D30" i="16"/>
  <c r="P46" i="16"/>
  <c r="O48" i="16"/>
  <c r="P47" i="16"/>
  <c r="AG33" i="97" l="1"/>
  <c r="H33" i="62"/>
  <c r="AG33" i="62" s="1"/>
  <c r="Q46" i="16"/>
  <c r="R46" i="16" s="1"/>
  <c r="AH33" i="97" l="1"/>
  <c r="AE59" i="63"/>
  <c r="AL33" i="97" l="1"/>
  <c r="AL39" i="97"/>
  <c r="G59" i="63"/>
  <c r="AI59" i="63" s="1"/>
  <c r="C99" i="63"/>
  <c r="AE99" i="63" s="1"/>
  <c r="G99" i="63" l="1"/>
  <c r="AI99" i="63" s="1"/>
  <c r="J67" i="62" l="1"/>
  <c r="AI67" i="62" s="1"/>
  <c r="J46" i="62" l="1"/>
  <c r="AI46" i="62" s="1"/>
  <c r="J91" i="62" l="1"/>
  <c r="AI91" i="62" s="1"/>
  <c r="J47" i="62" l="1"/>
  <c r="AI47" i="62" s="1"/>
  <c r="AO113" i="63" l="1"/>
  <c r="N113" i="63" s="1"/>
  <c r="E11" i="94" l="1"/>
  <c r="E9" i="94" l="1"/>
  <c r="AN114" i="63" l="1"/>
  <c r="M55" i="62" l="1"/>
  <c r="AH55" i="62"/>
  <c r="AH63" i="62" l="1"/>
  <c r="M63" i="62"/>
  <c r="AL63" i="62" s="1"/>
  <c r="AL55" i="62"/>
  <c r="AI56" i="62" l="1"/>
  <c r="J59" i="62"/>
  <c r="J96" i="62"/>
  <c r="AI96" i="62" l="1"/>
  <c r="J99" i="62"/>
  <c r="AI59" i="62"/>
  <c r="J45" i="62"/>
  <c r="AI45" i="62" l="1"/>
  <c r="J49" i="62"/>
  <c r="AI99" i="62"/>
  <c r="J104" i="62"/>
  <c r="AI104" i="62" s="1"/>
  <c r="AI49" i="62" l="1"/>
  <c r="J51" i="62"/>
  <c r="AI51" i="62" l="1"/>
  <c r="J105" i="62"/>
  <c r="AI105" i="62" s="1"/>
  <c r="AK57" i="62" l="1"/>
  <c r="L59" i="62"/>
  <c r="K59" i="62" l="1"/>
  <c r="AJ56" i="62"/>
  <c r="AK59" i="62"/>
  <c r="L45" i="62"/>
  <c r="AL59" i="63"/>
  <c r="J62" i="63"/>
  <c r="AL62" i="63" l="1"/>
  <c r="J47" i="63"/>
  <c r="AK45" i="62"/>
  <c r="AM60" i="63"/>
  <c r="K62" i="63"/>
  <c r="AJ59" i="62"/>
  <c r="K45" i="62"/>
  <c r="AM62" i="63" l="1"/>
  <c r="K47" i="63"/>
  <c r="AJ45" i="62"/>
  <c r="AL47" i="63"/>
  <c r="AM47" i="63" l="1"/>
  <c r="AM68" i="63"/>
  <c r="K70" i="63"/>
  <c r="AM70" i="63" l="1"/>
  <c r="K48" i="63"/>
  <c r="AK65" i="62" l="1"/>
  <c r="L67" i="62"/>
  <c r="AM48" i="63"/>
  <c r="AK67" i="62" l="1"/>
  <c r="L46" i="62"/>
  <c r="AK46" i="62" l="1"/>
  <c r="AL67" i="63" l="1"/>
  <c r="J70" i="63"/>
  <c r="AJ64" i="62" l="1"/>
  <c r="K67" i="62"/>
  <c r="AL70" i="63"/>
  <c r="J48" i="63"/>
  <c r="AL48" i="63" l="1"/>
  <c r="AJ67" i="62"/>
  <c r="K46" i="62"/>
  <c r="AJ46" i="62" l="1"/>
  <c r="AK67" i="63" l="1"/>
  <c r="M67" i="63"/>
  <c r="AO67" i="63" s="1"/>
  <c r="AK59" i="63" l="1"/>
  <c r="M59" i="63"/>
  <c r="AO59" i="63" l="1"/>
  <c r="AH30" i="62" l="1"/>
  <c r="AK69" i="63"/>
  <c r="M69" i="63"/>
  <c r="AO69" i="63" s="1"/>
  <c r="AK66" i="63"/>
  <c r="M66" i="63"/>
  <c r="AO66" i="63" s="1"/>
  <c r="M30" i="62" l="1"/>
  <c r="AL30" i="62" s="1"/>
  <c r="AK58" i="63"/>
  <c r="M58" i="63"/>
  <c r="AK60" i="63"/>
  <c r="M60" i="63"/>
  <c r="AH66" i="62"/>
  <c r="M66" i="62"/>
  <c r="AL66" i="62" s="1"/>
  <c r="AK61" i="63"/>
  <c r="M61" i="63"/>
  <c r="AH65" i="62"/>
  <c r="M65" i="62"/>
  <c r="AL65" i="62" s="1"/>
  <c r="AO60" i="63" l="1"/>
  <c r="AO61" i="63"/>
  <c r="AO58" i="63"/>
  <c r="AK31" i="63"/>
  <c r="M31" i="63"/>
  <c r="AO31" i="63" s="1"/>
  <c r="AH58" i="62"/>
  <c r="M58" i="62"/>
  <c r="AH57" i="62"/>
  <c r="M57" i="62"/>
  <c r="AK68" i="63"/>
  <c r="M68" i="63"/>
  <c r="AO68" i="63" s="1"/>
  <c r="AL57" i="62" l="1"/>
  <c r="AH62" i="62"/>
  <c r="M62" i="62"/>
  <c r="AH54" i="62"/>
  <c r="M54" i="62"/>
  <c r="AL58" i="62"/>
  <c r="AL62" i="62" l="1"/>
  <c r="AL54" i="62"/>
  <c r="AK57" i="63" l="1"/>
  <c r="I62" i="63"/>
  <c r="M57" i="63"/>
  <c r="AO57" i="63" l="1"/>
  <c r="M62" i="63"/>
  <c r="AK62" i="63"/>
  <c r="I47" i="63"/>
  <c r="AK47" i="63" l="1"/>
  <c r="AO62" i="63"/>
  <c r="M47" i="63"/>
  <c r="AO47" i="63" l="1"/>
  <c r="AH29" i="62" l="1"/>
  <c r="M29" i="62"/>
  <c r="AL29" i="62" l="1"/>
  <c r="AH56" i="62" l="1"/>
  <c r="M56" i="62"/>
  <c r="I59" i="62"/>
  <c r="AH64" i="62" l="1"/>
  <c r="M64" i="62"/>
  <c r="I67" i="62"/>
  <c r="AH59" i="62"/>
  <c r="I45" i="62"/>
  <c r="AL56" i="62"/>
  <c r="M59" i="62"/>
  <c r="AL64" i="62" l="1"/>
  <c r="M67" i="62"/>
  <c r="AL59" i="62"/>
  <c r="M45" i="62"/>
  <c r="AH45" i="62"/>
  <c r="AH67" i="62"/>
  <c r="I46" i="62"/>
  <c r="AH46" i="62" s="1"/>
  <c r="AL45" i="62" l="1"/>
  <c r="AL67" i="62"/>
  <c r="M46" i="62"/>
  <c r="AL46" i="62" s="1"/>
  <c r="M89" i="62" l="1"/>
  <c r="AH87" i="62"/>
  <c r="AH90" i="62"/>
  <c r="AH89" i="62"/>
  <c r="I97" i="62"/>
  <c r="AH97" i="62" s="1"/>
  <c r="I95" i="62" l="1"/>
  <c r="AH95" i="62" s="1"/>
  <c r="M87" i="62"/>
  <c r="AL87" i="62" s="1"/>
  <c r="L97" i="62"/>
  <c r="L99" i="62" s="1"/>
  <c r="L91" i="62"/>
  <c r="L47" i="62" s="1"/>
  <c r="AK89" i="62"/>
  <c r="I98" i="62"/>
  <c r="AH98" i="62" s="1"/>
  <c r="M90" i="62"/>
  <c r="AL90" i="62" s="1"/>
  <c r="I91" i="62"/>
  <c r="AH86" i="62"/>
  <c r="M86" i="62"/>
  <c r="I94" i="62"/>
  <c r="AL89" i="62"/>
  <c r="M97" i="62"/>
  <c r="AL97" i="62" s="1"/>
  <c r="AJ88" i="62"/>
  <c r="K91" i="62"/>
  <c r="K96" i="62"/>
  <c r="AK91" i="62" l="1"/>
  <c r="AK97" i="62"/>
  <c r="M95" i="62"/>
  <c r="AL95" i="62" s="1"/>
  <c r="M98" i="62"/>
  <c r="AL98" i="62" s="1"/>
  <c r="AH88" i="62"/>
  <c r="M88" i="62"/>
  <c r="AL88" i="62" s="1"/>
  <c r="I96" i="62"/>
  <c r="AH96" i="62" s="1"/>
  <c r="AK47" i="62"/>
  <c r="L49" i="62"/>
  <c r="AJ91" i="62"/>
  <c r="K47" i="62"/>
  <c r="AH91" i="62"/>
  <c r="AH94" i="62"/>
  <c r="AK99" i="62"/>
  <c r="L104" i="62"/>
  <c r="AK104" i="62" s="1"/>
  <c r="AL86" i="62"/>
  <c r="M94" i="62"/>
  <c r="AJ96" i="62"/>
  <c r="K99" i="62"/>
  <c r="M91" i="62" l="1"/>
  <c r="AL91" i="62" s="1"/>
  <c r="M96" i="62"/>
  <c r="AL96" i="62" s="1"/>
  <c r="I99" i="62"/>
  <c r="AH99" i="62" s="1"/>
  <c r="AJ47" i="62"/>
  <c r="K49" i="62"/>
  <c r="AK49" i="62"/>
  <c r="L51" i="62"/>
  <c r="AL94" i="62"/>
  <c r="AJ99" i="62"/>
  <c r="K104" i="62"/>
  <c r="AJ104" i="62" s="1"/>
  <c r="M99" i="62" l="1"/>
  <c r="AL99" i="62" s="1"/>
  <c r="AJ49" i="62"/>
  <c r="K51" i="62"/>
  <c r="AK51" i="62"/>
  <c r="L105" i="62"/>
  <c r="AK105" i="62" s="1"/>
  <c r="AJ51" i="62" l="1"/>
  <c r="K105" i="62"/>
  <c r="AJ105" i="62" s="1"/>
  <c r="AK30" i="63" l="1"/>
  <c r="M30" i="63"/>
  <c r="AK65" i="63" l="1"/>
  <c r="AO30" i="63"/>
  <c r="I70" i="63" l="1"/>
  <c r="AK70" i="63" s="1"/>
  <c r="M65" i="63"/>
  <c r="AO65" i="63" s="1"/>
  <c r="M70" i="63" l="1"/>
  <c r="AO70" i="63" s="1"/>
  <c r="I48" i="63"/>
  <c r="AK48" i="63" s="1"/>
  <c r="M48" i="63" l="1"/>
  <c r="AO48" i="63" s="1"/>
  <c r="I97" i="63" l="1"/>
  <c r="AK91" i="63"/>
  <c r="M91" i="63"/>
  <c r="I99" i="63"/>
  <c r="AK99" i="63" s="1"/>
  <c r="I101" i="63"/>
  <c r="AK101" i="63" s="1"/>
  <c r="M93" i="63"/>
  <c r="AK93" i="63"/>
  <c r="AK92" i="63"/>
  <c r="M92" i="63"/>
  <c r="I100" i="63"/>
  <c r="AK100" i="63" s="1"/>
  <c r="AM92" i="63"/>
  <c r="K94" i="63"/>
  <c r="K100" i="63"/>
  <c r="AL91" i="63"/>
  <c r="J94" i="63"/>
  <c r="J99" i="63"/>
  <c r="M90" i="63"/>
  <c r="AK90" i="63"/>
  <c r="I98" i="63"/>
  <c r="AK98" i="63" s="1"/>
  <c r="AK89" i="63" l="1"/>
  <c r="I94" i="63"/>
  <c r="AK94" i="63" s="1"/>
  <c r="M89" i="63"/>
  <c r="M94" i="63" s="1"/>
  <c r="AO90" i="63"/>
  <c r="M98" i="63"/>
  <c r="AO98" i="63" s="1"/>
  <c r="AK97" i="63"/>
  <c r="I102" i="63"/>
  <c r="AL99" i="63"/>
  <c r="J102" i="63"/>
  <c r="AL94" i="63"/>
  <c r="J51" i="63"/>
  <c r="AO91" i="63"/>
  <c r="M99" i="63"/>
  <c r="AO99" i="63" s="1"/>
  <c r="K102" i="63"/>
  <c r="AM100" i="63"/>
  <c r="K51" i="63"/>
  <c r="AM94" i="63"/>
  <c r="AO92" i="63"/>
  <c r="M100" i="63"/>
  <c r="AO100" i="63" s="1"/>
  <c r="AO93" i="63"/>
  <c r="M101" i="63"/>
  <c r="AO101" i="63" s="1"/>
  <c r="M97" i="63" l="1"/>
  <c r="M102" i="63" s="1"/>
  <c r="AO89" i="63"/>
  <c r="I51" i="63"/>
  <c r="AK51" i="63" s="1"/>
  <c r="AL51" i="63"/>
  <c r="J54" i="63"/>
  <c r="AL54" i="63" s="1"/>
  <c r="AM102" i="63"/>
  <c r="K108" i="63"/>
  <c r="AM108" i="63" s="1"/>
  <c r="AM51" i="63"/>
  <c r="K54" i="63"/>
  <c r="AM54" i="63" s="1"/>
  <c r="AK102" i="63"/>
  <c r="AL102" i="63"/>
  <c r="J108" i="63"/>
  <c r="AL108" i="63" s="1"/>
  <c r="AO94" i="63"/>
  <c r="M51" i="63"/>
  <c r="AO97" i="63" l="1"/>
  <c r="AO51" i="63"/>
  <c r="AO102" i="63"/>
  <c r="O119" i="63" l="1"/>
  <c r="AB9" i="62" l="1"/>
  <c r="G9" i="62"/>
  <c r="AF9" i="62" l="1"/>
  <c r="I9" i="62"/>
  <c r="AB31" i="62" l="1"/>
  <c r="G31" i="62"/>
  <c r="AH9" i="62"/>
  <c r="M9" i="62"/>
  <c r="AL9" i="62" l="1"/>
  <c r="AF31" i="62"/>
  <c r="I31" i="62"/>
  <c r="AH31" i="62" l="1"/>
  <c r="M31" i="62"/>
  <c r="AL31" i="62" s="1"/>
  <c r="AH35" i="97" l="1"/>
  <c r="AL35" i="97"/>
  <c r="AH34" i="97" l="1"/>
  <c r="AH36" i="97" l="1"/>
  <c r="AH38" i="97"/>
  <c r="AL34" i="97"/>
  <c r="AL36" i="97" l="1"/>
  <c r="AL38" i="97" l="1"/>
  <c r="AL108" i="97" l="1"/>
  <c r="AL110" i="97" l="1"/>
  <c r="AL112" i="97"/>
  <c r="AE84" i="63" l="1"/>
  <c r="G84" i="63"/>
  <c r="C86" i="63"/>
  <c r="AE86" i="63" s="1"/>
  <c r="C92" i="63"/>
  <c r="AI84" i="63" l="1"/>
  <c r="G92" i="63"/>
  <c r="G86" i="63"/>
  <c r="AI86" i="63" s="1"/>
  <c r="AE60" i="63"/>
  <c r="C100" i="63"/>
  <c r="G60" i="63"/>
  <c r="C62" i="63"/>
  <c r="AE92" i="63"/>
  <c r="C94" i="63"/>
  <c r="AI60" i="63" l="1"/>
  <c r="G100" i="63"/>
  <c r="G62" i="63"/>
  <c r="AE62" i="63"/>
  <c r="C47" i="63"/>
  <c r="AE47" i="63" s="1"/>
  <c r="AE100" i="63"/>
  <c r="C102" i="63"/>
  <c r="AE102" i="63" s="1"/>
  <c r="AI92" i="63"/>
  <c r="G94" i="63"/>
  <c r="AE94" i="63"/>
  <c r="C51" i="63"/>
  <c r="AE51" i="63" s="1"/>
  <c r="AI94" i="63" l="1"/>
  <c r="G51" i="63"/>
  <c r="AI51" i="63" s="1"/>
  <c r="AI62" i="63"/>
  <c r="G47" i="63"/>
  <c r="AI47" i="63" s="1"/>
  <c r="AI100" i="63"/>
  <c r="G102" i="63"/>
  <c r="AI102" i="63" s="1"/>
  <c r="AE19" i="63" l="1"/>
  <c r="G19" i="63"/>
  <c r="AE20" i="63"/>
  <c r="G20" i="63"/>
  <c r="G23" i="63"/>
  <c r="AE23" i="63"/>
  <c r="AE28" i="63" l="1"/>
  <c r="G28" i="63"/>
  <c r="AI23" i="63"/>
  <c r="I23" i="63"/>
  <c r="G9" i="63"/>
  <c r="AE9" i="63"/>
  <c r="AI20" i="63"/>
  <c r="I20" i="63"/>
  <c r="AE24" i="63"/>
  <c r="G24" i="63"/>
  <c r="AE27" i="63"/>
  <c r="G27" i="63"/>
  <c r="I19" i="63"/>
  <c r="AI19" i="63"/>
  <c r="AE32" i="63"/>
  <c r="G32" i="63"/>
  <c r="AE10" i="63"/>
  <c r="G10" i="63"/>
  <c r="G33" i="63"/>
  <c r="AE33" i="63"/>
  <c r="I24" i="63" l="1"/>
  <c r="AI24" i="63"/>
  <c r="AE34" i="63"/>
  <c r="G34" i="63"/>
  <c r="AI32" i="63"/>
  <c r="I32" i="63"/>
  <c r="AK23" i="63"/>
  <c r="M23" i="63"/>
  <c r="AO23" i="63" s="1"/>
  <c r="AK20" i="63"/>
  <c r="M20" i="63"/>
  <c r="AO20" i="63" s="1"/>
  <c r="AI9" i="63"/>
  <c r="I9" i="63"/>
  <c r="G11" i="63"/>
  <c r="AE11" i="63"/>
  <c r="G25" i="63"/>
  <c r="AE25" i="63"/>
  <c r="AI27" i="63"/>
  <c r="I27" i="63"/>
  <c r="AI28" i="63"/>
  <c r="I28" i="63"/>
  <c r="AI10" i="63"/>
  <c r="I10" i="63"/>
  <c r="AK19" i="63"/>
  <c r="M19" i="63"/>
  <c r="AO19" i="63" s="1"/>
  <c r="AI33" i="63"/>
  <c r="I33" i="63"/>
  <c r="AK32" i="63" l="1"/>
  <c r="M32" i="63"/>
  <c r="AO32" i="63" s="1"/>
  <c r="AI11" i="63"/>
  <c r="I11" i="63"/>
  <c r="I12" i="63" s="1"/>
  <c r="AK24" i="63"/>
  <c r="M24" i="63"/>
  <c r="AO24" i="63" s="1"/>
  <c r="AI34" i="63"/>
  <c r="I34" i="63"/>
  <c r="AK9" i="63"/>
  <c r="M9" i="63"/>
  <c r="AK27" i="63"/>
  <c r="M27" i="63"/>
  <c r="AO27" i="63" s="1"/>
  <c r="AK28" i="63"/>
  <c r="M28" i="63"/>
  <c r="AO28" i="63" s="1"/>
  <c r="AI25" i="63"/>
  <c r="I25" i="63"/>
  <c r="AK10" i="63"/>
  <c r="M10" i="63"/>
  <c r="AO10" i="63" s="1"/>
  <c r="M33" i="63"/>
  <c r="AK33" i="63"/>
  <c r="AK12" i="63" l="1"/>
  <c r="AO9" i="63"/>
  <c r="AK34" i="63"/>
  <c r="M34" i="63"/>
  <c r="AO34" i="63" s="1"/>
  <c r="AK11" i="63"/>
  <c r="M11" i="63"/>
  <c r="AO11" i="63" s="1"/>
  <c r="AK25" i="63"/>
  <c r="M25" i="63"/>
  <c r="AO25" i="63" s="1"/>
  <c r="G17" i="63"/>
  <c r="AE17" i="63"/>
  <c r="AO33" i="63"/>
  <c r="AI17" i="63" l="1"/>
  <c r="I17" i="63"/>
  <c r="M12" i="63"/>
  <c r="AO12" i="63" l="1"/>
  <c r="AK17" i="63"/>
  <c r="M17" i="63"/>
  <c r="AO17" i="63" l="1"/>
  <c r="AE107" i="63" l="1"/>
  <c r="C53" i="63"/>
  <c r="AE53" i="63" s="1"/>
  <c r="G107" i="63"/>
  <c r="AI107" i="63" l="1"/>
  <c r="I107" i="63"/>
  <c r="G53" i="63"/>
  <c r="AI53" i="63" s="1"/>
  <c r="AK107" i="63" l="1"/>
  <c r="M107" i="63"/>
  <c r="I53" i="63"/>
  <c r="AK53" i="63" s="1"/>
  <c r="AO107" i="63" l="1"/>
  <c r="M53" i="63"/>
  <c r="AO53" i="63" s="1"/>
  <c r="AE106" i="63" l="1"/>
  <c r="C52" i="63"/>
  <c r="AE52" i="63" s="1"/>
  <c r="G106" i="63"/>
  <c r="AI106" i="63" l="1"/>
  <c r="G52" i="63"/>
  <c r="AI52" i="63" s="1"/>
  <c r="I106" i="63"/>
  <c r="AK106" i="63" l="1"/>
  <c r="I52" i="63"/>
  <c r="AK52" i="63" s="1"/>
  <c r="M106" i="63"/>
  <c r="AO106" i="63" l="1"/>
  <c r="M52" i="63"/>
  <c r="AO52" i="63" s="1"/>
  <c r="AE37" i="63" l="1"/>
  <c r="G37" i="63"/>
  <c r="AI37" i="63" s="1"/>
  <c r="AE31" i="63" l="1"/>
  <c r="G31" i="63"/>
  <c r="AI31" i="63" s="1"/>
  <c r="AE30" i="63" l="1"/>
  <c r="G30" i="63"/>
  <c r="AI30" i="63" l="1"/>
  <c r="AE104" i="63" l="1"/>
  <c r="G104" i="63"/>
  <c r="C49" i="63"/>
  <c r="AE49" i="63" l="1"/>
  <c r="AI104" i="63"/>
  <c r="G49" i="63"/>
  <c r="I104" i="63"/>
  <c r="AK104" i="63" l="1"/>
  <c r="I49" i="63"/>
  <c r="M104" i="63"/>
  <c r="AI49" i="63"/>
  <c r="AO104" i="63" l="1"/>
  <c r="M49" i="63"/>
  <c r="AK49" i="63"/>
  <c r="AO49" i="63" l="1"/>
  <c r="AE105" i="63" l="1"/>
  <c r="C50" i="63"/>
  <c r="G105" i="63"/>
  <c r="C108" i="63"/>
  <c r="AE108" i="63" s="1"/>
  <c r="AE50" i="63" l="1"/>
  <c r="C54" i="63"/>
  <c r="AI105" i="63"/>
  <c r="I105" i="63"/>
  <c r="G50" i="63"/>
  <c r="G108" i="63"/>
  <c r="AI108" i="63" s="1"/>
  <c r="AI50" i="63" l="1"/>
  <c r="G54" i="63"/>
  <c r="AK105" i="63"/>
  <c r="I50" i="63"/>
  <c r="M105" i="63"/>
  <c r="I108" i="63"/>
  <c r="AK108" i="63" s="1"/>
  <c r="AE54" i="63"/>
  <c r="C42" i="63"/>
  <c r="AK50" i="63" l="1"/>
  <c r="I54" i="63"/>
  <c r="AE42" i="63"/>
  <c r="AO105" i="63"/>
  <c r="M50" i="63"/>
  <c r="M108" i="63"/>
  <c r="AO108" i="63" s="1"/>
  <c r="AI54" i="63"/>
  <c r="G42" i="63"/>
  <c r="AI42" i="63" s="1"/>
  <c r="AO50" i="63" l="1"/>
  <c r="M54" i="63"/>
  <c r="AK54" i="63"/>
  <c r="I42" i="63"/>
  <c r="AK42" i="63" s="1"/>
  <c r="AO54" i="63" l="1"/>
  <c r="M42" i="63"/>
  <c r="AO42" i="63" l="1"/>
  <c r="AE8" i="63" l="1"/>
  <c r="C12" i="63"/>
  <c r="AE12" i="63" s="1"/>
  <c r="G8" i="63"/>
  <c r="AI8" i="63" l="1"/>
  <c r="G12" i="63"/>
  <c r="AI12" i="63" l="1"/>
  <c r="H12" i="63"/>
  <c r="AJ12" i="63" l="1"/>
  <c r="M115" i="63"/>
  <c r="M37" i="63" l="1"/>
  <c r="AO37" i="63" s="1"/>
  <c r="AK37" i="63"/>
  <c r="AO115" i="63"/>
  <c r="N115" i="63" s="1"/>
  <c r="AE18" i="63" l="1"/>
  <c r="G18" i="63"/>
  <c r="C21" i="63"/>
  <c r="AE21" i="63" s="1"/>
  <c r="AI18" i="63" l="1"/>
  <c r="I18" i="63"/>
  <c r="G21" i="63"/>
  <c r="AI21" i="63" s="1"/>
  <c r="AK18" i="63" l="1"/>
  <c r="M18" i="63"/>
  <c r="I21" i="63"/>
  <c r="AK21" i="63" l="1"/>
  <c r="AO18" i="63"/>
  <c r="M21" i="63"/>
  <c r="AE35" i="63" l="1"/>
  <c r="G35" i="63"/>
  <c r="AO21" i="63"/>
  <c r="AE29" i="63"/>
  <c r="G29" i="63"/>
  <c r="AE26" i="63" l="1"/>
  <c r="G26" i="63"/>
  <c r="AI29" i="63"/>
  <c r="I29" i="63"/>
  <c r="AI35" i="63"/>
  <c r="I35" i="63"/>
  <c r="AK35" i="63" l="1"/>
  <c r="M35" i="63"/>
  <c r="AO35" i="63" s="1"/>
  <c r="AK29" i="63"/>
  <c r="M29" i="63"/>
  <c r="AO29" i="63" s="1"/>
  <c r="AI26" i="63"/>
  <c r="I26" i="63"/>
  <c r="AK26" i="63" l="1"/>
  <c r="M26" i="63"/>
  <c r="AO26" i="63" l="1"/>
  <c r="AE36" i="63" l="1"/>
  <c r="G36" i="63"/>
  <c r="C38" i="63"/>
  <c r="AK36" i="63" l="1"/>
  <c r="M36" i="63"/>
  <c r="I38" i="63"/>
  <c r="AI36" i="63"/>
  <c r="G38" i="63"/>
  <c r="C40" i="63"/>
  <c r="AE38" i="63"/>
  <c r="I40" i="63" l="1"/>
  <c r="AK38" i="63"/>
  <c r="AO36" i="63"/>
  <c r="M38" i="63"/>
  <c r="AI38" i="63"/>
  <c r="G40" i="63"/>
  <c r="AE40" i="63"/>
  <c r="C44" i="63"/>
  <c r="AE44" i="63" s="1"/>
  <c r="AO38" i="63" l="1"/>
  <c r="M40" i="63"/>
  <c r="AK40" i="63"/>
  <c r="I44" i="63"/>
  <c r="AK44" i="63" s="1"/>
  <c r="G44" i="63"/>
  <c r="AI44" i="63" s="1"/>
  <c r="AI40" i="63"/>
  <c r="M44" i="63" l="1"/>
  <c r="AO44" i="63" s="1"/>
  <c r="AO40" i="63"/>
  <c r="AO110" i="63" l="1"/>
  <c r="N110" i="63" s="1"/>
  <c r="M111" i="63"/>
  <c r="AO111" i="63" l="1"/>
  <c r="N111" i="63" s="1"/>
  <c r="M112" i="63"/>
  <c r="AO112" i="63" l="1"/>
  <c r="N112" i="63" s="1"/>
  <c r="N114" i="63" s="1"/>
  <c r="M114" i="63"/>
  <c r="M116" i="63" l="1"/>
  <c r="AO114" i="63"/>
  <c r="AO116" i="63" l="1"/>
  <c r="N116" i="63" s="1"/>
  <c r="N117" i="63" s="1"/>
  <c r="E8" i="94"/>
  <c r="C13" i="94" l="1"/>
  <c r="C15" i="94" l="1"/>
  <c r="C17" i="94" s="1"/>
  <c r="C18" i="94" s="1"/>
  <c r="AB81" i="62" l="1"/>
  <c r="G81" i="62"/>
  <c r="C89" i="62"/>
  <c r="C83" i="62"/>
  <c r="AB83" i="62" s="1"/>
  <c r="AB89" i="62" l="1"/>
  <c r="C91" i="62"/>
  <c r="AB91" i="62" s="1"/>
  <c r="AF81" i="62"/>
  <c r="G83" i="62"/>
  <c r="AF83" i="62" s="1"/>
  <c r="G89" i="62"/>
  <c r="AB57" i="62"/>
  <c r="C97" i="62"/>
  <c r="C59" i="62"/>
  <c r="G57" i="62"/>
  <c r="AF57" i="62" l="1"/>
  <c r="G97" i="62"/>
  <c r="G59" i="62"/>
  <c r="AF59" i="62" s="1"/>
  <c r="AB59" i="62"/>
  <c r="C45" i="62"/>
  <c r="AB97" i="62"/>
  <c r="C99" i="62"/>
  <c r="AB99" i="62" s="1"/>
  <c r="AF89" i="62"/>
  <c r="G91" i="62"/>
  <c r="AF91" i="62" s="1"/>
  <c r="AF97" i="62" l="1"/>
  <c r="G99" i="62"/>
  <c r="AF99" i="62" s="1"/>
  <c r="AB45" i="62"/>
  <c r="G45" i="62"/>
  <c r="AF45" i="62" s="1"/>
  <c r="AB27" i="62" l="1"/>
  <c r="G27" i="62"/>
  <c r="AF27" i="62" l="1"/>
  <c r="I27" i="62"/>
  <c r="AH27" i="62" l="1"/>
  <c r="M27" i="62"/>
  <c r="AL27" i="62" s="1"/>
  <c r="AB30" i="62" l="1"/>
  <c r="G30" i="62"/>
  <c r="AF30" i="62" s="1"/>
  <c r="AB29" i="62" l="1"/>
  <c r="G29" i="62"/>
  <c r="AF29" i="62" s="1"/>
  <c r="AL109" i="62" l="1"/>
  <c r="AB24" i="62" l="1"/>
  <c r="G24" i="62"/>
  <c r="AB26" i="62"/>
  <c r="G26" i="62"/>
  <c r="AF26" i="62" l="1"/>
  <c r="I26" i="62"/>
  <c r="AF24" i="62"/>
  <c r="I24" i="62"/>
  <c r="AB23" i="62"/>
  <c r="G23" i="62"/>
  <c r="AH24" i="62" l="1"/>
  <c r="M24" i="62"/>
  <c r="AL24" i="62" s="1"/>
  <c r="I23" i="62"/>
  <c r="AF23" i="62"/>
  <c r="AH26" i="62"/>
  <c r="M26" i="62"/>
  <c r="AL26" i="62" s="1"/>
  <c r="AH23" i="62" l="1"/>
  <c r="M23" i="62"/>
  <c r="AL23" i="62" s="1"/>
  <c r="AB22" i="62" l="1"/>
  <c r="G22" i="62"/>
  <c r="AF22" i="62" l="1"/>
  <c r="I22" i="62"/>
  <c r="AH22" i="62" l="1"/>
  <c r="M22" i="62"/>
  <c r="AL22" i="62" s="1"/>
  <c r="G101" i="62" l="1"/>
  <c r="AB101" i="62"/>
  <c r="C47" i="62"/>
  <c r="G47" i="62" l="1"/>
  <c r="AF47" i="62" s="1"/>
  <c r="AB47" i="62"/>
  <c r="AF101" i="62"/>
  <c r="I101" i="62"/>
  <c r="AH101" i="62" l="1"/>
  <c r="I47" i="62"/>
  <c r="M101" i="62"/>
  <c r="AL101" i="62" s="1"/>
  <c r="G32" i="62"/>
  <c r="AB32" i="62"/>
  <c r="I32" i="62" l="1"/>
  <c r="AF32" i="62"/>
  <c r="AH47" i="62"/>
  <c r="M47" i="62"/>
  <c r="AL47" i="62" s="1"/>
  <c r="AH32" i="62" l="1"/>
  <c r="M32" i="62"/>
  <c r="AL32" i="62" s="1"/>
  <c r="E12" i="94" l="1"/>
  <c r="AB10" i="62" l="1"/>
  <c r="G10" i="62"/>
  <c r="I10" i="62" l="1"/>
  <c r="AF10" i="62"/>
  <c r="AH10" i="62" l="1"/>
  <c r="I11" i="62"/>
  <c r="M10" i="62"/>
  <c r="AH11" i="62" l="1"/>
  <c r="AL10" i="62"/>
  <c r="M11" i="62"/>
  <c r="AL11" i="62" l="1"/>
  <c r="AB102" i="62" l="1"/>
  <c r="C48" i="62"/>
  <c r="G102" i="62"/>
  <c r="AB48" i="62" l="1"/>
  <c r="G48" i="62"/>
  <c r="C49" i="62"/>
  <c r="AF102" i="62"/>
  <c r="I102" i="62"/>
  <c r="AB49" i="62" l="1"/>
  <c r="M102" i="62"/>
  <c r="I48" i="62"/>
  <c r="AH102" i="62"/>
  <c r="AF48" i="62"/>
  <c r="G49" i="62"/>
  <c r="AF49" i="62" l="1"/>
  <c r="AH48" i="62"/>
  <c r="I49" i="62"/>
  <c r="AL102" i="62"/>
  <c r="M48" i="62"/>
  <c r="AL48" i="62" l="1"/>
  <c r="M49" i="62"/>
  <c r="AH49" i="62"/>
  <c r="AL49" i="62" l="1"/>
  <c r="AB103" i="62" l="1"/>
  <c r="C50" i="62"/>
  <c r="G103" i="62"/>
  <c r="C104" i="62"/>
  <c r="AB104" i="62" s="1"/>
  <c r="AF103" i="62" l="1"/>
  <c r="I103" i="62"/>
  <c r="G104" i="62"/>
  <c r="AF104" i="62" s="1"/>
  <c r="G50" i="62"/>
  <c r="AB50" i="62"/>
  <c r="C51" i="62"/>
  <c r="AF50" i="62" l="1"/>
  <c r="G51" i="62"/>
  <c r="AB51" i="62"/>
  <c r="C40" i="62"/>
  <c r="AB40" i="62" s="1"/>
  <c r="C105" i="62"/>
  <c r="AB105" i="62" s="1"/>
  <c r="AB52" i="62"/>
  <c r="I50" i="62"/>
  <c r="M103" i="62"/>
  <c r="AH103" i="62"/>
  <c r="I104" i="62"/>
  <c r="AH104" i="62" s="1"/>
  <c r="G40" i="62" l="1"/>
  <c r="AF40" i="62" s="1"/>
  <c r="AF51" i="62"/>
  <c r="G105" i="62"/>
  <c r="AF105" i="62" s="1"/>
  <c r="AL103" i="62"/>
  <c r="M50" i="62"/>
  <c r="M104" i="62"/>
  <c r="AL104" i="62" s="1"/>
  <c r="AH50" i="62"/>
  <c r="I51" i="62"/>
  <c r="AH51" i="62" l="1"/>
  <c r="I40" i="62"/>
  <c r="AH40" i="62" s="1"/>
  <c r="I105" i="62"/>
  <c r="AH105" i="62" s="1"/>
  <c r="AL50" i="62"/>
  <c r="M51" i="62"/>
  <c r="AL51" i="62" l="1"/>
  <c r="M40" i="62"/>
  <c r="AL40" i="62" s="1"/>
  <c r="M105" i="62"/>
  <c r="AL105" i="62" s="1"/>
  <c r="AL106" i="62" l="1"/>
  <c r="M107" i="62"/>
  <c r="AL107" i="62" s="1"/>
  <c r="M35" i="62" l="1"/>
  <c r="AL35" i="62" s="1"/>
  <c r="AH35" i="62"/>
  <c r="AB8" i="62"/>
  <c r="G8" i="62"/>
  <c r="C11" i="62"/>
  <c r="AB11" i="62" l="1"/>
  <c r="G11" i="62"/>
  <c r="AF8" i="62"/>
  <c r="AF11" i="62" l="1"/>
  <c r="H11" i="62"/>
  <c r="AG11" i="62" l="1"/>
  <c r="M111" i="62"/>
  <c r="AL111" i="62" s="1"/>
  <c r="G28" i="62" l="1"/>
  <c r="AB28" i="62"/>
  <c r="G33" i="62" l="1"/>
  <c r="AB33" i="62"/>
  <c r="AF28" i="62"/>
  <c r="I28" i="62"/>
  <c r="AH28" i="62" l="1"/>
  <c r="M28" i="62"/>
  <c r="AL28" i="62" s="1"/>
  <c r="I33" i="62"/>
  <c r="AF33" i="62"/>
  <c r="AH33" i="62" l="1"/>
  <c r="M33" i="62"/>
  <c r="AL33" i="62" s="1"/>
  <c r="AB25" i="62"/>
  <c r="C36" i="62"/>
  <c r="G25" i="62"/>
  <c r="AF25" i="62" l="1"/>
  <c r="I25" i="62"/>
  <c r="G36" i="62"/>
  <c r="AB36" i="62"/>
  <c r="C38" i="62"/>
  <c r="AH25" i="62" l="1"/>
  <c r="M25" i="62"/>
  <c r="AB38" i="62"/>
  <c r="C39" i="62"/>
  <c r="AB39" i="62" s="1"/>
  <c r="AF36" i="62"/>
  <c r="G38" i="62"/>
  <c r="AF38" i="62" s="1"/>
  <c r="AL25" i="62" l="1"/>
  <c r="M39" i="62"/>
  <c r="AL39" i="62" s="1"/>
  <c r="M34" i="62" l="1"/>
  <c r="AH34" i="62"/>
  <c r="I36" i="62"/>
  <c r="AH36" i="62" l="1"/>
  <c r="I38" i="62"/>
  <c r="AH38" i="62" s="1"/>
  <c r="AL34" i="62"/>
  <c r="M36" i="62"/>
  <c r="M38" i="62" l="1"/>
  <c r="AL36" i="62"/>
  <c r="AL38" i="62" l="1"/>
  <c r="M108" i="62"/>
  <c r="E10" i="94"/>
  <c r="M110" i="62" l="1"/>
  <c r="AL108" i="62"/>
  <c r="M112" i="62" l="1"/>
  <c r="AL112" i="62" s="1"/>
  <c r="AL110" i="62"/>
  <c r="D13" i="94"/>
  <c r="E7" i="94"/>
  <c r="D15" i="94" l="1"/>
  <c r="D17" i="94" s="1"/>
  <c r="D18" i="94" s="1"/>
  <c r="E18" i="94" s="1"/>
  <c r="E13" i="94"/>
  <c r="E15" i="94" s="1"/>
  <c r="E17" i="94" s="1"/>
</calcChain>
</file>

<file path=xl/comments1.xml><?xml version="1.0" encoding="utf-8"?>
<comments xmlns="http://schemas.openxmlformats.org/spreadsheetml/2006/main">
  <authors>
    <author>Patil, Alok A</author>
  </authors>
  <commentList>
    <comment ref="L7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Revised April 30, 2018</t>
        </r>
      </text>
    </comment>
    <comment ref="M58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-$4,539,303
Source: CBR Summary-3</t>
        </r>
      </text>
    </comment>
    <comment ref="M66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-$2,014,204
Source: CBR Summary-</t>
        </r>
      </text>
    </comment>
    <comment ref="M74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-$838,561.08
Source: CBR Summary-</t>
        </r>
      </text>
    </comment>
    <comment ref="M90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-$838,561.08
Source: CBR Summary-</t>
        </r>
      </text>
    </comment>
  </commentList>
</comments>
</file>

<file path=xl/comments2.xml><?xml version="1.0" encoding="utf-8"?>
<comments xmlns="http://schemas.openxmlformats.org/spreadsheetml/2006/main">
  <authors>
    <author>Patil, Alok A</author>
  </authors>
  <commentList>
    <comment ref="G29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Used average because regression fit is extremely poor</t>
        </r>
      </text>
    </comment>
    <comment ref="G30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Used average because regression fit is extremely poor</t>
        </r>
      </text>
    </comment>
  </commentList>
</comments>
</file>

<file path=xl/comments3.xml><?xml version="1.0" encoding="utf-8"?>
<comments xmlns="http://schemas.openxmlformats.org/spreadsheetml/2006/main">
  <authors>
    <author>Jonathan Kim</author>
  </authors>
  <commentList>
    <comment ref="O5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</commentList>
</comments>
</file>

<file path=xl/comments4.xml><?xml version="1.0" encoding="utf-8"?>
<comments xmlns="http://schemas.openxmlformats.org/spreadsheetml/2006/main">
  <authors>
    <author>Jonathan Kim</author>
  </authors>
  <commentList>
    <comment ref="O5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</commentList>
</comments>
</file>

<file path=xl/comments5.xml><?xml version="1.0" encoding="utf-8"?>
<comments xmlns="http://schemas.openxmlformats.org/spreadsheetml/2006/main">
  <authors>
    <author>Josh Kensok</author>
  </authors>
  <commentList>
    <comment ref="A18" authorId="0" shapeId="0">
      <text>
        <r>
          <rPr>
            <b/>
            <sz val="9"/>
            <color indexed="81"/>
            <rFont val="Tahoma"/>
            <family val="2"/>
          </rPr>
          <t>Josh Kensok:</t>
        </r>
        <r>
          <rPr>
            <sz val="9"/>
            <color indexed="81"/>
            <rFont val="Tahoma"/>
            <family val="2"/>
          </rPr>
          <t xml:space="preserve">
Grow by gross plant growth as a proxy, do not have a forecasted AMI DFIT 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>Josh Kensok:</t>
        </r>
        <r>
          <rPr>
            <sz val="9"/>
            <color indexed="81"/>
            <rFont val="Tahoma"/>
            <family val="2"/>
          </rPr>
          <t xml:space="preserve">
Need to calculate the offsetting GAAP equity reserve. The return on RB deferral would only be for the cost of debt until it is set into rates in a future GRC, the equity portion has a contra account offsetting during the deferral period</t>
        </r>
      </text>
    </comment>
  </commentList>
</comments>
</file>

<file path=xl/sharedStrings.xml><?xml version="1.0" encoding="utf-8"?>
<sst xmlns="http://schemas.openxmlformats.org/spreadsheetml/2006/main" count="5303" uniqueCount="800">
  <si>
    <t>Total</t>
  </si>
  <si>
    <t>Depreciation</t>
  </si>
  <si>
    <t>2015-2018 CAGR</t>
  </si>
  <si>
    <t>2013-2018 CAGR</t>
  </si>
  <si>
    <t>2008-2018 CAGR</t>
  </si>
  <si>
    <t>Regression 1 (Staff Method)</t>
  </si>
  <si>
    <t>Regression 2</t>
  </si>
  <si>
    <t>Regression Growth Rate</t>
  </si>
  <si>
    <t>Electric</t>
  </si>
  <si>
    <t>Rate Base</t>
  </si>
  <si>
    <t>Gas</t>
  </si>
  <si>
    <t>LINE</t>
  </si>
  <si>
    <t xml:space="preserve">12 ME Dec 2018 </t>
  </si>
  <si>
    <t>12 ME April 2021</t>
  </si>
  <si>
    <t>NO.</t>
  </si>
  <si>
    <t>Colstrip</t>
  </si>
  <si>
    <t>FIT</t>
  </si>
  <si>
    <t>AMI</t>
  </si>
  <si>
    <t>GTZ</t>
  </si>
  <si>
    <t>Escalation Base</t>
  </si>
  <si>
    <t>Escalation Factor</t>
  </si>
  <si>
    <t>Trended Costs</t>
  </si>
  <si>
    <t>Other Adjustments</t>
  </si>
  <si>
    <t>Operating Revenues:</t>
  </si>
  <si>
    <t>Sales to Customers</t>
  </si>
  <si>
    <t>Sales from Resale-Firm</t>
  </si>
  <si>
    <t>Sales to Other Utilities</t>
  </si>
  <si>
    <t>Other Operating Revenues</t>
  </si>
  <si>
    <t>Total Operating Revenues</t>
  </si>
  <si>
    <t>Operating Revenue Deductions:</t>
  </si>
  <si>
    <t>Power Costs:</t>
  </si>
  <si>
    <t>Fuel</t>
  </si>
  <si>
    <t>Purchased and Interchanged</t>
  </si>
  <si>
    <t>Wheeling</t>
  </si>
  <si>
    <t>Residential Exchange</t>
  </si>
  <si>
    <t>Total Production Expenses</t>
  </si>
  <si>
    <t>Other Power Supply Expenses</t>
  </si>
  <si>
    <t>Transmission Expense</t>
  </si>
  <si>
    <t>Distribution Expense</t>
  </si>
  <si>
    <t>Customer Account Expenses</t>
  </si>
  <si>
    <t>Customer Service Expenses</t>
  </si>
  <si>
    <t>Conservation Amortization</t>
  </si>
  <si>
    <t>Admin &amp; General Expense</t>
  </si>
  <si>
    <t>Amortization</t>
  </si>
  <si>
    <t>Amortiz Of Property Gain/Loss</t>
  </si>
  <si>
    <t>Other Operating Expenses</t>
  </si>
  <si>
    <t>Asc 815</t>
  </si>
  <si>
    <t>Taxes Other Than F.I.T.</t>
  </si>
  <si>
    <t>Federal Income Taxes</t>
  </si>
  <si>
    <t>Deferred Income Taxes</t>
  </si>
  <si>
    <t>Total Operating Rev. Deduct.</t>
  </si>
  <si>
    <t>Net Operating Income</t>
  </si>
  <si>
    <t xml:space="preserve">Rate Base </t>
  </si>
  <si>
    <t>Rate of Return</t>
  </si>
  <si>
    <t>Rate Base:</t>
  </si>
  <si>
    <t xml:space="preserve"> Gross Utility Plant in Service</t>
  </si>
  <si>
    <t xml:space="preserve"> Accumulated Depreciation </t>
  </si>
  <si>
    <t xml:space="preserve">  Non-plant DFIT</t>
  </si>
  <si>
    <t xml:space="preserve">  Deferred Debits</t>
  </si>
  <si>
    <t xml:space="preserve">  Deferred Taxes</t>
  </si>
  <si>
    <t xml:space="preserve">  Allowance for Working Capital</t>
  </si>
  <si>
    <t xml:space="preserve">  Other</t>
  </si>
  <si>
    <t>Total Rate Base</t>
  </si>
  <si>
    <t>Gross Plant</t>
  </si>
  <si>
    <t>Total Production</t>
  </si>
  <si>
    <t>Transmission</t>
  </si>
  <si>
    <t>Distribution</t>
  </si>
  <si>
    <t>Intangible Plant</t>
  </si>
  <si>
    <t>General Plant</t>
  </si>
  <si>
    <t xml:space="preserve">Accumulated Depreciation </t>
  </si>
  <si>
    <t>Deferred Federal Income Taxes (w/o Bonus)</t>
  </si>
  <si>
    <t>Bonus DFIT</t>
  </si>
  <si>
    <t>Total DFIT</t>
  </si>
  <si>
    <t>Net Plant after Deferred Income Taxes</t>
  </si>
  <si>
    <t>Non-plant DFIT</t>
  </si>
  <si>
    <t>Deferred Debits</t>
  </si>
  <si>
    <t>Allowance for Working Capital</t>
  </si>
  <si>
    <t>Other</t>
  </si>
  <si>
    <t>Proposed Rate of Return</t>
  </si>
  <si>
    <t>Return on Plant in Service at Proposed Rate</t>
  </si>
  <si>
    <t>Operating Income Deficiency</t>
  </si>
  <si>
    <t>Revenue Conversion Factor</t>
  </si>
  <si>
    <t>Revenue Requirement</t>
  </si>
  <si>
    <t>Revenue Growth Factor</t>
  </si>
  <si>
    <t>Attrition Adjusted Revenue Requirement</t>
  </si>
  <si>
    <t>PUGET SOUND ENERGY-ELECTRIC</t>
  </si>
  <si>
    <t>RESULTS OF OPERATIONS</t>
  </si>
  <si>
    <t>FOR THE TWELVE MONTHS ENDED DECEMBER 31, 2008-2018</t>
  </si>
  <si>
    <t>COMMISSION BASIS REPORT</t>
  </si>
  <si>
    <t xml:space="preserve"> Gross Utility Plant in Service (Net Before 2013) </t>
  </si>
  <si>
    <t>ADIT (w/o Bonus)</t>
  </si>
  <si>
    <t>Bonus ADIT</t>
  </si>
  <si>
    <t>Total ADIT</t>
  </si>
  <si>
    <t>Adjusted O&amp;M Factor</t>
  </si>
  <si>
    <t xml:space="preserve">Taxes Other Than Income </t>
  </si>
  <si>
    <t>Property Tax Adjustments (2008-2013)</t>
  </si>
  <si>
    <t>Taxes Other Than Income Factor</t>
  </si>
  <si>
    <t xml:space="preserve">Adjusted Distribution Plant </t>
  </si>
  <si>
    <t>Gross Distribution Plant</t>
  </si>
  <si>
    <t>Less AMI</t>
  </si>
  <si>
    <t>Adjusted Gross Distribution Plant</t>
  </si>
  <si>
    <t>Distribution Plant Accum. Dep.</t>
  </si>
  <si>
    <t>Plus AMI</t>
  </si>
  <si>
    <t>Adjusted Distribution Plant Accum. Dep.</t>
  </si>
  <si>
    <t>ADIT Distribution Plant (w/o Bonus)</t>
  </si>
  <si>
    <t>Adjusted DFIT Distribution Plant</t>
  </si>
  <si>
    <t>Adjusted Intangible Plant</t>
  </si>
  <si>
    <t>Gross Intangible Plant</t>
  </si>
  <si>
    <t>Less GTZ</t>
  </si>
  <si>
    <t>Intangible Plant Accum. Dep.</t>
  </si>
  <si>
    <t>Plus GTZ</t>
  </si>
  <si>
    <t>Intangible Distribution Plant (w/o Bonus)</t>
  </si>
  <si>
    <t>Year</t>
  </si>
  <si>
    <t>Year Variable 1</t>
  </si>
  <si>
    <t>Year Variable 2</t>
  </si>
  <si>
    <t>Slope</t>
  </si>
  <si>
    <t>Intercept</t>
  </si>
  <si>
    <t>SE Slope</t>
  </si>
  <si>
    <t>SE Intercept</t>
  </si>
  <si>
    <t>R-Sq.</t>
  </si>
  <si>
    <t>Standard Error</t>
  </si>
  <si>
    <t>F Stat.</t>
  </si>
  <si>
    <t>n-k</t>
  </si>
  <si>
    <t>SS Reg</t>
  </si>
  <si>
    <t>SS Res.</t>
  </si>
  <si>
    <t>SUMMARY OUTPUT</t>
  </si>
  <si>
    <t>Regression Statistics</t>
  </si>
  <si>
    <t>Multiple R</t>
  </si>
  <si>
    <t>R Square</t>
  </si>
  <si>
    <t>Adjusted R Square</t>
  </si>
  <si>
    <t>Observations</t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</si>
  <si>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</si>
  <si>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</si>
  <si>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</si>
  <si>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</si>
  <si>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</si>
  <si>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</si>
  <si>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</si>
  <si>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</si>
  <si>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Coefficients</t>
  </si>
  <si>
    <t>t Stat</t>
  </si>
  <si>
    <t>P-value</t>
  </si>
  <si>
    <t>Year Variable</t>
  </si>
  <si>
    <t>Sales less Power Cost</t>
  </si>
  <si>
    <t>Gross Production Plant</t>
  </si>
  <si>
    <t>Gross Trans. Plant</t>
  </si>
  <si>
    <t>Gross Dist. Plant</t>
  </si>
  <si>
    <t>Gross General Plant</t>
  </si>
  <si>
    <t>CBR O&amp;M</t>
  </si>
  <si>
    <t>ECI_Utilities</t>
  </si>
  <si>
    <t>PPI_Utilities</t>
  </si>
  <si>
    <t>PPI_Generation</t>
  </si>
  <si>
    <t>PPI_Transmission</t>
  </si>
  <si>
    <t>PPI_Distribution</t>
  </si>
  <si>
    <t>PPI_Weigthed</t>
  </si>
  <si>
    <t>Composite Index - Electric</t>
  </si>
  <si>
    <t>Composite Index - NG</t>
  </si>
  <si>
    <t>Weighting Based on Plant</t>
  </si>
  <si>
    <t>y1 = y0*(1+r)^x</t>
  </si>
  <si>
    <t>ln(y1/y0) = x*ln(1+r)</t>
  </si>
  <si>
    <t>CBR O&amp;M vs. Year</t>
  </si>
  <si>
    <t>X Variable 1</t>
  </si>
  <si>
    <t>X Variable 2</t>
  </si>
  <si>
    <t>ECI_Utilities vs. Year</t>
  </si>
  <si>
    <t>Lower 95%</t>
  </si>
  <si>
    <t>Upper 95%</t>
  </si>
  <si>
    <t>Lower 95.0%</t>
  </si>
  <si>
    <t>Upper 95.0%</t>
  </si>
  <si>
    <t>PPI_Utilities vs. Year</t>
  </si>
  <si>
    <t>PPI_Generation vs. Year</t>
  </si>
  <si>
    <t>PPI_Transmission vs. Year</t>
  </si>
  <si>
    <t>PPI_Distribution vs. Year</t>
  </si>
  <si>
    <t>A&amp;G Expense</t>
  </si>
  <si>
    <t>Gross Intang. Plant</t>
  </si>
  <si>
    <t>CBR TOTI</t>
  </si>
  <si>
    <t>PUGET SOUND ENERGY-GAS</t>
  </si>
  <si>
    <t>Municipal Additions</t>
  </si>
  <si>
    <t>Gas Costs:</t>
  </si>
  <si>
    <t xml:space="preserve"> Purchased Gas</t>
  </si>
  <si>
    <t>Amortization of Property Loss</t>
  </si>
  <si>
    <t xml:space="preserve">  Utility Plant in Service And Other Assets</t>
  </si>
  <si>
    <t xml:space="preserve">  Accumulated Depreciation</t>
  </si>
  <si>
    <t xml:space="preserve">  Accumulated Deferred Fit - Liberalized</t>
  </si>
  <si>
    <t xml:space="preserve">  Depreciation and Other Liabilities</t>
  </si>
  <si>
    <t>Total Net Investment</t>
  </si>
  <si>
    <t>Production</t>
  </si>
  <si>
    <t>Accumulated Depreciation</t>
  </si>
  <si>
    <t>Non Plant ADIT</t>
  </si>
  <si>
    <t>Depreciation and Other Liabilities</t>
  </si>
  <si>
    <t>Total Ratebase</t>
  </si>
  <si>
    <t>CRM</t>
  </si>
  <si>
    <t>Taxes Other Than Income (TOTI) Factor</t>
  </si>
  <si>
    <t>Adjustments (2008-2013)</t>
  </si>
  <si>
    <t>PGA Tax Adjustment</t>
  </si>
  <si>
    <t>Less CRM</t>
  </si>
  <si>
    <t>Adjusted Gross Dist. Plant</t>
  </si>
  <si>
    <t>Dist. Plant Acc. Depreciation</t>
  </si>
  <si>
    <t>Plus CRM</t>
  </si>
  <si>
    <t>Adjusted Dist. Plant Acc. Depreciation</t>
  </si>
  <si>
    <t>Dist. Plant ADIT</t>
  </si>
  <si>
    <t>Adjusted Dist. Plant ADIT</t>
  </si>
  <si>
    <t xml:space="preserve">Adjusted Intangible Plant </t>
  </si>
  <si>
    <t>12 ME Apr 2021</t>
  </si>
  <si>
    <t>Net Plant After ADIT</t>
  </si>
  <si>
    <t>Sales less Gas Cost</t>
  </si>
  <si>
    <t>Gas Production Plant</t>
  </si>
  <si>
    <t>Gas Dist. Plant</t>
  </si>
  <si>
    <t>Gas Intangible. Plant</t>
  </si>
  <si>
    <t>Other supply expenses</t>
  </si>
  <si>
    <t>Rate</t>
  </si>
  <si>
    <t>Line No.</t>
  </si>
  <si>
    <t>(a)</t>
  </si>
  <si>
    <t>(b)</t>
  </si>
  <si>
    <t>Adjustment</t>
  </si>
  <si>
    <t>D</t>
  </si>
  <si>
    <t>E</t>
  </si>
  <si>
    <t>G</t>
  </si>
  <si>
    <t>I</t>
  </si>
  <si>
    <t>In 2019 Plan</t>
  </si>
  <si>
    <t>Amortization Rate</t>
  </si>
  <si>
    <t>CWIP to Close %</t>
  </si>
  <si>
    <t>pre-tax WACC grossed-up</t>
  </si>
  <si>
    <t>TY End</t>
  </si>
  <si>
    <t>In Rate</t>
  </si>
  <si>
    <t>Test Year</t>
  </si>
  <si>
    <t>($ in millions)</t>
  </si>
  <si>
    <t>Total (Jan 2019 - Mar 2020)</t>
  </si>
  <si>
    <t>2019 only</t>
  </si>
  <si>
    <t>Mar-Dec 2019</t>
  </si>
  <si>
    <t>May-Dec 2019</t>
  </si>
  <si>
    <t>Jan-Mar 2020</t>
  </si>
  <si>
    <t>Capex</t>
  </si>
  <si>
    <t>Beg CWIP</t>
  </si>
  <si>
    <t>End CWIP</t>
  </si>
  <si>
    <t>Total AFUDC Accrued</t>
  </si>
  <si>
    <t>Closings</t>
  </si>
  <si>
    <t>Plant</t>
  </si>
  <si>
    <t>Amortization Expense</t>
  </si>
  <si>
    <t>Incremental Amort vs prior TY</t>
  </si>
  <si>
    <t>2018 Amortization - Retroactive</t>
  </si>
  <si>
    <t>e</t>
  </si>
  <si>
    <t>Total Depreciation &amp; Amortization</t>
  </si>
  <si>
    <t>g</t>
  </si>
  <si>
    <t>Accumulated D&amp;A</t>
  </si>
  <si>
    <t>t</t>
  </si>
  <si>
    <t>DFIT</t>
  </si>
  <si>
    <t>Ratebase</t>
  </si>
  <si>
    <t>Return on Ratebase</t>
  </si>
  <si>
    <t>2018 Return on Ratebase - Retroactive</t>
  </si>
  <si>
    <t>full EOP TY return</t>
  </si>
  <si>
    <t xml:space="preserve"> gaap accounting - 40% equity reserve</t>
  </si>
  <si>
    <t>Total Return on RB</t>
  </si>
  <si>
    <t>full EOP TY FERC return</t>
  </si>
  <si>
    <t>option 2</t>
  </si>
  <si>
    <t>Total Return on and return of</t>
  </si>
  <si>
    <t>Jan 2019-Mar 2020</t>
  </si>
  <si>
    <t>Jun 2018-Dec 2018</t>
  </si>
  <si>
    <t>Plant in Service</t>
  </si>
  <si>
    <t>Accum D&amp;A</t>
  </si>
  <si>
    <t xml:space="preserve">Electric </t>
  </si>
  <si>
    <t>Common</t>
  </si>
  <si>
    <t>Annualized D&amp;A</t>
  </si>
  <si>
    <t>Avg Book Life</t>
  </si>
  <si>
    <t>Monthly</t>
  </si>
  <si>
    <t>Depreciation Rate</t>
  </si>
  <si>
    <t>From 2018 Outlook 11&amp;1</t>
  </si>
  <si>
    <t>2018 AMI Capex ($ 000's)</t>
  </si>
  <si>
    <t>YTD June</t>
  </si>
  <si>
    <t>July-Dec</t>
  </si>
  <si>
    <t>Meters &amp; Modules</t>
  </si>
  <si>
    <t>Network Deployment</t>
  </si>
  <si>
    <t>Meters &amp; Modules Deployment IT</t>
  </si>
  <si>
    <t>2016/2017 Investment</t>
  </si>
  <si>
    <t>2017/2018 Investment</t>
  </si>
  <si>
    <t>Composite</t>
  </si>
  <si>
    <t xml:space="preserve">Annual </t>
  </si>
  <si>
    <t>Dep Rate</t>
  </si>
  <si>
    <t>Depr Exp</t>
  </si>
  <si>
    <t>Old Rates</t>
  </si>
  <si>
    <t>New Rates</t>
  </si>
  <si>
    <t>Period</t>
  </si>
  <si>
    <t>Tax Depreciation Rate</t>
  </si>
  <si>
    <t>Accum Dep</t>
  </si>
  <si>
    <t>Annual Depreciation Expense</t>
  </si>
  <si>
    <t>ADFIT</t>
  </si>
  <si>
    <t>Beg RY</t>
  </si>
  <si>
    <t>E of Rate Year</t>
  </si>
  <si>
    <t>Accumulated</t>
  </si>
  <si>
    <t>Net Utility</t>
  </si>
  <si>
    <t>Description</t>
  </si>
  <si>
    <t>With Bonus</t>
  </si>
  <si>
    <t>P</t>
  </si>
  <si>
    <t>T</t>
  </si>
  <si>
    <t>Total Plant in Service</t>
  </si>
  <si>
    <t>Without Bonus</t>
  </si>
  <si>
    <t>ck</t>
  </si>
  <si>
    <t>FRED Graph Observations</t>
  </si>
  <si>
    <t>Federal Reserve Economic Data</t>
  </si>
  <si>
    <t>Link: https://fred.stlouisfed.org</t>
  </si>
  <si>
    <t>Help: https://fred.stlouisfed.org/help-faq</t>
  </si>
  <si>
    <t>Economic Research Division</t>
  </si>
  <si>
    <t>Federal Reserve Bank of St. Louis</t>
  </si>
  <si>
    <t>CIS2014400000000I</t>
  </si>
  <si>
    <t>Employment Cost Index: Total compensation for Private industry workers in Utilities, Index Dec 2005=100, Quarterly, Seasonally Adjusted</t>
  </si>
  <si>
    <t>PCU221221</t>
  </si>
  <si>
    <t>Producer Price Index by Industry: Utilities, Index Dec 2003=100, Monthly, Not Seasonally Adjusted</t>
  </si>
  <si>
    <t>Producer Price Index by Industry: Electric Power Generation, Index Dec 2003=100, Monthly, Not Seasonally Adjusted</t>
  </si>
  <si>
    <t>Producer Price Index by Industry: Electric Bulk Power Transmission and Control, Index Dec 2003=100, Monthly, Not Seasonally Adjusted</t>
  </si>
  <si>
    <t>Producer Price Index by Industry: Electric Power Distribution, Index Dec 2003=100, Monthly, Not Seasonally Adjusted</t>
  </si>
  <si>
    <t>Frequency: Quarterly</t>
  </si>
  <si>
    <t>Frequency: Monthly</t>
  </si>
  <si>
    <t>observation_date</t>
  </si>
  <si>
    <t>PCU221110221110</t>
  </si>
  <si>
    <t>PCU221121221121</t>
  </si>
  <si>
    <t>PCU221122221122</t>
  </si>
  <si>
    <t xml:space="preserve">  ZO12                     Property Tax Orders: Actual </t>
  </si>
  <si>
    <t xml:space="preserve">  Date:                     04/11/2019</t>
  </si>
  <si>
    <t xml:space="preserve">  Pages:                      0</t>
  </si>
  <si>
    <t>Total Electric</t>
  </si>
  <si>
    <t>Electric Propert Taxes</t>
  </si>
  <si>
    <t>(1-2008 To 6-2013)</t>
  </si>
  <si>
    <t>12ME 12-2008</t>
  </si>
  <si>
    <t>12ME 12-2009</t>
  </si>
  <si>
    <t>12ME 12-2010</t>
  </si>
  <si>
    <t>12ME 12-2011</t>
  </si>
  <si>
    <t>12ME 12-2012</t>
  </si>
  <si>
    <t>6ME 6-2013</t>
  </si>
  <si>
    <t>40810006  Property Taxes-Washington-Electric</t>
  </si>
  <si>
    <t>40810012  Property Taxes - Oregon</t>
  </si>
  <si>
    <t>40810013  Property Taxes - Montana</t>
  </si>
  <si>
    <t>40810014  1180 - Mint Farm Property Tax Expense</t>
  </si>
  <si>
    <t xml:space="preserve">Total Electric Property Taxes </t>
  </si>
  <si>
    <t xml:space="preserve">Less:  Electric Property Tax Reimbursements </t>
  </si>
  <si>
    <t>40810008  Property Tax Reimbursement-Quanta - Elec</t>
  </si>
  <si>
    <t>Total Electric Property Tax Reimbursements</t>
  </si>
  <si>
    <t>Total Net Electric Property Taxes</t>
  </si>
  <si>
    <t>Total Gas</t>
  </si>
  <si>
    <t>Gas Property Taxes</t>
  </si>
  <si>
    <t>40810304  Property Taxes-Washington-Gas</t>
  </si>
  <si>
    <t xml:space="preserve">Total Gas Property Taxes </t>
  </si>
  <si>
    <t xml:space="preserve">Less:  Gas Property Tax Reimbursements </t>
  </si>
  <si>
    <t>40810305  Property Tax Reimbursement-Pilchuck -Gas</t>
  </si>
  <si>
    <t>40810306  Property Tax Reimbursement-Quanta- Gas</t>
  </si>
  <si>
    <t>Total Gas Property Tax Reimbursements</t>
  </si>
  <si>
    <t>Total Net Gas Property Taxes</t>
  </si>
  <si>
    <t>Chk</t>
  </si>
  <si>
    <t>Current Approved Annual Rate</t>
  </si>
  <si>
    <t>Depreciation Expense per SAP with CBR Adjustments</t>
  </si>
  <si>
    <t>Pre 2017 GRC Approved Annual Depr Rate</t>
  </si>
  <si>
    <t>Relationship of current to previous rate</t>
  </si>
  <si>
    <t>Depreciation at pre study levels</t>
  </si>
  <si>
    <t>UE170033 Proposed Rates from Depr Study</t>
  </si>
  <si>
    <t>Row Labels Total</t>
  </si>
  <si>
    <t>a</t>
  </si>
  <si>
    <t>b</t>
  </si>
  <si>
    <t>c</t>
  </si>
  <si>
    <t>d = (1 - (c ÷ a) )</t>
  </si>
  <si>
    <t>e = b x d</t>
  </si>
  <si>
    <t>f - b + e</t>
  </si>
  <si>
    <t>E311 STM Str/Impv, Colstrip 1 Total</t>
  </si>
  <si>
    <t>E311 STM Str/Impv, Colstrip 1-2 Com Total</t>
  </si>
  <si>
    <t>E311 STM Str/Impv, Colstrip 2 Total</t>
  </si>
  <si>
    <t>E311 STM Str/Impv, Colstrip 3 Total</t>
  </si>
  <si>
    <t>E311 STM Str/Impv, Colstrip 3-4 Com Total</t>
  </si>
  <si>
    <t>E311 STM Str/Impv, Colstrip 4 Total</t>
  </si>
  <si>
    <t>E312 STM Boiler, Colstrip 1 Total</t>
  </si>
  <si>
    <t>E312 STM Boiler, Colstrip 1-2 Com Total</t>
  </si>
  <si>
    <t>E312 STM Boiler, Colstrip 2 Total</t>
  </si>
  <si>
    <t>E312 STM Boiler, Colstrip 3 Total</t>
  </si>
  <si>
    <t>E312 STM Boiler, Colstrip 3-4 Com Total</t>
  </si>
  <si>
    <t>E312 STM Boiler, Colstrip 4 Total</t>
  </si>
  <si>
    <t>E314 STM Turbogen, Colstrip 1 Total</t>
  </si>
  <si>
    <t>E314 STM Turbogen, Colstrip 1-2 Com Total</t>
  </si>
  <si>
    <t>E314 STM Turbogen, Colstrip 2 Total</t>
  </si>
  <si>
    <t>E314 STM Turbogen, Colstrip 3 Total</t>
  </si>
  <si>
    <t>E314 STM Turbogen, Colstrip 4 Total</t>
  </si>
  <si>
    <t>E315 STM Accessory, Colstrip 1 Total</t>
  </si>
  <si>
    <t>E315 STM Accessory, Colstrip 1-2 Cm Total</t>
  </si>
  <si>
    <t>E315 STM Accessory, Colstrip 2 Total</t>
  </si>
  <si>
    <t>E315 STM Accessory, Colstrip 3 Total</t>
  </si>
  <si>
    <t>E315 STM Accessory, Colstrip 3-4 Cm Total</t>
  </si>
  <si>
    <t>E315 STM Accessory, Colstrip 4 Total</t>
  </si>
  <si>
    <t>E316 STM Misc, Colstrip 1 Total</t>
  </si>
  <si>
    <t>E316 STM Misc, Colstrip 1-2 Com Total</t>
  </si>
  <si>
    <t>E316 STM Misc, Colstrip 1-4 Com Total</t>
  </si>
  <si>
    <t>E316 STM Misc, Colstrip 2 Total</t>
  </si>
  <si>
    <t>E316 STM Misc, Colstrip 3 Total</t>
  </si>
  <si>
    <t>E316 STM Misc, Colstrip 3-4 Com Total</t>
  </si>
  <si>
    <t>E316 STM Misc, Colstrip 4 Total</t>
  </si>
  <si>
    <t>2017 GRC Test Year Depreciation</t>
  </si>
  <si>
    <t>2017 GRC Proforma Depreciation</t>
  </si>
  <si>
    <t>GRC Increase</t>
  </si>
  <si>
    <t>4-Factor Allocator</t>
  </si>
  <si>
    <t xml:space="preserve">DETAIL DEFERRED TAXES 2008 - 2018 COMISSION BASIS REPORT </t>
  </si>
  <si>
    <t>NOL</t>
  </si>
  <si>
    <t>Four-Factor</t>
  </si>
  <si>
    <t>AMA (Dec 08)</t>
  </si>
  <si>
    <t>AMA (Dec 09)</t>
  </si>
  <si>
    <t>AMA (Dec 10)</t>
  </si>
  <si>
    <t>AMA (Dec 11)</t>
  </si>
  <si>
    <t>AMA (Dec 12)</t>
  </si>
  <si>
    <t>AMA (Dec 13)</t>
  </si>
  <si>
    <t>AMA (Dec 14)</t>
  </si>
  <si>
    <t>AMA (Dec 15)</t>
  </si>
  <si>
    <t>AMA (Dec 16)</t>
  </si>
  <si>
    <t>AMA (Dec 17)</t>
  </si>
  <si>
    <t>AMA (Dec 18)</t>
  </si>
  <si>
    <t>Account</t>
  </si>
  <si>
    <t>Account Description</t>
  </si>
  <si>
    <t>Non/Plant</t>
  </si>
  <si>
    <t>Energy</t>
  </si>
  <si>
    <t>SSCM INT-GAS</t>
  </si>
  <si>
    <t>Non-P</t>
  </si>
  <si>
    <t>Gas - Accum Def Income Taxes</t>
  </si>
  <si>
    <t>Def FIT - White River Water Right</t>
  </si>
  <si>
    <t>37c</t>
  </si>
  <si>
    <t>CIAC after 10/8/76 - Accum Def Income Tax</t>
  </si>
  <si>
    <t>CIAC - 1986 Changes - Accum Def Income Tax</t>
  </si>
  <si>
    <t>CIAC - 7/1/87 - Accum Def Income Tax</t>
  </si>
  <si>
    <t>DFIT- Int'l Paper West Coast Capacity Agreement</t>
  </si>
  <si>
    <t>DTA for Redmond West Tenant Allowances</t>
  </si>
  <si>
    <t>37g</t>
  </si>
  <si>
    <t>E/G</t>
  </si>
  <si>
    <t>Cabot Gas Contract - Accum Def Inc Taxe</t>
  </si>
  <si>
    <t>26a</t>
  </si>
  <si>
    <t>DFIT - Westcoast Capacity Assignment - Electric</t>
  </si>
  <si>
    <t>26b</t>
  </si>
  <si>
    <t>NOL Carryforward RATE BASE</t>
  </si>
  <si>
    <t>35a2</t>
  </si>
  <si>
    <t>Deferred FIT - FAS 143 Whitehorn 2 &amp; 3</t>
  </si>
  <si>
    <t>37f</t>
  </si>
  <si>
    <t>Deferred FIT - Canwest Gas Supply - Ele</t>
  </si>
  <si>
    <t>37d</t>
  </si>
  <si>
    <t>NOL C/F Repairs/Retirements</t>
  </si>
  <si>
    <t>Encogen Activity - Electric</t>
  </si>
  <si>
    <t>32</t>
  </si>
  <si>
    <t>DFIT Summit Landlord Incentive</t>
  </si>
  <si>
    <t>Def FIT - Wind Loss Settlement Agreemen</t>
  </si>
  <si>
    <t>37h</t>
  </si>
  <si>
    <t>DFIT Bothel Data Ctr. - Ppd Lease Expense</t>
  </si>
  <si>
    <t>35a</t>
  </si>
  <si>
    <t>Def FIT - ARO</t>
  </si>
  <si>
    <t>Def FIT - Software</t>
  </si>
  <si>
    <t>DFIT FIN 48 Interest - Electric</t>
  </si>
  <si>
    <t>27.1</t>
  </si>
  <si>
    <t>DFIT SSCM INT-GAS</t>
  </si>
  <si>
    <t>DFIT-BNP Electric</t>
  </si>
  <si>
    <t>26c</t>
  </si>
  <si>
    <t>DFIT-DFIT NOL Carryforward-ST</t>
  </si>
  <si>
    <t>International Paper - Westcoast Capacity Agreement</t>
  </si>
  <si>
    <t>Deferred Inc Tax - Liberalized Deprec</t>
  </si>
  <si>
    <t xml:space="preserve">Deferred Tax - Common Depreciation  </t>
  </si>
  <si>
    <t>Major Projects - Property Tax Expense</t>
  </si>
  <si>
    <t>Def Inc Tax - Pre 1981 Additions</t>
  </si>
  <si>
    <t>Def Inc Tax - Post 1980 Additions</t>
  </si>
  <si>
    <t>Colstrip 3 &amp; 4 Deferred Inc Tax</t>
  </si>
  <si>
    <t>Excess Def Taxes - Centralia Sale</t>
  </si>
  <si>
    <t>Accum Defered Income Tax - Gas</t>
  </si>
  <si>
    <t>Def FIT Removal Cost</t>
  </si>
  <si>
    <t>DFIT - Electric Plant Repairs/Retirements</t>
  </si>
  <si>
    <t>DFIT - Gas Plant Repairs/Retirements</t>
  </si>
  <si>
    <t>Def FIT White River</t>
  </si>
  <si>
    <t>Accum Def Income Tax</t>
  </si>
  <si>
    <t>Def Tax - CLX Amortization</t>
  </si>
  <si>
    <t>DFIT - BPA Prepayment LT</t>
  </si>
  <si>
    <t>37m</t>
  </si>
  <si>
    <t>DFIT - Variable Deferred Cost Snoqualmie LT</t>
  </si>
  <si>
    <t>37a</t>
  </si>
  <si>
    <t>DFIT Colstrip ARO</t>
  </si>
  <si>
    <t>Deferred Income Tax - SAP Amortization</t>
  </si>
  <si>
    <t>Def FIT Bond Redemption Costs</t>
  </si>
  <si>
    <t>Def Tax - Fredonia Turbine Lease</t>
  </si>
  <si>
    <t>Deferred Taxes WNP#3</t>
  </si>
  <si>
    <t>37e</t>
  </si>
  <si>
    <t>Accum Def Inc Tax - Gas</t>
  </si>
  <si>
    <t>Accum Def Inc Tax - Tenaska Purchase</t>
  </si>
  <si>
    <t>Accum Def Inc Tax - Cabot Gas Contract</t>
  </si>
  <si>
    <t>37b</t>
  </si>
  <si>
    <t>IRS Carryover Adjustments (a)</t>
  </si>
  <si>
    <t>DFIT - Goldendale Deferral - UE-070533</t>
  </si>
  <si>
    <t>37i</t>
  </si>
  <si>
    <t>DFIT - Goldendale Carrying Costs - UE-070533</t>
  </si>
  <si>
    <t>DFIT - Interest Chelan PUD Reg Asset</t>
  </si>
  <si>
    <t>37l</t>
  </si>
  <si>
    <t>DFIT - Mint Farm Deferred Costs</t>
  </si>
  <si>
    <t>37j</t>
  </si>
  <si>
    <t>DFIT - Mint Farm Variable Costs</t>
  </si>
  <si>
    <t>DFIT - Mint Farm Fixed Costs</t>
  </si>
  <si>
    <t>DFIT WHE Var Costs</t>
  </si>
  <si>
    <t>37k</t>
  </si>
  <si>
    <t>DFIT WHE Fixed Costs</t>
  </si>
  <si>
    <t>DFIT - White River Reg Asset</t>
  </si>
  <si>
    <t>DFIT - FIT MF UE090704</t>
  </si>
  <si>
    <t>DFIT - FIT WHE UE090704</t>
  </si>
  <si>
    <t>DFIT - Lower Snake River Deferred Costs</t>
  </si>
  <si>
    <t>DFIT - Ferndale Purchase Deferrals - Long Term</t>
  </si>
  <si>
    <t>DFIT-Variable Deferred Cost Baker Upgrade_LT</t>
  </si>
  <si>
    <t>DFIT - Electron Unrecovered Loss</t>
  </si>
  <si>
    <t>Plant Related</t>
  </si>
  <si>
    <t>Non-Plant Related</t>
  </si>
  <si>
    <t>Effects of Bonus Depreciation</t>
  </si>
  <si>
    <t>Without the Effects of Bonus</t>
  </si>
  <si>
    <t>I/S Line 19</t>
  </si>
  <si>
    <t>I/S Line 22</t>
  </si>
  <si>
    <t>I/S Line 27</t>
  </si>
  <si>
    <t>Bad</t>
  </si>
  <si>
    <t>UTC</t>
  </si>
  <si>
    <t>State</t>
  </si>
  <si>
    <t>Gross Up</t>
  </si>
  <si>
    <t>Debt</t>
  </si>
  <si>
    <t>Bad Debt</t>
  </si>
  <si>
    <t>Filing</t>
  </si>
  <si>
    <t>Utility</t>
  </si>
  <si>
    <t>PGA Gas Costs</t>
  </si>
  <si>
    <t>Factor</t>
  </si>
  <si>
    <t>PGA Revenues</t>
  </si>
  <si>
    <t>Expense</t>
  </si>
  <si>
    <t>Fee Rate</t>
  </si>
  <si>
    <t>Fee</t>
  </si>
  <si>
    <t>Tax Rate</t>
  </si>
  <si>
    <t>Tax Expense</t>
  </si>
  <si>
    <t>Trend of Plant Balances Oct 2016 through June 2019</t>
  </si>
  <si>
    <t>Plant Bal- Electric</t>
  </si>
  <si>
    <t>Plant Bal- Gas</t>
  </si>
  <si>
    <t>Plant Bal- Total</t>
  </si>
  <si>
    <t>Acc Depr Bal- Electric</t>
  </si>
  <si>
    <t>Acc Depr Bal- Gas</t>
  </si>
  <si>
    <t>Acc Depr Bal- Total</t>
  </si>
  <si>
    <t>ADIT Bal- Electric</t>
  </si>
  <si>
    <t>ADIT Bal- Gas</t>
  </si>
  <si>
    <t>ADIT Bal- Total</t>
  </si>
  <si>
    <t>Net Utility Plant - Electric</t>
  </si>
  <si>
    <t>Net Utility Plant - Gas</t>
  </si>
  <si>
    <t>Net Utility Plant - Total</t>
  </si>
  <si>
    <t>source</t>
  </si>
  <si>
    <t>DR39</t>
  </si>
  <si>
    <t>pro-forma</t>
  </si>
  <si>
    <t>Check==&gt;</t>
  </si>
  <si>
    <t>Gas Stored Underground - Non current</t>
  </si>
  <si>
    <t>Per CBR Lines 41 and 42</t>
  </si>
  <si>
    <t>Utility Plant in Service</t>
  </si>
  <si>
    <t>MACRS 3 YEAR</t>
  </si>
  <si>
    <t>TAX DEPRECIATION</t>
  </si>
  <si>
    <t>Depreciable Plant Balance</t>
  </si>
  <si>
    <t>Depreciation Expense</t>
  </si>
  <si>
    <t>Net Book Value</t>
  </si>
  <si>
    <t>NBV Diff</t>
  </si>
  <si>
    <t>Expense (k)</t>
  </si>
  <si>
    <t>Tax</t>
  </si>
  <si>
    <t>Book</t>
  </si>
  <si>
    <t>Tax (c) = (a)</t>
  </si>
  <si>
    <t>Book (d) = (b)</t>
  </si>
  <si>
    <t xml:space="preserve">Book  </t>
  </si>
  <si>
    <t>Book &gt; Tax</t>
  </si>
  <si>
    <t>= - curr mos</t>
  </si>
  <si>
    <t>x Tax Table</t>
  </si>
  <si>
    <t>x Depr % ÷ 12</t>
  </si>
  <si>
    <t>(e) = prior</t>
  </si>
  <si>
    <t>(f) = prior</t>
  </si>
  <si>
    <t>(j) = - (i) *</t>
  </si>
  <si>
    <t>(j) + prior</t>
  </si>
  <si>
    <t>Date</t>
  </si>
  <si>
    <t>mos.</t>
  </si>
  <si>
    <t>mos- (c)</t>
  </si>
  <si>
    <t>mos - (d)</t>
  </si>
  <si>
    <t>(g) = (a) + (e)</t>
  </si>
  <si>
    <t>(h) = (b) + (f)</t>
  </si>
  <si>
    <t>(i) = (h) - (g)</t>
  </si>
  <si>
    <t>mos (j)</t>
  </si>
  <si>
    <t>Attrition Base Year (SEF-9 page 1)</t>
  </si>
  <si>
    <t>check</t>
  </si>
  <si>
    <t>ptnoi</t>
  </si>
  <si>
    <t>total</t>
  </si>
  <si>
    <t>electric</t>
  </si>
  <si>
    <t>gas</t>
  </si>
  <si>
    <t>2018 plant balance</t>
  </si>
  <si>
    <t>balance</t>
  </si>
  <si>
    <t>additions</t>
  </si>
  <si>
    <t>RSRV</t>
  </si>
  <si>
    <t>AMORT</t>
  </si>
  <si>
    <t xml:space="preserve">Total </t>
  </si>
  <si>
    <t>d</t>
  </si>
  <si>
    <t>f</t>
  </si>
  <si>
    <t>h</t>
  </si>
  <si>
    <t>i</t>
  </si>
  <si>
    <t>j</t>
  </si>
  <si>
    <t>n</t>
  </si>
  <si>
    <t>LINE NO.</t>
  </si>
  <si>
    <t>Line Description</t>
  </si>
  <si>
    <t>e = ∑ a thru d</t>
  </si>
  <si>
    <t>j = ∑ g thru i</t>
  </si>
  <si>
    <t>Rate Year Revenue &amp; Costs</t>
  </si>
  <si>
    <t>Attrition Base Year (SEF-9 page 2)</t>
  </si>
  <si>
    <t>k = ∑ g thru j</t>
  </si>
  <si>
    <t>T&amp;D Expense</t>
  </si>
  <si>
    <t>Customer Expenses</t>
  </si>
  <si>
    <t>in column g</t>
  </si>
  <si>
    <t>Average Balances</t>
  </si>
  <si>
    <t>2018 Depreciation Expense</t>
  </si>
  <si>
    <t>Combined</t>
  </si>
  <si>
    <t>ELECTRIC ATTRITION</t>
  </si>
  <si>
    <t>GAS ATTRITION</t>
  </si>
  <si>
    <t>UE-090674</t>
  </si>
  <si>
    <t>UE-100719</t>
  </si>
  <si>
    <t>UE-110764</t>
  </si>
  <si>
    <t>UE-120608</t>
  </si>
  <si>
    <t>UE-130652</t>
  </si>
  <si>
    <t>UE-140536</t>
  </si>
  <si>
    <t>UE-150528</t>
  </si>
  <si>
    <t>UE-160375</t>
  </si>
  <si>
    <t>UE-170221</t>
  </si>
  <si>
    <t>UE-180255</t>
  </si>
  <si>
    <t>UE-190211</t>
  </si>
  <si>
    <t>UG-090675</t>
  </si>
  <si>
    <t>UG-100720</t>
  </si>
  <si>
    <t>UG-110765</t>
  </si>
  <si>
    <t>UG-120609</t>
  </si>
  <si>
    <t>UG-130653</t>
  </si>
  <si>
    <t>UG-140537</t>
  </si>
  <si>
    <t>UG-150529</t>
  </si>
  <si>
    <t>UG-160376</t>
  </si>
  <si>
    <t>UG-170222</t>
  </si>
  <si>
    <t>UG-180256</t>
  </si>
  <si>
    <t>UG-190212</t>
  </si>
  <si>
    <t>Plant Related without the effects of bonus</t>
  </si>
  <si>
    <t>Total Plant Related</t>
  </si>
  <si>
    <t>Gas Total</t>
  </si>
  <si>
    <t>Electric Total</t>
  </si>
  <si>
    <t>Non Utility</t>
  </si>
  <si>
    <t>Electric General Plant</t>
  </si>
  <si>
    <t>Ratios</t>
  </si>
  <si>
    <t>A</t>
  </si>
  <si>
    <t>Gas General + Common</t>
  </si>
  <si>
    <t>Electric General + Common</t>
  </si>
  <si>
    <t>Proof</t>
  </si>
  <si>
    <t>Electric Other</t>
  </si>
  <si>
    <t>SAP</t>
  </si>
  <si>
    <t>Grand Total</t>
  </si>
  <si>
    <t>Common General</t>
  </si>
  <si>
    <t>AVERAGES</t>
  </si>
  <si>
    <t>No PT data base available prior to 2011 so totals for electric, gas had to be allocated to functional classes based on 2011 ratios</t>
  </si>
  <si>
    <t>2008 - 2018</t>
  </si>
  <si>
    <t>PT 282 ADIT by Functional Class</t>
  </si>
  <si>
    <t>Total DTL</t>
  </si>
  <si>
    <t>Allocated Common</t>
  </si>
  <si>
    <t>Common Allocator</t>
  </si>
  <si>
    <t>DTL</t>
  </si>
  <si>
    <t>Change in Balance</t>
  </si>
  <si>
    <t>Bonus Depr Reserve Ending Balance</t>
  </si>
  <si>
    <t>Retirements</t>
  </si>
  <si>
    <t>Current Bonus Depr*</t>
  </si>
  <si>
    <t>Bonus Depr Reserve Beg Balance</t>
  </si>
  <si>
    <t>Ties to TRs</t>
  </si>
  <si>
    <t xml:space="preserve">* </t>
  </si>
  <si>
    <t>Retirements for these years are not available so 2011 amounts were used as proxies</t>
  </si>
  <si>
    <t>Electric with Allocated Common</t>
  </si>
  <si>
    <t>Bonus Depreciation and DTL Summary 2008 - 2018</t>
  </si>
  <si>
    <t>ARO - Electric Short Term</t>
  </si>
  <si>
    <t>ARO SPLIT for account 23002091</t>
  </si>
  <si>
    <t>Redmond West Tenant Improvement</t>
  </si>
  <si>
    <t>Redmond West 2nd Amen Tenant Incentives</t>
  </si>
  <si>
    <t>25300663</t>
  </si>
  <si>
    <t>Redmond West Tenant Improvement (New in May 2018)</t>
  </si>
  <si>
    <t>Bothel Data Center Landlord Incentives</t>
  </si>
  <si>
    <t>Redmond West on Willows - Landlord Incentive</t>
  </si>
  <si>
    <t>PSE Building (B) - Landlord Incentives - Floor 4</t>
  </si>
  <si>
    <t>PSE Building (B) - Landlord Incentives</t>
  </si>
  <si>
    <t>PSE Building (A) - Landlord Incentives</t>
  </si>
  <si>
    <t>ARO - Ferndale - Long Term</t>
  </si>
  <si>
    <t>23001231</t>
  </si>
  <si>
    <t>ARO - Colstrip 3 &amp; $ (WECo) - Long Term</t>
  </si>
  <si>
    <t>23001221</t>
  </si>
  <si>
    <t>ARO - Colstrip 1 &amp; 2 (WECo) - Long Term</t>
  </si>
  <si>
    <t>23001211</t>
  </si>
  <si>
    <t>ARO - Crystal Mountain Generator Site</t>
  </si>
  <si>
    <t>23001141</t>
  </si>
  <si>
    <t>Colstrip 3 &amp; 4</t>
  </si>
  <si>
    <t>Colstrip 1 &amp;2</t>
  </si>
  <si>
    <t>ARO - Asbestos Electric - ST</t>
  </si>
  <si>
    <t>ARO - East Building ARO COMMON</t>
  </si>
  <si>
    <t>Ratio Split(see below)</t>
  </si>
  <si>
    <t>ARO - Contaminated Oil &amp; Related Equipment To Short</t>
  </si>
  <si>
    <t>ARO - Distribution Wood Poles Short Term</t>
  </si>
  <si>
    <t>ARO - Transmission Wood Poles to Short Term</t>
  </si>
  <si>
    <t>ARO - Electric Shuffelton Harbor Lease to</t>
  </si>
  <si>
    <t>ARO - Asbestos Electric</t>
  </si>
  <si>
    <t>ARO - Meteorological Tower Long Term</t>
  </si>
  <si>
    <t>ARO - Lower Snake River Wind Facility</t>
  </si>
  <si>
    <t>ARO-Frederickson !&amp;2/Olympic Pipeline</t>
  </si>
  <si>
    <t>ARO - Asbestos Common</t>
  </si>
  <si>
    <t>ARO- Asbestos  - Electric to Short Term</t>
  </si>
  <si>
    <t>ARO - Contaminated Oil &amp; Related Equipment</t>
  </si>
  <si>
    <t>ARO - Distribution Wood Poles</t>
  </si>
  <si>
    <t>ARO - Transmission Wood Poles</t>
  </si>
  <si>
    <t>ARO - South King Complex - Long Term</t>
  </si>
  <si>
    <t>ARO-Hopkins Ridge</t>
  </si>
  <si>
    <t>ARO-Electric Colstrip 3 &amp; 4 ash pond ca</t>
  </si>
  <si>
    <t>ARO-Electric Colstrip 1 &amp; 2 ash pond ca</t>
  </si>
  <si>
    <t>ARO-Electric Shuffleton Harbor Lease</t>
  </si>
  <si>
    <t>Acquistion Adjustment - Ferndale</t>
  </si>
  <si>
    <t>Acquistion Adjustment - Fredonia</t>
  </si>
  <si>
    <t>Acquistion Adjustment - Whitehorn</t>
  </si>
  <si>
    <t>Acquisition Adjustment - Mint Farm</t>
  </si>
  <si>
    <t>Acquisition Adjustment - Encogen</t>
  </si>
  <si>
    <t>Electric - Plant Acq Adj. DuPont</t>
  </si>
  <si>
    <t>Electric - Plant Acq Adj. Milwaukee RR</t>
  </si>
  <si>
    <t>Common - Plant in Service - ARC where ARO Not Recovered in Depreciation Rates</t>
  </si>
  <si>
    <t>10100003ARC</t>
  </si>
  <si>
    <t>Electric - Plant in Service - ARC where ARO Not Recovered in Depreciation Rates</t>
  </si>
  <si>
    <t>10100001ARC</t>
  </si>
  <si>
    <t>Common Plant - General</t>
  </si>
  <si>
    <t>Common Plant - Intangibles</t>
  </si>
  <si>
    <t>see Recon</t>
  </si>
  <si>
    <t>Add in Misc amount to reconcile</t>
  </si>
  <si>
    <t>Production Other</t>
  </si>
  <si>
    <t>Production Hydraulic</t>
  </si>
  <si>
    <t>Production Steam</t>
  </si>
  <si>
    <t>Category</t>
  </si>
  <si>
    <t>4 Factor</t>
  </si>
  <si>
    <t>Detail of Gross Plant</t>
  </si>
  <si>
    <t>Elec-RWIP-CED3 C.O.R./Salvage-PP</t>
  </si>
  <si>
    <t>Accum Amort Acquis Adjust- Ferndale</t>
  </si>
  <si>
    <t>Accum Amort Acquis Adjust- Whitehorn</t>
  </si>
  <si>
    <t>Accum Amort Acquis Adjust - Mint Farm</t>
  </si>
  <si>
    <t>11500041</t>
  </si>
  <si>
    <t>Accum Amort Acquis Adjust - Encogen</t>
  </si>
  <si>
    <t>Accumulated Amort Acqu Adj. - Encogen</t>
  </si>
  <si>
    <t>Accum Amort Acq Adj. DuPont - Electric</t>
  </si>
  <si>
    <t>Accum Amort Acq Adj. Milwaukee RR - Electric</t>
  </si>
  <si>
    <t xml:space="preserve">Common </t>
  </si>
  <si>
    <t>Common-RWIP-RET1 C.O.R./Salvage PP</t>
  </si>
  <si>
    <t>Ratio Split (see below)</t>
  </si>
  <si>
    <t>Contra Accum Depreciation Non-legal Cost of Remova</t>
  </si>
  <si>
    <t>Accum Depreciation Non-legal Cost of Removal</t>
  </si>
  <si>
    <t>Common-Accum Depreciation - ARC where ARO Not Recovered in Depreciation Rates</t>
  </si>
  <si>
    <t>1080003ARC</t>
  </si>
  <si>
    <t>Elec-Accum Depreciation - ARC where ARO Not Recovered in Depreciation Rate</t>
  </si>
  <si>
    <t>1080001ARC</t>
  </si>
  <si>
    <t>N/A</t>
  </si>
  <si>
    <t>see recon</t>
  </si>
  <si>
    <t>Detail of Accumulated Depreciation</t>
  </si>
  <si>
    <t>Gas with Allocated Common</t>
  </si>
  <si>
    <t>Difference</t>
  </si>
  <si>
    <t>23001043</t>
  </si>
  <si>
    <t>Redmond West on Willows - Landlord Ince</t>
  </si>
  <si>
    <t>Landlord Incentive Bldg B - Floor 4</t>
  </si>
  <si>
    <t>ARO Tacoma LNG</t>
  </si>
  <si>
    <t>ARO - Gas Mains - Short Term</t>
  </si>
  <si>
    <t>23002072</t>
  </si>
  <si>
    <t>East Building ARO - Common</t>
  </si>
  <si>
    <t>ARO - Gas Short Term</t>
  </si>
  <si>
    <t>ARO-Steel Wrapped Services - Gas-ST</t>
  </si>
  <si>
    <t>ARO-Steel Wrapped Services</t>
  </si>
  <si>
    <t>ARO - Gas Bare Steel Pipe Removal to Short</t>
  </si>
  <si>
    <t>ARO - Gas Cast Iron Pipe Removal to Short</t>
  </si>
  <si>
    <t>ARO - Gas Mains</t>
  </si>
  <si>
    <t>ARO-Gas Bare Steel Pipe Removal</t>
  </si>
  <si>
    <t>ARO-Gas Cast Iron Pipe Removal</t>
  </si>
  <si>
    <t>Gas Rental Equip Pipe &amp; Vent Amortize U</t>
  </si>
  <si>
    <t>Gas Rental Equip Pipe &amp; Vent UE-001315</t>
  </si>
  <si>
    <t>Gas - Plant Acquisition Adjustment</t>
  </si>
  <si>
    <t>Gas Plant (Includes ARO)</t>
  </si>
  <si>
    <t>LNG</t>
  </si>
  <si>
    <t>Storage</t>
  </si>
  <si>
    <t xml:space="preserve">Gas-RWIP-RET1 C.O.R./Salvage PP    </t>
  </si>
  <si>
    <t>Gas-Accum Depreciation AMA Reserve</t>
  </si>
  <si>
    <t>Equipment Transferred to Connext - Gas</t>
  </si>
  <si>
    <t>Gas-RWIP-Specific C.O.R./Salvage</t>
  </si>
  <si>
    <t>Gas-RWIP-Mass C.O.R./Salvage</t>
  </si>
  <si>
    <t>Remove ARC A/D not recovered in rates</t>
  </si>
  <si>
    <t>Total Plant Related ADIT</t>
  </si>
  <si>
    <t>Plant Related ADIT (w/o Bonus)</t>
  </si>
  <si>
    <t>Plant Related Bonus ADIT</t>
  </si>
  <si>
    <t>Net Plant After Plant Related ADIT</t>
  </si>
  <si>
    <t>Net Plant after Plant Related Deferred Income Taxes</t>
  </si>
  <si>
    <t>Docket</t>
  </si>
  <si>
    <t>DIT @ 21%</t>
  </si>
  <si>
    <t>timing difference</t>
  </si>
  <si>
    <t>Attrition revenue requirement filed June 20, 2019</t>
  </si>
  <si>
    <t>Impacts of First Revised Response to AWEC 20</t>
  </si>
  <si>
    <t>Line</t>
  </si>
  <si>
    <t>Remove Colstrip 1 and 2 Produciton O&amp;M</t>
  </si>
  <si>
    <t>Correction of electric transm and dist growth factors</t>
  </si>
  <si>
    <t>Use 0% growth rate for Other Operating Expenses</t>
  </si>
  <si>
    <t>Corrections to ADIT in MRM</t>
  </si>
  <si>
    <t>Subtotal Changes</t>
  </si>
  <si>
    <t>Attrition revenue requirement filed January 15, 2020</t>
  </si>
  <si>
    <t>Update rate of return</t>
  </si>
  <si>
    <t>At 9.7% ROE</t>
  </si>
  <si>
    <t>At 9.5% ROE</t>
  </si>
  <si>
    <t/>
  </si>
  <si>
    <t xml:space="preserve"> </t>
  </si>
  <si>
    <t xml:space="preserve">THIS CHANGE DUE TO WEATHER NORM ADJUSTMENT CHANGING NOI FROM IMPACT OF JINGS ELECTRIC WEATHER NORM ON REVENUES HITTIN REV SENS ITEMS AND OPERATING REV ESCALATION </t>
  </si>
  <si>
    <t>Impact of changing STD per BR 11</t>
  </si>
  <si>
    <t>GTZ Update to Dec 2019</t>
  </si>
  <si>
    <t>AMI Elec Update to Dec 2019</t>
  </si>
  <si>
    <t>For Diffs only</t>
  </si>
  <si>
    <t>Diffs only</t>
  </si>
  <si>
    <t>FOR DIFFS ONLY</t>
  </si>
  <si>
    <t>DIFFS ONLY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</si>
</sst>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0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[Red]_(&quot;$&quot;* \(#,##0\);_(&quot;$&quot;* &quot;-&quot;_);_(@_)"/>
    <numFmt numFmtId="165" formatCode="#,##0;\(#,##0\)"/>
    <numFmt numFmtId="166" formatCode="_(* #,##0.000_);_(* \(#,##0.000\);_(* &quot;-&quot;??_);_(@_)"/>
    <numFmt numFmtId="167" formatCode="0.0%"/>
    <numFmt numFmtId="168" formatCode="yyyy\-mm\-dd"/>
    <numFmt numFmtId="169" formatCode="0.0"/>
    <numFmt numFmtId="170" formatCode="_(* #,##0_);_(* \(#,##0\);_(* &quot;-&quot;??_);_(@_)"/>
    <numFmt numFmtId="171" formatCode="_(&quot;$&quot;* #,##0_);_(&quot;$&quot;* \(#,##0\);_(&quot;$&quot;* &quot;-&quot;??_);_(@_)"/>
    <numFmt numFmtId="172" formatCode="_(&quot;$&quot;* #,##0.0000_);_(&quot;$&quot;* \(#,##0.0000\);_(&quot;$&quot;* &quot;-&quot;??_);_(@_)"/>
    <numFmt numFmtId="173" formatCode="0.0000%"/>
    <numFmt numFmtId="174" formatCode="0.000000"/>
    <numFmt numFmtId="175" formatCode="_(* #,##0.000000_);_(* \(#,##0.000000\);_(* &quot;-&quot;??????_);_(@_)"/>
    <numFmt numFmtId="176" formatCode="_(* #,##0.0000_);_(* \(#,##0.0000\);_(* &quot;-&quot;??_);_(@_)"/>
    <numFmt numFmtId="177" formatCode="_(* #,##0.00000_);_(* \(#,##0.00000\);_(* &quot;-&quot;??_);_(@_)"/>
    <numFmt numFmtId="178" formatCode="[$-409]mmmm\ d\,\ yyyy;@"/>
    <numFmt numFmtId="179" formatCode="&quot;check=&gt;&quot;0.0"/>
    <numFmt numFmtId="180" formatCode="0.000%"/>
    <numFmt numFmtId="181" formatCode="[$-409]mmm\-yy;@"/>
    <numFmt numFmtId="182" formatCode="#,##0_);[Red]\(#,##0\);&quot; &quot;"/>
    <numFmt numFmtId="183" formatCode="_(* #,##0,,_);_(* \(#,##0,,\);_(* &quot;-&quot;??_);_(@_)"/>
    <numFmt numFmtId="184" formatCode="#,##0.0_);\(#,##0.0\)"/>
    <numFmt numFmtId="185" formatCode="0_);\(0\)"/>
    <numFmt numFmtId="186" formatCode="_(&quot;$&quot;* #,##0.0_);_(&quot;$&quot;* \(#,##0.0\);_(&quot;$&quot;* &quot;-&quot;?_);_(@_)"/>
    <numFmt numFmtId="187" formatCode="_(* #,##0.0_);_(* \(#,##0.0\);_(* &quot;-&quot;?_);_(@_)"/>
    <numFmt numFmtId="188" formatCode="_(* #,##0.0_);_(* \(#,##0.0\);_(* &quot;-&quot;??_);_(@_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b/>
      <i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u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b/>
      <u/>
      <sz val="10"/>
      <color theme="1"/>
      <name val="Arial"/>
      <family val="2"/>
    </font>
    <font>
      <u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u val="singleAccounting"/>
      <sz val="10"/>
      <color theme="1"/>
      <name val="Arial"/>
      <family val="2"/>
    </font>
    <font>
      <sz val="10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7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17">
    <xf numFmtId="0" fontId="0" fillId="0" borderId="0" xfId="0"/>
    <xf numFmtId="0" fontId="5" fillId="0" borderId="6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Continuous"/>
    </xf>
    <xf numFmtId="0" fontId="2" fillId="0" borderId="1" xfId="0" applyFont="1" applyFill="1" applyBorder="1" applyAlignment="1">
      <alignment horizontal="center" wrapText="1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 wrapText="1"/>
    </xf>
    <xf numFmtId="43" fontId="0" fillId="0" borderId="0" xfId="0" applyNumberFormat="1" applyFont="1" applyFill="1" applyBorder="1" applyAlignment="1"/>
    <xf numFmtId="176" fontId="0" fillId="0" borderId="0" xfId="0" applyNumberFormat="1" applyFont="1" applyFill="1" applyBorder="1" applyAlignment="1"/>
    <xf numFmtId="170" fontId="0" fillId="0" borderId="0" xfId="0" applyNumberFormat="1" applyFont="1" applyFill="1" applyBorder="1" applyAlignment="1"/>
    <xf numFmtId="170" fontId="0" fillId="0" borderId="4" xfId="0" applyNumberFormat="1" applyFont="1" applyFill="1" applyBorder="1" applyAlignment="1"/>
    <xf numFmtId="166" fontId="0" fillId="0" borderId="4" xfId="0" applyNumberFormat="1" applyFont="1" applyFill="1" applyBorder="1" applyAlignment="1"/>
    <xf numFmtId="176" fontId="0" fillId="0" borderId="4" xfId="0" applyNumberFormat="1" applyFont="1" applyFill="1" applyBorder="1" applyAlignment="1"/>
    <xf numFmtId="0" fontId="10" fillId="0" borderId="0" xfId="0" applyFont="1" applyFill="1" applyBorder="1" applyAlignment="1">
      <alignment horizontal="center"/>
    </xf>
    <xf numFmtId="176" fontId="0" fillId="0" borderId="0" xfId="0" applyNumberFormat="1" applyFont="1" applyFill="1"/>
    <xf numFmtId="183" fontId="0" fillId="0" borderId="0" xfId="0" applyNumberFormat="1" applyFont="1" applyFill="1" applyBorder="1"/>
    <xf numFmtId="0" fontId="0" fillId="0" borderId="0" xfId="0" applyFont="1" applyFill="1"/>
    <xf numFmtId="42" fontId="0" fillId="0" borderId="0" xfId="0" applyNumberFormat="1" applyFont="1" applyFill="1"/>
    <xf numFmtId="42" fontId="0" fillId="0" borderId="2" xfId="0" applyNumberFormat="1" applyFont="1" applyFill="1" applyBorder="1"/>
    <xf numFmtId="37" fontId="0" fillId="0" borderId="0" xfId="0" applyNumberFormat="1" applyFont="1" applyFill="1" applyAlignment="1">
      <alignment horizontal="right"/>
    </xf>
    <xf numFmtId="37" fontId="0" fillId="0" borderId="0" xfId="0" applyNumberFormat="1" applyFont="1" applyFill="1" applyBorder="1"/>
    <xf numFmtId="37" fontId="0" fillId="0" borderId="0" xfId="0" applyNumberFormat="1" applyFont="1" applyFill="1"/>
    <xf numFmtId="0" fontId="0" fillId="0" borderId="0" xfId="0" applyFont="1" applyFill="1" applyAlignment="1">
      <alignment horizontal="left" indent="1"/>
    </xf>
    <xf numFmtId="0" fontId="2" fillId="0" borderId="15" xfId="0" applyFont="1" applyFill="1" applyBorder="1" applyAlignment="1">
      <alignment horizontal="centerContinuous"/>
    </xf>
    <xf numFmtId="175" fontId="0" fillId="0" borderId="0" xfId="0" applyNumberFormat="1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Border="1"/>
    <xf numFmtId="10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42" fontId="0" fillId="0" borderId="0" xfId="0" applyNumberFormat="1" applyFont="1" applyFill="1" applyBorder="1" applyAlignment="1">
      <alignment horizontal="center"/>
    </xf>
    <xf numFmtId="42" fontId="0" fillId="0" borderId="0" xfId="0" applyNumberFormat="1" applyFont="1" applyFill="1" applyBorder="1"/>
    <xf numFmtId="0" fontId="8" fillId="0" borderId="0" xfId="0" applyFont="1" applyFill="1"/>
    <xf numFmtId="10" fontId="2" fillId="0" borderId="13" xfId="0" applyNumberFormat="1" applyFont="1" applyFill="1" applyBorder="1" applyAlignment="1">
      <alignment horizontal="center"/>
    </xf>
    <xf numFmtId="10" fontId="2" fillId="0" borderId="0" xfId="0" applyNumberFormat="1" applyFont="1" applyFill="1" applyBorder="1" applyAlignment="1">
      <alignment horizontal="center"/>
    </xf>
    <xf numFmtId="0" fontId="2" fillId="0" borderId="12" xfId="0" applyFont="1" applyFill="1" applyBorder="1"/>
    <xf numFmtId="0" fontId="2" fillId="0" borderId="0" xfId="0" applyFont="1" applyFill="1" applyAlignment="1">
      <alignment horizontal="right"/>
    </xf>
    <xf numFmtId="41" fontId="0" fillId="0" borderId="0" xfId="0" applyNumberFormat="1" applyFont="1" applyFill="1"/>
    <xf numFmtId="41" fontId="0" fillId="0" borderId="0" xfId="0" applyNumberFormat="1" applyFont="1" applyFill="1" applyAlignment="1">
      <alignment horizontal="center"/>
    </xf>
    <xf numFmtId="9" fontId="0" fillId="0" borderId="0" xfId="0" applyNumberFormat="1" applyFont="1" applyFill="1" applyAlignment="1">
      <alignment horizontal="center"/>
    </xf>
    <xf numFmtId="9" fontId="0" fillId="0" borderId="0" xfId="0" applyNumberFormat="1" applyFont="1" applyFill="1" applyAlignment="1"/>
    <xf numFmtId="41" fontId="0" fillId="0" borderId="0" xfId="0" applyNumberFormat="1" applyFont="1" applyFill="1" applyAlignment="1">
      <alignment horizontal="center" wrapText="1"/>
    </xf>
    <xf numFmtId="41" fontId="2" fillId="0" borderId="60" xfId="0" applyNumberFormat="1" applyFont="1" applyFill="1" applyBorder="1" applyAlignment="1">
      <alignment horizontal="center" wrapText="1"/>
    </xf>
    <xf numFmtId="41" fontId="2" fillId="0" borderId="4" xfId="0" applyNumberFormat="1" applyFont="1" applyFill="1" applyBorder="1" applyAlignment="1">
      <alignment horizontal="center" wrapText="1"/>
    </xf>
    <xf numFmtId="41" fontId="2" fillId="0" borderId="61" xfId="0" applyNumberFormat="1" applyFont="1" applyFill="1" applyBorder="1" applyAlignment="1">
      <alignment horizontal="center" wrapText="1"/>
    </xf>
    <xf numFmtId="41" fontId="2" fillId="0" borderId="23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41" fontId="2" fillId="0" borderId="0" xfId="0" applyNumberFormat="1" applyFont="1" applyFill="1"/>
    <xf numFmtId="41" fontId="0" fillId="0" borderId="3" xfId="0" applyNumberFormat="1" applyFont="1" applyFill="1" applyBorder="1" applyAlignment="1">
      <alignment horizontal="center"/>
    </xf>
    <xf numFmtId="10" fontId="0" fillId="0" borderId="0" xfId="0" applyNumberFormat="1" applyFont="1" applyFill="1" applyAlignment="1">
      <alignment horizontal="center"/>
    </xf>
    <xf numFmtId="41" fontId="0" fillId="0" borderId="58" xfId="0" applyNumberFormat="1" applyFont="1" applyFill="1" applyBorder="1"/>
    <xf numFmtId="41" fontId="0" fillId="0" borderId="58" xfId="0" applyNumberFormat="1" applyFont="1" applyFill="1" applyBorder="1" applyAlignment="1">
      <alignment horizontal="center"/>
    </xf>
    <xf numFmtId="41" fontId="0" fillId="0" borderId="57" xfId="0" applyNumberFormat="1" applyFont="1" applyFill="1" applyBorder="1" applyAlignment="1">
      <alignment horizontal="center"/>
    </xf>
    <xf numFmtId="41" fontId="0" fillId="0" borderId="57" xfId="0" applyNumberFormat="1" applyFont="1" applyFill="1" applyBorder="1"/>
    <xf numFmtId="10" fontId="0" fillId="0" borderId="0" xfId="0" applyNumberFormat="1" applyFont="1" applyFill="1"/>
    <xf numFmtId="10" fontId="2" fillId="0" borderId="0" xfId="0" applyNumberFormat="1" applyFont="1" applyFill="1"/>
    <xf numFmtId="41" fontId="2" fillId="0" borderId="0" xfId="0" applyNumberFormat="1" applyFont="1" applyFill="1" applyAlignment="1">
      <alignment horizontal="center"/>
    </xf>
    <xf numFmtId="41" fontId="2" fillId="0" borderId="1" xfId="0" applyNumberFormat="1" applyFont="1" applyFill="1" applyBorder="1" applyAlignment="1">
      <alignment horizontal="center"/>
    </xf>
    <xf numFmtId="41" fontId="2" fillId="0" borderId="1" xfId="0" applyNumberFormat="1" applyFont="1" applyFill="1" applyBorder="1" applyAlignment="1">
      <alignment horizontal="center" wrapText="1"/>
    </xf>
    <xf numFmtId="41" fontId="0" fillId="0" borderId="0" xfId="0" applyNumberFormat="1" applyFont="1" applyFill="1" applyAlignment="1">
      <alignment horizontal="right"/>
    </xf>
    <xf numFmtId="10" fontId="0" fillId="0" borderId="13" xfId="0" applyNumberFormat="1" applyFont="1" applyFill="1" applyBorder="1"/>
    <xf numFmtId="10" fontId="0" fillId="0" borderId="0" xfId="0" applyNumberFormat="1" applyFont="1" applyFill="1" applyBorder="1"/>
    <xf numFmtId="170" fontId="0" fillId="0" borderId="0" xfId="0" applyNumberFormat="1" applyFont="1" applyFill="1"/>
    <xf numFmtId="170" fontId="0" fillId="0" borderId="1" xfId="0" applyNumberFormat="1" applyFont="1" applyFill="1" applyBorder="1"/>
    <xf numFmtId="170" fontId="0" fillId="0" borderId="0" xfId="0" applyNumberFormat="1" applyFont="1" applyFill="1" applyBorder="1"/>
    <xf numFmtId="41" fontId="0" fillId="0" borderId="69" xfId="0" applyNumberFormat="1" applyFont="1" applyFill="1" applyBorder="1"/>
    <xf numFmtId="0" fontId="2" fillId="0" borderId="0" xfId="0" applyFont="1" applyFill="1" applyAlignment="1">
      <alignment horizontal="center"/>
    </xf>
    <xf numFmtId="0" fontId="2" fillId="0" borderId="55" xfId="0" applyFont="1" applyFill="1" applyBorder="1" applyAlignment="1">
      <alignment horizontal="center"/>
    </xf>
    <xf numFmtId="0" fontId="2" fillId="0" borderId="0" xfId="0" applyFont="1" applyFill="1"/>
    <xf numFmtId="0" fontId="9" fillId="0" borderId="0" xfId="0" applyFont="1" applyFill="1"/>
    <xf numFmtId="9" fontId="0" fillId="0" borderId="0" xfId="0" applyNumberFormat="1" applyFont="1" applyFill="1"/>
    <xf numFmtId="9" fontId="2" fillId="0" borderId="0" xfId="0" applyNumberFormat="1" applyFont="1" applyFill="1"/>
    <xf numFmtId="41" fontId="2" fillId="0" borderId="55" xfId="0" applyNumberFormat="1" applyFont="1" applyFill="1" applyBorder="1" applyAlignment="1">
      <alignment horizontal="center"/>
    </xf>
    <xf numFmtId="41" fontId="2" fillId="0" borderId="55" xfId="0" applyNumberFormat="1" applyFont="1" applyFill="1" applyBorder="1" applyAlignment="1">
      <alignment horizontal="center" wrapText="1"/>
    </xf>
    <xf numFmtId="0" fontId="2" fillId="0" borderId="0" xfId="0" applyFont="1" applyFill="1" applyAlignment="1">
      <alignment horizontal="left"/>
    </xf>
    <xf numFmtId="41" fontId="2" fillId="0" borderId="0" xfId="0" applyNumberFormat="1" applyFont="1" applyFill="1" applyBorder="1" applyAlignment="1">
      <alignment horizontal="center"/>
    </xf>
    <xf numFmtId="41" fontId="2" fillId="0" borderId="0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0" fillId="0" borderId="0" xfId="0" applyNumberFormat="1" applyFont="1" applyFill="1" applyAlignment="1"/>
    <xf numFmtId="42" fontId="0" fillId="0" borderId="0" xfId="0" applyNumberFormat="1" applyFont="1" applyFill="1" applyAlignment="1"/>
    <xf numFmtId="42" fontId="0" fillId="0" borderId="3" xfId="0" applyNumberFormat="1" applyFont="1" applyFill="1" applyBorder="1"/>
    <xf numFmtId="0" fontId="2" fillId="0" borderId="15" xfId="0" applyFont="1" applyFill="1" applyBorder="1" applyAlignment="1">
      <alignment horizontal="centerContinuous" wrapText="1"/>
    </xf>
    <xf numFmtId="41" fontId="0" fillId="0" borderId="0" xfId="0" applyNumberFormat="1" applyFont="1" applyFill="1" applyAlignment="1" applyProtection="1">
      <alignment horizontal="left"/>
      <protection locked="0"/>
    </xf>
    <xf numFmtId="188" fontId="0" fillId="0" borderId="0" xfId="3" applyNumberFormat="1" applyFont="1" applyFill="1"/>
    <xf numFmtId="182" fontId="13" fillId="0" borderId="0" xfId="0" applyNumberFormat="1" applyFont="1" applyFill="1" applyAlignment="1">
      <alignment horizontal="right"/>
    </xf>
    <xf numFmtId="17" fontId="8" fillId="0" borderId="0" xfId="0" applyNumberFormat="1" applyFont="1" applyFill="1"/>
    <xf numFmtId="16" fontId="8" fillId="0" borderId="0" xfId="0" applyNumberFormat="1" applyFont="1" applyFill="1"/>
    <xf numFmtId="17" fontId="8" fillId="0" borderId="0" xfId="0" applyNumberFormat="1" applyFont="1" applyFill="1" applyBorder="1"/>
    <xf numFmtId="170" fontId="2" fillId="0" borderId="5" xfId="0" applyNumberFormat="1" applyFont="1" applyFill="1" applyBorder="1"/>
    <xf numFmtId="170" fontId="2" fillId="0" borderId="3" xfId="0" applyNumberFormat="1" applyFont="1" applyFill="1" applyBorder="1"/>
    <xf numFmtId="0" fontId="14" fillId="0" borderId="0" xfId="0" applyFont="1" applyFill="1"/>
    <xf numFmtId="0" fontId="8" fillId="0" borderId="0" xfId="0" applyFont="1" applyFill="1" applyAlignment="1">
      <alignment horizontal="right"/>
    </xf>
    <xf numFmtId="42" fontId="2" fillId="0" borderId="3" xfId="0" applyNumberFormat="1" applyFont="1" applyFill="1" applyBorder="1"/>
    <xf numFmtId="41" fontId="0" fillId="0" borderId="3" xfId="0" applyNumberFormat="1" applyFont="1" applyFill="1" applyBorder="1"/>
    <xf numFmtId="0" fontId="14" fillId="0" borderId="0" xfId="0" applyFont="1" applyFill="1" applyBorder="1"/>
    <xf numFmtId="170" fontId="2" fillId="0" borderId="0" xfId="0" applyNumberFormat="1" applyFont="1" applyFill="1" applyBorder="1" applyAlignment="1">
      <alignment horizontal="center"/>
    </xf>
    <xf numFmtId="41" fontId="0" fillId="0" borderId="0" xfId="0" applyNumberFormat="1" applyFont="1" applyFill="1" applyBorder="1"/>
    <xf numFmtId="43" fontId="0" fillId="0" borderId="0" xfId="0" applyNumberFormat="1" applyFont="1" applyFill="1"/>
    <xf numFmtId="167" fontId="0" fillId="0" borderId="0" xfId="0" applyNumberFormat="1" applyFont="1" applyFill="1"/>
    <xf numFmtId="0" fontId="2" fillId="0" borderId="0" xfId="0" applyFont="1" applyFill="1" applyAlignment="1">
      <alignment vertical="center"/>
    </xf>
    <xf numFmtId="0" fontId="12" fillId="0" borderId="0" xfId="0" applyFont="1" applyFill="1"/>
    <xf numFmtId="0" fontId="2" fillId="0" borderId="35" xfId="0" applyFont="1" applyFill="1" applyBorder="1" applyAlignment="1">
      <alignment horizontal="center"/>
    </xf>
    <xf numFmtId="0" fontId="2" fillId="0" borderId="35" xfId="0" applyFont="1" applyFill="1" applyBorder="1" applyAlignment="1">
      <alignment horizontal="center" wrapText="1"/>
    </xf>
    <xf numFmtId="9" fontId="11" fillId="0" borderId="0" xfId="0" applyNumberFormat="1" applyFont="1" applyFill="1" applyAlignment="1">
      <alignment horizontal="center"/>
    </xf>
    <xf numFmtId="0" fontId="11" fillId="0" borderId="0" xfId="0" applyFont="1" applyFill="1"/>
    <xf numFmtId="0" fontId="2" fillId="0" borderId="27" xfId="0" applyFont="1" applyFill="1" applyBorder="1" applyAlignment="1">
      <alignment horizontal="centerContinuous"/>
    </xf>
    <xf numFmtId="0" fontId="2" fillId="0" borderId="28" xfId="0" applyFont="1" applyFill="1" applyBorder="1" applyAlignment="1">
      <alignment horizontal="centerContinuous"/>
    </xf>
    <xf numFmtId="0" fontId="2" fillId="0" borderId="29" xfId="0" applyFont="1" applyFill="1" applyBorder="1" applyAlignment="1">
      <alignment horizontal="center"/>
    </xf>
    <xf numFmtId="0" fontId="2" fillId="0" borderId="30" xfId="0" applyFont="1" applyFill="1" applyBorder="1" applyAlignment="1">
      <alignment horizontal="center"/>
    </xf>
    <xf numFmtId="0" fontId="2" fillId="0" borderId="31" xfId="0" applyFont="1" applyFill="1" applyBorder="1" applyAlignment="1">
      <alignment horizontal="center"/>
    </xf>
    <xf numFmtId="0" fontId="2" fillId="0" borderId="32" xfId="0" applyFont="1" applyFill="1" applyBorder="1" applyAlignment="1">
      <alignment horizontal="center"/>
    </xf>
    <xf numFmtId="0" fontId="2" fillId="0" borderId="9" xfId="0" applyFont="1" applyFill="1" applyBorder="1" applyAlignment="1"/>
    <xf numFmtId="10" fontId="2" fillId="0" borderId="10" xfId="0" applyNumberFormat="1" applyFont="1" applyFill="1" applyBorder="1" applyAlignment="1">
      <alignment horizontal="centerContinuous"/>
    </xf>
    <xf numFmtId="10" fontId="2" fillId="0" borderId="11" xfId="0" applyNumberFormat="1" applyFont="1" applyFill="1" applyBorder="1" applyAlignment="1">
      <alignment horizontal="centerContinuous"/>
    </xf>
    <xf numFmtId="0" fontId="2" fillId="0" borderId="0" xfId="0" applyFont="1" applyFill="1" applyAlignment="1">
      <alignment horizontal="centerContinuous"/>
    </xf>
    <xf numFmtId="0" fontId="2" fillId="0" borderId="17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42" fontId="0" fillId="0" borderId="12" xfId="0" applyNumberFormat="1" applyFont="1" applyFill="1" applyBorder="1"/>
    <xf numFmtId="42" fontId="0" fillId="0" borderId="13" xfId="0" applyNumberFormat="1" applyFont="1" applyFill="1" applyBorder="1"/>
    <xf numFmtId="41" fontId="0" fillId="0" borderId="12" xfId="0" applyNumberFormat="1" applyFont="1" applyFill="1" applyBorder="1"/>
    <xf numFmtId="41" fontId="0" fillId="0" borderId="13" xfId="0" applyNumberFormat="1" applyFont="1" applyFill="1" applyBorder="1"/>
    <xf numFmtId="0" fontId="2" fillId="0" borderId="0" xfId="0" applyFont="1" applyFill="1" applyAlignment="1">
      <alignment horizontal="center" wrapText="1"/>
    </xf>
    <xf numFmtId="43" fontId="2" fillId="0" borderId="0" xfId="0" applyNumberFormat="1" applyFont="1" applyFill="1" applyAlignment="1">
      <alignment horizontal="center"/>
    </xf>
    <xf numFmtId="43" fontId="2" fillId="0" borderId="0" xfId="0" applyNumberFormat="1" applyFont="1" applyFill="1" applyBorder="1" applyAlignment="1">
      <alignment horizontal="center"/>
    </xf>
    <xf numFmtId="44" fontId="2" fillId="0" borderId="3" xfId="0" applyNumberFormat="1" applyFont="1" applyFill="1" applyBorder="1"/>
    <xf numFmtId="43" fontId="2" fillId="0" borderId="0" xfId="0" applyNumberFormat="1" applyFont="1" applyFill="1"/>
    <xf numFmtId="0" fontId="6" fillId="0" borderId="0" xfId="0" applyFont="1" applyFill="1" applyAlignment="1">
      <alignment vertical="center"/>
    </xf>
    <xf numFmtId="44" fontId="2" fillId="0" borderId="8" xfId="0" applyNumberFormat="1" applyFont="1" applyFill="1" applyBorder="1"/>
    <xf numFmtId="0" fontId="7" fillId="0" borderId="0" xfId="0" applyFont="1" applyFill="1" applyAlignment="1">
      <alignment vertical="center"/>
    </xf>
    <xf numFmtId="41" fontId="2" fillId="0" borderId="58" xfId="0" applyNumberFormat="1" applyFont="1" applyFill="1" applyBorder="1" applyAlignment="1">
      <alignment horizontal="center" wrapText="1"/>
    </xf>
    <xf numFmtId="41" fontId="2" fillId="0" borderId="59" xfId="0" applyNumberFormat="1" applyFont="1" applyFill="1" applyBorder="1" applyAlignment="1">
      <alignment horizontal="center" wrapText="1"/>
    </xf>
    <xf numFmtId="41" fontId="2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Font="1" applyFill="1"/>
    <xf numFmtId="0" fontId="17" fillId="0" borderId="53" xfId="0" applyFont="1" applyFill="1" applyBorder="1" applyAlignment="1">
      <alignment horizontal="centerContinuous"/>
    </xf>
    <xf numFmtId="0" fontId="15" fillId="0" borderId="55" xfId="0" applyFont="1" applyFill="1" applyBorder="1" applyAlignment="1">
      <alignment horizontal="center"/>
    </xf>
    <xf numFmtId="0" fontId="15" fillId="0" borderId="68" xfId="0" applyFont="1" applyFill="1" applyBorder="1" applyAlignment="1">
      <alignment horizontal="center"/>
    </xf>
    <xf numFmtId="0" fontId="15" fillId="0" borderId="67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5" fillId="0" borderId="37" xfId="0" applyFont="1" applyFill="1" applyBorder="1" applyAlignment="1">
      <alignment horizontal="center"/>
    </xf>
    <xf numFmtId="0" fontId="15" fillId="0" borderId="69" xfId="0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0" fontId="16" fillId="0" borderId="0" xfId="0" applyFont="1" applyFill="1"/>
    <xf numFmtId="186" fontId="16" fillId="0" borderId="37" xfId="0" applyNumberFormat="1" applyFont="1" applyFill="1" applyBorder="1"/>
    <xf numFmtId="186" fontId="16" fillId="0" borderId="0" xfId="0" applyNumberFormat="1" applyFont="1" applyFill="1" applyBorder="1"/>
    <xf numFmtId="186" fontId="16" fillId="0" borderId="69" xfId="0" applyNumberFormat="1" applyFont="1" applyFill="1" applyBorder="1"/>
    <xf numFmtId="186" fontId="16" fillId="0" borderId="38" xfId="0" applyNumberFormat="1" applyFont="1" applyFill="1" applyBorder="1"/>
    <xf numFmtId="186" fontId="16" fillId="0" borderId="56" xfId="0" applyNumberFormat="1" applyFont="1" applyFill="1" applyBorder="1"/>
    <xf numFmtId="186" fontId="16" fillId="0" borderId="70" xfId="0" applyNumberFormat="1" applyFont="1" applyFill="1" applyBorder="1"/>
    <xf numFmtId="187" fontId="16" fillId="0" borderId="37" xfId="0" applyNumberFormat="1" applyFont="1" applyFill="1" applyBorder="1"/>
    <xf numFmtId="187" fontId="16" fillId="0" borderId="0" xfId="0" applyNumberFormat="1" applyFont="1" applyFill="1" applyBorder="1"/>
    <xf numFmtId="187" fontId="16" fillId="0" borderId="69" xfId="0" applyNumberFormat="1" applyFont="1" applyFill="1" applyBorder="1"/>
    <xf numFmtId="187" fontId="16" fillId="0" borderId="38" xfId="0" applyNumberFormat="1" applyFont="1" applyFill="1" applyBorder="1"/>
    <xf numFmtId="187" fontId="16" fillId="0" borderId="56" xfId="0" applyNumberFormat="1" applyFont="1" applyFill="1" applyBorder="1"/>
    <xf numFmtId="187" fontId="16" fillId="0" borderId="70" xfId="0" applyNumberFormat="1" applyFont="1" applyFill="1" applyBorder="1"/>
    <xf numFmtId="186" fontId="16" fillId="0" borderId="71" xfId="0" applyNumberFormat="1" applyFont="1" applyFill="1" applyBorder="1"/>
    <xf numFmtId="186" fontId="16" fillId="0" borderId="8" xfId="0" applyNumberFormat="1" applyFont="1" applyFill="1" applyBorder="1"/>
    <xf numFmtId="186" fontId="16" fillId="0" borderId="72" xfId="0" applyNumberFormat="1" applyFont="1" applyFill="1" applyBorder="1"/>
    <xf numFmtId="0" fontId="2" fillId="0" borderId="0" xfId="0" applyNumberFormat="1" applyFont="1" applyFill="1" applyAlignment="1"/>
    <xf numFmtId="0" fontId="2" fillId="0" borderId="15" xfId="0" applyNumberFormat="1" applyFont="1" applyFill="1" applyBorder="1" applyAlignment="1">
      <alignment horizontal="centerContinuous" wrapText="1"/>
    </xf>
    <xf numFmtId="0" fontId="2" fillId="0" borderId="1" xfId="0" applyNumberFormat="1" applyFont="1" applyFill="1" applyBorder="1" applyAlignment="1">
      <alignment horizontal="center" wrapText="1"/>
    </xf>
    <xf numFmtId="0" fontId="0" fillId="0" borderId="0" xfId="0" applyNumberFormat="1" applyFont="1" applyFill="1" applyAlignment="1">
      <alignment horizontal="center"/>
    </xf>
    <xf numFmtId="0" fontId="18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Alignment="1">
      <alignment horizontal="left" indent="1"/>
    </xf>
    <xf numFmtId="42" fontId="0" fillId="0" borderId="0" xfId="0" applyNumberFormat="1" applyFont="1" applyFill="1" applyAlignment="1" applyProtection="1">
      <protection locked="0"/>
    </xf>
    <xf numFmtId="41" fontId="0" fillId="0" borderId="0" xfId="0" applyNumberFormat="1" applyFont="1" applyFill="1" applyAlignment="1" applyProtection="1">
      <protection locked="0"/>
    </xf>
    <xf numFmtId="41" fontId="0" fillId="0" borderId="1" xfId="0" applyNumberFormat="1" applyFont="1" applyFill="1" applyBorder="1" applyAlignment="1" applyProtection="1">
      <protection locked="0"/>
    </xf>
    <xf numFmtId="0" fontId="0" fillId="0" borderId="2" xfId="0" applyNumberFormat="1" applyFont="1" applyFill="1" applyBorder="1" applyAlignment="1">
      <alignment horizontal="left"/>
    </xf>
    <xf numFmtId="41" fontId="0" fillId="0" borderId="2" xfId="0" applyNumberFormat="1" applyFont="1" applyFill="1" applyBorder="1" applyAlignment="1" applyProtection="1">
      <protection locked="0"/>
    </xf>
    <xf numFmtId="165" fontId="0" fillId="0" borderId="0" xfId="0" applyNumberFormat="1" applyFont="1" applyFill="1" applyAlignment="1" applyProtection="1">
      <protection locked="0"/>
    </xf>
    <xf numFmtId="0" fontId="0" fillId="0" borderId="0" xfId="0" applyNumberFormat="1" applyFont="1" applyFill="1" applyAlignment="1">
      <alignment horizontal="left"/>
    </xf>
    <xf numFmtId="165" fontId="0" fillId="0" borderId="0" xfId="0" applyNumberFormat="1" applyFont="1" applyFill="1" applyAlignment="1"/>
    <xf numFmtId="0" fontId="0" fillId="0" borderId="0" xfId="0" applyNumberFormat="1" applyFont="1" applyFill="1" applyBorder="1" applyAlignment="1">
      <alignment horizontal="left"/>
    </xf>
    <xf numFmtId="173" fontId="0" fillId="0" borderId="0" xfId="0" applyNumberFormat="1" applyFont="1" applyFill="1" applyBorder="1" applyAlignment="1">
      <alignment horizontal="center"/>
    </xf>
    <xf numFmtId="41" fontId="0" fillId="0" borderId="0" xfId="0" applyNumberFormat="1" applyFont="1" applyFill="1" applyAlignment="1" applyProtection="1">
      <alignment horizontal="center"/>
      <protection locked="0"/>
    </xf>
    <xf numFmtId="0" fontId="0" fillId="0" borderId="0" xfId="0" quotePrefix="1" applyNumberFormat="1" applyFont="1" applyFill="1" applyAlignment="1">
      <alignment horizontal="left"/>
    </xf>
    <xf numFmtId="42" fontId="0" fillId="0" borderId="2" xfId="0" applyNumberFormat="1" applyFont="1" applyFill="1" applyBorder="1" applyAlignment="1"/>
    <xf numFmtId="42" fontId="0" fillId="0" borderId="0" xfId="0" applyNumberFormat="1" applyFont="1" applyFill="1" applyAlignment="1">
      <alignment horizontal="left"/>
    </xf>
    <xf numFmtId="10" fontId="0" fillId="0" borderId="0" xfId="0" applyNumberFormat="1" applyFont="1" applyFill="1" applyAlignment="1"/>
    <xf numFmtId="164" fontId="0" fillId="0" borderId="0" xfId="0" applyNumberFormat="1" applyFont="1" applyFill="1" applyAlignment="1" applyProtection="1">
      <alignment horizontal="left"/>
    </xf>
    <xf numFmtId="42" fontId="0" fillId="0" borderId="0" xfId="0" applyNumberFormat="1" applyFont="1" applyFill="1" applyBorder="1" applyAlignment="1"/>
    <xf numFmtId="0" fontId="0" fillId="0" borderId="3" xfId="0" applyNumberFormat="1" applyFont="1" applyFill="1" applyBorder="1" applyAlignment="1"/>
    <xf numFmtId="42" fontId="0" fillId="0" borderId="3" xfId="0" applyNumberFormat="1" applyFont="1" applyFill="1" applyBorder="1" applyAlignment="1" applyProtection="1"/>
    <xf numFmtId="0" fontId="18" fillId="0" borderId="0" xfId="0" applyNumberFormat="1" applyFont="1" applyFill="1" applyBorder="1" applyAlignment="1"/>
    <xf numFmtId="42" fontId="0" fillId="0" borderId="56" xfId="0" applyNumberFormat="1" applyFont="1" applyFill="1" applyBorder="1" applyAlignment="1" applyProtection="1"/>
    <xf numFmtId="41" fontId="0" fillId="0" borderId="0" xfId="0" applyNumberFormat="1" applyFont="1" applyFill="1" applyBorder="1" applyAlignment="1">
      <alignment horizontal="center"/>
    </xf>
    <xf numFmtId="0" fontId="0" fillId="0" borderId="3" xfId="0" applyNumberFormat="1" applyFont="1" applyFill="1" applyBorder="1" applyAlignment="1">
      <alignment horizontal="left"/>
    </xf>
    <xf numFmtId="42" fontId="0" fillId="0" borderId="3" xfId="0" applyNumberFormat="1" applyFont="1" applyFill="1" applyBorder="1" applyAlignment="1"/>
    <xf numFmtId="171" fontId="0" fillId="0" borderId="0" xfId="0" applyNumberFormat="1" applyFont="1" applyFill="1"/>
    <xf numFmtId="44" fontId="0" fillId="0" borderId="0" xfId="0" applyNumberFormat="1" applyFont="1" applyFill="1"/>
    <xf numFmtId="183" fontId="0" fillId="0" borderId="0" xfId="0" applyNumberFormat="1" applyFont="1" applyFill="1"/>
    <xf numFmtId="43" fontId="0" fillId="0" borderId="0" xfId="0" applyNumberFormat="1" applyFont="1" applyFill="1" applyBorder="1"/>
    <xf numFmtId="9" fontId="0" fillId="0" borderId="0" xfId="0" applyNumberFormat="1" applyFont="1" applyFill="1" applyBorder="1"/>
    <xf numFmtId="17" fontId="0" fillId="0" borderId="53" xfId="0" applyNumberFormat="1" applyFont="1" applyFill="1" applyBorder="1" applyAlignment="1">
      <alignment horizontal="centerContinuous"/>
    </xf>
    <xf numFmtId="0" fontId="0" fillId="0" borderId="5" xfId="0" applyFont="1" applyFill="1" applyBorder="1" applyAlignment="1">
      <alignment horizontal="centerContinuous"/>
    </xf>
    <xf numFmtId="0" fontId="0" fillId="0" borderId="54" xfId="0" applyFont="1" applyFill="1" applyBorder="1" applyAlignment="1">
      <alignment horizontal="centerContinuous"/>
    </xf>
    <xf numFmtId="0" fontId="0" fillId="0" borderId="0" xfId="0" applyFont="1" applyFill="1" applyAlignment="1">
      <alignment horizontal="right"/>
    </xf>
    <xf numFmtId="44" fontId="0" fillId="0" borderId="3" xfId="0" applyNumberFormat="1" applyFont="1" applyFill="1" applyBorder="1"/>
    <xf numFmtId="174" fontId="19" fillId="0" borderId="0" xfId="0" applyNumberFormat="1" applyFont="1" applyFill="1" applyAlignment="1">
      <alignment horizontal="left"/>
    </xf>
    <xf numFmtId="174" fontId="20" fillId="0" borderId="0" xfId="0" applyNumberFormat="1" applyFont="1" applyFill="1" applyAlignment="1">
      <alignment horizontal="left"/>
    </xf>
    <xf numFmtId="0" fontId="20" fillId="0" borderId="0" xfId="0" applyFont="1" applyFill="1"/>
    <xf numFmtId="174" fontId="20" fillId="0" borderId="0" xfId="0" applyNumberFormat="1" applyFont="1" applyFill="1" applyAlignment="1">
      <alignment horizontal="right"/>
    </xf>
    <xf numFmtId="9" fontId="20" fillId="0" borderId="0" xfId="0" applyNumberFormat="1" applyFont="1" applyFill="1" applyAlignment="1">
      <alignment horizontal="left"/>
    </xf>
    <xf numFmtId="0" fontId="20" fillId="0" borderId="0" xfId="0" applyFont="1" applyFill="1" applyAlignment="1">
      <alignment horizontal="center"/>
    </xf>
    <xf numFmtId="0" fontId="20" fillId="0" borderId="0" xfId="0" applyFont="1" applyFill="1" applyAlignment="1">
      <alignment horizontal="center" wrapText="1"/>
    </xf>
    <xf numFmtId="170" fontId="20" fillId="0" borderId="0" xfId="0" applyNumberFormat="1" applyFont="1" applyFill="1" applyAlignment="1">
      <alignment horizontal="left"/>
    </xf>
    <xf numFmtId="13" fontId="20" fillId="0" borderId="0" xfId="0" applyNumberFormat="1" applyFont="1" applyFill="1"/>
    <xf numFmtId="0" fontId="20" fillId="0" borderId="0" xfId="0" applyFont="1" applyFill="1" applyAlignment="1">
      <alignment horizontal="right"/>
    </xf>
    <xf numFmtId="178" fontId="19" fillId="0" borderId="0" xfId="0" applyNumberFormat="1" applyFont="1" applyFill="1" applyBorder="1" applyAlignment="1">
      <alignment horizontal="left"/>
    </xf>
    <xf numFmtId="44" fontId="19" fillId="0" borderId="0" xfId="0" applyNumberFormat="1" applyFont="1" applyFill="1" applyAlignment="1"/>
    <xf numFmtId="6" fontId="19" fillId="0" borderId="0" xfId="0" applyNumberFormat="1" applyFont="1" applyFill="1" applyAlignment="1"/>
    <xf numFmtId="171" fontId="20" fillId="0" borderId="0" xfId="0" applyNumberFormat="1" applyFont="1" applyFill="1" applyAlignment="1">
      <alignment horizontal="left"/>
    </xf>
    <xf numFmtId="0" fontId="20" fillId="0" borderId="0" xfId="0" applyFont="1" applyFill="1" applyBorder="1"/>
    <xf numFmtId="0" fontId="20" fillId="0" borderId="0" xfId="0" applyNumberFormat="1" applyFont="1" applyFill="1" applyAlignment="1"/>
    <xf numFmtId="42" fontId="21" fillId="0" borderId="0" xfId="0" applyNumberFormat="1" applyFont="1" applyFill="1" applyAlignment="1">
      <alignment horizontal="center"/>
    </xf>
    <xf numFmtId="0" fontId="19" fillId="0" borderId="41" xfId="0" applyNumberFormat="1" applyFont="1" applyFill="1" applyBorder="1" applyAlignment="1"/>
    <xf numFmtId="0" fontId="19" fillId="0" borderId="41" xfId="0" applyNumberFormat="1" applyFont="1" applyFill="1" applyBorder="1" applyAlignment="1">
      <alignment horizontal="center"/>
    </xf>
    <xf numFmtId="0" fontId="19" fillId="0" borderId="42" xfId="0" applyNumberFormat="1" applyFont="1" applyFill="1" applyBorder="1" applyAlignment="1"/>
    <xf numFmtId="10" fontId="19" fillId="0" borderId="42" xfId="0" applyNumberFormat="1" applyFont="1" applyFill="1" applyBorder="1" applyAlignment="1">
      <alignment horizontal="center"/>
    </xf>
    <xf numFmtId="180" fontId="19" fillId="0" borderId="42" xfId="0" applyNumberFormat="1" applyFont="1" applyFill="1" applyBorder="1" applyAlignment="1">
      <alignment horizontal="center"/>
    </xf>
    <xf numFmtId="0" fontId="19" fillId="0" borderId="0" xfId="0" applyNumberFormat="1" applyFont="1" applyFill="1" applyBorder="1" applyAlignment="1"/>
    <xf numFmtId="180" fontId="19" fillId="0" borderId="0" xfId="0" applyNumberFormat="1" applyFont="1" applyFill="1" applyBorder="1" applyAlignment="1">
      <alignment horizontal="center"/>
    </xf>
    <xf numFmtId="0" fontId="19" fillId="0" borderId="43" xfId="0" applyNumberFormat="1" applyFont="1" applyFill="1" applyBorder="1" applyAlignment="1">
      <alignment horizontal="center"/>
    </xf>
    <xf numFmtId="0" fontId="19" fillId="0" borderId="44" xfId="0" applyNumberFormat="1" applyFont="1" applyFill="1" applyBorder="1" applyAlignment="1">
      <alignment horizontal="centerContinuous" vertical="center"/>
    </xf>
    <xf numFmtId="0" fontId="19" fillId="0" borderId="45" xfId="0" applyNumberFormat="1" applyFont="1" applyFill="1" applyBorder="1" applyAlignment="1">
      <alignment horizontal="centerContinuous" vertical="center"/>
    </xf>
    <xf numFmtId="174" fontId="19" fillId="0" borderId="43" xfId="0" applyNumberFormat="1" applyFont="1" applyFill="1" applyBorder="1" applyAlignment="1">
      <alignment horizontal="center"/>
    </xf>
    <xf numFmtId="9" fontId="19" fillId="0" borderId="43" xfId="1" applyFont="1" applyFill="1" applyBorder="1" applyAlignment="1">
      <alignment horizontal="center"/>
    </xf>
    <xf numFmtId="0" fontId="19" fillId="0" borderId="36" xfId="0" applyNumberFormat="1" applyFont="1" applyFill="1" applyBorder="1" applyAlignment="1">
      <alignment horizontal="center"/>
    </xf>
    <xf numFmtId="0" fontId="19" fillId="0" borderId="12" xfId="0" applyNumberFormat="1" applyFont="1" applyFill="1" applyBorder="1" applyAlignment="1">
      <alignment horizontal="centerContinuous" vertical="center"/>
    </xf>
    <xf numFmtId="0" fontId="19" fillId="0" borderId="13" xfId="0" applyNumberFormat="1" applyFont="1" applyFill="1" applyBorder="1" applyAlignment="1">
      <alignment horizontal="centerContinuous" vertical="center"/>
    </xf>
    <xf numFmtId="0" fontId="19" fillId="0" borderId="0" xfId="0" applyNumberFormat="1" applyFont="1" applyFill="1" applyBorder="1" applyAlignment="1">
      <alignment horizontal="centerContinuous" vertical="center"/>
    </xf>
    <xf numFmtId="0" fontId="19" fillId="0" borderId="12" xfId="0" applyNumberFormat="1" applyFont="1" applyFill="1" applyBorder="1" applyAlignment="1">
      <alignment horizontal="center"/>
    </xf>
    <xf numFmtId="0" fontId="19" fillId="0" borderId="13" xfId="0" applyNumberFormat="1" applyFont="1" applyFill="1" applyBorder="1" applyAlignment="1">
      <alignment horizontal="center"/>
    </xf>
    <xf numFmtId="174" fontId="19" fillId="0" borderId="36" xfId="0" applyNumberFormat="1" applyFont="1" applyFill="1" applyBorder="1" applyAlignment="1">
      <alignment horizontal="center"/>
    </xf>
    <xf numFmtId="9" fontId="19" fillId="0" borderId="36" xfId="0" applyNumberFormat="1" applyFont="1" applyFill="1" applyBorder="1" applyAlignment="1">
      <alignment horizontal="center"/>
    </xf>
    <xf numFmtId="0" fontId="20" fillId="0" borderId="36" xfId="0" applyNumberFormat="1" applyFont="1" applyFill="1" applyBorder="1" applyAlignment="1"/>
    <xf numFmtId="10" fontId="20" fillId="0" borderId="0" xfId="0" applyNumberFormat="1" applyFont="1" applyFill="1" applyAlignment="1"/>
    <xf numFmtId="0" fontId="19" fillId="0" borderId="46" xfId="0" applyNumberFormat="1" applyFont="1" applyFill="1" applyBorder="1" applyAlignment="1">
      <alignment horizontal="center"/>
    </xf>
    <xf numFmtId="0" fontId="19" fillId="0" borderId="17" xfId="0" applyNumberFormat="1" applyFont="1" applyFill="1" applyBorder="1" applyAlignment="1">
      <alignment horizontal="center"/>
    </xf>
    <xf numFmtId="0" fontId="19" fillId="0" borderId="18" xfId="0" applyNumberFormat="1" applyFont="1" applyFill="1" applyBorder="1" applyAlignment="1">
      <alignment horizontal="center"/>
    </xf>
    <xf numFmtId="174" fontId="19" fillId="0" borderId="46" xfId="0" applyNumberFormat="1" applyFont="1" applyFill="1" applyBorder="1" applyAlignment="1">
      <alignment horizontal="center"/>
    </xf>
    <xf numFmtId="9" fontId="19" fillId="0" borderId="46" xfId="0" applyNumberFormat="1" applyFont="1" applyFill="1" applyBorder="1" applyAlignment="1">
      <alignment horizontal="center"/>
    </xf>
    <xf numFmtId="174" fontId="19" fillId="0" borderId="46" xfId="0" quotePrefix="1" applyNumberFormat="1" applyFont="1" applyFill="1" applyBorder="1" applyAlignment="1">
      <alignment horizontal="center"/>
    </xf>
    <xf numFmtId="0" fontId="20" fillId="0" borderId="0" xfId="0" applyNumberFormat="1" applyFont="1" applyFill="1" applyAlignment="1">
      <alignment horizontal="center"/>
    </xf>
    <xf numFmtId="0" fontId="19" fillId="0" borderId="0" xfId="0" applyNumberFormat="1" applyFont="1" applyFill="1" applyBorder="1" applyAlignment="1">
      <alignment horizontal="center"/>
    </xf>
    <xf numFmtId="174" fontId="19" fillId="0" borderId="0" xfId="0" applyNumberFormat="1" applyFont="1" applyFill="1" applyBorder="1" applyAlignment="1">
      <alignment horizontal="center"/>
    </xf>
    <xf numFmtId="9" fontId="19" fillId="0" borderId="0" xfId="0" applyNumberFormat="1" applyFont="1" applyFill="1" applyBorder="1" applyAlignment="1">
      <alignment horizontal="center"/>
    </xf>
    <xf numFmtId="174" fontId="19" fillId="0" borderId="0" xfId="0" quotePrefix="1" applyNumberFormat="1" applyFont="1" applyFill="1" applyBorder="1" applyAlignment="1">
      <alignment horizontal="center"/>
    </xf>
    <xf numFmtId="178" fontId="20" fillId="0" borderId="47" xfId="0" applyNumberFormat="1" applyFont="1" applyFill="1" applyBorder="1" applyAlignment="1">
      <alignment horizontal="right"/>
    </xf>
    <xf numFmtId="41" fontId="20" fillId="0" borderId="48" xfId="0" applyNumberFormat="1" applyFont="1" applyFill="1" applyBorder="1" applyAlignment="1"/>
    <xf numFmtId="170" fontId="20" fillId="0" borderId="48" xfId="0" applyNumberFormat="1" applyFont="1" applyFill="1" applyBorder="1" applyAlignment="1"/>
    <xf numFmtId="41" fontId="20" fillId="0" borderId="49" xfId="0" applyNumberFormat="1" applyFont="1" applyFill="1" applyBorder="1" applyAlignment="1"/>
    <xf numFmtId="43" fontId="20" fillId="0" borderId="0" xfId="0" applyNumberFormat="1" applyFont="1" applyFill="1" applyAlignment="1"/>
    <xf numFmtId="170" fontId="20" fillId="0" borderId="0" xfId="0" applyNumberFormat="1" applyFont="1" applyFill="1" applyAlignment="1"/>
    <xf numFmtId="41" fontId="20" fillId="0" borderId="0" xfId="2" applyFont="1" applyFill="1" applyAlignment="1"/>
    <xf numFmtId="41" fontId="20" fillId="0" borderId="0" xfId="0" applyNumberFormat="1" applyFont="1" applyFill="1" applyAlignment="1"/>
    <xf numFmtId="41" fontId="20" fillId="0" borderId="0" xfId="0" applyNumberFormat="1" applyFont="1" applyFill="1" applyBorder="1" applyAlignment="1"/>
    <xf numFmtId="181" fontId="19" fillId="0" borderId="50" xfId="0" applyNumberFormat="1" applyFont="1" applyFill="1" applyBorder="1" applyAlignment="1">
      <alignment horizontal="center"/>
    </xf>
    <xf numFmtId="41" fontId="20" fillId="0" borderId="51" xfId="0" applyNumberFormat="1" applyFont="1" applyFill="1" applyBorder="1" applyAlignment="1"/>
    <xf numFmtId="170" fontId="20" fillId="0" borderId="51" xfId="0" applyNumberFormat="1" applyFont="1" applyFill="1" applyBorder="1" applyAlignment="1"/>
    <xf numFmtId="41" fontId="20" fillId="0" borderId="52" xfId="0" applyNumberFormat="1" applyFont="1" applyFill="1" applyBorder="1" applyAlignment="1"/>
    <xf numFmtId="41" fontId="20" fillId="0" borderId="0" xfId="0" applyNumberFormat="1" applyFont="1" applyFill="1"/>
    <xf numFmtId="170" fontId="20" fillId="0" borderId="0" xfId="0" applyNumberFormat="1" applyFont="1" applyFill="1"/>
    <xf numFmtId="0" fontId="22" fillId="0" borderId="55" xfId="0" applyNumberFormat="1" applyFont="1" applyFill="1" applyBorder="1" applyAlignment="1"/>
    <xf numFmtId="0" fontId="23" fillId="0" borderId="0" xfId="0" applyNumberFormat="1" applyFont="1" applyFill="1" applyAlignment="1"/>
    <xf numFmtId="14" fontId="20" fillId="0" borderId="0" xfId="0" applyNumberFormat="1" applyFont="1" applyFill="1" applyAlignment="1"/>
    <xf numFmtId="170" fontId="20" fillId="0" borderId="3" xfId="0" applyNumberFormat="1" applyFont="1" applyFill="1" applyBorder="1" applyAlignment="1"/>
    <xf numFmtId="166" fontId="0" fillId="0" borderId="0" xfId="0" applyNumberFormat="1" applyFont="1" applyFill="1"/>
    <xf numFmtId="178" fontId="20" fillId="0" borderId="36" xfId="0" applyNumberFormat="1" applyFont="1" applyFill="1" applyBorder="1" applyAlignment="1">
      <alignment horizontal="right"/>
    </xf>
    <xf numFmtId="41" fontId="0" fillId="0" borderId="23" xfId="0" applyNumberFormat="1" applyFont="1" applyFill="1" applyBorder="1"/>
    <xf numFmtId="41" fontId="0" fillId="0" borderId="4" xfId="0" applyNumberFormat="1" applyFont="1" applyFill="1" applyBorder="1"/>
    <xf numFmtId="41" fontId="0" fillId="0" borderId="24" xfId="0" applyNumberFormat="1" applyFont="1" applyFill="1" applyBorder="1"/>
    <xf numFmtId="178" fontId="24" fillId="0" borderId="0" xfId="0" applyNumberFormat="1" applyFont="1" applyFill="1" applyBorder="1" applyAlignment="1">
      <alignment horizontal="right"/>
    </xf>
    <xf numFmtId="179" fontId="11" fillId="0" borderId="0" xfId="0" applyNumberFormat="1" applyFont="1" applyFill="1"/>
    <xf numFmtId="178" fontId="20" fillId="0" borderId="0" xfId="0" applyNumberFormat="1" applyFont="1" applyFill="1" applyBorder="1" applyAlignment="1">
      <alignment horizontal="right"/>
    </xf>
    <xf numFmtId="1" fontId="20" fillId="0" borderId="0" xfId="0" applyNumberFormat="1" applyFont="1" applyFill="1" applyBorder="1" applyAlignment="1">
      <alignment horizontal="right"/>
    </xf>
    <xf numFmtId="0" fontId="0" fillId="0" borderId="25" xfId="0" applyFont="1" applyFill="1" applyBorder="1"/>
    <xf numFmtId="0" fontId="0" fillId="0" borderId="26" xfId="0" applyFont="1" applyFill="1" applyBorder="1"/>
    <xf numFmtId="0" fontId="0" fillId="0" borderId="29" xfId="0" applyFont="1" applyFill="1" applyBorder="1"/>
    <xf numFmtId="0" fontId="0" fillId="0" borderId="30" xfId="0" applyFont="1" applyFill="1" applyBorder="1"/>
    <xf numFmtId="175" fontId="0" fillId="0" borderId="29" xfId="0" applyNumberFormat="1" applyFont="1" applyFill="1" applyBorder="1"/>
    <xf numFmtId="42" fontId="0" fillId="0" borderId="30" xfId="0" applyNumberFormat="1" applyFont="1" applyFill="1" applyBorder="1"/>
    <xf numFmtId="0" fontId="0" fillId="0" borderId="33" xfId="0" applyFont="1" applyFill="1" applyBorder="1"/>
    <xf numFmtId="0" fontId="0" fillId="0" borderId="34" xfId="0" applyFont="1" applyFill="1" applyBorder="1"/>
    <xf numFmtId="0" fontId="0" fillId="0" borderId="0" xfId="0" applyFont="1" applyFill="1" applyAlignment="1">
      <alignment horizontal="left"/>
    </xf>
    <xf numFmtId="0" fontId="2" fillId="0" borderId="14" xfId="0" applyFont="1" applyFill="1" applyBorder="1" applyAlignment="1">
      <alignment horizontal="centerContinuous"/>
    </xf>
    <xf numFmtId="0" fontId="2" fillId="0" borderId="16" xfId="0" applyFont="1" applyFill="1" applyBorder="1" applyAlignment="1">
      <alignment horizontal="centerContinuous"/>
    </xf>
    <xf numFmtId="41" fontId="0" fillId="0" borderId="0" xfId="0" applyNumberFormat="1" applyFont="1" applyFill="1" applyAlignment="1">
      <alignment horizontal="left"/>
    </xf>
    <xf numFmtId="41" fontId="21" fillId="0" borderId="12" xfId="0" applyNumberFormat="1" applyFont="1" applyFill="1" applyBorder="1" applyAlignment="1">
      <alignment horizontal="left"/>
    </xf>
    <xf numFmtId="41" fontId="21" fillId="0" borderId="0" xfId="0" applyNumberFormat="1" applyFont="1" applyFill="1" applyBorder="1" applyAlignment="1">
      <alignment horizontal="left"/>
    </xf>
    <xf numFmtId="41" fontId="21" fillId="0" borderId="13" xfId="0" applyNumberFormat="1" applyFont="1" applyFill="1" applyBorder="1" applyAlignment="1">
      <alignment horizontal="left"/>
    </xf>
    <xf numFmtId="41" fontId="21" fillId="0" borderId="0" xfId="0" applyNumberFormat="1" applyFont="1" applyFill="1" applyAlignment="1">
      <alignment horizontal="left"/>
    </xf>
    <xf numFmtId="49" fontId="21" fillId="0" borderId="0" xfId="0" applyNumberFormat="1" applyFont="1" applyFill="1" applyAlignment="1">
      <alignment horizontal="left"/>
    </xf>
    <xf numFmtId="0" fontId="0" fillId="0" borderId="0" xfId="0" applyNumberFormat="1" applyFont="1" applyFill="1"/>
    <xf numFmtId="0" fontId="0" fillId="0" borderId="19" xfId="0" applyFont="1" applyFill="1" applyBorder="1"/>
    <xf numFmtId="0" fontId="0" fillId="0" borderId="2" xfId="0" applyFont="1" applyFill="1" applyBorder="1"/>
    <xf numFmtId="0" fontId="0" fillId="0" borderId="20" xfId="0" applyFont="1" applyFill="1" applyBorder="1"/>
    <xf numFmtId="42" fontId="0" fillId="0" borderId="21" xfId="0" applyNumberFormat="1" applyFont="1" applyFill="1" applyBorder="1"/>
    <xf numFmtId="42" fontId="0" fillId="0" borderId="8" xfId="0" applyNumberFormat="1" applyFont="1" applyFill="1" applyBorder="1"/>
    <xf numFmtId="42" fontId="0" fillId="0" borderId="22" xfId="0" applyNumberFormat="1" applyFont="1" applyFill="1" applyBorder="1"/>
    <xf numFmtId="0" fontId="25" fillId="0" borderId="0" xfId="0" applyNumberFormat="1" applyFont="1" applyFill="1" applyAlignment="1">
      <alignment horizontal="right"/>
    </xf>
    <xf numFmtId="0" fontId="11" fillId="0" borderId="23" xfId="0" applyFont="1" applyFill="1" applyBorder="1"/>
    <xf numFmtId="170" fontId="11" fillId="0" borderId="4" xfId="0" applyNumberFormat="1" applyFont="1" applyFill="1" applyBorder="1"/>
    <xf numFmtId="170" fontId="11" fillId="0" borderId="24" xfId="0" applyNumberFormat="1" applyFont="1" applyFill="1" applyBorder="1"/>
    <xf numFmtId="0" fontId="11" fillId="0" borderId="0" xfId="0" applyFont="1" applyFill="1" applyAlignment="1">
      <alignment horizontal="left"/>
    </xf>
    <xf numFmtId="0" fontId="11" fillId="0" borderId="0" xfId="0" applyFont="1" applyFill="1" applyBorder="1"/>
    <xf numFmtId="170" fontId="11" fillId="0" borderId="0" xfId="0" applyNumberFormat="1" applyFont="1" applyFill="1" applyBorder="1"/>
    <xf numFmtId="0" fontId="0" fillId="0" borderId="1" xfId="0" applyFont="1" applyFill="1" applyBorder="1"/>
    <xf numFmtId="44" fontId="0" fillId="0" borderId="0" xfId="0" applyNumberFormat="1" applyFont="1" applyFill="1" applyBorder="1"/>
    <xf numFmtId="173" fontId="0" fillId="0" borderId="0" xfId="0" applyNumberFormat="1" applyFont="1" applyFill="1"/>
    <xf numFmtId="43" fontId="0" fillId="0" borderId="3" xfId="0" applyNumberFormat="1" applyFont="1" applyFill="1" applyBorder="1"/>
    <xf numFmtId="9" fontId="0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vertical="center"/>
    </xf>
    <xf numFmtId="43" fontId="0" fillId="0" borderId="1" xfId="0" applyNumberFormat="1" applyFont="1" applyFill="1" applyBorder="1"/>
    <xf numFmtId="44" fontId="0" fillId="0" borderId="1" xfId="0" applyNumberFormat="1" applyFont="1" applyFill="1" applyBorder="1"/>
    <xf numFmtId="0" fontId="20" fillId="0" borderId="0" xfId="0" applyFont="1" applyFill="1" applyAlignment="1">
      <alignment wrapText="1"/>
    </xf>
    <xf numFmtId="168" fontId="20" fillId="0" borderId="0" xfId="0" applyNumberFormat="1" applyFont="1" applyFill="1"/>
    <xf numFmtId="169" fontId="20" fillId="0" borderId="0" xfId="0" applyNumberFormat="1" applyFont="1" applyFill="1"/>
    <xf numFmtId="0" fontId="0" fillId="0" borderId="0" xfId="0" applyFont="1" applyFill="1" applyBorder="1" applyAlignment="1">
      <alignment horizontal="right"/>
    </xf>
    <xf numFmtId="0" fontId="0" fillId="0" borderId="40" xfId="0" applyFont="1" applyFill="1" applyBorder="1"/>
    <xf numFmtId="0" fontId="26" fillId="0" borderId="0" xfId="0" applyFont="1" applyFill="1" applyAlignment="1">
      <alignment vertical="center"/>
    </xf>
    <xf numFmtId="0" fontId="0" fillId="0" borderId="30" xfId="0" applyFont="1" applyFill="1" applyBorder="1" applyAlignment="1">
      <alignment horizontal="center"/>
    </xf>
    <xf numFmtId="0" fontId="0" fillId="0" borderId="29" xfId="0" applyFont="1" applyFill="1" applyBorder="1" applyAlignment="1">
      <alignment horizontal="left"/>
    </xf>
    <xf numFmtId="37" fontId="0" fillId="0" borderId="0" xfId="0" applyNumberFormat="1" applyFont="1" applyFill="1" applyBorder="1" applyAlignment="1">
      <alignment horizontal="center"/>
    </xf>
    <xf numFmtId="9" fontId="0" fillId="0" borderId="30" xfId="0" applyNumberFormat="1" applyFont="1" applyFill="1" applyBorder="1" applyAlignment="1">
      <alignment horizontal="center"/>
    </xf>
    <xf numFmtId="13" fontId="0" fillId="0" borderId="0" xfId="0" applyNumberFormat="1" applyFont="1" applyFill="1" applyBorder="1"/>
    <xf numFmtId="0" fontId="0" fillId="0" borderId="0" xfId="0" applyFont="1" applyFill="1" applyBorder="1" applyAlignment="1">
      <alignment horizontal="left"/>
    </xf>
    <xf numFmtId="14" fontId="0" fillId="0" borderId="29" xfId="0" applyNumberFormat="1" applyFont="1" applyFill="1" applyBorder="1" applyAlignment="1">
      <alignment horizontal="left"/>
    </xf>
    <xf numFmtId="14" fontId="0" fillId="0" borderId="0" xfId="0" applyNumberFormat="1" applyFont="1" applyFill="1" applyBorder="1" applyAlignment="1">
      <alignment horizontal="left"/>
    </xf>
    <xf numFmtId="0" fontId="0" fillId="0" borderId="15" xfId="0" applyFont="1" applyFill="1" applyBorder="1"/>
    <xf numFmtId="184" fontId="0" fillId="0" borderId="34" xfId="0" applyNumberFormat="1" applyFont="1" applyFill="1" applyBorder="1" applyAlignment="1">
      <alignment horizontal="center"/>
    </xf>
    <xf numFmtId="185" fontId="0" fillId="0" borderId="0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  <xf numFmtId="14" fontId="0" fillId="0" borderId="0" xfId="0" applyNumberFormat="1" applyFont="1" applyFill="1" applyBorder="1"/>
    <xf numFmtId="177" fontId="0" fillId="0" borderId="0" xfId="0" applyNumberFormat="1" applyFont="1" applyFill="1" applyBorder="1"/>
    <xf numFmtId="171" fontId="27" fillId="0" borderId="0" xfId="0" applyNumberFormat="1" applyFont="1" applyFill="1" applyBorder="1"/>
    <xf numFmtId="0" fontId="19" fillId="0" borderId="0" xfId="0" applyFont="1" applyFill="1"/>
    <xf numFmtId="0" fontId="28" fillId="0" borderId="0" xfId="0" applyFont="1" applyFill="1"/>
    <xf numFmtId="0" fontId="19" fillId="0" borderId="0" xfId="0" applyFont="1" applyFill="1" applyAlignment="1">
      <alignment horizontal="center"/>
    </xf>
    <xf numFmtId="10" fontId="20" fillId="0" borderId="0" xfId="0" applyNumberFormat="1" applyFont="1" applyFill="1"/>
    <xf numFmtId="10" fontId="24" fillId="0" borderId="0" xfId="0" applyNumberFormat="1" applyFont="1" applyFill="1" applyBorder="1"/>
    <xf numFmtId="10" fontId="20" fillId="0" borderId="7" xfId="0" applyNumberFormat="1" applyFont="1" applyFill="1" applyBorder="1"/>
    <xf numFmtId="10" fontId="28" fillId="0" borderId="7" xfId="0" applyNumberFormat="1" applyFont="1" applyFill="1" applyBorder="1"/>
    <xf numFmtId="0" fontId="19" fillId="0" borderId="55" xfId="0" applyFont="1" applyFill="1" applyBorder="1" applyAlignment="1">
      <alignment horizontal="center"/>
    </xf>
    <xf numFmtId="0" fontId="29" fillId="0" borderId="55" xfId="0" applyFont="1" applyFill="1" applyBorder="1" applyAlignment="1">
      <alignment horizontal="center"/>
    </xf>
    <xf numFmtId="0" fontId="20" fillId="0" borderId="0" xfId="0" applyFont="1" applyFill="1" applyAlignment="1">
      <alignment horizontal="left"/>
    </xf>
    <xf numFmtId="0" fontId="20" fillId="0" borderId="0" xfId="0" applyFont="1" applyFill="1" applyAlignment="1">
      <alignment horizontal="center" vertical="top"/>
    </xf>
    <xf numFmtId="42" fontId="28" fillId="0" borderId="0" xfId="0" applyNumberFormat="1" applyFont="1" applyFill="1"/>
    <xf numFmtId="41" fontId="28" fillId="0" borderId="0" xfId="0" applyNumberFormat="1" applyFont="1" applyFill="1"/>
    <xf numFmtId="43" fontId="20" fillId="0" borderId="0" xfId="0" applyNumberFormat="1" applyFont="1" applyFill="1" applyBorder="1" applyAlignment="1">
      <alignment horizontal="center"/>
    </xf>
    <xf numFmtId="0" fontId="28" fillId="0" borderId="0" xfId="0" applyFont="1" applyFill="1" applyAlignment="1">
      <alignment horizontal="left" vertical="top" indent="1"/>
    </xf>
    <xf numFmtId="41" fontId="28" fillId="0" borderId="56" xfId="0" applyNumberFormat="1" applyFont="1" applyFill="1" applyBorder="1"/>
    <xf numFmtId="0" fontId="28" fillId="0" borderId="0" xfId="0" applyFont="1" applyFill="1" applyAlignment="1">
      <alignment vertical="top"/>
    </xf>
    <xf numFmtId="42" fontId="20" fillId="0" borderId="0" xfId="0" applyNumberFormat="1" applyFont="1" applyFill="1"/>
    <xf numFmtId="44" fontId="20" fillId="0" borderId="0" xfId="0" applyNumberFormat="1" applyFont="1" applyFill="1"/>
    <xf numFmtId="0" fontId="20" fillId="0" borderId="0" xfId="0" applyFont="1" applyFill="1" applyAlignment="1">
      <alignment vertical="top"/>
    </xf>
    <xf numFmtId="41" fontId="20" fillId="0" borderId="0" xfId="0" applyNumberFormat="1" applyFont="1" applyFill="1" applyBorder="1"/>
    <xf numFmtId="41" fontId="28" fillId="0" borderId="0" xfId="0" applyNumberFormat="1" applyFont="1" applyFill="1" applyBorder="1"/>
    <xf numFmtId="0" fontId="20" fillId="0" borderId="37" xfId="0" applyNumberFormat="1" applyFont="1" applyFill="1" applyBorder="1" applyAlignment="1">
      <alignment horizontal="left"/>
    </xf>
    <xf numFmtId="170" fontId="28" fillId="0" borderId="0" xfId="0" applyNumberFormat="1" applyFont="1" applyFill="1"/>
    <xf numFmtId="0" fontId="24" fillId="0" borderId="0" xfId="0" applyFont="1" applyFill="1"/>
    <xf numFmtId="43" fontId="28" fillId="0" borderId="0" xfId="0" applyNumberFormat="1" applyFont="1" applyFill="1"/>
    <xf numFmtId="0" fontId="20" fillId="0" borderId="37" xfId="0" applyFont="1" applyFill="1" applyBorder="1" applyAlignment="1">
      <alignment horizontal="left"/>
    </xf>
    <xf numFmtId="0" fontId="20" fillId="0" borderId="0" xfId="0" applyFont="1" applyFill="1" applyBorder="1" applyAlignment="1">
      <alignment vertical="top"/>
    </xf>
    <xf numFmtId="0" fontId="20" fillId="0" borderId="0" xfId="0" applyFont="1" applyFill="1" applyBorder="1" applyAlignment="1">
      <alignment horizontal="center"/>
    </xf>
    <xf numFmtId="170" fontId="20" fillId="0" borderId="0" xfId="0" applyNumberFormat="1" applyFont="1" applyFill="1" applyBorder="1"/>
    <xf numFmtId="0" fontId="28" fillId="0" borderId="55" xfId="0" applyFont="1" applyFill="1" applyBorder="1"/>
    <xf numFmtId="41" fontId="28" fillId="0" borderId="55" xfId="0" applyNumberFormat="1" applyFont="1" applyFill="1" applyBorder="1"/>
    <xf numFmtId="42" fontId="20" fillId="0" borderId="0" xfId="0" applyNumberFormat="1" applyFont="1" applyFill="1" applyBorder="1"/>
    <xf numFmtId="41" fontId="20" fillId="0" borderId="56" xfId="0" applyNumberFormat="1" applyFont="1" applyFill="1" applyBorder="1"/>
    <xf numFmtId="0" fontId="28" fillId="0" borderId="55" xfId="0" applyFont="1" applyFill="1" applyBorder="1" applyAlignment="1">
      <alignment vertical="top"/>
    </xf>
    <xf numFmtId="43" fontId="20" fillId="0" borderId="55" xfId="0" applyNumberFormat="1" applyFont="1" applyFill="1" applyBorder="1" applyAlignment="1">
      <alignment horizontal="center"/>
    </xf>
    <xf numFmtId="41" fontId="20" fillId="0" borderId="55" xfId="0" applyNumberFormat="1" applyFont="1" applyFill="1" applyBorder="1"/>
    <xf numFmtId="43" fontId="20" fillId="0" borderId="0" xfId="0" applyNumberFormat="1" applyFont="1" applyFill="1"/>
    <xf numFmtId="49" fontId="20" fillId="0" borderId="12" xfId="0" applyNumberFormat="1" applyFont="1" applyFill="1" applyBorder="1" applyAlignment="1"/>
    <xf numFmtId="0" fontId="28" fillId="0" borderId="0" xfId="0" applyNumberFormat="1" applyFont="1" applyFill="1" applyBorder="1"/>
    <xf numFmtId="49" fontId="28" fillId="0" borderId="0" xfId="0" applyNumberFormat="1" applyFont="1" applyFill="1" applyBorder="1"/>
    <xf numFmtId="0" fontId="20" fillId="0" borderId="23" xfId="0" applyNumberFormat="1" applyFont="1" applyFill="1" applyBorder="1" applyAlignment="1">
      <alignment horizontal="left"/>
    </xf>
    <xf numFmtId="0" fontId="20" fillId="0" borderId="4" xfId="0" applyFont="1" applyFill="1" applyBorder="1"/>
    <xf numFmtId="43" fontId="20" fillId="0" borderId="0" xfId="0" applyNumberFormat="1" applyFont="1" applyFill="1" applyBorder="1"/>
    <xf numFmtId="41" fontId="20" fillId="0" borderId="69" xfId="0" applyNumberFormat="1" applyFont="1" applyFill="1" applyBorder="1"/>
    <xf numFmtId="0" fontId="24" fillId="0" borderId="12" xfId="0" applyNumberFormat="1" applyFont="1" applyFill="1" applyBorder="1" applyAlignment="1">
      <alignment horizontal="left"/>
    </xf>
    <xf numFmtId="41" fontId="24" fillId="0" borderId="0" xfId="0" applyNumberFormat="1" applyFont="1" applyFill="1"/>
    <xf numFmtId="0" fontId="24" fillId="0" borderId="37" xfId="0" applyNumberFormat="1" applyFont="1" applyFill="1" applyBorder="1" applyAlignment="1">
      <alignment horizontal="left"/>
    </xf>
    <xf numFmtId="0" fontId="28" fillId="0" borderId="0" xfId="0" applyNumberFormat="1" applyFont="1" applyFill="1"/>
    <xf numFmtId="0" fontId="28" fillId="0" borderId="12" xfId="0" applyNumberFormat="1" applyFont="1" applyFill="1" applyBorder="1" applyAlignment="1">
      <alignment horizontal="left"/>
    </xf>
    <xf numFmtId="49" fontId="28" fillId="0" borderId="0" xfId="0" applyNumberFormat="1" applyFont="1" applyFill="1" applyAlignment="1">
      <alignment horizontal="left"/>
    </xf>
    <xf numFmtId="49" fontId="24" fillId="0" borderId="0" xfId="0" applyNumberFormat="1" applyFont="1" applyFill="1" applyAlignment="1">
      <alignment horizontal="left"/>
    </xf>
    <xf numFmtId="42" fontId="20" fillId="0" borderId="8" xfId="0" applyNumberFormat="1" applyFont="1" applyFill="1" applyBorder="1"/>
    <xf numFmtId="0" fontId="24" fillId="0" borderId="0" xfId="0" applyFont="1" applyFill="1" applyAlignment="1">
      <alignment horizontal="center"/>
    </xf>
    <xf numFmtId="0" fontId="20" fillId="0" borderId="9" xfId="0" applyFont="1" applyFill="1" applyBorder="1"/>
    <xf numFmtId="0" fontId="23" fillId="0" borderId="10" xfId="0" applyFont="1" applyFill="1" applyBorder="1"/>
    <xf numFmtId="0" fontId="20" fillId="0" borderId="10" xfId="0" applyFont="1" applyFill="1" applyBorder="1" applyAlignment="1">
      <alignment horizontal="center"/>
    </xf>
    <xf numFmtId="0" fontId="20" fillId="0" borderId="10" xfId="0" applyFont="1" applyFill="1" applyBorder="1"/>
    <xf numFmtId="0" fontId="20" fillId="0" borderId="11" xfId="0" applyFont="1" applyFill="1" applyBorder="1"/>
    <xf numFmtId="0" fontId="20" fillId="0" borderId="12" xfId="0" applyFont="1" applyFill="1" applyBorder="1" applyAlignment="1">
      <alignment horizontal="left"/>
    </xf>
    <xf numFmtId="41" fontId="20" fillId="0" borderId="13" xfId="0" applyNumberFormat="1" applyFont="1" applyFill="1" applyBorder="1"/>
    <xf numFmtId="41" fontId="30" fillId="0" borderId="0" xfId="0" applyNumberFormat="1" applyFont="1" applyFill="1" applyBorder="1"/>
    <xf numFmtId="41" fontId="30" fillId="0" borderId="13" xfId="0" applyNumberFormat="1" applyFont="1" applyFill="1" applyBorder="1"/>
    <xf numFmtId="0" fontId="20" fillId="0" borderId="13" xfId="0" applyFont="1" applyFill="1" applyBorder="1"/>
    <xf numFmtId="10" fontId="23" fillId="0" borderId="0" xfId="0" applyNumberFormat="1" applyFont="1" applyFill="1" applyBorder="1"/>
    <xf numFmtId="10" fontId="23" fillId="0" borderId="13" xfId="0" applyNumberFormat="1" applyFont="1" applyFill="1" applyBorder="1"/>
    <xf numFmtId="10" fontId="20" fillId="0" borderId="0" xfId="0" applyNumberFormat="1" applyFont="1" applyFill="1" applyBorder="1"/>
    <xf numFmtId="10" fontId="20" fillId="0" borderId="13" xfId="0" applyNumberFormat="1" applyFont="1" applyFill="1" applyBorder="1"/>
    <xf numFmtId="0" fontId="20" fillId="0" borderId="66" xfId="0" applyFont="1" applyFill="1" applyBorder="1" applyAlignment="1">
      <alignment horizontal="left"/>
    </xf>
    <xf numFmtId="0" fontId="20" fillId="0" borderId="5" xfId="0" applyFont="1" applyFill="1" applyBorder="1" applyAlignment="1">
      <alignment vertical="top"/>
    </xf>
    <xf numFmtId="0" fontId="20" fillId="0" borderId="5" xfId="0" applyFont="1" applyFill="1" applyBorder="1" applyAlignment="1">
      <alignment horizontal="center"/>
    </xf>
    <xf numFmtId="0" fontId="20" fillId="0" borderId="5" xfId="0" applyFont="1" applyFill="1" applyBorder="1"/>
    <xf numFmtId="41" fontId="20" fillId="0" borderId="5" xfId="0" applyNumberFormat="1" applyFont="1" applyFill="1" applyBorder="1"/>
    <xf numFmtId="41" fontId="20" fillId="0" borderId="65" xfId="0" applyNumberFormat="1" applyFont="1" applyFill="1" applyBorder="1"/>
    <xf numFmtId="170" fontId="20" fillId="0" borderId="13" xfId="0" applyNumberFormat="1" applyFont="1" applyFill="1" applyBorder="1"/>
    <xf numFmtId="170" fontId="30" fillId="0" borderId="0" xfId="0" applyNumberFormat="1" applyFont="1" applyFill="1" applyBorder="1"/>
    <xf numFmtId="170" fontId="30" fillId="0" borderId="13" xfId="0" applyNumberFormat="1" applyFont="1" applyFill="1" applyBorder="1"/>
    <xf numFmtId="0" fontId="19" fillId="0" borderId="23" xfId="0" applyFont="1" applyFill="1" applyBorder="1" applyAlignment="1">
      <alignment horizontal="left"/>
    </xf>
    <xf numFmtId="0" fontId="19" fillId="0" borderId="4" xfId="0" applyFont="1" applyFill="1" applyBorder="1" applyAlignment="1">
      <alignment vertical="top"/>
    </xf>
    <xf numFmtId="0" fontId="19" fillId="0" borderId="4" xfId="0" applyFont="1" applyFill="1" applyBorder="1" applyAlignment="1">
      <alignment horizontal="center"/>
    </xf>
    <xf numFmtId="0" fontId="19" fillId="0" borderId="4" xfId="0" applyFont="1" applyFill="1" applyBorder="1"/>
    <xf numFmtId="170" fontId="19" fillId="0" borderId="4" xfId="0" applyNumberFormat="1" applyFont="1" applyFill="1" applyBorder="1"/>
    <xf numFmtId="170" fontId="19" fillId="0" borderId="24" xfId="0" applyNumberFormat="1" applyFont="1" applyFill="1" applyBorder="1"/>
    <xf numFmtId="9" fontId="0" fillId="0" borderId="58" xfId="0" applyNumberFormat="1" applyFont="1" applyFill="1" applyBorder="1"/>
    <xf numFmtId="9" fontId="0" fillId="0" borderId="57" xfId="0" applyNumberFormat="1" applyFont="1" applyFill="1" applyBorder="1"/>
    <xf numFmtId="0" fontId="19" fillId="0" borderId="0" xfId="0" applyFont="1" applyFill="1" applyAlignment="1">
      <alignment horizontal="centerContinuous"/>
    </xf>
    <xf numFmtId="0" fontId="19" fillId="0" borderId="1" xfId="0" applyFont="1" applyFill="1" applyBorder="1" applyAlignment="1">
      <alignment horizontal="center"/>
    </xf>
    <xf numFmtId="0" fontId="20" fillId="0" borderId="2" xfId="0" applyFont="1" applyFill="1" applyBorder="1"/>
    <xf numFmtId="0" fontId="24" fillId="0" borderId="0" xfId="0" applyFont="1" applyFill="1" applyAlignment="1">
      <alignment horizontal="right"/>
    </xf>
    <xf numFmtId="42" fontId="24" fillId="0" borderId="0" xfId="0" applyNumberFormat="1" applyFont="1" applyFill="1"/>
    <xf numFmtId="166" fontId="0" fillId="0" borderId="0" xfId="0" applyNumberFormat="1" applyFont="1" applyFill="1" applyAlignment="1" applyProtection="1">
      <protection locked="0"/>
    </xf>
    <xf numFmtId="0" fontId="0" fillId="0" borderId="0" xfId="0" applyFont="1" applyFill="1" applyBorder="1" applyAlignment="1"/>
    <xf numFmtId="0" fontId="0" fillId="0" borderId="4" xfId="0" applyFont="1" applyFill="1" applyBorder="1" applyAlignment="1"/>
    <xf numFmtId="11" fontId="0" fillId="0" borderId="0" xfId="0" applyNumberFormat="1" applyFont="1" applyFill="1" applyBorder="1" applyAlignment="1"/>
    <xf numFmtId="11" fontId="0" fillId="0" borderId="4" xfId="0" applyNumberFormat="1" applyFont="1" applyFill="1" applyBorder="1" applyAlignment="1"/>
    <xf numFmtId="2" fontId="0" fillId="0" borderId="4" xfId="0" applyNumberFormat="1" applyFont="1" applyFill="1" applyBorder="1" applyAlignment="1"/>
    <xf numFmtId="0" fontId="2" fillId="0" borderId="0" xfId="0" applyNumberFormat="1" applyFont="1" applyFill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0" fillId="0" borderId="1" xfId="0" applyNumberFormat="1" applyFont="1" applyFill="1" applyBorder="1" applyAlignment="1"/>
    <xf numFmtId="42" fontId="31" fillId="0" borderId="0" xfId="0" applyNumberFormat="1" applyFont="1" applyFill="1" applyAlignment="1">
      <alignment horizontal="right"/>
    </xf>
    <xf numFmtId="41" fontId="31" fillId="0" borderId="0" xfId="0" applyNumberFormat="1" applyFont="1" applyFill="1" applyAlignment="1">
      <alignment horizontal="right"/>
    </xf>
    <xf numFmtId="41" fontId="31" fillId="0" borderId="1" xfId="0" applyNumberFormat="1" applyFont="1" applyFill="1" applyBorder="1" applyAlignment="1">
      <alignment horizontal="right"/>
    </xf>
    <xf numFmtId="42" fontId="31" fillId="0" borderId="2" xfId="0" applyNumberFormat="1" applyFont="1" applyFill="1" applyBorder="1" applyAlignment="1" applyProtection="1">
      <protection locked="0"/>
    </xf>
    <xf numFmtId="42" fontId="31" fillId="0" borderId="0" xfId="0" applyNumberFormat="1" applyFont="1" applyFill="1" applyAlignment="1"/>
    <xf numFmtId="165" fontId="31" fillId="0" borderId="0" xfId="0" applyNumberFormat="1" applyFont="1" applyFill="1" applyAlignment="1"/>
    <xf numFmtId="42" fontId="31" fillId="0" borderId="2" xfId="0" applyNumberFormat="1" applyFont="1" applyFill="1" applyBorder="1" applyAlignment="1"/>
    <xf numFmtId="42" fontId="31" fillId="0" borderId="0" xfId="0" applyNumberFormat="1" applyFont="1" applyFill="1" applyAlignment="1" applyProtection="1">
      <protection locked="0"/>
    </xf>
    <xf numFmtId="10" fontId="31" fillId="0" borderId="0" xfId="0" applyNumberFormat="1" applyFont="1" applyFill="1" applyAlignment="1"/>
    <xf numFmtId="172" fontId="31" fillId="0" borderId="0" xfId="0" applyNumberFormat="1" applyFont="1" applyFill="1" applyAlignment="1"/>
    <xf numFmtId="0" fontId="31" fillId="0" borderId="0" xfId="0" applyNumberFormat="1" applyFont="1" applyFill="1" applyAlignment="1"/>
    <xf numFmtId="41" fontId="31" fillId="0" borderId="0" xfId="0" applyNumberFormat="1" applyFont="1" applyFill="1" applyAlignment="1" applyProtection="1">
      <protection locked="0"/>
    </xf>
    <xf numFmtId="41" fontId="31" fillId="0" borderId="0" xfId="0" applyNumberFormat="1" applyFont="1" applyFill="1" applyAlignment="1" applyProtection="1">
      <alignment horizontal="left"/>
      <protection locked="0"/>
    </xf>
    <xf numFmtId="41" fontId="31" fillId="0" borderId="1" xfId="0" applyNumberFormat="1" applyFont="1" applyFill="1" applyBorder="1" applyAlignment="1" applyProtection="1">
      <protection locked="0"/>
    </xf>
    <xf numFmtId="42" fontId="31" fillId="0" borderId="0" xfId="0" applyNumberFormat="1" applyFont="1" applyFill="1" applyAlignment="1" applyProtection="1"/>
    <xf numFmtId="0" fontId="0" fillId="0" borderId="3" xfId="0" applyFont="1" applyFill="1" applyBorder="1"/>
    <xf numFmtId="42" fontId="31" fillId="0" borderId="8" xfId="0" applyNumberFormat="1" applyFont="1" applyFill="1" applyBorder="1" applyAlignment="1" applyProtection="1"/>
    <xf numFmtId="42" fontId="31" fillId="0" borderId="0" xfId="0" applyNumberFormat="1" applyFont="1" applyFill="1" applyBorder="1" applyAlignment="1" applyProtection="1"/>
    <xf numFmtId="0" fontId="0" fillId="0" borderId="2" xfId="0" applyFont="1" applyFill="1" applyBorder="1" applyAlignment="1">
      <alignment horizontal="left"/>
    </xf>
    <xf numFmtId="42" fontId="31" fillId="0" borderId="2" xfId="0" applyNumberFormat="1" applyFont="1" applyFill="1" applyBorder="1" applyAlignment="1" applyProtection="1"/>
    <xf numFmtId="0" fontId="0" fillId="0" borderId="3" xfId="0" applyFont="1" applyFill="1" applyBorder="1" applyAlignment="1">
      <alignment horizontal="left"/>
    </xf>
    <xf numFmtId="42" fontId="31" fillId="0" borderId="3" xfId="0" applyNumberFormat="1" applyFont="1" applyFill="1" applyBorder="1" applyAlignment="1" applyProtection="1"/>
    <xf numFmtId="0" fontId="0" fillId="0" borderId="0" xfId="0" applyNumberFormat="1" applyFont="1" applyFill="1" applyBorder="1" applyAlignment="1"/>
    <xf numFmtId="164" fontId="0" fillId="0" borderId="0" xfId="0" applyNumberFormat="1" applyFont="1" applyFill="1" applyAlignment="1" applyProtection="1">
      <alignment horizontal="left" indent="1"/>
    </xf>
    <xf numFmtId="0" fontId="20" fillId="0" borderId="0" xfId="0" applyFont="1" applyFill="1" applyAlignment="1">
      <alignment horizontal="left" vertical="top" indent="1"/>
    </xf>
    <xf numFmtId="41" fontId="24" fillId="0" borderId="0" xfId="0" applyNumberFormat="1" applyFont="1" applyFill="1" applyBorder="1" applyAlignment="1">
      <alignment horizontal="center"/>
    </xf>
    <xf numFmtId="0" fontId="20" fillId="0" borderId="0" xfId="0" applyFont="1" applyFill="1" applyAlignment="1">
      <alignment horizontal="left" wrapText="1"/>
    </xf>
    <xf numFmtId="0" fontId="20" fillId="0" borderId="63" xfId="0" applyFont="1" applyFill="1" applyBorder="1" applyAlignment="1">
      <alignment horizontal="left"/>
    </xf>
    <xf numFmtId="0" fontId="20" fillId="0" borderId="39" xfId="0" applyFont="1" applyFill="1" applyBorder="1"/>
    <xf numFmtId="0" fontId="20" fillId="0" borderId="39" xfId="0" applyFont="1" applyFill="1" applyBorder="1" applyAlignment="1">
      <alignment horizontal="center"/>
    </xf>
    <xf numFmtId="41" fontId="20" fillId="0" borderId="39" xfId="0" applyNumberFormat="1" applyFont="1" applyFill="1" applyBorder="1"/>
    <xf numFmtId="41" fontId="20" fillId="0" borderId="62" xfId="0" applyNumberFormat="1" applyFont="1" applyFill="1" applyBorder="1"/>
    <xf numFmtId="0" fontId="20" fillId="0" borderId="10" xfId="0" applyFont="1" applyFill="1" applyBorder="1" applyAlignment="1">
      <alignment vertical="top"/>
    </xf>
    <xf numFmtId="9" fontId="20" fillId="0" borderId="10" xfId="0" applyNumberFormat="1" applyFont="1" applyFill="1" applyBorder="1"/>
    <xf numFmtId="9" fontId="20" fillId="0" borderId="11" xfId="0" applyNumberFormat="1" applyFont="1" applyFill="1" applyBorder="1"/>
    <xf numFmtId="0" fontId="20" fillId="0" borderId="12" xfId="0" applyFont="1" applyFill="1" applyBorder="1"/>
    <xf numFmtId="9" fontId="20" fillId="0" borderId="0" xfId="0" applyNumberFormat="1" applyFont="1" applyFill="1" applyBorder="1"/>
    <xf numFmtId="9" fontId="20" fillId="0" borderId="13" xfId="0" applyNumberFormat="1" applyFont="1" applyFill="1" applyBorder="1"/>
    <xf numFmtId="9" fontId="20" fillId="0" borderId="1" xfId="0" applyNumberFormat="1" applyFont="1" applyFill="1" applyBorder="1"/>
    <xf numFmtId="9" fontId="20" fillId="0" borderId="18" xfId="0" applyNumberFormat="1" applyFont="1" applyFill="1" applyBorder="1"/>
    <xf numFmtId="0" fontId="20" fillId="0" borderId="38" xfId="0" applyFont="1" applyFill="1" applyBorder="1" applyAlignment="1">
      <alignment horizontal="left"/>
    </xf>
    <xf numFmtId="0" fontId="20" fillId="0" borderId="56" xfId="0" applyFont="1" applyFill="1" applyBorder="1" applyAlignment="1">
      <alignment vertical="top"/>
    </xf>
    <xf numFmtId="0" fontId="20" fillId="0" borderId="56" xfId="0" applyFont="1" applyFill="1" applyBorder="1" applyAlignment="1">
      <alignment horizontal="center"/>
    </xf>
    <xf numFmtId="170" fontId="20" fillId="0" borderId="56" xfId="0" applyNumberFormat="1" applyFont="1" applyFill="1" applyBorder="1"/>
    <xf numFmtId="170" fontId="20" fillId="0" borderId="70" xfId="0" applyNumberFormat="1" applyFont="1" applyFill="1" applyBorder="1"/>
    <xf numFmtId="170" fontId="20" fillId="0" borderId="69" xfId="0" applyNumberFormat="1" applyFont="1" applyFill="1" applyBorder="1"/>
    <xf numFmtId="170" fontId="30" fillId="0" borderId="69" xfId="0" applyNumberFormat="1" applyFont="1" applyFill="1" applyBorder="1"/>
    <xf numFmtId="0" fontId="20" fillId="0" borderId="68" xfId="0" applyFont="1" applyFill="1" applyBorder="1" applyAlignment="1">
      <alignment horizontal="left"/>
    </xf>
    <xf numFmtId="0" fontId="20" fillId="0" borderId="1" xfId="0" applyFont="1" applyFill="1" applyBorder="1" applyAlignment="1">
      <alignment vertical="top"/>
    </xf>
    <xf numFmtId="0" fontId="20" fillId="0" borderId="1" xfId="0" applyFont="1" applyFill="1" applyBorder="1" applyAlignment="1">
      <alignment horizontal="center"/>
    </xf>
    <xf numFmtId="170" fontId="20" fillId="0" borderId="1" xfId="0" applyNumberFormat="1" applyFont="1" applyFill="1" applyBorder="1"/>
    <xf numFmtId="170" fontId="20" fillId="0" borderId="67" xfId="0" applyNumberFormat="1" applyFont="1" applyFill="1" applyBorder="1"/>
    <xf numFmtId="41" fontId="20" fillId="0" borderId="0" xfId="0" applyNumberFormat="1" applyFont="1" applyFill="1" applyBorder="1" applyAlignment="1">
      <alignment horizontal="center"/>
    </xf>
    <xf numFmtId="41" fontId="20" fillId="0" borderId="70" xfId="0" applyNumberFormat="1" applyFont="1" applyFill="1" applyBorder="1"/>
    <xf numFmtId="41" fontId="20" fillId="0" borderId="1" xfId="0" applyNumberFormat="1" applyFont="1" applyFill="1" applyBorder="1"/>
    <xf numFmtId="41" fontId="20" fillId="0" borderId="67" xfId="0" applyNumberFormat="1" applyFont="1" applyFill="1" applyBorder="1"/>
    <xf numFmtId="49" fontId="28" fillId="0" borderId="0" xfId="0" applyNumberFormat="1" applyFont="1" applyFill="1" applyBorder="1" applyAlignment="1">
      <alignment horizontal="left"/>
    </xf>
    <xf numFmtId="0" fontId="0" fillId="0" borderId="56" xfId="0" applyFont="1" applyFill="1" applyBorder="1"/>
    <xf numFmtId="0" fontId="20" fillId="0" borderId="56" xfId="0" applyFont="1" applyFill="1" applyBorder="1"/>
    <xf numFmtId="43" fontId="0" fillId="0" borderId="0" xfId="0" applyNumberFormat="1" applyFont="1" applyFill="1" applyAlignment="1" applyProtection="1">
      <protection locked="0"/>
    </xf>
    <xf numFmtId="6" fontId="0" fillId="0" borderId="0" xfId="0" applyNumberFormat="1" applyFont="1" applyFill="1"/>
    <xf numFmtId="43" fontId="0" fillId="0" borderId="0" xfId="0" applyNumberFormat="1" applyFont="1" applyFill="1" applyAlignment="1"/>
    <xf numFmtId="44" fontId="0" fillId="0" borderId="68" xfId="0" applyNumberFormat="1" applyFont="1" applyFill="1" applyBorder="1"/>
    <xf numFmtId="44" fontId="0" fillId="0" borderId="55" xfId="0" applyNumberFormat="1" applyFont="1" applyFill="1" applyBorder="1"/>
    <xf numFmtId="44" fontId="0" fillId="0" borderId="67" xfId="0" applyNumberFormat="1" applyFont="1" applyFill="1" applyBorder="1"/>
    <xf numFmtId="42" fontId="0" fillId="0" borderId="0" xfId="0" applyNumberFormat="1" applyFont="1" applyFill="1" applyAlignment="1">
      <alignment horizontal="right"/>
    </xf>
    <xf numFmtId="41" fontId="0" fillId="0" borderId="1" xfId="0" applyNumberFormat="1" applyFont="1" applyFill="1" applyBorder="1" applyAlignment="1">
      <alignment horizontal="right"/>
    </xf>
    <xf numFmtId="42" fontId="0" fillId="0" borderId="2" xfId="0" applyNumberFormat="1" applyFont="1" applyFill="1" applyBorder="1" applyAlignment="1" applyProtection="1">
      <protection locked="0"/>
    </xf>
    <xf numFmtId="172" fontId="0" fillId="0" borderId="0" xfId="0" applyNumberFormat="1" applyFont="1" applyFill="1" applyAlignment="1"/>
    <xf numFmtId="41" fontId="0" fillId="0" borderId="0" xfId="0" applyNumberFormat="1" applyFont="1" applyFill="1" applyBorder="1" applyAlignment="1" applyProtection="1">
      <protection locked="0"/>
    </xf>
    <xf numFmtId="42" fontId="0" fillId="0" borderId="2" xfId="0" applyNumberFormat="1" applyFont="1" applyFill="1" applyBorder="1" applyAlignment="1" applyProtection="1"/>
    <xf numFmtId="42" fontId="0" fillId="0" borderId="0" xfId="0" applyNumberFormat="1" applyFont="1" applyFill="1" applyBorder="1" applyAlignment="1" applyProtection="1">
      <alignment horizontal="center"/>
    </xf>
    <xf numFmtId="0" fontId="2" fillId="0" borderId="63" xfId="0" applyFont="1" applyFill="1" applyBorder="1" applyAlignment="1">
      <alignment horizontal="center"/>
    </xf>
    <xf numFmtId="0" fontId="2" fillId="0" borderId="39" xfId="0" applyFont="1" applyFill="1" applyBorder="1" applyAlignment="1">
      <alignment horizontal="center"/>
    </xf>
    <xf numFmtId="0" fontId="2" fillId="0" borderId="62" xfId="0" applyFont="1" applyFill="1" applyBorder="1" applyAlignment="1">
      <alignment horizontal="center"/>
    </xf>
    <xf numFmtId="41" fontId="2" fillId="0" borderId="43" xfId="0" applyNumberFormat="1" applyFont="1" applyFill="1" applyBorder="1" applyAlignment="1">
      <alignment horizontal="center" vertical="center" wrapText="1"/>
    </xf>
    <xf numFmtId="41" fontId="2" fillId="0" borderId="64" xfId="0" applyNumberFormat="1" applyFont="1" applyFill="1" applyBorder="1" applyAlignment="1">
      <alignment horizontal="center" vertical="center" wrapText="1"/>
    </xf>
    <xf numFmtId="17" fontId="0" fillId="0" borderId="53" xfId="0" applyNumberFormat="1" applyFont="1" applyFill="1" applyBorder="1" applyAlignment="1">
      <alignment horizontal="center"/>
    </xf>
    <xf numFmtId="17" fontId="0" fillId="0" borderId="5" xfId="0" applyNumberFormat="1" applyFont="1" applyFill="1" applyBorder="1" applyAlignment="1">
      <alignment horizontal="center"/>
    </xf>
    <xf numFmtId="17" fontId="0" fillId="0" borderId="54" xfId="0" applyNumberFormat="1" applyFont="1" applyFill="1" applyBorder="1" applyAlignment="1">
      <alignment horizontal="center"/>
    </xf>
    <xf numFmtId="0" fontId="0" fillId="0" borderId="53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54" xfId="0" applyFont="1" applyFill="1" applyBorder="1" applyAlignment="1">
      <alignment horizontal="center"/>
    </xf>
  </cellXfs>
  <cellStyles count="4">
    <cellStyle name="Comma" xfId="3" builtinId="3"/>
    <cellStyle name="Comma [0]" xfId="2" builtinId="6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33"/>
      <color rgb="FFCCCC00"/>
      <color rgb="FF99FF33"/>
      <color rgb="FFFFCCCC"/>
      <color rgb="FFFF99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Elect_Sales!#REF!</c:f>
            </c:numRef>
          </c:xVal>
          <c:yVal>
            <c:numRef>
              <c:f>Elect_Sales!#REF!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Elect_Sales!#REF!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258-4206-AD66-3210A3636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543680"/>
        <c:axId val="251650048"/>
      </c:scatterChart>
      <c:valAx>
        <c:axId val="24754368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650048"/>
        <c:crosses val="autoZero"/>
        <c:crossBetween val="midCat"/>
      </c:valAx>
      <c:valAx>
        <c:axId val="25165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54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Elect_OMDetail!$D$60</c:f>
              <c:strCache>
                <c:ptCount val="1"/>
                <c:pt idx="0">
                  <c:v>T&amp;D Expense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Elect_OMDetail!$B$61:$B$71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Elect_OMDetail!$D$61:$D$71</c:f>
              <c:numCache>
                <c:formatCode>_(* #,##0_);_(* \(#,##0\);_(* "-"_);_(@_)</c:formatCode>
                <c:ptCount val="11"/>
                <c:pt idx="0">
                  <c:v>86010455</c:v>
                </c:pt>
                <c:pt idx="1">
                  <c:v>86257874</c:v>
                </c:pt>
                <c:pt idx="2">
                  <c:v>94790178</c:v>
                </c:pt>
                <c:pt idx="3">
                  <c:v>87726306</c:v>
                </c:pt>
                <c:pt idx="4">
                  <c:v>93920821.249999896</c:v>
                </c:pt>
                <c:pt idx="5">
                  <c:v>96677771.240000099</c:v>
                </c:pt>
                <c:pt idx="6">
                  <c:v>106174212.38000008</c:v>
                </c:pt>
                <c:pt idx="7">
                  <c:v>102228396.50999969</c:v>
                </c:pt>
                <c:pt idx="8">
                  <c:v>106617740.98999999</c:v>
                </c:pt>
                <c:pt idx="9">
                  <c:v>98329412.406666562</c:v>
                </c:pt>
                <c:pt idx="10">
                  <c:v>107704666.61333331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C3-48A8-A8C4-D72A21B42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66528"/>
        <c:axId val="49368448"/>
      </c:scatterChart>
      <c:valAx>
        <c:axId val="4936652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68448"/>
        <c:crosses val="autoZero"/>
        <c:crossBetween val="midCat"/>
      </c:valAx>
      <c:valAx>
        <c:axId val="4936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66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Elect_OMDetail!#REF!</c:f>
            </c:numRef>
          </c:xVal>
          <c:yVal>
            <c:numRef>
              <c:f>Elect_OMDetail!#REF!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Elect_OMDetail!#REF!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212-413B-AF8F-FB1B2E33B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84832"/>
        <c:axId val="49391104"/>
      </c:scatterChart>
      <c:valAx>
        <c:axId val="4938483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91104"/>
        <c:crosses val="autoZero"/>
        <c:crossBetween val="midCat"/>
      </c:valAx>
      <c:valAx>
        <c:axId val="4939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84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Elect_OMDetail!$D$115</c:f>
              <c:strCache>
                <c:ptCount val="1"/>
                <c:pt idx="0">
                  <c:v>Customer Expenses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Elect_OMDetail!$B$116:$B$126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Elect_OMDetail!$D$116:$D$126</c:f>
              <c:numCache>
                <c:formatCode>_(* #,##0_);_(* \(#,##0\);_(* "-"_);_(@_)</c:formatCode>
                <c:ptCount val="11"/>
                <c:pt idx="0">
                  <c:v>43865721</c:v>
                </c:pt>
                <c:pt idx="1">
                  <c:v>47205353</c:v>
                </c:pt>
                <c:pt idx="2">
                  <c:v>49127936</c:v>
                </c:pt>
                <c:pt idx="3">
                  <c:v>51860830.474710055</c:v>
                </c:pt>
                <c:pt idx="4">
                  <c:v>51252976.729592077</c:v>
                </c:pt>
                <c:pt idx="5">
                  <c:v>52660583.56731908</c:v>
                </c:pt>
                <c:pt idx="6">
                  <c:v>53654545.125547931</c:v>
                </c:pt>
                <c:pt idx="7">
                  <c:v>50200511.919027314</c:v>
                </c:pt>
                <c:pt idx="8">
                  <c:v>48411112.369821206</c:v>
                </c:pt>
                <c:pt idx="9">
                  <c:v>52409733.720673412</c:v>
                </c:pt>
                <c:pt idx="10">
                  <c:v>56009491.131282963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64-436E-8514-41F0025CF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15296"/>
        <c:axId val="49417216"/>
      </c:scatterChart>
      <c:valAx>
        <c:axId val="4941529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17216"/>
        <c:crosses val="autoZero"/>
        <c:crossBetween val="midCat"/>
      </c:valAx>
      <c:valAx>
        <c:axId val="4941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15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Elect_OMDetail!$D$169</c:f>
              <c:strCache>
                <c:ptCount val="1"/>
                <c:pt idx="0">
                  <c:v>A&amp;G Expense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Elect_OMDetail!$B$170:$B$180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Elect_OMDetail!$D$171:$D$180</c:f>
              <c:numCache>
                <c:formatCode>_(* #,##0_);_(* \(#,##0\);_(* "-"_);_(@_)</c:formatCode>
                <c:ptCount val="10"/>
                <c:pt idx="0">
                  <c:v>97625991</c:v>
                </c:pt>
                <c:pt idx="1">
                  <c:v>96580793</c:v>
                </c:pt>
                <c:pt idx="2">
                  <c:v>96361837.463733703</c:v>
                </c:pt>
                <c:pt idx="3">
                  <c:v>99264865.550326318</c:v>
                </c:pt>
                <c:pt idx="4">
                  <c:v>106511054.42340092</c:v>
                </c:pt>
                <c:pt idx="5">
                  <c:v>110332420.87521468</c:v>
                </c:pt>
                <c:pt idx="6">
                  <c:v>109690022.39250499</c:v>
                </c:pt>
                <c:pt idx="7">
                  <c:v>117707587.96722367</c:v>
                </c:pt>
                <c:pt idx="8">
                  <c:v>126051437.76548122</c:v>
                </c:pt>
                <c:pt idx="9">
                  <c:v>126906775.96764377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E6-40FC-A992-4A64BCC3D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25408"/>
        <c:axId val="49452160"/>
      </c:scatterChart>
      <c:valAx>
        <c:axId val="4942540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52160"/>
        <c:crosses val="autoZero"/>
        <c:crossBetween val="midCat"/>
      </c:valAx>
      <c:valAx>
        <c:axId val="4945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25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Elect_IPlant!$D$5</c:f>
              <c:strCache>
                <c:ptCount val="1"/>
                <c:pt idx="0">
                  <c:v>Gross Intang.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Elect_IPlant!$B$6:$B$16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Elect_IPlant!$D$6:$D$16</c:f>
              <c:numCache>
                <c:formatCode>_(* #,##0_);_(* \(#,##0\);_(* "-"_);_(@_)</c:formatCode>
                <c:ptCount val="11"/>
                <c:pt idx="0">
                  <c:v>98172140.838679269</c:v>
                </c:pt>
                <c:pt idx="1">
                  <c:v>184191012.39805716</c:v>
                </c:pt>
                <c:pt idx="2">
                  <c:v>170574253.65480018</c:v>
                </c:pt>
                <c:pt idx="3">
                  <c:v>163505118.72319424</c:v>
                </c:pt>
                <c:pt idx="4">
                  <c:v>156033543.69077629</c:v>
                </c:pt>
                <c:pt idx="5">
                  <c:v>220596514.06650442</c:v>
                </c:pt>
                <c:pt idx="6">
                  <c:v>277509795.84000057</c:v>
                </c:pt>
                <c:pt idx="7">
                  <c:v>272808912.60467863</c:v>
                </c:pt>
                <c:pt idx="8">
                  <c:v>278010584.33501303</c:v>
                </c:pt>
                <c:pt idx="9">
                  <c:v>302387863.08999497</c:v>
                </c:pt>
                <c:pt idx="10">
                  <c:v>349416085.56220162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69-4881-A2DD-C4B8095FD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26272"/>
        <c:axId val="49528192"/>
      </c:scatterChart>
      <c:valAx>
        <c:axId val="495262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28192"/>
        <c:crosses val="autoZero"/>
        <c:crossBetween val="midCat"/>
      </c:valAx>
      <c:valAx>
        <c:axId val="4952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26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Elect_IPlant!#REF!</c:f>
            </c:numRef>
          </c:xVal>
          <c:yVal>
            <c:numRef>
              <c:f>Elect_IPlant!#REF!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Elect_IPlant!#REF!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B48-459B-9B5C-93AC6D8CD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65056"/>
        <c:axId val="49567232"/>
      </c:scatterChart>
      <c:valAx>
        <c:axId val="4956505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67232"/>
        <c:crosses val="autoZero"/>
        <c:crossBetween val="midCat"/>
      </c:valAx>
      <c:valAx>
        <c:axId val="4956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65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Electric_TOTI!$D$5</c:f>
              <c:strCache>
                <c:ptCount val="1"/>
                <c:pt idx="0">
                  <c:v>CBR TOTI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Electric_TOTI!$B$6:$B$16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Electric_TOTI!$D$6:$D$16</c:f>
              <c:numCache>
                <c:formatCode>_(* #,##0_);_(* \(#,##0\);_(* "-"_);_(@_)</c:formatCode>
                <c:ptCount val="11"/>
                <c:pt idx="0">
                  <c:v>84536379.099999994</c:v>
                </c:pt>
                <c:pt idx="1">
                  <c:v>86314955.980000004</c:v>
                </c:pt>
                <c:pt idx="2">
                  <c:v>86278245.829999998</c:v>
                </c:pt>
                <c:pt idx="3">
                  <c:v>88986834.377533838</c:v>
                </c:pt>
                <c:pt idx="4">
                  <c:v>88117080.728554875</c:v>
                </c:pt>
                <c:pt idx="5">
                  <c:v>94709320.301760808</c:v>
                </c:pt>
                <c:pt idx="6">
                  <c:v>88237765.505848348</c:v>
                </c:pt>
                <c:pt idx="7">
                  <c:v>90218865.725536928</c:v>
                </c:pt>
                <c:pt idx="8">
                  <c:v>89882199.710175306</c:v>
                </c:pt>
                <c:pt idx="9">
                  <c:v>92631554.216374725</c:v>
                </c:pt>
                <c:pt idx="10">
                  <c:v>87595913.278313041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5F-4290-91D2-8AF8030F5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97056"/>
        <c:axId val="49598848"/>
      </c:scatterChart>
      <c:valAx>
        <c:axId val="49597056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98848"/>
        <c:crosses val="autoZero"/>
        <c:crossBetween val="midCat"/>
      </c:valAx>
      <c:valAx>
        <c:axId val="495988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9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Gas_Sales!#REF!</c:f>
            </c:numRef>
          </c:xVal>
          <c:yVal>
            <c:numRef>
              <c:f>Gas_Sales!#REF!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Gas_Sales!#REF!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3AD-46F9-8839-44BAB4250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88352"/>
        <c:axId val="49990272"/>
      </c:scatterChart>
      <c:valAx>
        <c:axId val="4998835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90272"/>
        <c:crosses val="autoZero"/>
        <c:crossBetween val="midCat"/>
      </c:valAx>
      <c:valAx>
        <c:axId val="4999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88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Gas_Sales!$D$5</c:f>
              <c:strCache>
                <c:ptCount val="1"/>
                <c:pt idx="0">
                  <c:v>Sales less Gas Cost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Gas_Sales!$B$6:$B$16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Gas_Sales!$D$6:$D$16</c:f>
              <c:numCache>
                <c:formatCode>_(* #,##0_);_(* \(#,##0\);_(* "-"_);_(@_)</c:formatCode>
                <c:ptCount val="11"/>
                <c:pt idx="0">
                  <c:v>403859148</c:v>
                </c:pt>
                <c:pt idx="1">
                  <c:v>425871281</c:v>
                </c:pt>
                <c:pt idx="2">
                  <c:v>429496208</c:v>
                </c:pt>
                <c:pt idx="3">
                  <c:v>453888603.54626286</c:v>
                </c:pt>
                <c:pt idx="4">
                  <c:v>470211219.60729635</c:v>
                </c:pt>
                <c:pt idx="5">
                  <c:v>470567520.80932534</c:v>
                </c:pt>
                <c:pt idx="6">
                  <c:v>475189710.20160079</c:v>
                </c:pt>
                <c:pt idx="7">
                  <c:v>479989467.35117173</c:v>
                </c:pt>
                <c:pt idx="8">
                  <c:v>498259484.76284409</c:v>
                </c:pt>
                <c:pt idx="9">
                  <c:v>546590509.4357127</c:v>
                </c:pt>
                <c:pt idx="10">
                  <c:v>464255282.23350519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0B-4B32-9480-22666B280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06272"/>
        <c:axId val="50008448"/>
      </c:scatterChart>
      <c:valAx>
        <c:axId val="500062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08448"/>
        <c:crosses val="autoZero"/>
        <c:crossBetween val="midCat"/>
      </c:valAx>
      <c:valAx>
        <c:axId val="5000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06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Gas_PPlant!$D$5</c:f>
              <c:strCache>
                <c:ptCount val="1"/>
                <c:pt idx="0">
                  <c:v>Gas Production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Gas_PPlant!$B$6:$B$16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Gas_PPlant!$D$6:$D$16</c:f>
              <c:numCache>
                <c:formatCode>_(* #,##0_);_(* \(#,##0\);_(* "-"_);_(@_)</c:formatCode>
                <c:ptCount val="11"/>
                <c:pt idx="0">
                  <c:v>52923042</c:v>
                </c:pt>
                <c:pt idx="1">
                  <c:v>68780518</c:v>
                </c:pt>
                <c:pt idx="2">
                  <c:v>69202564</c:v>
                </c:pt>
                <c:pt idx="3">
                  <c:v>61918608</c:v>
                </c:pt>
                <c:pt idx="4">
                  <c:v>62168166</c:v>
                </c:pt>
                <c:pt idx="5">
                  <c:v>62548742</c:v>
                </c:pt>
                <c:pt idx="6">
                  <c:v>71882732</c:v>
                </c:pt>
                <c:pt idx="7">
                  <c:v>72417102</c:v>
                </c:pt>
                <c:pt idx="8">
                  <c:v>73372924</c:v>
                </c:pt>
                <c:pt idx="9">
                  <c:v>74312146.469999999</c:v>
                </c:pt>
                <c:pt idx="10">
                  <c:v>76474409.469999999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48-44CB-B327-1EE9143AF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98944"/>
        <c:axId val="50100864"/>
      </c:scatterChart>
      <c:valAx>
        <c:axId val="5009894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00864"/>
        <c:crosses val="autoZero"/>
        <c:crossBetween val="midCat"/>
      </c:valAx>
      <c:valAx>
        <c:axId val="5010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98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Elect_Sales!$D$5</c:f>
              <c:strCache>
                <c:ptCount val="1"/>
                <c:pt idx="0">
                  <c:v>Sales less Power Cost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Elect_Sales!$B$6:$B$16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Elect_Sales!$D$6:$D$16</c:f>
              <c:numCache>
                <c:formatCode>_(* #,##0_);_(* \(#,##0\);_(* "-"_);_(@_)</c:formatCode>
                <c:ptCount val="11"/>
                <c:pt idx="0">
                  <c:v>941742964</c:v>
                </c:pt>
                <c:pt idx="1">
                  <c:v>986862148</c:v>
                </c:pt>
                <c:pt idx="2">
                  <c:v>1033806785</c:v>
                </c:pt>
                <c:pt idx="3">
                  <c:v>1109101963.2624278</c:v>
                </c:pt>
                <c:pt idx="4">
                  <c:v>1246766546.43186</c:v>
                </c:pt>
                <c:pt idx="5">
                  <c:v>1331310395.8250394</c:v>
                </c:pt>
                <c:pt idx="6">
                  <c:v>1359410297.7343988</c:v>
                </c:pt>
                <c:pt idx="7">
                  <c:v>1373017846.9575553</c:v>
                </c:pt>
                <c:pt idx="8">
                  <c:v>1391891686.9827862</c:v>
                </c:pt>
                <c:pt idx="9">
                  <c:v>1425100208.3913937</c:v>
                </c:pt>
                <c:pt idx="10">
                  <c:v>1373122175.2809663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F6-44D3-AF8E-4474A82DA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312064"/>
        <c:axId val="490313984"/>
      </c:scatterChart>
      <c:valAx>
        <c:axId val="49031206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313984"/>
        <c:crosses val="autoZero"/>
        <c:crossBetween val="midCat"/>
      </c:valAx>
      <c:valAx>
        <c:axId val="49031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312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Gas_PPlant!#REF!</c:f>
            </c:numRef>
          </c:xVal>
          <c:yVal>
            <c:numRef>
              <c:f>Gas_PPlant!#REF!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Gas_PPlant!#REF!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E59-401D-AB2D-9D7589ACF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7248"/>
        <c:axId val="50123520"/>
      </c:scatterChart>
      <c:valAx>
        <c:axId val="5011724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23520"/>
        <c:crosses val="autoZero"/>
        <c:crossBetween val="midCat"/>
      </c:valAx>
      <c:valAx>
        <c:axId val="5012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17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Gas_DPlant!$D$5</c:f>
              <c:strCache>
                <c:ptCount val="1"/>
                <c:pt idx="0">
                  <c:v>Gas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Gas_DPlant!$B$6:$B$16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Gas_DPlant!$D$6:$D$16</c:f>
              <c:numCache>
                <c:formatCode>_(* #,##0_);_(* \(#,##0\);_(* "-"_);_(@_)</c:formatCode>
                <c:ptCount val="11"/>
                <c:pt idx="0">
                  <c:v>2210764633</c:v>
                </c:pt>
                <c:pt idx="1">
                  <c:v>2385288050</c:v>
                </c:pt>
                <c:pt idx="2">
                  <c:v>2530004412</c:v>
                </c:pt>
                <c:pt idx="3">
                  <c:v>2635752747</c:v>
                </c:pt>
                <c:pt idx="4">
                  <c:v>2746234653</c:v>
                </c:pt>
                <c:pt idx="5">
                  <c:v>2879940210</c:v>
                </c:pt>
                <c:pt idx="6">
                  <c:v>3022548886</c:v>
                </c:pt>
                <c:pt idx="7">
                  <c:v>3162774259.7674999</c:v>
                </c:pt>
                <c:pt idx="8">
                  <c:v>3310152352.3292046</c:v>
                </c:pt>
                <c:pt idx="9">
                  <c:v>3447321649.9459176</c:v>
                </c:pt>
                <c:pt idx="10">
                  <c:v>3610012705.623054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49-49DA-8924-D67FFE930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60384"/>
        <c:axId val="50162304"/>
      </c:scatterChart>
      <c:valAx>
        <c:axId val="5016038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62304"/>
        <c:crosses val="autoZero"/>
        <c:crossBetween val="midCat"/>
      </c:valAx>
      <c:valAx>
        <c:axId val="5016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60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Gas_IPlant!$D$5</c:f>
              <c:strCache>
                <c:ptCount val="1"/>
                <c:pt idx="0">
                  <c:v>Gas Intangible.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Gas_IPlant!$B$6:$B$16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Gas_IPlant!$D$6:$D$16</c:f>
              <c:numCache>
                <c:formatCode>_(* #,##0_);_(* \(#,##0\);_(* "-"_);_(@_)</c:formatCode>
                <c:ptCount val="11"/>
                <c:pt idx="0">
                  <c:v>114148670.88149999</c:v>
                </c:pt>
                <c:pt idx="1">
                  <c:v>121231461.78160001</c:v>
                </c:pt>
                <c:pt idx="2">
                  <c:v>70084907.687299997</c:v>
                </c:pt>
                <c:pt idx="3">
                  <c:v>41706701.205000006</c:v>
                </c:pt>
                <c:pt idx="4">
                  <c:v>43400851.394299999</c:v>
                </c:pt>
                <c:pt idx="5">
                  <c:v>65902921.046799995</c:v>
                </c:pt>
                <c:pt idx="6">
                  <c:v>68391619.282000005</c:v>
                </c:pt>
                <c:pt idx="7">
                  <c:v>67129385.447400004</c:v>
                </c:pt>
                <c:pt idx="8">
                  <c:v>69120516.147399992</c:v>
                </c:pt>
                <c:pt idx="9">
                  <c:v>100217564.960005</c:v>
                </c:pt>
                <c:pt idx="10">
                  <c:v>122934180.93863176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39-43A7-9C79-95564FE9F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71584"/>
        <c:axId val="50381952"/>
      </c:scatterChart>
      <c:valAx>
        <c:axId val="5037158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81952"/>
        <c:crosses val="autoZero"/>
        <c:crossBetween val="midCat"/>
      </c:valAx>
      <c:valAx>
        <c:axId val="5038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1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Gas_GPlant!$D$5</c:f>
              <c:strCache>
                <c:ptCount val="1"/>
                <c:pt idx="0">
                  <c:v>Gas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Gas_GPlant!$B$6:$B$16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Gas_GPlant!$D$6:$D$16</c:f>
              <c:numCache>
                <c:formatCode>_(* #,##0_);_(* \(#,##0\);_(* "-"_);_(@_)</c:formatCode>
                <c:ptCount val="11"/>
                <c:pt idx="0">
                  <c:v>118696576.11549999</c:v>
                </c:pt>
                <c:pt idx="1">
                  <c:v>129156192.27540001</c:v>
                </c:pt>
                <c:pt idx="2">
                  <c:v>126435015.6074</c:v>
                </c:pt>
                <c:pt idx="3">
                  <c:v>137632999.74449998</c:v>
                </c:pt>
                <c:pt idx="4">
                  <c:v>135464946.27630004</c:v>
                </c:pt>
                <c:pt idx="5">
                  <c:v>143608515.2482</c:v>
                </c:pt>
                <c:pt idx="6">
                  <c:v>129914450.40399997</c:v>
                </c:pt>
                <c:pt idx="7">
                  <c:v>126404124.12360011</c:v>
                </c:pt>
                <c:pt idx="8">
                  <c:v>141717024.96720004</c:v>
                </c:pt>
                <c:pt idx="9">
                  <c:v>159860485.64300001</c:v>
                </c:pt>
                <c:pt idx="10">
                  <c:v>173600529.71380004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A5-4F6D-858E-DCCA7E5C5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554368"/>
        <c:axId val="50556288"/>
      </c:scatterChart>
      <c:valAx>
        <c:axId val="5055436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56288"/>
        <c:crosses val="autoZero"/>
        <c:crossBetween val="midCat"/>
      </c:valAx>
      <c:valAx>
        <c:axId val="5055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54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Gas_OM!$D$5</c:f>
              <c:strCache>
                <c:ptCount val="1"/>
                <c:pt idx="0">
                  <c:v>CBR O&amp;M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Gas_OM!$B$6:$B$16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Gas_OM!$D$6:$D$16</c:f>
              <c:numCache>
                <c:formatCode>_(* #,##0_);_(* \(#,##0\);_(* "-"_);_(@_)</c:formatCode>
                <c:ptCount val="11"/>
                <c:pt idx="0">
                  <c:v>128599260</c:v>
                </c:pt>
                <c:pt idx="1">
                  <c:v>135519644</c:v>
                </c:pt>
                <c:pt idx="2">
                  <c:v>127529343</c:v>
                </c:pt>
                <c:pt idx="3">
                  <c:v>131747021.83093703</c:v>
                </c:pt>
                <c:pt idx="4">
                  <c:v>131203425.31619304</c:v>
                </c:pt>
                <c:pt idx="5">
                  <c:v>133566477.45515747</c:v>
                </c:pt>
                <c:pt idx="6">
                  <c:v>137313915.37905002</c:v>
                </c:pt>
                <c:pt idx="7">
                  <c:v>128884370.18793435</c:v>
                </c:pt>
                <c:pt idx="8">
                  <c:v>143255194.49096596</c:v>
                </c:pt>
                <c:pt idx="9">
                  <c:v>157508314.37310475</c:v>
                </c:pt>
                <c:pt idx="10">
                  <c:v>158205340.22099435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EC-473F-9A86-8570336D4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68672"/>
        <c:axId val="50670208"/>
      </c:scatterChart>
      <c:valAx>
        <c:axId val="50668672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70208"/>
        <c:crosses val="autoZero"/>
        <c:crossBetween val="midCat"/>
      </c:valAx>
      <c:valAx>
        <c:axId val="50670208"/>
        <c:scaling>
          <c:orientation val="minMax"/>
          <c:min val="1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68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Gas_OMDetail!$D$5</c:f>
              <c:strCache>
                <c:ptCount val="1"/>
                <c:pt idx="0">
                  <c:v>Other supply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Gas_OMDetail!$D$6:$D$16</c:f>
              <c:numCache>
                <c:formatCode>_(* #,##0_);_(* \(#,##0\);_(* "-"_);_(@_)</c:formatCode>
                <c:ptCount val="11"/>
                <c:pt idx="0">
                  <c:v>1873117</c:v>
                </c:pt>
                <c:pt idx="1">
                  <c:v>1892293</c:v>
                </c:pt>
                <c:pt idx="2">
                  <c:v>1937122</c:v>
                </c:pt>
                <c:pt idx="3">
                  <c:v>1575816</c:v>
                </c:pt>
                <c:pt idx="4">
                  <c:v>1692833.95</c:v>
                </c:pt>
                <c:pt idx="5">
                  <c:v>1806137.98999999</c:v>
                </c:pt>
                <c:pt idx="6">
                  <c:v>1887106.65</c:v>
                </c:pt>
                <c:pt idx="7">
                  <c:v>2044530.2899999998</c:v>
                </c:pt>
                <c:pt idx="8">
                  <c:v>2485003.6</c:v>
                </c:pt>
                <c:pt idx="9">
                  <c:v>4258218.4099999899</c:v>
                </c:pt>
                <c:pt idx="10">
                  <c:v>6015083.4699999988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72-423A-B472-F31F53B4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99264"/>
        <c:axId val="50717824"/>
      </c:scatterChart>
      <c:valAx>
        <c:axId val="5069926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17824"/>
        <c:crosses val="autoZero"/>
        <c:crossBetween val="midCat"/>
      </c:valAx>
      <c:valAx>
        <c:axId val="5071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99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Gas_OMDetail!$D$60</c:f>
              <c:strCache>
                <c:ptCount val="1"/>
                <c:pt idx="0">
                  <c:v>Distribution Expense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Gas_OMDetail!$B$61:$B$71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Gas_OMDetail!$D$61:$D$71</c:f>
              <c:numCache>
                <c:formatCode>_(* #,##0_);_(* \(#,##0\);_(* "-"_);_(@_)</c:formatCode>
                <c:ptCount val="11"/>
                <c:pt idx="0">
                  <c:v>51612729</c:v>
                </c:pt>
                <c:pt idx="1">
                  <c:v>53931603</c:v>
                </c:pt>
                <c:pt idx="2">
                  <c:v>50238405</c:v>
                </c:pt>
                <c:pt idx="3">
                  <c:v>52286164</c:v>
                </c:pt>
                <c:pt idx="4">
                  <c:v>51578669.069999903</c:v>
                </c:pt>
                <c:pt idx="5">
                  <c:v>50241924.590000004</c:v>
                </c:pt>
                <c:pt idx="6">
                  <c:v>51905731.789999999</c:v>
                </c:pt>
                <c:pt idx="7">
                  <c:v>49550744.18</c:v>
                </c:pt>
                <c:pt idx="8">
                  <c:v>59765033.689999998</c:v>
                </c:pt>
                <c:pt idx="9">
                  <c:v>59084501.780000001</c:v>
                </c:pt>
                <c:pt idx="10">
                  <c:v>60174168.099999979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02-4169-AA3A-0FDE84DF0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996352"/>
        <c:axId val="50998272"/>
      </c:scatterChart>
      <c:valAx>
        <c:axId val="5099635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98272"/>
        <c:crosses val="autoZero"/>
        <c:crossBetween val="midCat"/>
      </c:valAx>
      <c:valAx>
        <c:axId val="5099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96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Gas_OMDetail!$D$115</c:f>
              <c:strCache>
                <c:ptCount val="1"/>
                <c:pt idx="0">
                  <c:v>Customer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Gas_OMDetail!$B$116:$B$126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Gas_OMDetail!$D$116:$D$126</c:f>
              <c:numCache>
                <c:formatCode>_(* #,##0_);_(* \(#,##0\);_(* "-"_);_(@_)</c:formatCode>
                <c:ptCount val="11"/>
                <c:pt idx="0">
                  <c:v>28914208</c:v>
                </c:pt>
                <c:pt idx="1">
                  <c:v>31193124</c:v>
                </c:pt>
                <c:pt idx="2">
                  <c:v>31455564</c:v>
                </c:pt>
                <c:pt idx="3">
                  <c:v>31451826.553854682</c:v>
                </c:pt>
                <c:pt idx="4">
                  <c:v>32009297.384101436</c:v>
                </c:pt>
                <c:pt idx="5">
                  <c:v>33484428.749801449</c:v>
                </c:pt>
                <c:pt idx="6">
                  <c:v>34659018.962735742</c:v>
                </c:pt>
                <c:pt idx="7">
                  <c:v>30129642.526245218</c:v>
                </c:pt>
                <c:pt idx="8">
                  <c:v>28370244.121930297</c:v>
                </c:pt>
                <c:pt idx="9">
                  <c:v>30452952.195711143</c:v>
                </c:pt>
                <c:pt idx="10">
                  <c:v>31509521.243543345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B6-4FE8-B34B-F048CFE70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10560"/>
        <c:axId val="51025024"/>
      </c:scatterChart>
      <c:valAx>
        <c:axId val="510105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25024"/>
        <c:crosses val="autoZero"/>
        <c:crossBetween val="midCat"/>
      </c:valAx>
      <c:valAx>
        <c:axId val="5102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10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Gas_OMDetail!#REF!</c:f>
            </c:numRef>
          </c:xVal>
          <c:yVal>
            <c:numRef>
              <c:f>Gas_OMDetail!#REF!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Gas_OMDetail!#REF!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A0E-49F4-898C-A9316E87B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53696"/>
        <c:axId val="51055616"/>
      </c:scatterChart>
      <c:valAx>
        <c:axId val="5105369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55616"/>
        <c:crosses val="autoZero"/>
        <c:crossBetween val="midCat"/>
      </c:valAx>
      <c:valAx>
        <c:axId val="5105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53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Gas_OMDetail!$D$170</c:f>
              <c:strCache>
                <c:ptCount val="1"/>
                <c:pt idx="0">
                  <c:v>A&amp;G Expense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Gas_OMDetail!$B$171:$B$181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Gas_OMDetail!$D$171:$D$181</c:f>
              <c:numCache>
                <c:formatCode>_(* #,##0_);_(* \(#,##0\);_(* "-"_);_(@_)</c:formatCode>
                <c:ptCount val="11"/>
                <c:pt idx="0">
                  <c:v>45804926</c:v>
                </c:pt>
                <c:pt idx="1">
                  <c:v>47738387</c:v>
                </c:pt>
                <c:pt idx="2">
                  <c:v>43671399</c:v>
                </c:pt>
                <c:pt idx="3">
                  <c:v>46383523.277082354</c:v>
                </c:pt>
                <c:pt idx="4">
                  <c:v>45907620.182091698</c:v>
                </c:pt>
                <c:pt idx="5">
                  <c:v>48006092.965356037</c:v>
                </c:pt>
                <c:pt idx="6">
                  <c:v>48861723.036314279</c:v>
                </c:pt>
                <c:pt idx="7">
                  <c:v>47159453.191689149</c:v>
                </c:pt>
                <c:pt idx="8">
                  <c:v>52634913.079035677</c:v>
                </c:pt>
                <c:pt idx="9">
                  <c:v>63712641.98739361</c:v>
                </c:pt>
                <c:pt idx="10">
                  <c:v>60504456.637451023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80-4C91-8E72-75E213C6C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67520"/>
        <c:axId val="51073792"/>
      </c:scatterChart>
      <c:valAx>
        <c:axId val="5106752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73792"/>
        <c:crosses val="autoZero"/>
        <c:crossBetween val="midCat"/>
      </c:valAx>
      <c:valAx>
        <c:axId val="5107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67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Elect_PPlant!$D$5</c:f>
              <c:strCache>
                <c:ptCount val="1"/>
                <c:pt idx="0">
                  <c:v>Gross Production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Elect_PPlant!$B$6:$B$16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Elect_PPlant!$D$6:$D$16</c:f>
              <c:numCache>
                <c:formatCode>_(* #,##0_);_(* \(#,##0\);_(* "-"_);_(@_)</c:formatCode>
                <c:ptCount val="11"/>
                <c:pt idx="0">
                  <c:v>2233728644.5330596</c:v>
                </c:pt>
                <c:pt idx="1">
                  <c:v>2628433532.5317345</c:v>
                </c:pt>
                <c:pt idx="2">
                  <c:v>2804906080.7067275</c:v>
                </c:pt>
                <c:pt idx="3">
                  <c:v>2834996804.1796851</c:v>
                </c:pt>
                <c:pt idx="4">
                  <c:v>3486905089.9354258</c:v>
                </c:pt>
                <c:pt idx="5">
                  <c:v>3981472267.7908983</c:v>
                </c:pt>
                <c:pt idx="6">
                  <c:v>4215626965.9222226</c:v>
                </c:pt>
                <c:pt idx="7">
                  <c:v>4171211310.736814</c:v>
                </c:pt>
                <c:pt idx="8">
                  <c:v>4182583960.2834702</c:v>
                </c:pt>
                <c:pt idx="9">
                  <c:v>4209091668.3531342</c:v>
                </c:pt>
                <c:pt idx="10">
                  <c:v>4226607969.3040905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28-447B-B700-F4910C796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539648"/>
        <c:axId val="552541184"/>
      </c:scatterChart>
      <c:valAx>
        <c:axId val="55253964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541184"/>
        <c:crosses val="autoZero"/>
        <c:crossBetween val="midCat"/>
      </c:valAx>
      <c:valAx>
        <c:axId val="552541184"/>
        <c:scaling>
          <c:orientation val="minMax"/>
          <c:min val="15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539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Gas_TOTI!$D$5</c:f>
              <c:strCache>
                <c:ptCount val="1"/>
                <c:pt idx="0">
                  <c:v>CBR TOTI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Gas_TOTI!$B$6:$B$16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Gas_TOTI!$D$6:$D$16</c:f>
              <c:numCache>
                <c:formatCode>_(* #,##0_);_(* \(#,##0\);_(* "-"_);_(@_)</c:formatCode>
                <c:ptCount val="11"/>
                <c:pt idx="0">
                  <c:v>17659937.692946836</c:v>
                </c:pt>
                <c:pt idx="1">
                  <c:v>20007061.028600488</c:v>
                </c:pt>
                <c:pt idx="2">
                  <c:v>19082234.246211726</c:v>
                </c:pt>
                <c:pt idx="3">
                  <c:v>19575746.854746263</c:v>
                </c:pt>
                <c:pt idx="4">
                  <c:v>20235683.761130918</c:v>
                </c:pt>
                <c:pt idx="5">
                  <c:v>21012774.011171669</c:v>
                </c:pt>
                <c:pt idx="6">
                  <c:v>19970302.908914473</c:v>
                </c:pt>
                <c:pt idx="7">
                  <c:v>20637909.425541107</c:v>
                </c:pt>
                <c:pt idx="8">
                  <c:v>21588064.362922579</c:v>
                </c:pt>
                <c:pt idx="9">
                  <c:v>25696161.207628537</c:v>
                </c:pt>
                <c:pt idx="10">
                  <c:v>24120272.217528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01-40FA-A1BF-10F03FB9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06784"/>
        <c:axId val="51216768"/>
      </c:scatterChart>
      <c:valAx>
        <c:axId val="51206784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16768"/>
        <c:crosses val="autoZero"/>
        <c:crossBetween val="midCat"/>
      </c:valAx>
      <c:valAx>
        <c:axId val="5121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06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Elect_TPlant!$D$5</c:f>
              <c:strCache>
                <c:ptCount val="1"/>
                <c:pt idx="0">
                  <c:v>Gross Trans.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Elect_TPlant!$B$6:$B$16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Elect_TPlant!$D$6:$D$16</c:f>
              <c:numCache>
                <c:formatCode>_(* #,##0_);_(* \(#,##0\);_(* "-"_);_(@_)</c:formatCode>
                <c:ptCount val="11"/>
                <c:pt idx="0">
                  <c:v>338417194.91660476</c:v>
                </c:pt>
                <c:pt idx="1">
                  <c:v>372719303.50074959</c:v>
                </c:pt>
                <c:pt idx="2">
                  <c:v>420480632.14026618</c:v>
                </c:pt>
                <c:pt idx="3">
                  <c:v>483887591.0385617</c:v>
                </c:pt>
                <c:pt idx="4">
                  <c:v>1113473317.4041896</c:v>
                </c:pt>
                <c:pt idx="5">
                  <c:v>1161259969.917851</c:v>
                </c:pt>
                <c:pt idx="6">
                  <c:v>1292205134.0415313</c:v>
                </c:pt>
                <c:pt idx="7">
                  <c:v>1339165223.7319965</c:v>
                </c:pt>
                <c:pt idx="8">
                  <c:v>1399259273.8470633</c:v>
                </c:pt>
                <c:pt idx="9">
                  <c:v>1462188428.0951748</c:v>
                </c:pt>
                <c:pt idx="10">
                  <c:v>1537389479.4362583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89-4970-BA91-FCE7D4F0F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598016"/>
        <c:axId val="48600192"/>
      </c:scatterChart>
      <c:valAx>
        <c:axId val="4859801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00192"/>
        <c:crosses val="autoZero"/>
        <c:crossBetween val="midCat"/>
      </c:valAx>
      <c:valAx>
        <c:axId val="4860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98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Elect_TPlant!#REF!</c:f>
            </c:numRef>
          </c:xVal>
          <c:yVal>
            <c:numRef>
              <c:f>Elect_TPlant!#REF!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Elect_TPlant!#REF!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F5E-4C4D-B001-529F60046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20672"/>
        <c:axId val="48622592"/>
      </c:scatterChart>
      <c:valAx>
        <c:axId val="486206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22592"/>
        <c:crosses val="autoZero"/>
        <c:crossBetween val="midCat"/>
      </c:valAx>
      <c:valAx>
        <c:axId val="4862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20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Elect_DPlant!$D$5</c:f>
              <c:strCache>
                <c:ptCount val="1"/>
                <c:pt idx="0">
                  <c:v>Gross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Elect_DPlant!$B$6:$B$16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Elect_DPlant!$D$6:$D$16</c:f>
              <c:numCache>
                <c:formatCode>_(* #,##0_);_(* \(#,##0\);_(* "-"_);_(@_)</c:formatCode>
                <c:ptCount val="11"/>
                <c:pt idx="0">
                  <c:v>3126647076.6941481</c:v>
                </c:pt>
                <c:pt idx="1">
                  <c:v>3282996397.8271761</c:v>
                </c:pt>
                <c:pt idx="2">
                  <c:v>3447196696.1536126</c:v>
                </c:pt>
                <c:pt idx="3">
                  <c:v>3564292381.2229676</c:v>
                </c:pt>
                <c:pt idx="4">
                  <c:v>3165842291.7865334</c:v>
                </c:pt>
                <c:pt idx="5">
                  <c:v>3232299791.6025748</c:v>
                </c:pt>
                <c:pt idx="6">
                  <c:v>3269591083.0320902</c:v>
                </c:pt>
                <c:pt idx="7">
                  <c:v>3425792687.7435322</c:v>
                </c:pt>
                <c:pt idx="8">
                  <c:v>3552757927.5621958</c:v>
                </c:pt>
                <c:pt idx="9">
                  <c:v>3710655248.2898583</c:v>
                </c:pt>
                <c:pt idx="10">
                  <c:v>3863263016.520679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B4-4089-BC1B-18131D04B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39360"/>
        <c:axId val="48641536"/>
      </c:scatterChart>
      <c:valAx>
        <c:axId val="486393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41536"/>
        <c:crosses val="autoZero"/>
        <c:crossBetween val="midCat"/>
      </c:valAx>
      <c:valAx>
        <c:axId val="4864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39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Elect_GPlant!$D$5</c:f>
              <c:strCache>
                <c:ptCount val="1"/>
                <c:pt idx="0">
                  <c:v>Gross General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Elect_GPlant!$B$6:$B$16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Elect_GPlant!$D$6:$D$16</c:f>
              <c:numCache>
                <c:formatCode>_(* #,##0_);_(* \(#,##0\);_(* "-"_);_(@_)</c:formatCode>
                <c:ptCount val="11"/>
                <c:pt idx="0">
                  <c:v>386608928.43824172</c:v>
                </c:pt>
                <c:pt idx="1">
                  <c:v>358238111.68528235</c:v>
                </c:pt>
                <c:pt idx="2">
                  <c:v>310156608.38009387</c:v>
                </c:pt>
                <c:pt idx="3">
                  <c:v>316883943.20509148</c:v>
                </c:pt>
                <c:pt idx="4">
                  <c:v>360312995.12847489</c:v>
                </c:pt>
                <c:pt idx="5">
                  <c:v>404519761.32717073</c:v>
                </c:pt>
                <c:pt idx="6">
                  <c:v>393243430.31765521</c:v>
                </c:pt>
                <c:pt idx="7">
                  <c:v>397055644.72152829</c:v>
                </c:pt>
                <c:pt idx="8">
                  <c:v>414450417.02595299</c:v>
                </c:pt>
                <c:pt idx="9">
                  <c:v>466330168.27784866</c:v>
                </c:pt>
                <c:pt idx="10">
                  <c:v>515670958.80223441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4E-4F70-B3AD-595FA05A0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03360"/>
        <c:axId val="48726016"/>
      </c:scatterChart>
      <c:valAx>
        <c:axId val="487033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26016"/>
        <c:crosses val="autoZero"/>
        <c:crossBetween val="midCat"/>
      </c:valAx>
      <c:valAx>
        <c:axId val="4872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03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Electric_OM!$D$5</c:f>
              <c:strCache>
                <c:ptCount val="1"/>
                <c:pt idx="0">
                  <c:v>CBR O&amp;M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Electric_OM!$B$6:$B$16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Electric_OM!$D$6:$D$16</c:f>
              <c:numCache>
                <c:formatCode>_(* #,##0_);_(* \(#,##0\);_(* "-"_);_(@_)</c:formatCode>
                <c:ptCount val="11"/>
                <c:pt idx="0">
                  <c:v>325081954</c:v>
                </c:pt>
                <c:pt idx="1">
                  <c:v>334267431</c:v>
                </c:pt>
                <c:pt idx="2">
                  <c:v>342908099</c:v>
                </c:pt>
                <c:pt idx="3">
                  <c:v>350088577.93844378</c:v>
                </c:pt>
                <c:pt idx="4">
                  <c:v>359031919.19991827</c:v>
                </c:pt>
                <c:pt idx="5">
                  <c:v>372115598.34072012</c:v>
                </c:pt>
                <c:pt idx="6">
                  <c:v>383250776.87076169</c:v>
                </c:pt>
                <c:pt idx="7">
                  <c:v>379658483.271532</c:v>
                </c:pt>
                <c:pt idx="8">
                  <c:v>399074692.93704486</c:v>
                </c:pt>
                <c:pt idx="9">
                  <c:v>401848228.37282121</c:v>
                </c:pt>
                <c:pt idx="10">
                  <c:v>417788926.60226011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15-4B1B-B3FD-7F27A6F1E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53152"/>
        <c:axId val="49154688"/>
      </c:scatterChart>
      <c:valAx>
        <c:axId val="49153152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54688"/>
        <c:crosses val="autoZero"/>
        <c:crossBetween val="midCat"/>
      </c:valAx>
      <c:valAx>
        <c:axId val="49154688"/>
        <c:scaling>
          <c:orientation val="minMax"/>
          <c:min val="3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53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Elect_OMDetail!$D$5</c:f>
              <c:strCache>
                <c:ptCount val="1"/>
                <c:pt idx="0">
                  <c:v>Other Power Supply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Elect_OMDetail!$D$6:$D$16</c:f>
              <c:numCache>
                <c:formatCode>_(* #,##0_);_(* \(#,##0\);_(* "-"_);_(@_)</c:formatCode>
                <c:ptCount val="11"/>
                <c:pt idx="0">
                  <c:v>102819798</c:v>
                </c:pt>
                <c:pt idx="1">
                  <c:v>103178213</c:v>
                </c:pt>
                <c:pt idx="2">
                  <c:v>102409192</c:v>
                </c:pt>
                <c:pt idx="3">
                  <c:v>114139604</c:v>
                </c:pt>
                <c:pt idx="4">
                  <c:v>114593255.67</c:v>
                </c:pt>
                <c:pt idx="5">
                  <c:v>116266189.11</c:v>
                </c:pt>
                <c:pt idx="6">
                  <c:v>113089598.489999</c:v>
                </c:pt>
                <c:pt idx="7">
                  <c:v>117539552.45</c:v>
                </c:pt>
                <c:pt idx="8">
                  <c:v>126338251.61</c:v>
                </c:pt>
                <c:pt idx="9">
                  <c:v>125057644.48</c:v>
                </c:pt>
                <c:pt idx="10">
                  <c:v>127167992.89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98-4F89-AA4C-A3D02A25B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80032"/>
        <c:axId val="49214976"/>
      </c:scatterChart>
      <c:valAx>
        <c:axId val="4918003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14976"/>
        <c:crosses val="autoZero"/>
        <c:crossBetween val="midCat"/>
      </c:valAx>
      <c:valAx>
        <c:axId val="4921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80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6B2421-D65F-496F-94BF-4C55C9C5EE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1028040</xdr:colOff>
      <xdr:row>4</xdr:row>
      <xdr:rowOff>0</xdr:rowOff>
    </xdr:from>
    <xdr:to>
      <xdr:col>16</xdr:col>
      <xdr:colOff>55088</xdr:colOff>
      <xdr:row>18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9690CD-70B4-4EB4-82F7-894064B4A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547527-0817-42E6-9478-28050D865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4</xdr:row>
      <xdr:rowOff>0</xdr:rowOff>
    </xdr:from>
    <xdr:to>
      <xdr:col>16</xdr:col>
      <xdr:colOff>71870</xdr:colOff>
      <xdr:row>18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08E931F-7BC8-4241-961F-A51C3A08D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D0E85A-838D-4544-B20E-562DE0E40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53</xdr:row>
      <xdr:rowOff>173182</xdr:rowOff>
    </xdr:from>
    <xdr:to>
      <xdr:col>16</xdr:col>
      <xdr:colOff>71870</xdr:colOff>
      <xdr:row>54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8707071-5975-420F-A7DE-58F8D7CF9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E435FD-B40E-4587-9A90-6846C87E6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F51770-66FB-4736-B975-6BA22C9D8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55EF16-934D-4353-B824-0FC385A53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4762</xdr:rowOff>
    </xdr:from>
    <xdr:to>
      <xdr:col>16</xdr:col>
      <xdr:colOff>304800</xdr:colOff>
      <xdr:row>17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8B39EA-DBF9-48D4-9FB5-A8542F32C4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B3BC36-9326-46F1-9056-B1C510CE6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73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CC6481-5BA1-4542-AAF3-361319373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10679</xdr:colOff>
      <xdr:row>113</xdr:row>
      <xdr:rowOff>173182</xdr:rowOff>
    </xdr:from>
    <xdr:to>
      <xdr:col>16</xdr:col>
      <xdr:colOff>71870</xdr:colOff>
      <xdr:row>128</xdr:row>
      <xdr:rowOff>154132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630254-CF0C-4988-9E7A-31539558C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10679</xdr:colOff>
      <xdr:row>168</xdr:row>
      <xdr:rowOff>173182</xdr:rowOff>
    </xdr:from>
    <xdr:to>
      <xdr:col>16</xdr:col>
      <xdr:colOff>71870</xdr:colOff>
      <xdr:row>169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D869CB-0BC2-4D8F-9C3F-AA1CF0091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10679</xdr:colOff>
      <xdr:row>169</xdr:row>
      <xdr:rowOff>0</xdr:rowOff>
    </xdr:from>
    <xdr:to>
      <xdr:col>16</xdr:col>
      <xdr:colOff>71870</xdr:colOff>
      <xdr:row>183</xdr:row>
      <xdr:rowOff>154132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15F55E-C959-4FF0-AF35-1947281DF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4762</xdr:rowOff>
    </xdr:from>
    <xdr:to>
      <xdr:col>16</xdr:col>
      <xdr:colOff>304800</xdr:colOff>
      <xdr:row>17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A5A3F3-0BAF-4E27-BFC4-B3D3FD43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603E21-266D-445D-A507-20D4DEF1A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56266-8353-44D8-B3C1-9AB417D91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59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4F24F5-2F84-4212-A835-155629786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8F55D2-22BE-4EA1-88C9-B16C49667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1978E2-8A3C-4D8C-AA8C-62D66203E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18</xdr:row>
      <xdr:rowOff>0</xdr:rowOff>
    </xdr:from>
    <xdr:to>
      <xdr:col>17</xdr:col>
      <xdr:colOff>717176</xdr:colOff>
      <xdr:row>31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FDB6DCE-81F0-43E6-ACCA-1A82B08E5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DBF7C6-F924-404A-97CF-3F5C38B2C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73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4EF33E3-2CA4-4E01-97BA-D5219B024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10679</xdr:colOff>
      <xdr:row>113</xdr:row>
      <xdr:rowOff>173182</xdr:rowOff>
    </xdr:from>
    <xdr:to>
      <xdr:col>16</xdr:col>
      <xdr:colOff>71870</xdr:colOff>
      <xdr:row>114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DDD392C-E462-44F5-9B64-3574D0B99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1026678</xdr:colOff>
      <xdr:row>114</xdr:row>
      <xdr:rowOff>10583</xdr:rowOff>
    </xdr:from>
    <xdr:to>
      <xdr:col>16</xdr:col>
      <xdr:colOff>50703</xdr:colOff>
      <xdr:row>128</xdr:row>
      <xdr:rowOff>164715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FA6B130-331B-4DDC-9F01-E0D3438BA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10679</xdr:colOff>
      <xdr:row>168</xdr:row>
      <xdr:rowOff>0</xdr:rowOff>
    </xdr:from>
    <xdr:to>
      <xdr:col>16</xdr:col>
      <xdr:colOff>71870</xdr:colOff>
      <xdr:row>182</xdr:row>
      <xdr:rowOff>154132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6068E03-0426-45B0-9E97-73745E862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A0BF5C-AB44-4D95-A547-DB854877B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59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ECB1ED-C2D5-44C5-8910-35711519E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3</xdr:row>
      <xdr:rowOff>95250</xdr:rowOff>
    </xdr:from>
    <xdr:to>
      <xdr:col>16</xdr:col>
      <xdr:colOff>542925</xdr:colOff>
      <xdr:row>17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F3F5B6-8185-4CA4-84B4-F12E9AE55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3"/>
  <sheetViews>
    <sheetView tabSelected="1" zoomScale="85" zoomScaleNormal="85" workbookViewId="0">
      <pane xSplit="2" ySplit="6" topLeftCell="C7" activePane="bottomRight" state="frozen"/>
      <selection sqref="A1:XFD1048576"/>
      <selection pane="topRight" sqref="A1:XFD1048576"/>
      <selection pane="bottomLeft" sqref="A1:XFD1048576"/>
      <selection pane="bottomRight" activeCell="D28" sqref="D28"/>
    </sheetView>
  </sheetViews>
  <sheetFormatPr defaultColWidth="9.109375" defaultRowHeight="14.4" outlineLevelRow="1" outlineLevelCol="1" x14ac:dyDescent="0.3"/>
  <cols>
    <col min="1" max="1" width="4.88671875" style="15" bestFit="1" customWidth="1"/>
    <col min="2" max="2" width="35.109375" style="15" bestFit="1" customWidth="1"/>
    <col min="3" max="3" width="23.44140625" style="15" bestFit="1" customWidth="1"/>
    <col min="4" max="4" width="15" style="15" bestFit="1" customWidth="1"/>
    <col min="5" max="5" width="15.44140625" style="15" bestFit="1" customWidth="1"/>
    <col min="6" max="6" width="15" style="15" bestFit="1" customWidth="1"/>
    <col min="7" max="7" width="20.109375" style="15" bestFit="1" customWidth="1"/>
    <col min="8" max="8" width="9.5546875" style="15" bestFit="1" customWidth="1"/>
    <col min="9" max="9" width="18.6640625" style="15" bestFit="1" customWidth="1"/>
    <col min="10" max="11" width="15.6640625" style="15" bestFit="1" customWidth="1"/>
    <col min="12" max="12" width="18.33203125" style="15" hidden="1" customWidth="1" outlineLevel="1"/>
    <col min="13" max="13" width="22.44140625" style="15" bestFit="1" customWidth="1" collapsed="1"/>
    <col min="14" max="14" width="13" style="15" customWidth="1"/>
    <col min="15" max="16" width="13.6640625" style="15" hidden="1" customWidth="1" outlineLevel="1"/>
    <col min="17" max="17" width="18.109375" style="15" hidden="1" customWidth="1" outlineLevel="1"/>
    <col min="18" max="20" width="13.44140625" style="15" hidden="1" customWidth="1" outlineLevel="1"/>
    <col min="21" max="21" width="16.33203125" style="15" hidden="1" customWidth="1" outlineLevel="1"/>
    <col min="22" max="22" width="9.5546875" style="15" hidden="1" customWidth="1" outlineLevel="1"/>
    <col min="23" max="23" width="16.33203125" style="15" hidden="1" customWidth="1" outlineLevel="1"/>
    <col min="24" max="25" width="13.6640625" style="15" hidden="1" customWidth="1" outlineLevel="1"/>
    <col min="26" max="26" width="11.5546875" style="15" hidden="1" customWidth="1" outlineLevel="1"/>
    <col min="27" max="27" width="16.33203125" style="15" hidden="1" customWidth="1" outlineLevel="1"/>
    <col min="28" max="28" width="9.109375" style="15" collapsed="1"/>
    <col min="29" max="29" width="19" style="15" hidden="1" customWidth="1" outlineLevel="1"/>
    <col min="30" max="30" width="42.44140625" style="15" hidden="1" customWidth="1" outlineLevel="1"/>
    <col min="31" max="41" width="16.33203125" style="15" hidden="1" customWidth="1" outlineLevel="1"/>
    <col min="42" max="42" width="9.109375" style="15" collapsed="1"/>
    <col min="43" max="45" width="16.33203125" style="15" bestFit="1" customWidth="1"/>
    <col min="46" max="16384" width="9.109375" style="15"/>
  </cols>
  <sheetData>
    <row r="1" spans="1:45" outlineLevel="1" x14ac:dyDescent="0.3">
      <c r="A1" s="66"/>
      <c r="O1" s="66"/>
      <c r="AC1" s="66"/>
    </row>
    <row r="2" spans="1:45" outlineLevel="1" x14ac:dyDescent="0.3">
      <c r="O2" s="15" t="s">
        <v>798</v>
      </c>
      <c r="AD2" s="15" t="s">
        <v>799</v>
      </c>
    </row>
    <row r="3" spans="1:45" outlineLevel="1" x14ac:dyDescent="0.3"/>
    <row r="4" spans="1:45" x14ac:dyDescent="0.3">
      <c r="A4" s="66" t="s">
        <v>600</v>
      </c>
      <c r="B4" s="155"/>
      <c r="C4" s="156" t="s">
        <v>12</v>
      </c>
      <c r="D4" s="156"/>
      <c r="E4" s="156"/>
      <c r="F4" s="156"/>
      <c r="G4" s="156"/>
      <c r="I4" s="22" t="s">
        <v>13</v>
      </c>
      <c r="J4" s="156"/>
      <c r="K4" s="156"/>
      <c r="L4" s="156"/>
      <c r="M4" s="156"/>
      <c r="O4" s="66" t="s">
        <v>600</v>
      </c>
      <c r="P4" s="155"/>
      <c r="Q4" s="156" t="s">
        <v>12</v>
      </c>
      <c r="R4" s="156"/>
      <c r="S4" s="156"/>
      <c r="T4" s="156"/>
      <c r="U4" s="156"/>
      <c r="W4" s="22" t="s">
        <v>13</v>
      </c>
      <c r="X4" s="156"/>
      <c r="Y4" s="156"/>
      <c r="Z4" s="156"/>
      <c r="AA4" s="156"/>
      <c r="AC4" s="66" t="s">
        <v>600</v>
      </c>
      <c r="AD4" s="155"/>
      <c r="AE4" s="156" t="s">
        <v>12</v>
      </c>
      <c r="AF4" s="156"/>
      <c r="AG4" s="156"/>
      <c r="AH4" s="156"/>
      <c r="AI4" s="156"/>
      <c r="AK4" s="22" t="s">
        <v>13</v>
      </c>
      <c r="AL4" s="156"/>
      <c r="AM4" s="156"/>
      <c r="AN4" s="156"/>
      <c r="AO4" s="156"/>
      <c r="AQ4" s="156"/>
      <c r="AR4" s="156"/>
      <c r="AS4" s="156"/>
    </row>
    <row r="5" spans="1:45" ht="43.2" x14ac:dyDescent="0.3">
      <c r="A5" s="157" t="s">
        <v>587</v>
      </c>
      <c r="B5" s="157" t="s">
        <v>588</v>
      </c>
      <c r="C5" s="157" t="s">
        <v>569</v>
      </c>
      <c r="D5" s="157" t="s">
        <v>15</v>
      </c>
      <c r="E5" s="157" t="s">
        <v>17</v>
      </c>
      <c r="F5" s="157" t="s">
        <v>18</v>
      </c>
      <c r="G5" s="157" t="s">
        <v>19</v>
      </c>
      <c r="H5" s="157" t="s">
        <v>20</v>
      </c>
      <c r="I5" s="157" t="s">
        <v>21</v>
      </c>
      <c r="J5" s="157" t="s">
        <v>17</v>
      </c>
      <c r="K5" s="157" t="s">
        <v>18</v>
      </c>
      <c r="L5" s="157" t="s">
        <v>22</v>
      </c>
      <c r="M5" s="157" t="s">
        <v>591</v>
      </c>
      <c r="O5" s="157" t="s">
        <v>587</v>
      </c>
      <c r="P5" s="157" t="s">
        <v>588</v>
      </c>
      <c r="Q5" s="157" t="s">
        <v>569</v>
      </c>
      <c r="R5" s="157" t="s">
        <v>15</v>
      </c>
      <c r="S5" s="157" t="s">
        <v>17</v>
      </c>
      <c r="T5" s="157" t="s">
        <v>18</v>
      </c>
      <c r="U5" s="157" t="s">
        <v>19</v>
      </c>
      <c r="V5" s="157" t="s">
        <v>20</v>
      </c>
      <c r="W5" s="157" t="s">
        <v>21</v>
      </c>
      <c r="X5" s="157" t="s">
        <v>17</v>
      </c>
      <c r="Y5" s="157" t="s">
        <v>18</v>
      </c>
      <c r="Z5" s="157" t="s">
        <v>22</v>
      </c>
      <c r="AA5" s="157" t="s">
        <v>591</v>
      </c>
      <c r="AC5" s="157" t="s">
        <v>587</v>
      </c>
      <c r="AD5" s="157" t="s">
        <v>588</v>
      </c>
      <c r="AE5" s="157" t="s">
        <v>569</v>
      </c>
      <c r="AF5" s="157" t="s">
        <v>15</v>
      </c>
      <c r="AG5" s="157" t="s">
        <v>17</v>
      </c>
      <c r="AH5" s="157" t="s">
        <v>18</v>
      </c>
      <c r="AI5" s="157" t="s">
        <v>19</v>
      </c>
      <c r="AJ5" s="157" t="s">
        <v>20</v>
      </c>
      <c r="AK5" s="157" t="s">
        <v>21</v>
      </c>
      <c r="AL5" s="157" t="s">
        <v>17</v>
      </c>
      <c r="AM5" s="157" t="s">
        <v>18</v>
      </c>
      <c r="AN5" s="157" t="s">
        <v>22</v>
      </c>
      <c r="AO5" s="157" t="s">
        <v>591</v>
      </c>
      <c r="AQ5" s="157" t="s">
        <v>793</v>
      </c>
      <c r="AR5" s="157" t="s">
        <v>794</v>
      </c>
      <c r="AS5" s="157" t="s">
        <v>795</v>
      </c>
    </row>
    <row r="6" spans="1:45" x14ac:dyDescent="0.3">
      <c r="A6" s="76"/>
      <c r="B6" s="76"/>
      <c r="C6" s="24" t="s">
        <v>353</v>
      </c>
      <c r="D6" s="24" t="s">
        <v>354</v>
      </c>
      <c r="E6" s="24" t="s">
        <v>355</v>
      </c>
      <c r="F6" s="24" t="s">
        <v>581</v>
      </c>
      <c r="G6" s="24" t="s">
        <v>589</v>
      </c>
      <c r="H6" s="24" t="s">
        <v>582</v>
      </c>
      <c r="I6" s="24" t="s">
        <v>242</v>
      </c>
      <c r="J6" s="24" t="s">
        <v>583</v>
      </c>
      <c r="K6" s="24" t="s">
        <v>584</v>
      </c>
      <c r="L6" s="24" t="s">
        <v>586</v>
      </c>
      <c r="M6" s="24" t="s">
        <v>590</v>
      </c>
      <c r="O6" s="76"/>
      <c r="P6" s="76"/>
      <c r="Q6" s="24" t="s">
        <v>353</v>
      </c>
      <c r="R6" s="24" t="s">
        <v>354</v>
      </c>
      <c r="S6" s="24" t="s">
        <v>355</v>
      </c>
      <c r="T6" s="24" t="s">
        <v>581</v>
      </c>
      <c r="U6" s="24" t="s">
        <v>589</v>
      </c>
      <c r="V6" s="24" t="s">
        <v>582</v>
      </c>
      <c r="W6" s="24" t="s">
        <v>242</v>
      </c>
      <c r="X6" s="24" t="s">
        <v>583</v>
      </c>
      <c r="Y6" s="24" t="s">
        <v>584</v>
      </c>
      <c r="Z6" s="24" t="s">
        <v>586</v>
      </c>
      <c r="AA6" s="24" t="s">
        <v>590</v>
      </c>
      <c r="AC6" s="76"/>
      <c r="AD6" s="76"/>
      <c r="AE6" s="24" t="s">
        <v>353</v>
      </c>
      <c r="AF6" s="24" t="s">
        <v>354</v>
      </c>
      <c r="AG6" s="24" t="s">
        <v>355</v>
      </c>
      <c r="AH6" s="24" t="s">
        <v>581</v>
      </c>
      <c r="AI6" s="24" t="s">
        <v>589</v>
      </c>
      <c r="AJ6" s="24" t="s">
        <v>582</v>
      </c>
      <c r="AK6" s="24" t="s">
        <v>242</v>
      </c>
      <c r="AL6" s="24" t="s">
        <v>583</v>
      </c>
      <c r="AM6" s="24" t="s">
        <v>584</v>
      </c>
      <c r="AN6" s="24" t="s">
        <v>586</v>
      </c>
      <c r="AO6" s="24" t="s">
        <v>590</v>
      </c>
      <c r="AQ6" s="24" t="s">
        <v>590</v>
      </c>
      <c r="AR6" s="24" t="s">
        <v>590</v>
      </c>
      <c r="AS6" s="24" t="s">
        <v>590</v>
      </c>
    </row>
    <row r="7" spans="1:45" x14ac:dyDescent="0.3">
      <c r="A7" s="158">
        <f>IF(ISBLANK(B7),"",MAX(A$6:A6)+1)</f>
        <v>1</v>
      </c>
      <c r="B7" s="159" t="s">
        <v>23</v>
      </c>
      <c r="O7" s="158">
        <v>1</v>
      </c>
      <c r="P7" s="159" t="s">
        <v>23</v>
      </c>
      <c r="AC7" s="158">
        <v>1</v>
      </c>
      <c r="AD7" s="159" t="s">
        <v>23</v>
      </c>
    </row>
    <row r="8" spans="1:45" x14ac:dyDescent="0.3">
      <c r="A8" s="158">
        <f>IF(ISBLANK(B8),"",MAX(A$6:A7)+1)</f>
        <v>2</v>
      </c>
      <c r="B8" s="160" t="s">
        <v>24</v>
      </c>
      <c r="C8" s="161">
        <v>1286852599.296809</v>
      </c>
      <c r="D8" s="161"/>
      <c r="E8" s="161"/>
      <c r="F8" s="161"/>
      <c r="G8" s="161">
        <f>SUM(C8:F8)</f>
        <v>1286852599.296809</v>
      </c>
      <c r="H8" s="59"/>
      <c r="I8" s="161">
        <v>1330085063.5070419</v>
      </c>
      <c r="J8" s="161"/>
      <c r="K8" s="161"/>
      <c r="L8" s="161"/>
      <c r="M8" s="161">
        <f>SUM(I8:L8)</f>
        <v>1330085063.5070419</v>
      </c>
      <c r="O8" s="158">
        <v>2</v>
      </c>
      <c r="P8" s="160" t="s">
        <v>24</v>
      </c>
      <c r="Q8" s="161">
        <v>1286852599.296809</v>
      </c>
      <c r="R8" s="161"/>
      <c r="S8" s="161"/>
      <c r="T8" s="161"/>
      <c r="U8" s="161">
        <v>1286852599.296809</v>
      </c>
      <c r="V8" s="59"/>
      <c r="W8" s="161">
        <v>1330085063.5070419</v>
      </c>
      <c r="X8" s="161"/>
      <c r="Y8" s="161"/>
      <c r="Z8" s="161"/>
      <c r="AA8" s="161">
        <v>1330085063.5070419</v>
      </c>
      <c r="AC8" s="158">
        <v>2</v>
      </c>
      <c r="AD8" s="160" t="s">
        <v>24</v>
      </c>
      <c r="AE8" s="161">
        <f>+C8-Q8</f>
        <v>0</v>
      </c>
      <c r="AF8" s="161">
        <f t="shared" ref="AF8:AO8" si="0">+D8-R8</f>
        <v>0</v>
      </c>
      <c r="AG8" s="161">
        <f t="shared" si="0"/>
        <v>0</v>
      </c>
      <c r="AH8" s="161">
        <f t="shared" si="0"/>
        <v>0</v>
      </c>
      <c r="AI8" s="161">
        <f t="shared" si="0"/>
        <v>0</v>
      </c>
      <c r="AJ8" s="161">
        <f t="shared" si="0"/>
        <v>0</v>
      </c>
      <c r="AK8" s="161">
        <f t="shared" si="0"/>
        <v>0</v>
      </c>
      <c r="AL8" s="161">
        <f t="shared" si="0"/>
        <v>0</v>
      </c>
      <c r="AM8" s="161">
        <f t="shared" si="0"/>
        <v>0</v>
      </c>
      <c r="AN8" s="161">
        <f t="shared" si="0"/>
        <v>0</v>
      </c>
      <c r="AO8" s="161">
        <f t="shared" si="0"/>
        <v>0</v>
      </c>
      <c r="AQ8" s="161">
        <v>0</v>
      </c>
      <c r="AR8" s="161">
        <v>0</v>
      </c>
      <c r="AS8" s="161">
        <v>0</v>
      </c>
    </row>
    <row r="9" spans="1:45" x14ac:dyDescent="0.3">
      <c r="A9" s="158">
        <f>IF(ISBLANK(B9),"",MAX(A$6:A8)+1)</f>
        <v>3</v>
      </c>
      <c r="B9" s="160" t="s">
        <v>25</v>
      </c>
      <c r="C9" s="162">
        <v>328327.15999999898</v>
      </c>
      <c r="D9" s="162"/>
      <c r="E9" s="162"/>
      <c r="F9" s="162"/>
      <c r="G9" s="162">
        <f>SUM(C9:F9)</f>
        <v>328327.15999999898</v>
      </c>
      <c r="H9" s="26">
        <f ca="1">Elect_Sales!$D$30</f>
        <v>1.1759750394165991E-2</v>
      </c>
      <c r="I9" s="162">
        <f ca="1">G9*(1+H9)^(28/12)</f>
        <v>337406.98804805137</v>
      </c>
      <c r="J9" s="162"/>
      <c r="K9" s="162"/>
      <c r="L9" s="162"/>
      <c r="M9" s="162">
        <f ca="1">SUM(I9:L9)</f>
        <v>337406.98804805137</v>
      </c>
      <c r="O9" s="158">
        <v>3</v>
      </c>
      <c r="P9" s="160" t="s">
        <v>25</v>
      </c>
      <c r="Q9" s="162">
        <v>328327.15999999898</v>
      </c>
      <c r="R9" s="162"/>
      <c r="S9" s="162"/>
      <c r="T9" s="162"/>
      <c r="U9" s="162">
        <v>328327.15999999898</v>
      </c>
      <c r="V9" s="26">
        <v>1.1759750394165991E-2</v>
      </c>
      <c r="W9" s="162">
        <v>337406.98804805137</v>
      </c>
      <c r="X9" s="162"/>
      <c r="Y9" s="162"/>
      <c r="Z9" s="162"/>
      <c r="AA9" s="162">
        <v>337406.98804805137</v>
      </c>
      <c r="AC9" s="158">
        <v>3</v>
      </c>
      <c r="AD9" s="160" t="s">
        <v>25</v>
      </c>
      <c r="AE9" s="162">
        <f t="shared" ref="AE9:AE72" si="1">+C9-Q9</f>
        <v>0</v>
      </c>
      <c r="AF9" s="162">
        <f t="shared" ref="AF9:AF72" si="2">+D9-R9</f>
        <v>0</v>
      </c>
      <c r="AG9" s="162">
        <f t="shared" ref="AG9:AG72" si="3">+E9-S9</f>
        <v>0</v>
      </c>
      <c r="AH9" s="162">
        <f t="shared" ref="AH9:AH72" si="4">+F9-T9</f>
        <v>0</v>
      </c>
      <c r="AI9" s="162">
        <f t="shared" ref="AI9:AI72" si="5">+G9-U9</f>
        <v>0</v>
      </c>
      <c r="AJ9" s="162">
        <f t="shared" ref="AJ9:AJ72" ca="1" si="6">+H9-V9</f>
        <v>0</v>
      </c>
      <c r="AK9" s="162">
        <f t="shared" ref="AK9:AK72" ca="1" si="7">+I9-W9</f>
        <v>0</v>
      </c>
      <c r="AL9" s="162">
        <f t="shared" ref="AL9:AL72" si="8">+J9-X9</f>
        <v>0</v>
      </c>
      <c r="AM9" s="162">
        <f t="shared" ref="AM9:AM72" si="9">+K9-Y9</f>
        <v>0</v>
      </c>
      <c r="AN9" s="162">
        <f t="shared" ref="AN9:AN72" si="10">+L9-Z9</f>
        <v>0</v>
      </c>
      <c r="AO9" s="162">
        <f t="shared" ref="AO9:AO72" ca="1" si="11">+M9-AA9</f>
        <v>0</v>
      </c>
      <c r="AQ9" s="162">
        <v>0</v>
      </c>
      <c r="AR9" s="162">
        <v>0</v>
      </c>
      <c r="AS9" s="162">
        <v>0</v>
      </c>
    </row>
    <row r="10" spans="1:45" x14ac:dyDescent="0.3">
      <c r="A10" s="158">
        <f>IF(ISBLANK(B10),"",MAX(A$6:A9)+1)</f>
        <v>4</v>
      </c>
      <c r="B10" s="160" t="s">
        <v>26</v>
      </c>
      <c r="C10" s="162">
        <v>0</v>
      </c>
      <c r="D10" s="162"/>
      <c r="E10" s="162"/>
      <c r="F10" s="162"/>
      <c r="G10" s="162">
        <f>SUM(C10:F10)</f>
        <v>0</v>
      </c>
      <c r="H10" s="26"/>
      <c r="I10" s="162">
        <f>G10*(1+H10)^(28/12)</f>
        <v>0</v>
      </c>
      <c r="J10" s="162"/>
      <c r="K10" s="162"/>
      <c r="L10" s="162"/>
      <c r="M10" s="162">
        <f>SUM(I10:L10)</f>
        <v>0</v>
      </c>
      <c r="O10" s="158">
        <v>4</v>
      </c>
      <c r="P10" s="160" t="s">
        <v>26</v>
      </c>
      <c r="Q10" s="162">
        <v>0</v>
      </c>
      <c r="R10" s="162"/>
      <c r="S10" s="162"/>
      <c r="T10" s="162"/>
      <c r="U10" s="162">
        <v>0</v>
      </c>
      <c r="V10" s="26"/>
      <c r="W10" s="162">
        <v>0</v>
      </c>
      <c r="X10" s="162"/>
      <c r="Y10" s="162"/>
      <c r="Z10" s="162"/>
      <c r="AA10" s="162">
        <v>0</v>
      </c>
      <c r="AC10" s="158">
        <v>4</v>
      </c>
      <c r="AD10" s="160" t="s">
        <v>26</v>
      </c>
      <c r="AE10" s="162">
        <f t="shared" si="1"/>
        <v>0</v>
      </c>
      <c r="AF10" s="162">
        <f t="shared" si="2"/>
        <v>0</v>
      </c>
      <c r="AG10" s="162">
        <f t="shared" si="3"/>
        <v>0</v>
      </c>
      <c r="AH10" s="162">
        <f t="shared" si="4"/>
        <v>0</v>
      </c>
      <c r="AI10" s="162">
        <f t="shared" si="5"/>
        <v>0</v>
      </c>
      <c r="AJ10" s="162">
        <f t="shared" si="6"/>
        <v>0</v>
      </c>
      <c r="AK10" s="162">
        <f t="shared" si="7"/>
        <v>0</v>
      </c>
      <c r="AL10" s="162">
        <f t="shared" si="8"/>
        <v>0</v>
      </c>
      <c r="AM10" s="162">
        <f t="shared" si="9"/>
        <v>0</v>
      </c>
      <c r="AN10" s="162">
        <f t="shared" si="10"/>
        <v>0</v>
      </c>
      <c r="AO10" s="162">
        <f t="shared" si="11"/>
        <v>0</v>
      </c>
      <c r="AQ10" s="162">
        <v>0</v>
      </c>
      <c r="AR10" s="162">
        <v>0</v>
      </c>
      <c r="AS10" s="162">
        <v>0</v>
      </c>
    </row>
    <row r="11" spans="1:45" x14ac:dyDescent="0.3">
      <c r="A11" s="158">
        <f>IF(ISBLANK(B11),"",MAX(A$6:A10)+1)</f>
        <v>5</v>
      </c>
      <c r="B11" s="160" t="s">
        <v>27</v>
      </c>
      <c r="C11" s="163">
        <v>52105313.610000014</v>
      </c>
      <c r="D11" s="163"/>
      <c r="E11" s="163"/>
      <c r="F11" s="163"/>
      <c r="G11" s="163">
        <f>SUM(C11:F11)</f>
        <v>52105313.610000014</v>
      </c>
      <c r="H11" s="26">
        <f ca="1">Elect_Sales!$D$30</f>
        <v>1.1759750394165991E-2</v>
      </c>
      <c r="I11" s="163">
        <f ca="1">G11*(1+H11)^(28/12)</f>
        <v>53546276.605472714</v>
      </c>
      <c r="J11" s="163"/>
      <c r="K11" s="163"/>
      <c r="L11" s="163"/>
      <c r="M11" s="163">
        <f ca="1">SUM(I11:L11)</f>
        <v>53546276.605472714</v>
      </c>
      <c r="O11" s="158">
        <v>5</v>
      </c>
      <c r="P11" s="160" t="s">
        <v>27</v>
      </c>
      <c r="Q11" s="163">
        <v>52105313.610000014</v>
      </c>
      <c r="R11" s="163"/>
      <c r="S11" s="163"/>
      <c r="T11" s="163"/>
      <c r="U11" s="163">
        <v>52105313.610000014</v>
      </c>
      <c r="V11" s="26">
        <v>1.1759750394165991E-2</v>
      </c>
      <c r="W11" s="163">
        <v>53546276.605472714</v>
      </c>
      <c r="X11" s="163"/>
      <c r="Y11" s="163"/>
      <c r="Z11" s="163"/>
      <c r="AA11" s="163">
        <v>53546276.605472714</v>
      </c>
      <c r="AC11" s="158">
        <v>5</v>
      </c>
      <c r="AD11" s="160" t="s">
        <v>27</v>
      </c>
      <c r="AE11" s="163">
        <f t="shared" si="1"/>
        <v>0</v>
      </c>
      <c r="AF11" s="163">
        <f t="shared" si="2"/>
        <v>0</v>
      </c>
      <c r="AG11" s="163">
        <f t="shared" si="3"/>
        <v>0</v>
      </c>
      <c r="AH11" s="163">
        <f t="shared" si="4"/>
        <v>0</v>
      </c>
      <c r="AI11" s="163">
        <f t="shared" si="5"/>
        <v>0</v>
      </c>
      <c r="AJ11" s="163">
        <f t="shared" ca="1" si="6"/>
        <v>0</v>
      </c>
      <c r="AK11" s="163">
        <f t="shared" ca="1" si="7"/>
        <v>0</v>
      </c>
      <c r="AL11" s="163">
        <f t="shared" si="8"/>
        <v>0</v>
      </c>
      <c r="AM11" s="163">
        <f t="shared" si="9"/>
        <v>0</v>
      </c>
      <c r="AN11" s="163">
        <f t="shared" si="10"/>
        <v>0</v>
      </c>
      <c r="AO11" s="163">
        <f t="shared" ca="1" si="11"/>
        <v>0</v>
      </c>
      <c r="AQ11" s="163">
        <v>0</v>
      </c>
      <c r="AR11" s="163">
        <v>0</v>
      </c>
      <c r="AS11" s="163">
        <v>0</v>
      </c>
    </row>
    <row r="12" spans="1:45" x14ac:dyDescent="0.3">
      <c r="A12" s="158">
        <f>IF(ISBLANK(B12),"",MAX(A$6:A11)+1)</f>
        <v>6</v>
      </c>
      <c r="B12" s="164" t="s">
        <v>28</v>
      </c>
      <c r="C12" s="165">
        <f>SUM(C8:C11)</f>
        <v>1339286240.0668092</v>
      </c>
      <c r="D12" s="165">
        <f>SUM(D8:D11)</f>
        <v>0</v>
      </c>
      <c r="E12" s="165">
        <f>SUM(E8:E11)</f>
        <v>0</v>
      </c>
      <c r="F12" s="165">
        <f>SUM(F8:F11)</f>
        <v>0</v>
      </c>
      <c r="G12" s="165">
        <f>SUM(G8:G11)</f>
        <v>1339286240.0668092</v>
      </c>
      <c r="H12" s="26">
        <f ca="1">(I12/G12)^(12/28)-1</f>
        <v>1.4164432527238313E-2</v>
      </c>
      <c r="I12" s="165">
        <f ca="1">SUM(I8:I11)</f>
        <v>1383968747.1005628</v>
      </c>
      <c r="J12" s="165">
        <f>SUM(J8:J11)</f>
        <v>0</v>
      </c>
      <c r="K12" s="165">
        <f>SUM(K8:K11)</f>
        <v>0</v>
      </c>
      <c r="L12" s="165">
        <f>SUM(L8:L11)</f>
        <v>0</v>
      </c>
      <c r="M12" s="165">
        <f ca="1">SUM(M8:M11)</f>
        <v>1383968747.1005628</v>
      </c>
      <c r="O12" s="158">
        <v>6</v>
      </c>
      <c r="P12" s="164" t="s">
        <v>28</v>
      </c>
      <c r="Q12" s="165">
        <v>1339286240.0668092</v>
      </c>
      <c r="R12" s="165">
        <v>0</v>
      </c>
      <c r="S12" s="165">
        <v>0</v>
      </c>
      <c r="T12" s="165">
        <v>0</v>
      </c>
      <c r="U12" s="165">
        <v>1339286240.0668092</v>
      </c>
      <c r="V12" s="26">
        <v>1.4164432527238313E-2</v>
      </c>
      <c r="W12" s="165">
        <v>1383968747.1005628</v>
      </c>
      <c r="X12" s="165">
        <v>0</v>
      </c>
      <c r="Y12" s="165">
        <v>0</v>
      </c>
      <c r="Z12" s="165">
        <v>0</v>
      </c>
      <c r="AA12" s="165">
        <v>1383968747.1005628</v>
      </c>
      <c r="AC12" s="158">
        <v>6</v>
      </c>
      <c r="AD12" s="164" t="s">
        <v>28</v>
      </c>
      <c r="AE12" s="165">
        <f t="shared" si="1"/>
        <v>0</v>
      </c>
      <c r="AF12" s="165">
        <f t="shared" si="2"/>
        <v>0</v>
      </c>
      <c r="AG12" s="165">
        <f t="shared" si="3"/>
        <v>0</v>
      </c>
      <c r="AH12" s="165">
        <f t="shared" si="4"/>
        <v>0</v>
      </c>
      <c r="AI12" s="165">
        <f t="shared" si="5"/>
        <v>0</v>
      </c>
      <c r="AJ12" s="165">
        <f t="shared" ca="1" si="6"/>
        <v>0</v>
      </c>
      <c r="AK12" s="165">
        <f t="shared" ca="1" si="7"/>
        <v>0</v>
      </c>
      <c r="AL12" s="165">
        <f t="shared" si="8"/>
        <v>0</v>
      </c>
      <c r="AM12" s="165">
        <f t="shared" si="9"/>
        <v>0</v>
      </c>
      <c r="AN12" s="165">
        <f t="shared" si="10"/>
        <v>0</v>
      </c>
      <c r="AO12" s="165">
        <f t="shared" ca="1" si="11"/>
        <v>0</v>
      </c>
      <c r="AQ12" s="165">
        <v>0</v>
      </c>
      <c r="AR12" s="165">
        <v>0</v>
      </c>
      <c r="AS12" s="165">
        <v>0</v>
      </c>
    </row>
    <row r="13" spans="1:45" x14ac:dyDescent="0.3">
      <c r="A13" s="158" t="str">
        <f>IF(ISBLANK(B13),"",MAX(A$6:A12)+1)</f>
        <v/>
      </c>
      <c r="B13" s="76"/>
      <c r="C13" s="76"/>
      <c r="D13" s="76"/>
      <c r="E13" s="76"/>
      <c r="F13" s="76"/>
      <c r="G13" s="76"/>
      <c r="H13" s="27"/>
      <c r="I13" s="76"/>
      <c r="J13" s="76"/>
      <c r="K13" s="76"/>
      <c r="L13" s="76"/>
      <c r="M13" s="76"/>
      <c r="O13" s="158" t="s">
        <v>790</v>
      </c>
      <c r="P13" s="76"/>
      <c r="Q13" s="76"/>
      <c r="R13" s="76"/>
      <c r="S13" s="76"/>
      <c r="T13" s="76"/>
      <c r="U13" s="76"/>
      <c r="V13" s="27"/>
      <c r="W13" s="76"/>
      <c r="X13" s="76"/>
      <c r="Y13" s="76"/>
      <c r="Z13" s="76"/>
      <c r="AA13" s="76"/>
      <c r="AC13" s="158" t="s">
        <v>790</v>
      </c>
      <c r="AD13" s="76"/>
      <c r="AE13" s="76">
        <f t="shared" si="1"/>
        <v>0</v>
      </c>
      <c r="AF13" s="76">
        <f t="shared" si="2"/>
        <v>0</v>
      </c>
      <c r="AG13" s="76">
        <f t="shared" si="3"/>
        <v>0</v>
      </c>
      <c r="AH13" s="76">
        <f t="shared" si="4"/>
        <v>0</v>
      </c>
      <c r="AI13" s="76">
        <f t="shared" si="5"/>
        <v>0</v>
      </c>
      <c r="AJ13" s="76">
        <f t="shared" si="6"/>
        <v>0</v>
      </c>
      <c r="AK13" s="76">
        <f t="shared" si="7"/>
        <v>0</v>
      </c>
      <c r="AL13" s="76">
        <f t="shared" si="8"/>
        <v>0</v>
      </c>
      <c r="AM13" s="76">
        <f t="shared" si="9"/>
        <v>0</v>
      </c>
      <c r="AN13" s="76">
        <f t="shared" si="10"/>
        <v>0</v>
      </c>
      <c r="AO13" s="76">
        <f t="shared" si="11"/>
        <v>0</v>
      </c>
      <c r="AQ13" s="76">
        <v>0</v>
      </c>
      <c r="AR13" s="76">
        <v>0</v>
      </c>
      <c r="AS13" s="76">
        <v>0</v>
      </c>
    </row>
    <row r="14" spans="1:45" x14ac:dyDescent="0.3">
      <c r="A14" s="158">
        <f>IF(ISBLANK(B14),"",MAX(A$6:A13)+1)</f>
        <v>7</v>
      </c>
      <c r="B14" s="159" t="s">
        <v>29</v>
      </c>
      <c r="C14" s="166"/>
      <c r="D14" s="166"/>
      <c r="E14" s="166"/>
      <c r="F14" s="166"/>
      <c r="G14" s="166"/>
      <c r="H14" s="27"/>
      <c r="I14" s="166"/>
      <c r="J14" s="166"/>
      <c r="K14" s="166"/>
      <c r="L14" s="166"/>
      <c r="M14" s="166"/>
      <c r="O14" s="158">
        <v>7</v>
      </c>
      <c r="P14" s="159" t="s">
        <v>29</v>
      </c>
      <c r="Q14" s="166"/>
      <c r="R14" s="166"/>
      <c r="S14" s="166"/>
      <c r="T14" s="166"/>
      <c r="U14" s="166"/>
      <c r="V14" s="27"/>
      <c r="W14" s="166"/>
      <c r="X14" s="166"/>
      <c r="Y14" s="166"/>
      <c r="Z14" s="166"/>
      <c r="AA14" s="166"/>
      <c r="AC14" s="158">
        <v>7</v>
      </c>
      <c r="AD14" s="159" t="s">
        <v>29</v>
      </c>
      <c r="AE14" s="166">
        <f t="shared" si="1"/>
        <v>0</v>
      </c>
      <c r="AF14" s="166">
        <f t="shared" si="2"/>
        <v>0</v>
      </c>
      <c r="AG14" s="166">
        <f t="shared" si="3"/>
        <v>0</v>
      </c>
      <c r="AH14" s="166">
        <f t="shared" si="4"/>
        <v>0</v>
      </c>
      <c r="AI14" s="166">
        <f t="shared" si="5"/>
        <v>0</v>
      </c>
      <c r="AJ14" s="166">
        <f t="shared" si="6"/>
        <v>0</v>
      </c>
      <c r="AK14" s="166">
        <f t="shared" si="7"/>
        <v>0</v>
      </c>
      <c r="AL14" s="166">
        <f t="shared" si="8"/>
        <v>0</v>
      </c>
      <c r="AM14" s="166">
        <f t="shared" si="9"/>
        <v>0</v>
      </c>
      <c r="AN14" s="166">
        <f t="shared" si="10"/>
        <v>0</v>
      </c>
      <c r="AO14" s="166">
        <f t="shared" si="11"/>
        <v>0</v>
      </c>
      <c r="AQ14" s="166">
        <v>0</v>
      </c>
      <c r="AR14" s="166">
        <v>0</v>
      </c>
      <c r="AS14" s="166">
        <v>0</v>
      </c>
    </row>
    <row r="15" spans="1:45" x14ac:dyDescent="0.3">
      <c r="A15" s="158" t="str">
        <f>IF(ISBLANK(B15),"",MAX(A$6:A14)+1)</f>
        <v/>
      </c>
      <c r="B15" s="76"/>
      <c r="C15" s="76"/>
      <c r="D15" s="76"/>
      <c r="E15" s="76"/>
      <c r="F15" s="76"/>
      <c r="G15" s="76"/>
      <c r="H15" s="27"/>
      <c r="I15" s="76"/>
      <c r="J15" s="76"/>
      <c r="K15" s="76"/>
      <c r="L15" s="76"/>
      <c r="M15" s="76"/>
      <c r="O15" s="158" t="s">
        <v>790</v>
      </c>
      <c r="P15" s="76"/>
      <c r="Q15" s="76"/>
      <c r="R15" s="76"/>
      <c r="S15" s="76"/>
      <c r="T15" s="76"/>
      <c r="U15" s="76"/>
      <c r="V15" s="27"/>
      <c r="W15" s="76"/>
      <c r="X15" s="76"/>
      <c r="Y15" s="76"/>
      <c r="Z15" s="76"/>
      <c r="AA15" s="76"/>
      <c r="AC15" s="158" t="s">
        <v>790</v>
      </c>
      <c r="AD15" s="76"/>
      <c r="AE15" s="76">
        <f t="shared" si="1"/>
        <v>0</v>
      </c>
      <c r="AF15" s="76">
        <f t="shared" si="2"/>
        <v>0</v>
      </c>
      <c r="AG15" s="76">
        <f t="shared" si="3"/>
        <v>0</v>
      </c>
      <c r="AH15" s="76">
        <f t="shared" si="4"/>
        <v>0</v>
      </c>
      <c r="AI15" s="76">
        <f t="shared" si="5"/>
        <v>0</v>
      </c>
      <c r="AJ15" s="76">
        <f t="shared" si="6"/>
        <v>0</v>
      </c>
      <c r="AK15" s="76">
        <f t="shared" si="7"/>
        <v>0</v>
      </c>
      <c r="AL15" s="76">
        <f t="shared" si="8"/>
        <v>0</v>
      </c>
      <c r="AM15" s="76">
        <f t="shared" si="9"/>
        <v>0</v>
      </c>
      <c r="AN15" s="76">
        <f t="shared" si="10"/>
        <v>0</v>
      </c>
      <c r="AO15" s="76">
        <f t="shared" si="11"/>
        <v>0</v>
      </c>
      <c r="AQ15" s="76">
        <v>0</v>
      </c>
      <c r="AR15" s="76">
        <v>0</v>
      </c>
      <c r="AS15" s="76">
        <v>0</v>
      </c>
    </row>
    <row r="16" spans="1:45" x14ac:dyDescent="0.3">
      <c r="A16" s="158">
        <f>IF(ISBLANK(B16),"",MAX(A$6:A15)+1)</f>
        <v>8</v>
      </c>
      <c r="B16" s="159" t="s">
        <v>30</v>
      </c>
      <c r="C16" s="166"/>
      <c r="D16" s="166"/>
      <c r="E16" s="166"/>
      <c r="F16" s="166"/>
      <c r="G16" s="166"/>
      <c r="H16" s="27"/>
      <c r="I16" s="166"/>
      <c r="J16" s="166"/>
      <c r="K16" s="166"/>
      <c r="L16" s="166"/>
      <c r="M16" s="166"/>
      <c r="O16" s="158">
        <v>8</v>
      </c>
      <c r="P16" s="159" t="s">
        <v>30</v>
      </c>
      <c r="Q16" s="166"/>
      <c r="R16" s="166"/>
      <c r="S16" s="166"/>
      <c r="T16" s="166"/>
      <c r="U16" s="166"/>
      <c r="V16" s="27"/>
      <c r="W16" s="166"/>
      <c r="X16" s="166"/>
      <c r="Y16" s="166"/>
      <c r="Z16" s="166"/>
      <c r="AA16" s="166"/>
      <c r="AC16" s="158">
        <v>8</v>
      </c>
      <c r="AD16" s="159" t="s">
        <v>30</v>
      </c>
      <c r="AE16" s="166">
        <f t="shared" si="1"/>
        <v>0</v>
      </c>
      <c r="AF16" s="166">
        <f t="shared" si="2"/>
        <v>0</v>
      </c>
      <c r="AG16" s="166">
        <f t="shared" si="3"/>
        <v>0</v>
      </c>
      <c r="AH16" s="166">
        <f t="shared" si="4"/>
        <v>0</v>
      </c>
      <c r="AI16" s="166">
        <f t="shared" si="5"/>
        <v>0</v>
      </c>
      <c r="AJ16" s="166">
        <f t="shared" si="6"/>
        <v>0</v>
      </c>
      <c r="AK16" s="166">
        <f t="shared" si="7"/>
        <v>0</v>
      </c>
      <c r="AL16" s="166">
        <f t="shared" si="8"/>
        <v>0</v>
      </c>
      <c r="AM16" s="166">
        <f t="shared" si="9"/>
        <v>0</v>
      </c>
      <c r="AN16" s="166">
        <f t="shared" si="10"/>
        <v>0</v>
      </c>
      <c r="AO16" s="166">
        <f t="shared" si="11"/>
        <v>0</v>
      </c>
      <c r="AQ16" s="166">
        <v>0</v>
      </c>
      <c r="AR16" s="166">
        <v>0</v>
      </c>
      <c r="AS16" s="166">
        <v>0</v>
      </c>
    </row>
    <row r="17" spans="1:45" x14ac:dyDescent="0.3">
      <c r="A17" s="158">
        <f>IF(ISBLANK(B17),"",MAX(A$6:A16)+1)</f>
        <v>9</v>
      </c>
      <c r="B17" s="160" t="s">
        <v>31</v>
      </c>
      <c r="C17" s="162">
        <v>0</v>
      </c>
      <c r="D17" s="162"/>
      <c r="E17" s="162"/>
      <c r="F17" s="162"/>
      <c r="G17" s="162">
        <f>SUM(C17:F17)</f>
        <v>0</v>
      </c>
      <c r="H17" s="26"/>
      <c r="I17" s="162">
        <f>G17*(1+H17)^(28/12)</f>
        <v>0</v>
      </c>
      <c r="J17" s="162"/>
      <c r="K17" s="162"/>
      <c r="L17" s="162"/>
      <c r="M17" s="162">
        <f>SUM(I17:L17)</f>
        <v>0</v>
      </c>
      <c r="O17" s="158">
        <v>9</v>
      </c>
      <c r="P17" s="160" t="s">
        <v>31</v>
      </c>
      <c r="Q17" s="162">
        <v>0</v>
      </c>
      <c r="R17" s="162"/>
      <c r="S17" s="162"/>
      <c r="T17" s="162"/>
      <c r="U17" s="162">
        <v>0</v>
      </c>
      <c r="V17" s="26"/>
      <c r="W17" s="162">
        <v>0</v>
      </c>
      <c r="X17" s="162"/>
      <c r="Y17" s="162"/>
      <c r="Z17" s="162"/>
      <c r="AA17" s="162">
        <v>0</v>
      </c>
      <c r="AC17" s="158">
        <v>9</v>
      </c>
      <c r="AD17" s="160" t="s">
        <v>31</v>
      </c>
      <c r="AE17" s="162">
        <f t="shared" si="1"/>
        <v>0</v>
      </c>
      <c r="AF17" s="162">
        <f t="shared" si="2"/>
        <v>0</v>
      </c>
      <c r="AG17" s="162">
        <f t="shared" si="3"/>
        <v>0</v>
      </c>
      <c r="AH17" s="162">
        <f t="shared" si="4"/>
        <v>0</v>
      </c>
      <c r="AI17" s="162">
        <f t="shared" si="5"/>
        <v>0</v>
      </c>
      <c r="AJ17" s="162">
        <f t="shared" si="6"/>
        <v>0</v>
      </c>
      <c r="AK17" s="162">
        <f t="shared" si="7"/>
        <v>0</v>
      </c>
      <c r="AL17" s="162">
        <f t="shared" si="8"/>
        <v>0</v>
      </c>
      <c r="AM17" s="162">
        <f t="shared" si="9"/>
        <v>0</v>
      </c>
      <c r="AN17" s="162">
        <f t="shared" si="10"/>
        <v>0</v>
      </c>
      <c r="AO17" s="162">
        <f t="shared" si="11"/>
        <v>0</v>
      </c>
      <c r="AQ17" s="162">
        <v>0</v>
      </c>
      <c r="AR17" s="162">
        <v>0</v>
      </c>
      <c r="AS17" s="162">
        <v>0</v>
      </c>
    </row>
    <row r="18" spans="1:45" x14ac:dyDescent="0.3">
      <c r="A18" s="158">
        <f>IF(ISBLANK(B18),"",MAX(A$6:A17)+1)</f>
        <v>10</v>
      </c>
      <c r="B18" s="160" t="s">
        <v>32</v>
      </c>
      <c r="C18" s="162">
        <v>0</v>
      </c>
      <c r="D18" s="162"/>
      <c r="E18" s="162"/>
      <c r="F18" s="162"/>
      <c r="G18" s="162">
        <f>SUM(C18:F18)</f>
        <v>0</v>
      </c>
      <c r="H18" s="26"/>
      <c r="I18" s="162">
        <f>G18*(1+H18)^(28/12)</f>
        <v>0</v>
      </c>
      <c r="J18" s="162"/>
      <c r="K18" s="162"/>
      <c r="L18" s="162"/>
      <c r="M18" s="162">
        <f>SUM(I18:L18)</f>
        <v>0</v>
      </c>
      <c r="O18" s="158">
        <v>10</v>
      </c>
      <c r="P18" s="160" t="s">
        <v>32</v>
      </c>
      <c r="Q18" s="162">
        <v>0</v>
      </c>
      <c r="R18" s="162"/>
      <c r="S18" s="162"/>
      <c r="T18" s="162"/>
      <c r="U18" s="162">
        <v>0</v>
      </c>
      <c r="V18" s="26"/>
      <c r="W18" s="162">
        <v>0</v>
      </c>
      <c r="X18" s="162"/>
      <c r="Y18" s="162"/>
      <c r="Z18" s="162"/>
      <c r="AA18" s="162">
        <v>0</v>
      </c>
      <c r="AC18" s="158">
        <v>10</v>
      </c>
      <c r="AD18" s="160" t="s">
        <v>32</v>
      </c>
      <c r="AE18" s="162">
        <f t="shared" si="1"/>
        <v>0</v>
      </c>
      <c r="AF18" s="162">
        <f t="shared" si="2"/>
        <v>0</v>
      </c>
      <c r="AG18" s="162">
        <f t="shared" si="3"/>
        <v>0</v>
      </c>
      <c r="AH18" s="162">
        <f t="shared" si="4"/>
        <v>0</v>
      </c>
      <c r="AI18" s="162">
        <f t="shared" si="5"/>
        <v>0</v>
      </c>
      <c r="AJ18" s="162">
        <f t="shared" si="6"/>
        <v>0</v>
      </c>
      <c r="AK18" s="162">
        <f t="shared" si="7"/>
        <v>0</v>
      </c>
      <c r="AL18" s="162">
        <f t="shared" si="8"/>
        <v>0</v>
      </c>
      <c r="AM18" s="162">
        <f t="shared" si="9"/>
        <v>0</v>
      </c>
      <c r="AN18" s="162">
        <f t="shared" si="10"/>
        <v>0</v>
      </c>
      <c r="AO18" s="162">
        <f t="shared" si="11"/>
        <v>0</v>
      </c>
      <c r="AQ18" s="162">
        <v>0</v>
      </c>
      <c r="AR18" s="162">
        <v>0</v>
      </c>
      <c r="AS18" s="162">
        <v>0</v>
      </c>
    </row>
    <row r="19" spans="1:45" x14ac:dyDescent="0.3">
      <c r="A19" s="158">
        <f>IF(ISBLANK(B19),"",MAX(A$6:A18)+1)</f>
        <v>11</v>
      </c>
      <c r="B19" s="160" t="s">
        <v>33</v>
      </c>
      <c r="C19" s="162">
        <v>0</v>
      </c>
      <c r="D19" s="162"/>
      <c r="E19" s="162"/>
      <c r="F19" s="162"/>
      <c r="G19" s="162">
        <f>SUM(C19:F19)</f>
        <v>0</v>
      </c>
      <c r="H19" s="26"/>
      <c r="I19" s="162">
        <f>G19*(1+H19)^(28/12)</f>
        <v>0</v>
      </c>
      <c r="J19" s="162"/>
      <c r="K19" s="162"/>
      <c r="L19" s="162"/>
      <c r="M19" s="162">
        <f>SUM(I19:L19)</f>
        <v>0</v>
      </c>
      <c r="O19" s="158">
        <v>11</v>
      </c>
      <c r="P19" s="160" t="s">
        <v>33</v>
      </c>
      <c r="Q19" s="162">
        <v>0</v>
      </c>
      <c r="R19" s="162"/>
      <c r="S19" s="162"/>
      <c r="T19" s="162"/>
      <c r="U19" s="162">
        <v>0</v>
      </c>
      <c r="V19" s="26"/>
      <c r="W19" s="162">
        <v>0</v>
      </c>
      <c r="X19" s="162"/>
      <c r="Y19" s="162"/>
      <c r="Z19" s="162"/>
      <c r="AA19" s="162">
        <v>0</v>
      </c>
      <c r="AC19" s="158">
        <v>11</v>
      </c>
      <c r="AD19" s="160" t="s">
        <v>33</v>
      </c>
      <c r="AE19" s="162">
        <f t="shared" si="1"/>
        <v>0</v>
      </c>
      <c r="AF19" s="162">
        <f t="shared" si="2"/>
        <v>0</v>
      </c>
      <c r="AG19" s="162">
        <f t="shared" si="3"/>
        <v>0</v>
      </c>
      <c r="AH19" s="162">
        <f t="shared" si="4"/>
        <v>0</v>
      </c>
      <c r="AI19" s="162">
        <f t="shared" si="5"/>
        <v>0</v>
      </c>
      <c r="AJ19" s="162">
        <f t="shared" si="6"/>
        <v>0</v>
      </c>
      <c r="AK19" s="162">
        <f t="shared" si="7"/>
        <v>0</v>
      </c>
      <c r="AL19" s="162">
        <f t="shared" si="8"/>
        <v>0</v>
      </c>
      <c r="AM19" s="162">
        <f t="shared" si="9"/>
        <v>0</v>
      </c>
      <c r="AN19" s="162">
        <f t="shared" si="10"/>
        <v>0</v>
      </c>
      <c r="AO19" s="162">
        <f t="shared" si="11"/>
        <v>0</v>
      </c>
      <c r="AQ19" s="162">
        <v>0</v>
      </c>
      <c r="AR19" s="162">
        <v>0</v>
      </c>
      <c r="AS19" s="162">
        <v>0</v>
      </c>
    </row>
    <row r="20" spans="1:45" x14ac:dyDescent="0.3">
      <c r="A20" s="158">
        <f>IF(ISBLANK(B20),"",MAX(A$6:A19)+1)</f>
        <v>12</v>
      </c>
      <c r="B20" s="160" t="s">
        <v>34</v>
      </c>
      <c r="C20" s="163">
        <v>0</v>
      </c>
      <c r="D20" s="163"/>
      <c r="E20" s="163"/>
      <c r="F20" s="163"/>
      <c r="G20" s="163">
        <f>SUM(C20:F20)</f>
        <v>0</v>
      </c>
      <c r="H20" s="26"/>
      <c r="I20" s="163">
        <f>G20*(1+H20)^(28/12)</f>
        <v>0</v>
      </c>
      <c r="J20" s="163"/>
      <c r="K20" s="163"/>
      <c r="L20" s="163"/>
      <c r="M20" s="163">
        <f>SUM(I20:L20)</f>
        <v>0</v>
      </c>
      <c r="O20" s="158">
        <v>12</v>
      </c>
      <c r="P20" s="160" t="s">
        <v>34</v>
      </c>
      <c r="Q20" s="163">
        <v>0</v>
      </c>
      <c r="R20" s="163"/>
      <c r="S20" s="163"/>
      <c r="T20" s="163"/>
      <c r="U20" s="163">
        <v>0</v>
      </c>
      <c r="V20" s="26"/>
      <c r="W20" s="163">
        <v>0</v>
      </c>
      <c r="X20" s="163"/>
      <c r="Y20" s="163"/>
      <c r="Z20" s="163"/>
      <c r="AA20" s="163">
        <v>0</v>
      </c>
      <c r="AC20" s="158">
        <v>12</v>
      </c>
      <c r="AD20" s="160" t="s">
        <v>34</v>
      </c>
      <c r="AE20" s="163">
        <f t="shared" si="1"/>
        <v>0</v>
      </c>
      <c r="AF20" s="163">
        <f t="shared" si="2"/>
        <v>0</v>
      </c>
      <c r="AG20" s="163">
        <f t="shared" si="3"/>
        <v>0</v>
      </c>
      <c r="AH20" s="163">
        <f t="shared" si="4"/>
        <v>0</v>
      </c>
      <c r="AI20" s="163">
        <f t="shared" si="5"/>
        <v>0</v>
      </c>
      <c r="AJ20" s="163">
        <f t="shared" si="6"/>
        <v>0</v>
      </c>
      <c r="AK20" s="163">
        <f t="shared" si="7"/>
        <v>0</v>
      </c>
      <c r="AL20" s="163">
        <f t="shared" si="8"/>
        <v>0</v>
      </c>
      <c r="AM20" s="163">
        <f t="shared" si="9"/>
        <v>0</v>
      </c>
      <c r="AN20" s="163">
        <f t="shared" si="10"/>
        <v>0</v>
      </c>
      <c r="AO20" s="163">
        <f t="shared" si="11"/>
        <v>0</v>
      </c>
      <c r="AQ20" s="163">
        <v>0</v>
      </c>
      <c r="AR20" s="163">
        <v>0</v>
      </c>
      <c r="AS20" s="163">
        <v>0</v>
      </c>
    </row>
    <row r="21" spans="1:45" x14ac:dyDescent="0.3">
      <c r="A21" s="158">
        <f>IF(ISBLANK(B21),"",MAX(A$6:A20)+1)</f>
        <v>13</v>
      </c>
      <c r="B21" s="164" t="s">
        <v>35</v>
      </c>
      <c r="C21" s="165">
        <f>SUM(C17:C20)</f>
        <v>0</v>
      </c>
      <c r="D21" s="165"/>
      <c r="E21" s="165"/>
      <c r="F21" s="165">
        <f>SUM(F17:F20)</f>
        <v>0</v>
      </c>
      <c r="G21" s="165">
        <f>SUM(G17:G20)</f>
        <v>0</v>
      </c>
      <c r="H21" s="27"/>
      <c r="I21" s="165">
        <f>SUM(I17:I20)</f>
        <v>0</v>
      </c>
      <c r="J21" s="165">
        <f>SUM(J17:J20)</f>
        <v>0</v>
      </c>
      <c r="K21" s="165">
        <f>SUM(K17:K20)</f>
        <v>0</v>
      </c>
      <c r="L21" s="165">
        <f>SUM(L17:L20)</f>
        <v>0</v>
      </c>
      <c r="M21" s="165">
        <f>SUM(M17:M20)</f>
        <v>0</v>
      </c>
      <c r="O21" s="158">
        <v>13</v>
      </c>
      <c r="P21" s="164" t="s">
        <v>35</v>
      </c>
      <c r="Q21" s="165">
        <v>0</v>
      </c>
      <c r="R21" s="165"/>
      <c r="S21" s="165"/>
      <c r="T21" s="165">
        <v>0</v>
      </c>
      <c r="U21" s="165">
        <v>0</v>
      </c>
      <c r="V21" s="27"/>
      <c r="W21" s="165">
        <v>0</v>
      </c>
      <c r="X21" s="165">
        <v>0</v>
      </c>
      <c r="Y21" s="165">
        <v>0</v>
      </c>
      <c r="Z21" s="165">
        <v>0</v>
      </c>
      <c r="AA21" s="165">
        <v>0</v>
      </c>
      <c r="AC21" s="158">
        <v>13</v>
      </c>
      <c r="AD21" s="164" t="s">
        <v>35</v>
      </c>
      <c r="AE21" s="165">
        <f t="shared" si="1"/>
        <v>0</v>
      </c>
      <c r="AF21" s="165">
        <f t="shared" si="2"/>
        <v>0</v>
      </c>
      <c r="AG21" s="165">
        <f t="shared" si="3"/>
        <v>0</v>
      </c>
      <c r="AH21" s="165">
        <f t="shared" si="4"/>
        <v>0</v>
      </c>
      <c r="AI21" s="165">
        <f t="shared" si="5"/>
        <v>0</v>
      </c>
      <c r="AJ21" s="165">
        <f t="shared" si="6"/>
        <v>0</v>
      </c>
      <c r="AK21" s="165">
        <f t="shared" si="7"/>
        <v>0</v>
      </c>
      <c r="AL21" s="165">
        <f t="shared" si="8"/>
        <v>0</v>
      </c>
      <c r="AM21" s="165">
        <f t="shared" si="9"/>
        <v>0</v>
      </c>
      <c r="AN21" s="165">
        <f t="shared" si="10"/>
        <v>0</v>
      </c>
      <c r="AO21" s="165">
        <f t="shared" si="11"/>
        <v>0</v>
      </c>
      <c r="AQ21" s="165">
        <v>0</v>
      </c>
      <c r="AR21" s="165">
        <v>0</v>
      </c>
      <c r="AS21" s="165">
        <v>0</v>
      </c>
    </row>
    <row r="22" spans="1:45" x14ac:dyDescent="0.3">
      <c r="A22" s="158" t="str">
        <f>IF(ISBLANK(B22),"",MAX(A$6:A21)+1)</f>
        <v/>
      </c>
      <c r="B22" s="167"/>
      <c r="C22" s="168"/>
      <c r="D22" s="168"/>
      <c r="E22" s="168"/>
      <c r="F22" s="168"/>
      <c r="G22" s="168"/>
      <c r="H22" s="27"/>
      <c r="I22" s="168"/>
      <c r="J22" s="168"/>
      <c r="K22" s="168"/>
      <c r="L22" s="168"/>
      <c r="M22" s="168"/>
      <c r="O22" s="158" t="s">
        <v>790</v>
      </c>
      <c r="P22" s="167"/>
      <c r="Q22" s="168"/>
      <c r="R22" s="168"/>
      <c r="S22" s="168"/>
      <c r="T22" s="168"/>
      <c r="U22" s="168"/>
      <c r="V22" s="27"/>
      <c r="W22" s="168"/>
      <c r="X22" s="168"/>
      <c r="Y22" s="168"/>
      <c r="Z22" s="168"/>
      <c r="AA22" s="168"/>
      <c r="AC22" s="158" t="s">
        <v>790</v>
      </c>
      <c r="AD22" s="167"/>
      <c r="AE22" s="168">
        <f t="shared" si="1"/>
        <v>0</v>
      </c>
      <c r="AF22" s="168">
        <f t="shared" si="2"/>
        <v>0</v>
      </c>
      <c r="AG22" s="168">
        <f t="shared" si="3"/>
        <v>0</v>
      </c>
      <c r="AH22" s="168">
        <f t="shared" si="4"/>
        <v>0</v>
      </c>
      <c r="AI22" s="168">
        <f t="shared" si="5"/>
        <v>0</v>
      </c>
      <c r="AJ22" s="168">
        <f t="shared" si="6"/>
        <v>0</v>
      </c>
      <c r="AK22" s="168">
        <f t="shared" si="7"/>
        <v>0</v>
      </c>
      <c r="AL22" s="168">
        <f t="shared" si="8"/>
        <v>0</v>
      </c>
      <c r="AM22" s="168">
        <f t="shared" si="9"/>
        <v>0</v>
      </c>
      <c r="AN22" s="168">
        <f t="shared" si="10"/>
        <v>0</v>
      </c>
      <c r="AO22" s="168">
        <f t="shared" si="11"/>
        <v>0</v>
      </c>
      <c r="AQ22" s="168">
        <v>0</v>
      </c>
      <c r="AR22" s="168">
        <v>0</v>
      </c>
      <c r="AS22" s="168">
        <v>0</v>
      </c>
    </row>
    <row r="23" spans="1:45" x14ac:dyDescent="0.3">
      <c r="A23" s="158">
        <f>IF(ISBLANK(B23),"",MAX(A$6:A22)+1)</f>
        <v>14</v>
      </c>
      <c r="B23" s="169" t="s">
        <v>36</v>
      </c>
      <c r="C23" s="161">
        <v>127132037.69018357</v>
      </c>
      <c r="D23" s="161">
        <v>-18854857.18</v>
      </c>
      <c r="E23" s="161"/>
      <c r="F23" s="161"/>
      <c r="G23" s="161">
        <f t="shared" ref="G23:G37" si="12">SUM(C23:F23)</f>
        <v>108277180.51018357</v>
      </c>
      <c r="H23" s="26">
        <f ca="1">Elect_OMDetail!D30</f>
        <v>2.2058288256380676E-2</v>
      </c>
      <c r="I23" s="161">
        <f t="shared" ref="I23:I29" ca="1" si="13">G23*(1+H23)^(28/12)</f>
        <v>113932288.80731113</v>
      </c>
      <c r="J23" s="161"/>
      <c r="K23" s="161"/>
      <c r="L23" s="161"/>
      <c r="M23" s="161">
        <f t="shared" ref="M23:M35" ca="1" si="14">SUM(I23:L23)</f>
        <v>113932288.80731113</v>
      </c>
      <c r="O23" s="158">
        <v>14</v>
      </c>
      <c r="P23" s="169" t="s">
        <v>36</v>
      </c>
      <c r="Q23" s="161">
        <v>127132037.69018357</v>
      </c>
      <c r="R23" s="161">
        <v>-18854857.18</v>
      </c>
      <c r="S23" s="161"/>
      <c r="T23" s="161"/>
      <c r="U23" s="161">
        <v>108277180.51018357</v>
      </c>
      <c r="V23" s="26">
        <v>2.2058288256380676E-2</v>
      </c>
      <c r="W23" s="161">
        <v>113932288.80731113</v>
      </c>
      <c r="X23" s="161"/>
      <c r="Y23" s="161"/>
      <c r="Z23" s="161"/>
      <c r="AA23" s="161">
        <v>113932288.80731113</v>
      </c>
      <c r="AC23" s="158">
        <v>14</v>
      </c>
      <c r="AD23" s="169" t="s">
        <v>36</v>
      </c>
      <c r="AE23" s="161">
        <f t="shared" si="1"/>
        <v>0</v>
      </c>
      <c r="AF23" s="161">
        <f t="shared" si="2"/>
        <v>0</v>
      </c>
      <c r="AG23" s="161">
        <f t="shared" si="3"/>
        <v>0</v>
      </c>
      <c r="AH23" s="161">
        <f t="shared" si="4"/>
        <v>0</v>
      </c>
      <c r="AI23" s="161">
        <f t="shared" si="5"/>
        <v>0</v>
      </c>
      <c r="AJ23" s="161">
        <f t="shared" ca="1" si="6"/>
        <v>0</v>
      </c>
      <c r="AK23" s="161">
        <f t="shared" ca="1" si="7"/>
        <v>0</v>
      </c>
      <c r="AL23" s="161">
        <f t="shared" si="8"/>
        <v>0</v>
      </c>
      <c r="AM23" s="161">
        <f t="shared" si="9"/>
        <v>0</v>
      </c>
      <c r="AN23" s="161">
        <f t="shared" si="10"/>
        <v>0</v>
      </c>
      <c r="AO23" s="161">
        <f t="shared" ca="1" si="11"/>
        <v>0</v>
      </c>
      <c r="AQ23" s="161">
        <v>0</v>
      </c>
      <c r="AR23" s="161">
        <v>0</v>
      </c>
      <c r="AS23" s="161">
        <v>0</v>
      </c>
    </row>
    <row r="24" spans="1:45" x14ac:dyDescent="0.3">
      <c r="A24" s="158">
        <f>IF(ISBLANK(B24),"",MAX(A$6:A23)+1)</f>
        <v>15</v>
      </c>
      <c r="B24" s="167" t="s">
        <v>37</v>
      </c>
      <c r="C24" s="162">
        <v>24319869.025746707</v>
      </c>
      <c r="D24" s="162"/>
      <c r="E24" s="162"/>
      <c r="F24" s="162"/>
      <c r="G24" s="162">
        <f t="shared" si="12"/>
        <v>24319869.025746707</v>
      </c>
      <c r="H24" s="26">
        <f ca="1">Elect_OMDetail!$D$85</f>
        <v>2.3221538863637203E-2</v>
      </c>
      <c r="I24" s="162">
        <f t="shared" ca="1" si="13"/>
        <v>25658059.22110616</v>
      </c>
      <c r="J24" s="162"/>
      <c r="K24" s="162"/>
      <c r="L24" s="162"/>
      <c r="M24" s="162">
        <f t="shared" ca="1" si="14"/>
        <v>25658059.22110616</v>
      </c>
      <c r="O24" s="158">
        <v>15</v>
      </c>
      <c r="P24" s="167" t="s">
        <v>37</v>
      </c>
      <c r="Q24" s="162">
        <v>24319869.025746707</v>
      </c>
      <c r="R24" s="162"/>
      <c r="S24" s="162"/>
      <c r="T24" s="162"/>
      <c r="U24" s="162">
        <v>24319869.025746707</v>
      </c>
      <c r="V24" s="26">
        <v>2.3221538863637203E-2</v>
      </c>
      <c r="W24" s="162">
        <v>25658059.22110616</v>
      </c>
      <c r="X24" s="162"/>
      <c r="Y24" s="162"/>
      <c r="Z24" s="162"/>
      <c r="AA24" s="162">
        <v>25658059.22110616</v>
      </c>
      <c r="AC24" s="158">
        <v>15</v>
      </c>
      <c r="AD24" s="167" t="s">
        <v>37</v>
      </c>
      <c r="AE24" s="162">
        <f t="shared" si="1"/>
        <v>0</v>
      </c>
      <c r="AF24" s="162">
        <f t="shared" si="2"/>
        <v>0</v>
      </c>
      <c r="AG24" s="162">
        <f t="shared" si="3"/>
        <v>0</v>
      </c>
      <c r="AH24" s="162">
        <f t="shared" si="4"/>
        <v>0</v>
      </c>
      <c r="AI24" s="162">
        <f t="shared" si="5"/>
        <v>0</v>
      </c>
      <c r="AJ24" s="162">
        <f t="shared" ca="1" si="6"/>
        <v>0</v>
      </c>
      <c r="AK24" s="162">
        <f t="shared" ca="1" si="7"/>
        <v>0</v>
      </c>
      <c r="AL24" s="162">
        <f t="shared" si="8"/>
        <v>0</v>
      </c>
      <c r="AM24" s="162">
        <f t="shared" si="9"/>
        <v>0</v>
      </c>
      <c r="AN24" s="162">
        <f t="shared" si="10"/>
        <v>0</v>
      </c>
      <c r="AO24" s="162">
        <f t="shared" ca="1" si="11"/>
        <v>0</v>
      </c>
      <c r="AQ24" s="162">
        <v>0</v>
      </c>
      <c r="AR24" s="162">
        <v>0</v>
      </c>
      <c r="AS24" s="162">
        <v>0</v>
      </c>
    </row>
    <row r="25" spans="1:45" x14ac:dyDescent="0.3">
      <c r="A25" s="158">
        <f>IF(ISBLANK(B25),"",MAX(A$6:A24)+1)</f>
        <v>16</v>
      </c>
      <c r="B25" s="167" t="s">
        <v>38</v>
      </c>
      <c r="C25" s="162">
        <v>83321444.144423828</v>
      </c>
      <c r="D25" s="162"/>
      <c r="E25" s="162"/>
      <c r="F25" s="162"/>
      <c r="G25" s="162">
        <f t="shared" si="12"/>
        <v>83321444.144423828</v>
      </c>
      <c r="H25" s="26">
        <f ca="1">Elect_OMDetail!$D$85</f>
        <v>2.3221538863637203E-2</v>
      </c>
      <c r="I25" s="162">
        <f t="shared" ca="1" si="13"/>
        <v>87906170.299783334</v>
      </c>
      <c r="J25" s="162"/>
      <c r="K25" s="162"/>
      <c r="L25" s="162"/>
      <c r="M25" s="162">
        <f t="shared" ca="1" si="14"/>
        <v>87906170.299783334</v>
      </c>
      <c r="O25" s="158">
        <v>16</v>
      </c>
      <c r="P25" s="167" t="s">
        <v>38</v>
      </c>
      <c r="Q25" s="162">
        <v>83321444.144423828</v>
      </c>
      <c r="R25" s="162"/>
      <c r="S25" s="162"/>
      <c r="T25" s="162"/>
      <c r="U25" s="162">
        <v>83321444.144423828</v>
      </c>
      <c r="V25" s="26">
        <v>2.3221538863637203E-2</v>
      </c>
      <c r="W25" s="162">
        <v>87906170.299783334</v>
      </c>
      <c r="X25" s="162"/>
      <c r="Y25" s="162"/>
      <c r="Z25" s="162"/>
      <c r="AA25" s="162">
        <v>87906170.299783334</v>
      </c>
      <c r="AC25" s="158">
        <v>16</v>
      </c>
      <c r="AD25" s="167" t="s">
        <v>38</v>
      </c>
      <c r="AE25" s="162">
        <f t="shared" si="1"/>
        <v>0</v>
      </c>
      <c r="AF25" s="162">
        <f t="shared" si="2"/>
        <v>0</v>
      </c>
      <c r="AG25" s="162">
        <f t="shared" si="3"/>
        <v>0</v>
      </c>
      <c r="AH25" s="162">
        <f t="shared" si="4"/>
        <v>0</v>
      </c>
      <c r="AI25" s="162">
        <f t="shared" si="5"/>
        <v>0</v>
      </c>
      <c r="AJ25" s="162">
        <f t="shared" ca="1" si="6"/>
        <v>0</v>
      </c>
      <c r="AK25" s="162">
        <f t="shared" ca="1" si="7"/>
        <v>0</v>
      </c>
      <c r="AL25" s="162">
        <f t="shared" si="8"/>
        <v>0</v>
      </c>
      <c r="AM25" s="162">
        <f t="shared" si="9"/>
        <v>0</v>
      </c>
      <c r="AN25" s="162">
        <f t="shared" si="10"/>
        <v>0</v>
      </c>
      <c r="AO25" s="162">
        <f t="shared" ca="1" si="11"/>
        <v>0</v>
      </c>
      <c r="AQ25" s="162">
        <v>0</v>
      </c>
      <c r="AR25" s="162">
        <v>0</v>
      </c>
      <c r="AS25" s="162">
        <v>0</v>
      </c>
    </row>
    <row r="26" spans="1:45" x14ac:dyDescent="0.3">
      <c r="A26" s="158">
        <f>IF(ISBLANK(B26),"",MAX(A$6:A25)+1)</f>
        <v>17</v>
      </c>
      <c r="B26" s="167" t="s">
        <v>39</v>
      </c>
      <c r="C26" s="162">
        <v>46167382.991353795</v>
      </c>
      <c r="D26" s="162"/>
      <c r="E26" s="162"/>
      <c r="F26" s="162"/>
      <c r="G26" s="162">
        <f t="shared" si="12"/>
        <v>46167382.991353795</v>
      </c>
      <c r="H26" s="170">
        <f ca="1">Elect_OMDetail!$D$140</f>
        <v>2.4518113913641004E-2</v>
      </c>
      <c r="I26" s="162">
        <f t="shared" ca="1" si="13"/>
        <v>48851858.096508332</v>
      </c>
      <c r="J26" s="162"/>
      <c r="K26" s="162"/>
      <c r="L26" s="162"/>
      <c r="M26" s="162">
        <f t="shared" ca="1" si="14"/>
        <v>48851858.096508332</v>
      </c>
      <c r="O26" s="158">
        <v>17</v>
      </c>
      <c r="P26" s="167" t="s">
        <v>39</v>
      </c>
      <c r="Q26" s="162">
        <v>46167382.991353795</v>
      </c>
      <c r="R26" s="162"/>
      <c r="S26" s="162"/>
      <c r="T26" s="162"/>
      <c r="U26" s="162">
        <v>46167382.991353795</v>
      </c>
      <c r="V26" s="170">
        <v>2.4518113913641004E-2</v>
      </c>
      <c r="W26" s="162">
        <v>48851858.096508332</v>
      </c>
      <c r="X26" s="162"/>
      <c r="Y26" s="162"/>
      <c r="Z26" s="162"/>
      <c r="AA26" s="162">
        <v>48851858.096508332</v>
      </c>
      <c r="AC26" s="158">
        <v>17</v>
      </c>
      <c r="AD26" s="167" t="s">
        <v>39</v>
      </c>
      <c r="AE26" s="162">
        <f t="shared" si="1"/>
        <v>0</v>
      </c>
      <c r="AF26" s="162">
        <f t="shared" si="2"/>
        <v>0</v>
      </c>
      <c r="AG26" s="162">
        <f t="shared" si="3"/>
        <v>0</v>
      </c>
      <c r="AH26" s="162">
        <f t="shared" si="4"/>
        <v>0</v>
      </c>
      <c r="AI26" s="162">
        <f t="shared" si="5"/>
        <v>0</v>
      </c>
      <c r="AJ26" s="162">
        <f t="shared" ca="1" si="6"/>
        <v>0</v>
      </c>
      <c r="AK26" s="162">
        <f t="shared" ca="1" si="7"/>
        <v>0</v>
      </c>
      <c r="AL26" s="162">
        <f t="shared" si="8"/>
        <v>0</v>
      </c>
      <c r="AM26" s="162">
        <f t="shared" si="9"/>
        <v>0</v>
      </c>
      <c r="AN26" s="162">
        <f t="shared" si="10"/>
        <v>0</v>
      </c>
      <c r="AO26" s="162">
        <f t="shared" ca="1" si="11"/>
        <v>0</v>
      </c>
      <c r="AQ26" s="162">
        <v>0</v>
      </c>
      <c r="AR26" s="162">
        <v>0</v>
      </c>
      <c r="AS26" s="162">
        <v>0</v>
      </c>
    </row>
    <row r="27" spans="1:45" x14ac:dyDescent="0.3">
      <c r="A27" s="158">
        <f>IF(ISBLANK(B27),"",MAX(A$6:A26)+1)</f>
        <v>18</v>
      </c>
      <c r="B27" s="167" t="s">
        <v>40</v>
      </c>
      <c r="C27" s="162">
        <v>4015681.2075902633</v>
      </c>
      <c r="D27" s="162"/>
      <c r="E27" s="162"/>
      <c r="F27" s="162"/>
      <c r="G27" s="162">
        <f t="shared" si="12"/>
        <v>4015681.2075902633</v>
      </c>
      <c r="H27" s="26">
        <f ca="1">Elect_OMDetail!$D$140</f>
        <v>2.4518113913641004E-2</v>
      </c>
      <c r="I27" s="162">
        <f t="shared" ca="1" si="13"/>
        <v>4249179.3080572495</v>
      </c>
      <c r="J27" s="162"/>
      <c r="K27" s="162"/>
      <c r="L27" s="162"/>
      <c r="M27" s="162">
        <f t="shared" ca="1" si="14"/>
        <v>4249179.3080572495</v>
      </c>
      <c r="O27" s="158">
        <v>18</v>
      </c>
      <c r="P27" s="167" t="s">
        <v>40</v>
      </c>
      <c r="Q27" s="162">
        <v>4015681.2075902633</v>
      </c>
      <c r="R27" s="162"/>
      <c r="S27" s="162"/>
      <c r="T27" s="162"/>
      <c r="U27" s="162">
        <v>4015681.2075902633</v>
      </c>
      <c r="V27" s="26">
        <v>2.4518113913641004E-2</v>
      </c>
      <c r="W27" s="162">
        <v>4249179.3080572495</v>
      </c>
      <c r="X27" s="162"/>
      <c r="Y27" s="162"/>
      <c r="Z27" s="162"/>
      <c r="AA27" s="162">
        <v>4249179.3080572495</v>
      </c>
      <c r="AC27" s="158">
        <v>18</v>
      </c>
      <c r="AD27" s="167" t="s">
        <v>40</v>
      </c>
      <c r="AE27" s="162">
        <f t="shared" si="1"/>
        <v>0</v>
      </c>
      <c r="AF27" s="162">
        <f t="shared" si="2"/>
        <v>0</v>
      </c>
      <c r="AG27" s="162">
        <f t="shared" si="3"/>
        <v>0</v>
      </c>
      <c r="AH27" s="162">
        <f t="shared" si="4"/>
        <v>0</v>
      </c>
      <c r="AI27" s="162">
        <f t="shared" si="5"/>
        <v>0</v>
      </c>
      <c r="AJ27" s="162">
        <f t="shared" ca="1" si="6"/>
        <v>0</v>
      </c>
      <c r="AK27" s="162">
        <f t="shared" ca="1" si="7"/>
        <v>0</v>
      </c>
      <c r="AL27" s="162">
        <f t="shared" si="8"/>
        <v>0</v>
      </c>
      <c r="AM27" s="162">
        <f t="shared" si="9"/>
        <v>0</v>
      </c>
      <c r="AN27" s="162">
        <f t="shared" si="10"/>
        <v>0</v>
      </c>
      <c r="AO27" s="162">
        <f t="shared" ca="1" si="11"/>
        <v>0</v>
      </c>
      <c r="AQ27" s="162">
        <v>0</v>
      </c>
      <c r="AR27" s="162">
        <v>0</v>
      </c>
      <c r="AS27" s="162">
        <v>0</v>
      </c>
    </row>
    <row r="28" spans="1:45" x14ac:dyDescent="0.3">
      <c r="A28" s="158">
        <f>IF(ISBLANK(B28),"",MAX(A$6:A27)+1)</f>
        <v>19</v>
      </c>
      <c r="B28" s="167" t="s">
        <v>41</v>
      </c>
      <c r="C28" s="162">
        <v>0</v>
      </c>
      <c r="D28" s="162"/>
      <c r="E28" s="162"/>
      <c r="F28" s="162"/>
      <c r="G28" s="162">
        <f t="shared" si="12"/>
        <v>0</v>
      </c>
      <c r="H28" s="26"/>
      <c r="I28" s="162">
        <f t="shared" si="13"/>
        <v>0</v>
      </c>
      <c r="J28" s="162"/>
      <c r="K28" s="162"/>
      <c r="L28" s="162"/>
      <c r="M28" s="162">
        <f t="shared" si="14"/>
        <v>0</v>
      </c>
      <c r="O28" s="158">
        <v>19</v>
      </c>
      <c r="P28" s="167" t="s">
        <v>41</v>
      </c>
      <c r="Q28" s="162">
        <v>0</v>
      </c>
      <c r="R28" s="162"/>
      <c r="S28" s="162"/>
      <c r="T28" s="162"/>
      <c r="U28" s="162">
        <v>0</v>
      </c>
      <c r="V28" s="26"/>
      <c r="W28" s="162">
        <v>0</v>
      </c>
      <c r="X28" s="162"/>
      <c r="Y28" s="162"/>
      <c r="Z28" s="162"/>
      <c r="AA28" s="162">
        <v>0</v>
      </c>
      <c r="AC28" s="158">
        <v>19</v>
      </c>
      <c r="AD28" s="167" t="s">
        <v>41</v>
      </c>
      <c r="AE28" s="162">
        <f t="shared" si="1"/>
        <v>0</v>
      </c>
      <c r="AF28" s="162">
        <f t="shared" si="2"/>
        <v>0</v>
      </c>
      <c r="AG28" s="162">
        <f t="shared" si="3"/>
        <v>0</v>
      </c>
      <c r="AH28" s="162">
        <f t="shared" si="4"/>
        <v>0</v>
      </c>
      <c r="AI28" s="162">
        <f t="shared" si="5"/>
        <v>0</v>
      </c>
      <c r="AJ28" s="162">
        <f t="shared" si="6"/>
        <v>0</v>
      </c>
      <c r="AK28" s="162">
        <f t="shared" si="7"/>
        <v>0</v>
      </c>
      <c r="AL28" s="162">
        <f t="shared" si="8"/>
        <v>0</v>
      </c>
      <c r="AM28" s="162">
        <f t="shared" si="9"/>
        <v>0</v>
      </c>
      <c r="AN28" s="162">
        <f t="shared" si="10"/>
        <v>0</v>
      </c>
      <c r="AO28" s="162">
        <f t="shared" si="11"/>
        <v>0</v>
      </c>
      <c r="AQ28" s="162">
        <v>0</v>
      </c>
      <c r="AR28" s="162">
        <v>0</v>
      </c>
      <c r="AS28" s="162">
        <v>0</v>
      </c>
    </row>
    <row r="29" spans="1:45" x14ac:dyDescent="0.3">
      <c r="A29" s="158">
        <f>IF(ISBLANK(B29),"",MAX(A$6:A28)+1)</f>
        <v>20</v>
      </c>
      <c r="B29" s="167" t="s">
        <v>42</v>
      </c>
      <c r="C29" s="162">
        <v>124101768.49415074</v>
      </c>
      <c r="D29" s="162"/>
      <c r="E29" s="162"/>
      <c r="F29" s="162"/>
      <c r="G29" s="162">
        <f t="shared" si="12"/>
        <v>124101768.49415074</v>
      </c>
      <c r="H29" s="26">
        <f ca="1">Elect_OMDetail!D194</f>
        <v>3.0173455755267975E-2</v>
      </c>
      <c r="I29" s="162">
        <f t="shared" ca="1" si="13"/>
        <v>133015463.71375316</v>
      </c>
      <c r="J29" s="162"/>
      <c r="K29" s="162"/>
      <c r="L29" s="162"/>
      <c r="M29" s="162">
        <f t="shared" ca="1" si="14"/>
        <v>133015463.71375316</v>
      </c>
      <c r="O29" s="158">
        <v>20</v>
      </c>
      <c r="P29" s="167" t="s">
        <v>42</v>
      </c>
      <c r="Q29" s="162">
        <v>124101768.49415074</v>
      </c>
      <c r="R29" s="162"/>
      <c r="S29" s="162"/>
      <c r="T29" s="162"/>
      <c r="U29" s="162">
        <v>124101768.49415074</v>
      </c>
      <c r="V29" s="26">
        <v>3.0173455755267975E-2</v>
      </c>
      <c r="W29" s="162">
        <v>133015463.71375316</v>
      </c>
      <c r="X29" s="162"/>
      <c r="Y29" s="162"/>
      <c r="Z29" s="162"/>
      <c r="AA29" s="162">
        <v>133015463.71375316</v>
      </c>
      <c r="AC29" s="158">
        <v>20</v>
      </c>
      <c r="AD29" s="167" t="s">
        <v>42</v>
      </c>
      <c r="AE29" s="162">
        <f t="shared" si="1"/>
        <v>0</v>
      </c>
      <c r="AF29" s="162">
        <f t="shared" si="2"/>
        <v>0</v>
      </c>
      <c r="AG29" s="162">
        <f t="shared" si="3"/>
        <v>0</v>
      </c>
      <c r="AH29" s="162">
        <f t="shared" si="4"/>
        <v>0</v>
      </c>
      <c r="AI29" s="162">
        <f t="shared" si="5"/>
        <v>0</v>
      </c>
      <c r="AJ29" s="162">
        <f t="shared" ca="1" si="6"/>
        <v>0</v>
      </c>
      <c r="AK29" s="162">
        <f t="shared" ca="1" si="7"/>
        <v>0</v>
      </c>
      <c r="AL29" s="162">
        <f t="shared" si="8"/>
        <v>0</v>
      </c>
      <c r="AM29" s="162">
        <f t="shared" si="9"/>
        <v>0</v>
      </c>
      <c r="AN29" s="162">
        <f t="shared" si="10"/>
        <v>0</v>
      </c>
      <c r="AO29" s="162">
        <f t="shared" ca="1" si="11"/>
        <v>0</v>
      </c>
      <c r="AQ29" s="162">
        <v>0</v>
      </c>
      <c r="AR29" s="162">
        <v>0</v>
      </c>
      <c r="AS29" s="162">
        <v>0</v>
      </c>
    </row>
    <row r="30" spans="1:45" x14ac:dyDescent="0.3">
      <c r="A30" s="158">
        <f>IF(ISBLANK(B30),"",MAX(A$6:A29)+1)</f>
        <v>21</v>
      </c>
      <c r="B30" s="167" t="s">
        <v>1</v>
      </c>
      <c r="C30" s="162">
        <v>341356195.95999998</v>
      </c>
      <c r="D30" s="162">
        <v>-42298712.619999997</v>
      </c>
      <c r="E30" s="162">
        <f>AMI!$E45</f>
        <v>-5438518.1342967749</v>
      </c>
      <c r="F30" s="162">
        <v>0</v>
      </c>
      <c r="G30" s="162">
        <f t="shared" si="12"/>
        <v>293618965.2057032</v>
      </c>
      <c r="H30" s="26"/>
      <c r="I30" s="162">
        <v>399268794.73172241</v>
      </c>
      <c r="J30" s="171" t="s">
        <v>596</v>
      </c>
      <c r="K30" s="171"/>
      <c r="L30" s="162"/>
      <c r="M30" s="162">
        <f t="shared" si="14"/>
        <v>399268794.73172241</v>
      </c>
      <c r="O30" s="158">
        <v>21</v>
      </c>
      <c r="P30" s="167" t="s">
        <v>1</v>
      </c>
      <c r="Q30" s="162">
        <v>341356195.95999998</v>
      </c>
      <c r="R30" s="162">
        <v>-42298712.619999997</v>
      </c>
      <c r="S30" s="162">
        <v>-5438518.1342967749</v>
      </c>
      <c r="T30" s="162">
        <v>0</v>
      </c>
      <c r="U30" s="162">
        <v>293618965.2057032</v>
      </c>
      <c r="V30" s="26"/>
      <c r="W30" s="162">
        <v>399268794.73172241</v>
      </c>
      <c r="X30" s="171" t="s">
        <v>596</v>
      </c>
      <c r="Y30" s="171"/>
      <c r="Z30" s="162"/>
      <c r="AA30" s="162">
        <v>399268794.73172241</v>
      </c>
      <c r="AC30" s="158">
        <v>21</v>
      </c>
      <c r="AD30" s="167" t="s">
        <v>1</v>
      </c>
      <c r="AE30" s="162">
        <f t="shared" si="1"/>
        <v>0</v>
      </c>
      <c r="AF30" s="162">
        <f t="shared" si="2"/>
        <v>0</v>
      </c>
      <c r="AG30" s="162">
        <f t="shared" si="3"/>
        <v>0</v>
      </c>
      <c r="AH30" s="162">
        <f t="shared" si="4"/>
        <v>0</v>
      </c>
      <c r="AI30" s="162">
        <f t="shared" si="5"/>
        <v>0</v>
      </c>
      <c r="AJ30" s="162">
        <f t="shared" si="6"/>
        <v>0</v>
      </c>
      <c r="AK30" s="162">
        <f t="shared" si="7"/>
        <v>0</v>
      </c>
      <c r="AL30" s="162"/>
      <c r="AM30" s="162">
        <f t="shared" si="9"/>
        <v>0</v>
      </c>
      <c r="AN30" s="162">
        <f t="shared" si="10"/>
        <v>0</v>
      </c>
      <c r="AO30" s="162">
        <f t="shared" si="11"/>
        <v>0</v>
      </c>
      <c r="AQ30" s="162">
        <v>0</v>
      </c>
      <c r="AR30" s="162">
        <v>0</v>
      </c>
      <c r="AS30" s="162">
        <v>0</v>
      </c>
    </row>
    <row r="31" spans="1:45" x14ac:dyDescent="0.3">
      <c r="A31" s="158">
        <f>IF(ISBLANK(B31),"",MAX(A$6:A30)+1)</f>
        <v>22</v>
      </c>
      <c r="B31" s="167" t="s">
        <v>43</v>
      </c>
      <c r="C31" s="162">
        <v>75292958.060000002</v>
      </c>
      <c r="D31" s="162"/>
      <c r="E31" s="162"/>
      <c r="F31" s="162">
        <f>-'GTZ Historical RB'!$E60</f>
        <v>-6449028.8199709654</v>
      </c>
      <c r="G31" s="162">
        <f t="shared" si="12"/>
        <v>68843929.240029037</v>
      </c>
      <c r="H31" s="26"/>
      <c r="I31" s="162">
        <v>92202250.778924987</v>
      </c>
      <c r="J31" s="171"/>
      <c r="K31" s="171" t="s">
        <v>596</v>
      </c>
      <c r="L31" s="162"/>
      <c r="M31" s="162">
        <f t="shared" si="14"/>
        <v>92202250.778924987</v>
      </c>
      <c r="O31" s="158">
        <v>22</v>
      </c>
      <c r="P31" s="167" t="s">
        <v>43</v>
      </c>
      <c r="Q31" s="162">
        <v>75292958.060000002</v>
      </c>
      <c r="R31" s="162"/>
      <c r="S31" s="162"/>
      <c r="T31" s="162">
        <v>-6449028.8199709654</v>
      </c>
      <c r="U31" s="162">
        <v>68843929.240029037</v>
      </c>
      <c r="V31" s="26"/>
      <c r="W31" s="162">
        <v>92202250.778924987</v>
      </c>
      <c r="X31" s="171"/>
      <c r="Y31" s="171" t="s">
        <v>596</v>
      </c>
      <c r="Z31" s="162"/>
      <c r="AA31" s="162">
        <v>92202250.778924987</v>
      </c>
      <c r="AC31" s="158">
        <v>22</v>
      </c>
      <c r="AD31" s="167" t="s">
        <v>43</v>
      </c>
      <c r="AE31" s="162">
        <f t="shared" si="1"/>
        <v>0</v>
      </c>
      <c r="AF31" s="162">
        <f t="shared" si="2"/>
        <v>0</v>
      </c>
      <c r="AG31" s="162">
        <f t="shared" si="3"/>
        <v>0</v>
      </c>
      <c r="AH31" s="162">
        <f t="shared" si="4"/>
        <v>0</v>
      </c>
      <c r="AI31" s="162">
        <f t="shared" si="5"/>
        <v>0</v>
      </c>
      <c r="AJ31" s="162">
        <f t="shared" si="6"/>
        <v>0</v>
      </c>
      <c r="AK31" s="162">
        <f t="shared" si="7"/>
        <v>0</v>
      </c>
      <c r="AL31" s="162">
        <f t="shared" si="8"/>
        <v>0</v>
      </c>
      <c r="AM31" s="162"/>
      <c r="AN31" s="162">
        <f t="shared" si="10"/>
        <v>0</v>
      </c>
      <c r="AO31" s="162">
        <f t="shared" si="11"/>
        <v>0</v>
      </c>
      <c r="AQ31" s="162">
        <v>0</v>
      </c>
      <c r="AR31" s="162">
        <v>0</v>
      </c>
      <c r="AS31" s="162">
        <v>0</v>
      </c>
    </row>
    <row r="32" spans="1:45" x14ac:dyDescent="0.3">
      <c r="A32" s="158">
        <f>IF(ISBLANK(B32),"",MAX(A$6:A31)+1)</f>
        <v>23</v>
      </c>
      <c r="B32" s="172" t="s">
        <v>44</v>
      </c>
      <c r="C32" s="162">
        <v>43150399.323406145</v>
      </c>
      <c r="D32" s="162"/>
      <c r="E32" s="162"/>
      <c r="F32" s="162"/>
      <c r="G32" s="162">
        <f t="shared" si="12"/>
        <v>43150399.323406145</v>
      </c>
      <c r="H32" s="26"/>
      <c r="I32" s="162">
        <f>G32*(1+H32)^(28/12)</f>
        <v>43150399.323406145</v>
      </c>
      <c r="J32" s="162"/>
      <c r="K32" s="162"/>
      <c r="L32" s="162"/>
      <c r="M32" s="162">
        <f t="shared" si="14"/>
        <v>43150399.323406145</v>
      </c>
      <c r="O32" s="158">
        <v>23</v>
      </c>
      <c r="P32" s="172" t="s">
        <v>44</v>
      </c>
      <c r="Q32" s="162">
        <v>43150399.323406145</v>
      </c>
      <c r="R32" s="162"/>
      <c r="S32" s="162"/>
      <c r="T32" s="162"/>
      <c r="U32" s="162">
        <v>43150399.323406145</v>
      </c>
      <c r="V32" s="26"/>
      <c r="W32" s="162">
        <v>43150399.323406145</v>
      </c>
      <c r="X32" s="162"/>
      <c r="Y32" s="162"/>
      <c r="Z32" s="162"/>
      <c r="AA32" s="162">
        <v>43150399.323406145</v>
      </c>
      <c r="AC32" s="158">
        <v>23</v>
      </c>
      <c r="AD32" s="172" t="s">
        <v>44</v>
      </c>
      <c r="AE32" s="162">
        <f t="shared" si="1"/>
        <v>0</v>
      </c>
      <c r="AF32" s="162">
        <f t="shared" si="2"/>
        <v>0</v>
      </c>
      <c r="AG32" s="162">
        <f t="shared" si="3"/>
        <v>0</v>
      </c>
      <c r="AH32" s="162">
        <f t="shared" si="4"/>
        <v>0</v>
      </c>
      <c r="AI32" s="162">
        <f t="shared" si="5"/>
        <v>0</v>
      </c>
      <c r="AJ32" s="162">
        <f t="shared" si="6"/>
        <v>0</v>
      </c>
      <c r="AK32" s="162">
        <f t="shared" si="7"/>
        <v>0</v>
      </c>
      <c r="AL32" s="162">
        <f t="shared" si="8"/>
        <v>0</v>
      </c>
      <c r="AM32" s="162">
        <f t="shared" si="9"/>
        <v>0</v>
      </c>
      <c r="AN32" s="162">
        <f t="shared" si="10"/>
        <v>0</v>
      </c>
      <c r="AO32" s="162">
        <f t="shared" si="11"/>
        <v>0</v>
      </c>
      <c r="AQ32" s="162">
        <v>0</v>
      </c>
      <c r="AR32" s="162">
        <v>0</v>
      </c>
      <c r="AS32" s="162">
        <v>0</v>
      </c>
    </row>
    <row r="33" spans="1:45" x14ac:dyDescent="0.3">
      <c r="A33" s="158">
        <f>IF(ISBLANK(B33),"",MAX(A$6:A32)+1)</f>
        <v>24</v>
      </c>
      <c r="B33" s="167" t="s">
        <v>45</v>
      </c>
      <c r="C33" s="162">
        <v>14209399.356997501</v>
      </c>
      <c r="D33" s="162"/>
      <c r="E33" s="162"/>
      <c r="F33" s="162"/>
      <c r="G33" s="162">
        <f t="shared" si="12"/>
        <v>14209399.356997501</v>
      </c>
      <c r="H33" s="26">
        <v>0</v>
      </c>
      <c r="I33" s="162">
        <f>G33*(1+H33)^(28/12)</f>
        <v>14209399.356997501</v>
      </c>
      <c r="J33" s="162"/>
      <c r="K33" s="162"/>
      <c r="L33" s="162"/>
      <c r="M33" s="162">
        <f t="shared" si="14"/>
        <v>14209399.356997501</v>
      </c>
      <c r="O33" s="158">
        <v>24</v>
      </c>
      <c r="P33" s="167" t="s">
        <v>45</v>
      </c>
      <c r="Q33" s="162">
        <v>14209399.356997501</v>
      </c>
      <c r="R33" s="162"/>
      <c r="S33" s="162"/>
      <c r="T33" s="162"/>
      <c r="U33" s="162">
        <v>14209399.356997501</v>
      </c>
      <c r="V33" s="26">
        <v>0</v>
      </c>
      <c r="W33" s="162">
        <v>14209399.356997501</v>
      </c>
      <c r="X33" s="162"/>
      <c r="Y33" s="162"/>
      <c r="Z33" s="162"/>
      <c r="AA33" s="162">
        <v>14209399.356997501</v>
      </c>
      <c r="AC33" s="158">
        <v>24</v>
      </c>
      <c r="AD33" s="167" t="s">
        <v>45</v>
      </c>
      <c r="AE33" s="162">
        <f t="shared" si="1"/>
        <v>0</v>
      </c>
      <c r="AF33" s="162">
        <f t="shared" si="2"/>
        <v>0</v>
      </c>
      <c r="AG33" s="162">
        <f t="shared" si="3"/>
        <v>0</v>
      </c>
      <c r="AH33" s="162">
        <f t="shared" si="4"/>
        <v>0</v>
      </c>
      <c r="AI33" s="162">
        <f t="shared" si="5"/>
        <v>0</v>
      </c>
      <c r="AJ33" s="162">
        <f t="shared" si="6"/>
        <v>0</v>
      </c>
      <c r="AK33" s="162">
        <f t="shared" si="7"/>
        <v>0</v>
      </c>
      <c r="AL33" s="162">
        <f t="shared" si="8"/>
        <v>0</v>
      </c>
      <c r="AM33" s="162">
        <f t="shared" si="9"/>
        <v>0</v>
      </c>
      <c r="AN33" s="162">
        <f t="shared" si="10"/>
        <v>0</v>
      </c>
      <c r="AO33" s="162">
        <f t="shared" si="11"/>
        <v>0</v>
      </c>
      <c r="AQ33" s="162">
        <v>0</v>
      </c>
      <c r="AR33" s="162">
        <v>887017.35510769114</v>
      </c>
      <c r="AS33" s="162">
        <v>504057.15086065978</v>
      </c>
    </row>
    <row r="34" spans="1:45" x14ac:dyDescent="0.3">
      <c r="A34" s="158">
        <f>IF(ISBLANK(B34),"",MAX(A$6:A33)+1)</f>
        <v>25</v>
      </c>
      <c r="B34" s="76" t="s">
        <v>46</v>
      </c>
      <c r="C34" s="162">
        <v>0</v>
      </c>
      <c r="D34" s="162"/>
      <c r="E34" s="162"/>
      <c r="F34" s="162"/>
      <c r="G34" s="162">
        <f t="shared" si="12"/>
        <v>0</v>
      </c>
      <c r="H34" s="26"/>
      <c r="I34" s="162">
        <f>G34*(1+H34)^(28/12)</f>
        <v>0</v>
      </c>
      <c r="J34" s="162"/>
      <c r="K34" s="162"/>
      <c r="L34" s="162"/>
      <c r="M34" s="162">
        <f t="shared" si="14"/>
        <v>0</v>
      </c>
      <c r="O34" s="158">
        <v>25</v>
      </c>
      <c r="P34" s="76" t="s">
        <v>46</v>
      </c>
      <c r="Q34" s="162">
        <v>0</v>
      </c>
      <c r="R34" s="162"/>
      <c r="S34" s="162"/>
      <c r="T34" s="162"/>
      <c r="U34" s="162">
        <v>0</v>
      </c>
      <c r="V34" s="26"/>
      <c r="W34" s="162">
        <v>0</v>
      </c>
      <c r="X34" s="162"/>
      <c r="Y34" s="162"/>
      <c r="Z34" s="162"/>
      <c r="AA34" s="162">
        <v>0</v>
      </c>
      <c r="AC34" s="158">
        <v>25</v>
      </c>
      <c r="AD34" s="76" t="s">
        <v>46</v>
      </c>
      <c r="AE34" s="162">
        <f t="shared" si="1"/>
        <v>0</v>
      </c>
      <c r="AF34" s="162">
        <f t="shared" si="2"/>
        <v>0</v>
      </c>
      <c r="AG34" s="162">
        <f t="shared" si="3"/>
        <v>0</v>
      </c>
      <c r="AH34" s="162">
        <f t="shared" si="4"/>
        <v>0</v>
      </c>
      <c r="AI34" s="162">
        <f t="shared" si="5"/>
        <v>0</v>
      </c>
      <c r="AJ34" s="162">
        <f t="shared" si="6"/>
        <v>0</v>
      </c>
      <c r="AK34" s="162">
        <f t="shared" si="7"/>
        <v>0</v>
      </c>
      <c r="AL34" s="162">
        <f t="shared" si="8"/>
        <v>0</v>
      </c>
      <c r="AM34" s="162">
        <f t="shared" si="9"/>
        <v>0</v>
      </c>
      <c r="AN34" s="162">
        <f t="shared" si="10"/>
        <v>0</v>
      </c>
      <c r="AO34" s="162">
        <f t="shared" si="11"/>
        <v>0</v>
      </c>
      <c r="AQ34" s="162">
        <v>0</v>
      </c>
      <c r="AR34" s="162">
        <v>0</v>
      </c>
      <c r="AS34" s="162">
        <v>0</v>
      </c>
    </row>
    <row r="35" spans="1:45" x14ac:dyDescent="0.3">
      <c r="A35" s="158">
        <f>IF(ISBLANK(B35),"",MAX(A$6:A34)+1)</f>
        <v>26</v>
      </c>
      <c r="B35" s="167" t="s">
        <v>47</v>
      </c>
      <c r="C35" s="162">
        <v>58041710.855093256</v>
      </c>
      <c r="D35" s="162"/>
      <c r="E35" s="162"/>
      <c r="F35" s="162"/>
      <c r="G35" s="162">
        <f t="shared" si="12"/>
        <v>58041710.855093256</v>
      </c>
      <c r="H35" s="26">
        <f ca="1">Electric_TOTI!D30</f>
        <v>8.69009851137581E-3</v>
      </c>
      <c r="I35" s="162">
        <f ca="1">G35*(1+H35)^(28/12)</f>
        <v>59225441.479017451</v>
      </c>
      <c r="J35" s="162"/>
      <c r="K35" s="162"/>
      <c r="L35" s="162"/>
      <c r="M35" s="162">
        <f t="shared" ca="1" si="14"/>
        <v>59225441.479017451</v>
      </c>
      <c r="O35" s="158">
        <v>26</v>
      </c>
      <c r="P35" s="167" t="s">
        <v>47</v>
      </c>
      <c r="Q35" s="162">
        <v>58041710.855093256</v>
      </c>
      <c r="R35" s="162"/>
      <c r="S35" s="162"/>
      <c r="T35" s="162"/>
      <c r="U35" s="162">
        <v>58041710.855093256</v>
      </c>
      <c r="V35" s="26">
        <v>8.69009851137581E-3</v>
      </c>
      <c r="W35" s="162">
        <v>59225441.479017451</v>
      </c>
      <c r="X35" s="162"/>
      <c r="Y35" s="162"/>
      <c r="Z35" s="162"/>
      <c r="AA35" s="162">
        <v>59225441.479017451</v>
      </c>
      <c r="AC35" s="158">
        <v>26</v>
      </c>
      <c r="AD35" s="167" t="s">
        <v>47</v>
      </c>
      <c r="AE35" s="162">
        <f t="shared" si="1"/>
        <v>0</v>
      </c>
      <c r="AF35" s="162">
        <f t="shared" si="2"/>
        <v>0</v>
      </c>
      <c r="AG35" s="162">
        <f t="shared" si="3"/>
        <v>0</v>
      </c>
      <c r="AH35" s="162">
        <f t="shared" si="4"/>
        <v>0</v>
      </c>
      <c r="AI35" s="162">
        <f t="shared" si="5"/>
        <v>0</v>
      </c>
      <c r="AJ35" s="162">
        <f t="shared" ca="1" si="6"/>
        <v>0</v>
      </c>
      <c r="AK35" s="162">
        <f t="shared" ca="1" si="7"/>
        <v>0</v>
      </c>
      <c r="AL35" s="162">
        <f t="shared" si="8"/>
        <v>0</v>
      </c>
      <c r="AM35" s="162">
        <f t="shared" si="9"/>
        <v>0</v>
      </c>
      <c r="AN35" s="162">
        <f t="shared" si="10"/>
        <v>0</v>
      </c>
      <c r="AO35" s="162">
        <f t="shared" ca="1" si="11"/>
        <v>0</v>
      </c>
      <c r="AQ35" s="162">
        <v>0</v>
      </c>
      <c r="AR35" s="162">
        <v>0</v>
      </c>
      <c r="AS35" s="162">
        <v>0</v>
      </c>
    </row>
    <row r="36" spans="1:45" x14ac:dyDescent="0.3">
      <c r="A36" s="158">
        <f>IF(ISBLANK(B36),"",MAX(A$6:A35)+1)</f>
        <v>27</v>
      </c>
      <c r="B36" s="167" t="s">
        <v>48</v>
      </c>
      <c r="C36" s="162">
        <v>84068859.171043977</v>
      </c>
      <c r="D36" s="162"/>
      <c r="E36" s="162"/>
      <c r="F36" s="162"/>
      <c r="G36" s="162">
        <f t="shared" si="12"/>
        <v>84068859.171043977</v>
      </c>
      <c r="H36" s="26"/>
      <c r="I36" s="162">
        <v>73827038.816634759</v>
      </c>
      <c r="J36" s="162"/>
      <c r="K36" s="162"/>
      <c r="L36" s="162"/>
      <c r="M36" s="162">
        <f>I36</f>
        <v>73827038.816634759</v>
      </c>
      <c r="O36" s="158">
        <v>27</v>
      </c>
      <c r="P36" s="167" t="s">
        <v>48</v>
      </c>
      <c r="Q36" s="162">
        <v>84068859.171043977</v>
      </c>
      <c r="R36" s="162"/>
      <c r="S36" s="162"/>
      <c r="T36" s="162"/>
      <c r="U36" s="162">
        <v>84068859.171043977</v>
      </c>
      <c r="V36" s="26"/>
      <c r="W36" s="162">
        <v>73827038.816634759</v>
      </c>
      <c r="X36" s="162"/>
      <c r="Y36" s="162"/>
      <c r="Z36" s="162"/>
      <c r="AA36" s="162">
        <v>73827038.816634759</v>
      </c>
      <c r="AC36" s="158">
        <v>27</v>
      </c>
      <c r="AD36" s="167" t="s">
        <v>48</v>
      </c>
      <c r="AE36" s="162">
        <f t="shared" si="1"/>
        <v>0</v>
      </c>
      <c r="AF36" s="162">
        <f t="shared" si="2"/>
        <v>0</v>
      </c>
      <c r="AG36" s="162">
        <f t="shared" si="3"/>
        <v>0</v>
      </c>
      <c r="AH36" s="162">
        <f t="shared" si="4"/>
        <v>0</v>
      </c>
      <c r="AI36" s="162">
        <f t="shared" si="5"/>
        <v>0</v>
      </c>
      <c r="AJ36" s="162">
        <f t="shared" si="6"/>
        <v>0</v>
      </c>
      <c r="AK36" s="162">
        <f t="shared" si="7"/>
        <v>0</v>
      </c>
      <c r="AL36" s="162">
        <f t="shared" si="8"/>
        <v>0</v>
      </c>
      <c r="AM36" s="162">
        <f t="shared" si="9"/>
        <v>0</v>
      </c>
      <c r="AN36" s="162">
        <f t="shared" si="10"/>
        <v>0</v>
      </c>
      <c r="AO36" s="162">
        <f t="shared" si="11"/>
        <v>0</v>
      </c>
      <c r="AQ36" s="162">
        <v>-13256.882391512394</v>
      </c>
      <c r="AR36" s="162">
        <v>-186273.64457261562</v>
      </c>
      <c r="AS36" s="162">
        <v>-105852.00168073177</v>
      </c>
    </row>
    <row r="37" spans="1:45" x14ac:dyDescent="0.3">
      <c r="A37" s="158">
        <f>IF(ISBLANK(B37),"",MAX(A$6:A36)+1)</f>
        <v>28</v>
      </c>
      <c r="B37" s="76" t="s">
        <v>49</v>
      </c>
      <c r="C37" s="162">
        <v>-51808800.905295342</v>
      </c>
      <c r="D37" s="162"/>
      <c r="E37" s="162"/>
      <c r="F37" s="162"/>
      <c r="G37" s="162">
        <f t="shared" si="12"/>
        <v>-51808800.905295342</v>
      </c>
      <c r="H37" s="26"/>
      <c r="I37" s="162">
        <v>-58461006.243536383</v>
      </c>
      <c r="J37" s="162"/>
      <c r="K37" s="162"/>
      <c r="L37" s="162"/>
      <c r="M37" s="162">
        <f>I37</f>
        <v>-58461006.243536383</v>
      </c>
      <c r="N37" s="16"/>
      <c r="O37" s="158">
        <v>28</v>
      </c>
      <c r="P37" s="76" t="s">
        <v>49</v>
      </c>
      <c r="Q37" s="162">
        <v>-51808800.905295342</v>
      </c>
      <c r="R37" s="162"/>
      <c r="S37" s="162"/>
      <c r="T37" s="162"/>
      <c r="U37" s="162">
        <v>-51808800.905295342</v>
      </c>
      <c r="V37" s="26"/>
      <c r="W37" s="162">
        <v>-58461006.243536383</v>
      </c>
      <c r="X37" s="162"/>
      <c r="Y37" s="162"/>
      <c r="Z37" s="162"/>
      <c r="AA37" s="162">
        <v>-58461006.243536383</v>
      </c>
      <c r="AC37" s="158">
        <v>28</v>
      </c>
      <c r="AD37" s="76" t="s">
        <v>49</v>
      </c>
      <c r="AE37" s="162">
        <f t="shared" si="1"/>
        <v>0</v>
      </c>
      <c r="AF37" s="162">
        <f t="shared" si="2"/>
        <v>0</v>
      </c>
      <c r="AG37" s="162">
        <f t="shared" si="3"/>
        <v>0</v>
      </c>
      <c r="AH37" s="162">
        <f t="shared" si="4"/>
        <v>0</v>
      </c>
      <c r="AI37" s="162">
        <f t="shared" si="5"/>
        <v>0</v>
      </c>
      <c r="AJ37" s="162">
        <f t="shared" si="6"/>
        <v>0</v>
      </c>
      <c r="AK37" s="162">
        <f t="shared" si="7"/>
        <v>0</v>
      </c>
      <c r="AL37" s="162">
        <f t="shared" si="8"/>
        <v>0</v>
      </c>
      <c r="AM37" s="162">
        <f t="shared" si="9"/>
        <v>0</v>
      </c>
      <c r="AN37" s="162">
        <f t="shared" si="10"/>
        <v>0</v>
      </c>
      <c r="AO37" s="162">
        <f t="shared" si="11"/>
        <v>0</v>
      </c>
      <c r="AQ37" s="162">
        <v>463461.02927930653</v>
      </c>
      <c r="AR37" s="162">
        <v>-10168.742572277784</v>
      </c>
      <c r="AS37" s="162">
        <v>-5916.3330039381981</v>
      </c>
    </row>
    <row r="38" spans="1:45" x14ac:dyDescent="0.3">
      <c r="A38" s="158">
        <f>IF(ISBLANK(B38),"",MAX(A$6:A37)+1)</f>
        <v>29</v>
      </c>
      <c r="B38" s="164" t="s">
        <v>50</v>
      </c>
      <c r="C38" s="173">
        <f>SUM(C21:C37)</f>
        <v>973368905.37469435</v>
      </c>
      <c r="D38" s="173">
        <f>SUM(D21:D37)</f>
        <v>-61153569.799999997</v>
      </c>
      <c r="E38" s="173">
        <f>SUM(E21:E37)</f>
        <v>-5438518.1342967749</v>
      </c>
      <c r="F38" s="173">
        <f>SUM(F21:F37)</f>
        <v>-6449028.8199709654</v>
      </c>
      <c r="G38" s="173">
        <f>SUM(G21:G37)</f>
        <v>900327788.62042665</v>
      </c>
      <c r="H38" s="27"/>
      <c r="I38" s="173">
        <f ca="1">SUM(I21:I37)</f>
        <v>1037035337.6896862</v>
      </c>
      <c r="J38" s="173">
        <f>SUM(J21:J37)</f>
        <v>0</v>
      </c>
      <c r="K38" s="173">
        <f>SUM(K21:K37)</f>
        <v>0</v>
      </c>
      <c r="L38" s="173">
        <f>SUM(L21:L37)</f>
        <v>0</v>
      </c>
      <c r="M38" s="173">
        <f ca="1">SUM(M21:M37)</f>
        <v>1037035337.6896862</v>
      </c>
      <c r="O38" s="158">
        <v>29</v>
      </c>
      <c r="P38" s="164" t="s">
        <v>50</v>
      </c>
      <c r="Q38" s="173">
        <v>973368905.37469435</v>
      </c>
      <c r="R38" s="173">
        <v>-61153569.799999997</v>
      </c>
      <c r="S38" s="173">
        <v>-5438518.1342967749</v>
      </c>
      <c r="T38" s="173">
        <v>-6449028.8199709654</v>
      </c>
      <c r="U38" s="173">
        <v>900327788.62042665</v>
      </c>
      <c r="V38" s="27"/>
      <c r="W38" s="173">
        <v>1037035337.6896862</v>
      </c>
      <c r="X38" s="173">
        <v>0</v>
      </c>
      <c r="Y38" s="173">
        <v>0</v>
      </c>
      <c r="Z38" s="173">
        <v>0</v>
      </c>
      <c r="AA38" s="173">
        <v>1037035337.6896862</v>
      </c>
      <c r="AC38" s="158">
        <v>29</v>
      </c>
      <c r="AD38" s="164" t="s">
        <v>50</v>
      </c>
      <c r="AE38" s="173">
        <f t="shared" si="1"/>
        <v>0</v>
      </c>
      <c r="AF38" s="173">
        <f t="shared" si="2"/>
        <v>0</v>
      </c>
      <c r="AG38" s="173">
        <f t="shared" si="3"/>
        <v>0</v>
      </c>
      <c r="AH38" s="173">
        <f t="shared" si="4"/>
        <v>0</v>
      </c>
      <c r="AI38" s="173">
        <f t="shared" si="5"/>
        <v>0</v>
      </c>
      <c r="AJ38" s="173">
        <f t="shared" si="6"/>
        <v>0</v>
      </c>
      <c r="AK38" s="173">
        <f t="shared" ca="1" si="7"/>
        <v>0</v>
      </c>
      <c r="AL38" s="173">
        <f t="shared" si="8"/>
        <v>0</v>
      </c>
      <c r="AM38" s="173">
        <f t="shared" si="9"/>
        <v>0</v>
      </c>
      <c r="AN38" s="173">
        <f t="shared" si="10"/>
        <v>0</v>
      </c>
      <c r="AO38" s="173">
        <f t="shared" ca="1" si="11"/>
        <v>0</v>
      </c>
      <c r="AQ38" s="173">
        <v>450204.14688789845</v>
      </c>
      <c r="AR38" s="173">
        <v>690574.96796274185</v>
      </c>
      <c r="AS38" s="173">
        <v>392288.81617605686</v>
      </c>
    </row>
    <row r="39" spans="1:45" x14ac:dyDescent="0.3">
      <c r="A39" s="158" t="str">
        <f>IF(ISBLANK(B39),"",MAX(A$6:A38)+1)</f>
        <v/>
      </c>
      <c r="B39" s="76"/>
      <c r="C39" s="77"/>
      <c r="D39" s="77"/>
      <c r="E39" s="77"/>
      <c r="F39" s="77"/>
      <c r="G39" s="77"/>
      <c r="H39" s="27"/>
      <c r="I39" s="77"/>
      <c r="J39" s="77"/>
      <c r="K39" s="77"/>
      <c r="L39" s="77"/>
      <c r="M39" s="77"/>
      <c r="O39" s="158" t="s">
        <v>790</v>
      </c>
      <c r="P39" s="76"/>
      <c r="Q39" s="77"/>
      <c r="R39" s="77"/>
      <c r="S39" s="77"/>
      <c r="T39" s="77"/>
      <c r="U39" s="77"/>
      <c r="V39" s="27"/>
      <c r="W39" s="77"/>
      <c r="X39" s="77"/>
      <c r="Y39" s="77"/>
      <c r="Z39" s="77"/>
      <c r="AA39" s="77"/>
      <c r="AC39" s="158" t="s">
        <v>790</v>
      </c>
      <c r="AD39" s="76"/>
      <c r="AE39" s="77">
        <f t="shared" si="1"/>
        <v>0</v>
      </c>
      <c r="AF39" s="77">
        <f t="shared" si="2"/>
        <v>0</v>
      </c>
      <c r="AG39" s="77">
        <f t="shared" si="3"/>
        <v>0</v>
      </c>
      <c r="AH39" s="77">
        <f t="shared" si="4"/>
        <v>0</v>
      </c>
      <c r="AI39" s="77">
        <f t="shared" si="5"/>
        <v>0</v>
      </c>
      <c r="AJ39" s="77">
        <f t="shared" si="6"/>
        <v>0</v>
      </c>
      <c r="AK39" s="77">
        <f t="shared" si="7"/>
        <v>0</v>
      </c>
      <c r="AL39" s="77">
        <f t="shared" si="8"/>
        <v>0</v>
      </c>
      <c r="AM39" s="77">
        <f t="shared" si="9"/>
        <v>0</v>
      </c>
      <c r="AN39" s="77">
        <f t="shared" si="10"/>
        <v>0</v>
      </c>
      <c r="AO39" s="77">
        <f t="shared" si="11"/>
        <v>0</v>
      </c>
      <c r="AQ39" s="77">
        <v>0</v>
      </c>
      <c r="AR39" s="77">
        <v>0</v>
      </c>
      <c r="AS39" s="77">
        <v>0</v>
      </c>
    </row>
    <row r="40" spans="1:45" x14ac:dyDescent="0.3">
      <c r="A40" s="158">
        <f>IF(ISBLANK(B40),"",MAX(A$6:A39)+1)</f>
        <v>30</v>
      </c>
      <c r="B40" s="76" t="s">
        <v>51</v>
      </c>
      <c r="C40" s="161">
        <f>C12-C38</f>
        <v>365917334.69211483</v>
      </c>
      <c r="D40" s="161"/>
      <c r="E40" s="161"/>
      <c r="F40" s="161"/>
      <c r="G40" s="161">
        <f>G12-G38</f>
        <v>438958451.44638252</v>
      </c>
      <c r="H40" s="27"/>
      <c r="I40" s="161">
        <f ca="1">I12-I38</f>
        <v>346933409.41087663</v>
      </c>
      <c r="J40" s="161"/>
      <c r="K40" s="161"/>
      <c r="L40" s="161"/>
      <c r="M40" s="161">
        <f ca="1">M12-M38</f>
        <v>346933409.41087663</v>
      </c>
      <c r="O40" s="158">
        <v>30</v>
      </c>
      <c r="P40" s="76" t="s">
        <v>51</v>
      </c>
      <c r="Q40" s="161">
        <v>365917334.69211483</v>
      </c>
      <c r="R40" s="161"/>
      <c r="S40" s="161"/>
      <c r="T40" s="161"/>
      <c r="U40" s="161">
        <v>438958451.44638252</v>
      </c>
      <c r="V40" s="27"/>
      <c r="W40" s="161">
        <v>346933409.41087663</v>
      </c>
      <c r="X40" s="161"/>
      <c r="Y40" s="161"/>
      <c r="Z40" s="161"/>
      <c r="AA40" s="161">
        <v>346933409.41087663</v>
      </c>
      <c r="AC40" s="158">
        <v>30</v>
      </c>
      <c r="AD40" s="76" t="s">
        <v>51</v>
      </c>
      <c r="AE40" s="161">
        <f t="shared" si="1"/>
        <v>0</v>
      </c>
      <c r="AF40" s="161">
        <f t="shared" si="2"/>
        <v>0</v>
      </c>
      <c r="AG40" s="161">
        <f t="shared" si="3"/>
        <v>0</v>
      </c>
      <c r="AH40" s="161">
        <f t="shared" si="4"/>
        <v>0</v>
      </c>
      <c r="AI40" s="161">
        <f t="shared" si="5"/>
        <v>0</v>
      </c>
      <c r="AJ40" s="161">
        <f t="shared" si="6"/>
        <v>0</v>
      </c>
      <c r="AK40" s="161">
        <f t="shared" ca="1" si="7"/>
        <v>0</v>
      </c>
      <c r="AL40" s="161">
        <f t="shared" si="8"/>
        <v>0</v>
      </c>
      <c r="AM40" s="161">
        <f t="shared" si="9"/>
        <v>0</v>
      </c>
      <c r="AN40" s="161">
        <f t="shared" si="10"/>
        <v>0</v>
      </c>
      <c r="AO40" s="161">
        <f t="shared" ca="1" si="11"/>
        <v>0</v>
      </c>
      <c r="AQ40" s="161">
        <v>-450204.14688789845</v>
      </c>
      <c r="AR40" s="161">
        <v>-690574.96796274185</v>
      </c>
      <c r="AS40" s="161">
        <v>-392288.81617605686</v>
      </c>
    </row>
    <row r="41" spans="1:45" x14ac:dyDescent="0.3">
      <c r="A41" s="158" t="str">
        <f>IF(ISBLANK(B41),"",MAX(A$6:A40)+1)</f>
        <v/>
      </c>
      <c r="B41" s="167"/>
      <c r="C41" s="174"/>
      <c r="D41" s="174"/>
      <c r="E41" s="174"/>
      <c r="F41" s="174"/>
      <c r="G41" s="174"/>
      <c r="H41" s="27"/>
      <c r="I41" s="174"/>
      <c r="J41" s="174"/>
      <c r="K41" s="174"/>
      <c r="L41" s="174"/>
      <c r="M41" s="174"/>
      <c r="O41" s="158" t="s">
        <v>790</v>
      </c>
      <c r="P41" s="167"/>
      <c r="Q41" s="174"/>
      <c r="R41" s="174"/>
      <c r="S41" s="174"/>
      <c r="T41" s="174"/>
      <c r="U41" s="174"/>
      <c r="V41" s="27"/>
      <c r="W41" s="174"/>
      <c r="X41" s="174"/>
      <c r="Y41" s="174"/>
      <c r="Z41" s="174"/>
      <c r="AA41" s="174"/>
      <c r="AC41" s="158" t="s">
        <v>790</v>
      </c>
      <c r="AD41" s="167"/>
      <c r="AE41" s="174">
        <f t="shared" si="1"/>
        <v>0</v>
      </c>
      <c r="AF41" s="174">
        <f t="shared" si="2"/>
        <v>0</v>
      </c>
      <c r="AG41" s="174">
        <f t="shared" si="3"/>
        <v>0</v>
      </c>
      <c r="AH41" s="174">
        <f t="shared" si="4"/>
        <v>0</v>
      </c>
      <c r="AI41" s="174">
        <f t="shared" si="5"/>
        <v>0</v>
      </c>
      <c r="AJ41" s="174">
        <f t="shared" si="6"/>
        <v>0</v>
      </c>
      <c r="AK41" s="174">
        <f t="shared" si="7"/>
        <v>0</v>
      </c>
      <c r="AL41" s="174">
        <f t="shared" si="8"/>
        <v>0</v>
      </c>
      <c r="AM41" s="174">
        <f t="shared" si="9"/>
        <v>0</v>
      </c>
      <c r="AN41" s="174">
        <f t="shared" si="10"/>
        <v>0</v>
      </c>
      <c r="AO41" s="174">
        <f t="shared" si="11"/>
        <v>0</v>
      </c>
      <c r="AQ41" s="174">
        <v>0</v>
      </c>
      <c r="AR41" s="174">
        <v>0</v>
      </c>
      <c r="AS41" s="174">
        <v>0</v>
      </c>
    </row>
    <row r="42" spans="1:45" x14ac:dyDescent="0.3">
      <c r="A42" s="158">
        <f>IF(ISBLANK(B42),"",MAX(A$6:A41)+1)</f>
        <v>31</v>
      </c>
      <c r="B42" s="76" t="s">
        <v>52</v>
      </c>
      <c r="C42" s="77">
        <f>C54</f>
        <v>5206400175.4345322</v>
      </c>
      <c r="D42" s="77"/>
      <c r="E42" s="77"/>
      <c r="F42" s="77"/>
      <c r="G42" s="77">
        <f>G54</f>
        <v>5141036272.4834223</v>
      </c>
      <c r="H42" s="27"/>
      <c r="I42" s="77">
        <f>I54</f>
        <v>5273466430.1480513</v>
      </c>
      <c r="J42" s="77"/>
      <c r="K42" s="77"/>
      <c r="L42" s="77"/>
      <c r="M42" s="77">
        <f>M54</f>
        <v>5520099763.9385242</v>
      </c>
      <c r="O42" s="158">
        <v>31</v>
      </c>
      <c r="P42" s="76" t="s">
        <v>52</v>
      </c>
      <c r="Q42" s="77">
        <v>5206400175.4345322</v>
      </c>
      <c r="R42" s="77"/>
      <c r="S42" s="77"/>
      <c r="T42" s="77"/>
      <c r="U42" s="77">
        <v>5141036272.4834223</v>
      </c>
      <c r="V42" s="27"/>
      <c r="W42" s="77">
        <v>5273466430.1480513</v>
      </c>
      <c r="X42" s="77"/>
      <c r="Y42" s="77"/>
      <c r="Z42" s="77"/>
      <c r="AA42" s="77">
        <v>5520099763.9385242</v>
      </c>
      <c r="AC42" s="158">
        <v>31</v>
      </c>
      <c r="AD42" s="76" t="s">
        <v>52</v>
      </c>
      <c r="AE42" s="77">
        <f t="shared" si="1"/>
        <v>0</v>
      </c>
      <c r="AF42" s="77">
        <f t="shared" si="2"/>
        <v>0</v>
      </c>
      <c r="AG42" s="77">
        <f t="shared" si="3"/>
        <v>0</v>
      </c>
      <c r="AH42" s="77">
        <f t="shared" si="4"/>
        <v>0</v>
      </c>
      <c r="AI42" s="77">
        <f t="shared" si="5"/>
        <v>0</v>
      </c>
      <c r="AJ42" s="77">
        <f t="shared" si="6"/>
        <v>0</v>
      </c>
      <c r="AK42" s="77">
        <f t="shared" si="7"/>
        <v>0</v>
      </c>
      <c r="AL42" s="77">
        <f t="shared" si="8"/>
        <v>0</v>
      </c>
      <c r="AM42" s="77">
        <f t="shared" si="9"/>
        <v>0</v>
      </c>
      <c r="AN42" s="77">
        <f t="shared" si="10"/>
        <v>0</v>
      </c>
      <c r="AO42" s="77">
        <f t="shared" si="11"/>
        <v>0</v>
      </c>
      <c r="AQ42" s="77">
        <v>0</v>
      </c>
      <c r="AR42" s="77">
        <v>1711045.3596286774</v>
      </c>
      <c r="AS42" s="77">
        <v>995512.87294960022</v>
      </c>
    </row>
    <row r="43" spans="1:45" x14ac:dyDescent="0.3">
      <c r="A43" s="158" t="str">
        <f>IF(ISBLANK(B43),"",MAX(A$6:A42)+1)</f>
        <v/>
      </c>
      <c r="B43" s="76"/>
      <c r="C43" s="76"/>
      <c r="D43" s="76"/>
      <c r="E43" s="76"/>
      <c r="F43" s="76"/>
      <c r="G43" s="76"/>
      <c r="H43" s="27"/>
      <c r="I43" s="76"/>
      <c r="J43" s="76"/>
      <c r="K43" s="76"/>
      <c r="L43" s="76"/>
      <c r="M43" s="76"/>
      <c r="O43" s="158" t="s">
        <v>790</v>
      </c>
      <c r="P43" s="76"/>
      <c r="Q43" s="76"/>
      <c r="R43" s="76"/>
      <c r="S43" s="76"/>
      <c r="T43" s="76"/>
      <c r="U43" s="76"/>
      <c r="V43" s="27"/>
      <c r="W43" s="76"/>
      <c r="X43" s="76"/>
      <c r="Y43" s="76"/>
      <c r="Z43" s="76"/>
      <c r="AA43" s="76"/>
      <c r="AC43" s="158" t="s">
        <v>790</v>
      </c>
      <c r="AD43" s="76"/>
      <c r="AE43" s="76">
        <f t="shared" si="1"/>
        <v>0</v>
      </c>
      <c r="AF43" s="76">
        <f t="shared" si="2"/>
        <v>0</v>
      </c>
      <c r="AG43" s="76">
        <f t="shared" si="3"/>
        <v>0</v>
      </c>
      <c r="AH43" s="76">
        <f t="shared" si="4"/>
        <v>0</v>
      </c>
      <c r="AI43" s="76">
        <f t="shared" si="5"/>
        <v>0</v>
      </c>
      <c r="AJ43" s="76">
        <f t="shared" si="6"/>
        <v>0</v>
      </c>
      <c r="AK43" s="76">
        <f t="shared" si="7"/>
        <v>0</v>
      </c>
      <c r="AL43" s="76">
        <f t="shared" si="8"/>
        <v>0</v>
      </c>
      <c r="AM43" s="76">
        <f t="shared" si="9"/>
        <v>0</v>
      </c>
      <c r="AN43" s="76">
        <f t="shared" si="10"/>
        <v>0</v>
      </c>
      <c r="AO43" s="76">
        <f t="shared" si="11"/>
        <v>0</v>
      </c>
      <c r="AQ43" s="76">
        <v>0</v>
      </c>
      <c r="AR43" s="76">
        <v>0</v>
      </c>
      <c r="AS43" s="76">
        <v>0</v>
      </c>
    </row>
    <row r="44" spans="1:45" x14ac:dyDescent="0.3">
      <c r="A44" s="158">
        <f>IF(ISBLANK(B44),"",MAX(A$6:A43)+1)</f>
        <v>32</v>
      </c>
      <c r="B44" s="76" t="s">
        <v>53</v>
      </c>
      <c r="C44" s="175">
        <f>C40/C42</f>
        <v>7.0282214651618657E-2</v>
      </c>
      <c r="D44" s="175"/>
      <c r="E44" s="175"/>
      <c r="F44" s="175"/>
      <c r="G44" s="175">
        <f>G40/G42</f>
        <v>8.5383262863916704E-2</v>
      </c>
      <c r="H44" s="27"/>
      <c r="I44" s="175">
        <f ca="1">I40/I42</f>
        <v>6.5788493016184155E-2</v>
      </c>
      <c r="J44" s="175"/>
      <c r="K44" s="175"/>
      <c r="L44" s="175"/>
      <c r="M44" s="175">
        <f ca="1">M40/M42</f>
        <v>6.2849119444780444E-2</v>
      </c>
      <c r="O44" s="158">
        <v>32</v>
      </c>
      <c r="P44" s="76" t="s">
        <v>53</v>
      </c>
      <c r="Q44" s="175">
        <v>7.0282214651618657E-2</v>
      </c>
      <c r="R44" s="175"/>
      <c r="S44" s="175"/>
      <c r="T44" s="175"/>
      <c r="U44" s="175">
        <v>8.5383262863916704E-2</v>
      </c>
      <c r="V44" s="27"/>
      <c r="W44" s="175">
        <v>6.5788493016184155E-2</v>
      </c>
      <c r="X44" s="175"/>
      <c r="Y44" s="175"/>
      <c r="Z44" s="175"/>
      <c r="AA44" s="175">
        <v>6.2849119444780444E-2</v>
      </c>
      <c r="AC44" s="158">
        <v>32</v>
      </c>
      <c r="AD44" s="76" t="s">
        <v>53</v>
      </c>
      <c r="AE44" s="175">
        <f t="shared" si="1"/>
        <v>0</v>
      </c>
      <c r="AF44" s="175">
        <f t="shared" si="2"/>
        <v>0</v>
      </c>
      <c r="AG44" s="175">
        <f t="shared" si="3"/>
        <v>0</v>
      </c>
      <c r="AH44" s="175">
        <f t="shared" si="4"/>
        <v>0</v>
      </c>
      <c r="AI44" s="175">
        <f t="shared" si="5"/>
        <v>0</v>
      </c>
      <c r="AJ44" s="175">
        <f t="shared" si="6"/>
        <v>0</v>
      </c>
      <c r="AK44" s="175">
        <f t="shared" ca="1" si="7"/>
        <v>0</v>
      </c>
      <c r="AL44" s="175">
        <f t="shared" si="8"/>
        <v>0</v>
      </c>
      <c r="AM44" s="175">
        <f t="shared" si="9"/>
        <v>0</v>
      </c>
      <c r="AN44" s="175">
        <f t="shared" si="10"/>
        <v>0</v>
      </c>
      <c r="AO44" s="175">
        <f t="shared" ca="1" si="11"/>
        <v>0</v>
      </c>
      <c r="AQ44" s="175">
        <v>-8.1597256186546896E-5</v>
      </c>
      <c r="AR44" s="175">
        <v>-1.4467949770131938E-4</v>
      </c>
      <c r="AS44" s="175">
        <v>-8.2414809169276126E-5</v>
      </c>
    </row>
    <row r="45" spans="1:45" x14ac:dyDescent="0.3">
      <c r="A45" s="158" t="str">
        <f>IF(ISBLANK(B45),"",MAX(A$6:A44)+1)</f>
        <v/>
      </c>
      <c r="B45" s="76"/>
      <c r="C45" s="76"/>
      <c r="D45" s="76"/>
      <c r="E45" s="76"/>
      <c r="F45" s="76"/>
      <c r="G45" s="76"/>
      <c r="H45" s="27"/>
      <c r="I45" s="76"/>
      <c r="J45" s="76"/>
      <c r="K45" s="76"/>
      <c r="L45" s="76"/>
      <c r="M45" s="76"/>
      <c r="O45" s="158" t="s">
        <v>790</v>
      </c>
      <c r="P45" s="76"/>
      <c r="Q45" s="76"/>
      <c r="R45" s="76"/>
      <c r="S45" s="76"/>
      <c r="T45" s="76"/>
      <c r="U45" s="76"/>
      <c r="V45" s="27"/>
      <c r="W45" s="76"/>
      <c r="X45" s="76"/>
      <c r="Y45" s="76"/>
      <c r="Z45" s="76"/>
      <c r="AA45" s="76"/>
      <c r="AC45" s="158" t="s">
        <v>790</v>
      </c>
      <c r="AD45" s="76"/>
      <c r="AE45" s="76">
        <f t="shared" si="1"/>
        <v>0</v>
      </c>
      <c r="AF45" s="76">
        <f t="shared" si="2"/>
        <v>0</v>
      </c>
      <c r="AG45" s="76">
        <f t="shared" si="3"/>
        <v>0</v>
      </c>
      <c r="AH45" s="76">
        <f t="shared" si="4"/>
        <v>0</v>
      </c>
      <c r="AI45" s="76">
        <f t="shared" si="5"/>
        <v>0</v>
      </c>
      <c r="AJ45" s="76">
        <f t="shared" si="6"/>
        <v>0</v>
      </c>
      <c r="AK45" s="76">
        <f t="shared" si="7"/>
        <v>0</v>
      </c>
      <c r="AL45" s="76">
        <f t="shared" si="8"/>
        <v>0</v>
      </c>
      <c r="AM45" s="76">
        <f t="shared" si="9"/>
        <v>0</v>
      </c>
      <c r="AN45" s="76">
        <f t="shared" si="10"/>
        <v>0</v>
      </c>
      <c r="AO45" s="76">
        <f t="shared" si="11"/>
        <v>0</v>
      </c>
      <c r="AQ45" s="76">
        <v>0</v>
      </c>
      <c r="AR45" s="76">
        <v>0</v>
      </c>
      <c r="AS45" s="76">
        <v>0</v>
      </c>
    </row>
    <row r="46" spans="1:45" x14ac:dyDescent="0.3">
      <c r="A46" s="158">
        <f>IF(ISBLANK(B46),"",MAX(A$6:A45)+1)</f>
        <v>33</v>
      </c>
      <c r="B46" s="76" t="s">
        <v>54</v>
      </c>
      <c r="C46" s="76"/>
      <c r="D46" s="76"/>
      <c r="E46" s="76"/>
      <c r="F46" s="76"/>
      <c r="G46" s="76"/>
      <c r="H46" s="27"/>
      <c r="I46" s="76"/>
      <c r="J46" s="76"/>
      <c r="K46" s="76"/>
      <c r="L46" s="76"/>
      <c r="M46" s="76"/>
      <c r="O46" s="158">
        <v>33</v>
      </c>
      <c r="P46" s="76" t="s">
        <v>54</v>
      </c>
      <c r="Q46" s="76"/>
      <c r="R46" s="76"/>
      <c r="S46" s="76"/>
      <c r="T46" s="76"/>
      <c r="U46" s="76"/>
      <c r="V46" s="27"/>
      <c r="W46" s="76"/>
      <c r="X46" s="76"/>
      <c r="Y46" s="76"/>
      <c r="Z46" s="76"/>
      <c r="AA46" s="76"/>
      <c r="AC46" s="158">
        <v>33</v>
      </c>
      <c r="AD46" s="76" t="s">
        <v>54</v>
      </c>
      <c r="AE46" s="76">
        <f t="shared" si="1"/>
        <v>0</v>
      </c>
      <c r="AF46" s="76">
        <f t="shared" si="2"/>
        <v>0</v>
      </c>
      <c r="AG46" s="76">
        <f t="shared" si="3"/>
        <v>0</v>
      </c>
      <c r="AH46" s="76">
        <f t="shared" si="4"/>
        <v>0</v>
      </c>
      <c r="AI46" s="76">
        <f t="shared" si="5"/>
        <v>0</v>
      </c>
      <c r="AJ46" s="76">
        <f t="shared" si="6"/>
        <v>0</v>
      </c>
      <c r="AK46" s="76">
        <f t="shared" si="7"/>
        <v>0</v>
      </c>
      <c r="AL46" s="76">
        <f t="shared" si="8"/>
        <v>0</v>
      </c>
      <c r="AM46" s="76">
        <f t="shared" si="9"/>
        <v>0</v>
      </c>
      <c r="AN46" s="76">
        <f t="shared" si="10"/>
        <v>0</v>
      </c>
      <c r="AO46" s="76">
        <f t="shared" si="11"/>
        <v>0</v>
      </c>
      <c r="AQ46" s="76">
        <v>0</v>
      </c>
      <c r="AR46" s="76">
        <v>0</v>
      </c>
      <c r="AS46" s="76">
        <v>0</v>
      </c>
    </row>
    <row r="47" spans="1:45" x14ac:dyDescent="0.3">
      <c r="A47" s="158">
        <f>IF(ISBLANK(B47),"",MAX(A$6:A46)+1)</f>
        <v>34</v>
      </c>
      <c r="B47" s="176" t="s">
        <v>55</v>
      </c>
      <c r="C47" s="177">
        <f>C62</f>
        <v>10567150332.031586</v>
      </c>
      <c r="D47" s="177">
        <f>D62</f>
        <v>0</v>
      </c>
      <c r="E47" s="177">
        <f>E62</f>
        <v>-43086547.452637523</v>
      </c>
      <c r="F47" s="177">
        <f>F62</f>
        <v>-32493590.70949842</v>
      </c>
      <c r="G47" s="177">
        <f>G62</f>
        <v>10491570193.86945</v>
      </c>
      <c r="H47" s="27"/>
      <c r="I47" s="177">
        <f>I62</f>
        <v>11427754208.041882</v>
      </c>
      <c r="J47" s="177">
        <f>J62</f>
        <v>170075026.29643583</v>
      </c>
      <c r="K47" s="177">
        <f>K62</f>
        <v>162226501.42875069</v>
      </c>
      <c r="L47" s="177">
        <f>L62</f>
        <v>0</v>
      </c>
      <c r="M47" s="177">
        <f>M62</f>
        <v>11760055735.767067</v>
      </c>
      <c r="O47" s="158">
        <v>34</v>
      </c>
      <c r="P47" s="176" t="s">
        <v>55</v>
      </c>
      <c r="Q47" s="177">
        <v>10567150332.031586</v>
      </c>
      <c r="R47" s="177">
        <v>0</v>
      </c>
      <c r="S47" s="177">
        <v>-43086547.452637523</v>
      </c>
      <c r="T47" s="177">
        <v>-32493590.70949842</v>
      </c>
      <c r="U47" s="177">
        <v>10491570193.86945</v>
      </c>
      <c r="V47" s="27"/>
      <c r="W47" s="177">
        <v>11427754208.041882</v>
      </c>
      <c r="X47" s="177">
        <v>170075026.29643583</v>
      </c>
      <c r="Y47" s="177">
        <v>162226501.42875069</v>
      </c>
      <c r="Z47" s="177">
        <v>0</v>
      </c>
      <c r="AA47" s="177">
        <v>11760055735.767067</v>
      </c>
      <c r="AC47" s="158">
        <v>34</v>
      </c>
      <c r="AD47" s="176" t="s">
        <v>55</v>
      </c>
      <c r="AE47" s="177">
        <f t="shared" si="1"/>
        <v>0</v>
      </c>
      <c r="AF47" s="177">
        <f t="shared" si="2"/>
        <v>0</v>
      </c>
      <c r="AG47" s="177">
        <f t="shared" si="3"/>
        <v>0</v>
      </c>
      <c r="AH47" s="177">
        <f t="shared" si="4"/>
        <v>0</v>
      </c>
      <c r="AI47" s="177">
        <f t="shared" si="5"/>
        <v>0</v>
      </c>
      <c r="AJ47" s="177">
        <f t="shared" si="6"/>
        <v>0</v>
      </c>
      <c r="AK47" s="177">
        <f t="shared" si="7"/>
        <v>0</v>
      </c>
      <c r="AL47" s="177">
        <f t="shared" si="8"/>
        <v>0</v>
      </c>
      <c r="AM47" s="177">
        <f t="shared" si="9"/>
        <v>0</v>
      </c>
      <c r="AN47" s="177">
        <f t="shared" si="10"/>
        <v>0</v>
      </c>
      <c r="AO47" s="177">
        <f t="shared" si="11"/>
        <v>0</v>
      </c>
      <c r="AQ47" s="177">
        <v>0</v>
      </c>
      <c r="AR47" s="177">
        <v>0</v>
      </c>
      <c r="AS47" s="177">
        <v>0</v>
      </c>
    </row>
    <row r="48" spans="1:45" x14ac:dyDescent="0.3">
      <c r="A48" s="158">
        <f>IF(ISBLANK(B48),"",MAX(A$6:A47)+1)</f>
        <v>35</v>
      </c>
      <c r="B48" s="176" t="s">
        <v>56</v>
      </c>
      <c r="C48" s="162">
        <f>C70</f>
        <v>-4242911054.3971</v>
      </c>
      <c r="D48" s="162">
        <f>D70</f>
        <v>0</v>
      </c>
      <c r="E48" s="162">
        <f>E70</f>
        <v>2800433.4436958949</v>
      </c>
      <c r="F48" s="162">
        <f>F70</f>
        <v>2801052.512056177</v>
      </c>
      <c r="G48" s="162">
        <f>G70</f>
        <v>-4237309568.4413481</v>
      </c>
      <c r="H48" s="27"/>
      <c r="I48" s="162">
        <f>I70</f>
        <v>-5173194217.8279486</v>
      </c>
      <c r="J48" s="162">
        <f>J70</f>
        <v>-26949739.940672945</v>
      </c>
      <c r="K48" s="162">
        <f>K70</f>
        <v>-36667721.805506274</v>
      </c>
      <c r="L48" s="162">
        <f>L70</f>
        <v>0</v>
      </c>
      <c r="M48" s="162">
        <f>M70</f>
        <v>-5236811679.5741282</v>
      </c>
      <c r="O48" s="158">
        <v>35</v>
      </c>
      <c r="P48" s="176" t="s">
        <v>56</v>
      </c>
      <c r="Q48" s="162">
        <v>-4242911054.3971</v>
      </c>
      <c r="R48" s="162">
        <v>0</v>
      </c>
      <c r="S48" s="162">
        <v>2800433.4436958949</v>
      </c>
      <c r="T48" s="162">
        <v>2801052.512056177</v>
      </c>
      <c r="U48" s="162">
        <v>-4237309568.4413481</v>
      </c>
      <c r="V48" s="27"/>
      <c r="W48" s="162">
        <v>-5173194217.8279486</v>
      </c>
      <c r="X48" s="162">
        <v>-26949739.940672945</v>
      </c>
      <c r="Y48" s="162">
        <v>-36667721.805506274</v>
      </c>
      <c r="Z48" s="162">
        <v>0</v>
      </c>
      <c r="AA48" s="162">
        <v>-5236811679.5741282</v>
      </c>
      <c r="AC48" s="158">
        <v>35</v>
      </c>
      <c r="AD48" s="176" t="s">
        <v>56</v>
      </c>
      <c r="AE48" s="162">
        <f t="shared" si="1"/>
        <v>0</v>
      </c>
      <c r="AF48" s="162">
        <f t="shared" si="2"/>
        <v>0</v>
      </c>
      <c r="AG48" s="162">
        <f t="shared" si="3"/>
        <v>0</v>
      </c>
      <c r="AH48" s="162">
        <f t="shared" si="4"/>
        <v>0</v>
      </c>
      <c r="AI48" s="162">
        <f t="shared" si="5"/>
        <v>0</v>
      </c>
      <c r="AJ48" s="162">
        <f t="shared" si="6"/>
        <v>0</v>
      </c>
      <c r="AK48" s="162">
        <f t="shared" si="7"/>
        <v>0</v>
      </c>
      <c r="AL48" s="162">
        <f t="shared" si="8"/>
        <v>0</v>
      </c>
      <c r="AM48" s="162">
        <f t="shared" si="9"/>
        <v>0</v>
      </c>
      <c r="AN48" s="162">
        <f t="shared" si="10"/>
        <v>0</v>
      </c>
      <c r="AO48" s="162">
        <f t="shared" si="11"/>
        <v>0</v>
      </c>
      <c r="AQ48" s="162">
        <v>0</v>
      </c>
      <c r="AR48" s="162">
        <v>0</v>
      </c>
      <c r="AS48" s="162">
        <v>0</v>
      </c>
    </row>
    <row r="49" spans="1:45" x14ac:dyDescent="0.3">
      <c r="A49" s="158">
        <f>IF(ISBLANK(B49),"",MAX(A$6:A47)+1)</f>
        <v>35</v>
      </c>
      <c r="B49" s="169" t="s">
        <v>57</v>
      </c>
      <c r="C49" s="162">
        <f t="shared" ref="C49:G50" si="15">C104</f>
        <v>-24415040.504562624</v>
      </c>
      <c r="D49" s="162">
        <f t="shared" si="15"/>
        <v>0</v>
      </c>
      <c r="E49" s="162">
        <f t="shared" si="15"/>
        <v>0</v>
      </c>
      <c r="F49" s="162">
        <f t="shared" si="15"/>
        <v>0</v>
      </c>
      <c r="G49" s="162">
        <f t="shared" si="15"/>
        <v>-24415040.504562624</v>
      </c>
      <c r="H49" s="27"/>
      <c r="I49" s="162">
        <f t="shared" ref="I49:M50" si="16">I104</f>
        <v>-24415040.504562624</v>
      </c>
      <c r="J49" s="162">
        <f t="shared" si="16"/>
        <v>0</v>
      </c>
      <c r="K49" s="162">
        <f t="shared" si="16"/>
        <v>0</v>
      </c>
      <c r="L49" s="162">
        <f t="shared" si="16"/>
        <v>0</v>
      </c>
      <c r="M49" s="162">
        <f t="shared" si="16"/>
        <v>-24415040.504562624</v>
      </c>
      <c r="O49" s="158">
        <v>35</v>
      </c>
      <c r="P49" s="169" t="s">
        <v>57</v>
      </c>
      <c r="Q49" s="162">
        <v>-24415040.504562624</v>
      </c>
      <c r="R49" s="162">
        <v>0</v>
      </c>
      <c r="S49" s="162">
        <v>0</v>
      </c>
      <c r="T49" s="162">
        <v>0</v>
      </c>
      <c r="U49" s="162">
        <v>-24415040.504562624</v>
      </c>
      <c r="V49" s="27"/>
      <c r="W49" s="162">
        <v>-24415040.504562624</v>
      </c>
      <c r="X49" s="162">
        <v>0</v>
      </c>
      <c r="Y49" s="162">
        <v>0</v>
      </c>
      <c r="Z49" s="162">
        <v>0</v>
      </c>
      <c r="AA49" s="162">
        <v>-24415040.504562624</v>
      </c>
      <c r="AC49" s="158">
        <v>35</v>
      </c>
      <c r="AD49" s="169" t="s">
        <v>57</v>
      </c>
      <c r="AE49" s="162">
        <f t="shared" si="1"/>
        <v>0</v>
      </c>
      <c r="AF49" s="162">
        <f t="shared" si="2"/>
        <v>0</v>
      </c>
      <c r="AG49" s="162">
        <f t="shared" si="3"/>
        <v>0</v>
      </c>
      <c r="AH49" s="162">
        <f t="shared" si="4"/>
        <v>0</v>
      </c>
      <c r="AI49" s="162">
        <f t="shared" si="5"/>
        <v>0</v>
      </c>
      <c r="AJ49" s="162">
        <f t="shared" si="6"/>
        <v>0</v>
      </c>
      <c r="AK49" s="162">
        <f t="shared" si="7"/>
        <v>0</v>
      </c>
      <c r="AL49" s="162">
        <f t="shared" si="8"/>
        <v>0</v>
      </c>
      <c r="AM49" s="162">
        <f t="shared" si="9"/>
        <v>0</v>
      </c>
      <c r="AN49" s="162">
        <f t="shared" si="10"/>
        <v>0</v>
      </c>
      <c r="AO49" s="162">
        <f t="shared" si="11"/>
        <v>0</v>
      </c>
      <c r="AQ49" s="162">
        <v>0</v>
      </c>
      <c r="AR49" s="162">
        <v>-454834.84243270755</v>
      </c>
      <c r="AS49" s="162">
        <v>-264630.00420184433</v>
      </c>
    </row>
    <row r="50" spans="1:45" x14ac:dyDescent="0.3">
      <c r="A50" s="158">
        <f>IF(ISBLANK(B50),"",MAX(A$6:A48)+1)</f>
        <v>36</v>
      </c>
      <c r="B50" s="76" t="s">
        <v>58</v>
      </c>
      <c r="C50" s="162">
        <f t="shared" si="15"/>
        <v>284499601.55361074</v>
      </c>
      <c r="D50" s="162">
        <f t="shared" si="15"/>
        <v>0</v>
      </c>
      <c r="E50" s="162">
        <f t="shared" si="15"/>
        <v>0</v>
      </c>
      <c r="F50" s="162">
        <f t="shared" si="15"/>
        <v>0</v>
      </c>
      <c r="G50" s="162">
        <f t="shared" si="15"/>
        <v>284499601.55361074</v>
      </c>
      <c r="H50" s="27"/>
      <c r="I50" s="162">
        <f t="shared" si="16"/>
        <v>284499601.55361074</v>
      </c>
      <c r="J50" s="162">
        <f t="shared" si="16"/>
        <v>0</v>
      </c>
      <c r="K50" s="162">
        <f t="shared" si="16"/>
        <v>0</v>
      </c>
      <c r="L50" s="162">
        <f t="shared" si="16"/>
        <v>0</v>
      </c>
      <c r="M50" s="162">
        <f t="shared" si="16"/>
        <v>284499601.55361074</v>
      </c>
      <c r="O50" s="158">
        <v>36</v>
      </c>
      <c r="P50" s="76" t="s">
        <v>58</v>
      </c>
      <c r="Q50" s="162">
        <v>284499601.55361074</v>
      </c>
      <c r="R50" s="162">
        <v>0</v>
      </c>
      <c r="S50" s="162">
        <v>0</v>
      </c>
      <c r="T50" s="162">
        <v>0</v>
      </c>
      <c r="U50" s="162">
        <v>284499601.55361074</v>
      </c>
      <c r="V50" s="27"/>
      <c r="W50" s="162">
        <v>284499601.55361074</v>
      </c>
      <c r="X50" s="162">
        <v>0</v>
      </c>
      <c r="Y50" s="162">
        <v>0</v>
      </c>
      <c r="Z50" s="162">
        <v>0</v>
      </c>
      <c r="AA50" s="162">
        <v>284499601.55361074</v>
      </c>
      <c r="AC50" s="158">
        <v>36</v>
      </c>
      <c r="AD50" s="76" t="s">
        <v>58</v>
      </c>
      <c r="AE50" s="162">
        <f t="shared" si="1"/>
        <v>0</v>
      </c>
      <c r="AF50" s="162">
        <f t="shared" si="2"/>
        <v>0</v>
      </c>
      <c r="AG50" s="162">
        <f t="shared" si="3"/>
        <v>0</v>
      </c>
      <c r="AH50" s="162">
        <f t="shared" si="4"/>
        <v>0</v>
      </c>
      <c r="AI50" s="162">
        <f t="shared" si="5"/>
        <v>0</v>
      </c>
      <c r="AJ50" s="162">
        <f t="shared" si="6"/>
        <v>0</v>
      </c>
      <c r="AK50" s="162">
        <f t="shared" si="7"/>
        <v>0</v>
      </c>
      <c r="AL50" s="162">
        <f t="shared" si="8"/>
        <v>0</v>
      </c>
      <c r="AM50" s="162">
        <f t="shared" si="9"/>
        <v>0</v>
      </c>
      <c r="AN50" s="162">
        <f t="shared" si="10"/>
        <v>0</v>
      </c>
      <c r="AO50" s="162">
        <f t="shared" si="11"/>
        <v>0</v>
      </c>
      <c r="AQ50" s="162">
        <v>0</v>
      </c>
      <c r="AR50" s="162">
        <v>2165880.2020605206</v>
      </c>
      <c r="AS50" s="162">
        <v>1260142.8771516085</v>
      </c>
    </row>
    <row r="51" spans="1:45" x14ac:dyDescent="0.3">
      <c r="A51" s="158">
        <f>IF(ISBLANK(B51),"",MAX(A$6:A50)+1)</f>
        <v>37</v>
      </c>
      <c r="B51" s="76" t="s">
        <v>59</v>
      </c>
      <c r="C51" s="162">
        <f>C94</f>
        <v>-1417003604.7176015</v>
      </c>
      <c r="D51" s="162">
        <f>D94</f>
        <v>0</v>
      </c>
      <c r="E51" s="162">
        <f>E94</f>
        <v>2798356.0552379121</v>
      </c>
      <c r="F51" s="162">
        <f>F94</f>
        <v>1816393.2000356747</v>
      </c>
      <c r="G51" s="162">
        <f>G94</f>
        <v>-1412388855.4623277</v>
      </c>
      <c r="H51" s="27"/>
      <c r="I51" s="162">
        <f>I94</f>
        <v>-1280258062.5835309</v>
      </c>
      <c r="J51" s="162">
        <f>J94</f>
        <v>-8820726.9787761793</v>
      </c>
      <c r="K51" s="162">
        <f>K94</f>
        <v>-13230005.209756112</v>
      </c>
      <c r="L51" s="162">
        <f>L94</f>
        <v>0</v>
      </c>
      <c r="M51" s="162">
        <f>M94</f>
        <v>-1302308794.7720635</v>
      </c>
      <c r="O51" s="158">
        <v>37</v>
      </c>
      <c r="P51" s="76" t="s">
        <v>59</v>
      </c>
      <c r="Q51" s="162">
        <v>-1417003604.7176015</v>
      </c>
      <c r="R51" s="162">
        <v>0</v>
      </c>
      <c r="S51" s="162">
        <v>2798356.0552379121</v>
      </c>
      <c r="T51" s="162">
        <v>1816393.2000356747</v>
      </c>
      <c r="U51" s="162">
        <v>-1412388855.4623277</v>
      </c>
      <c r="V51" s="27"/>
      <c r="W51" s="162">
        <v>-1280258062.5835309</v>
      </c>
      <c r="X51" s="162">
        <v>-8820726.9787761793</v>
      </c>
      <c r="Y51" s="162">
        <v>-13230005.209756112</v>
      </c>
      <c r="Z51" s="162">
        <v>0</v>
      </c>
      <c r="AA51" s="162">
        <v>-1302308794.7720635</v>
      </c>
      <c r="AC51" s="158">
        <v>37</v>
      </c>
      <c r="AD51" s="76" t="s">
        <v>59</v>
      </c>
      <c r="AE51" s="162">
        <f t="shared" si="1"/>
        <v>0</v>
      </c>
      <c r="AF51" s="162">
        <f t="shared" si="2"/>
        <v>0</v>
      </c>
      <c r="AG51" s="162">
        <f t="shared" si="3"/>
        <v>0</v>
      </c>
      <c r="AH51" s="162">
        <f t="shared" si="4"/>
        <v>0</v>
      </c>
      <c r="AI51" s="162">
        <f t="shared" si="5"/>
        <v>0</v>
      </c>
      <c r="AJ51" s="162">
        <f t="shared" si="6"/>
        <v>0</v>
      </c>
      <c r="AK51" s="162">
        <f t="shared" si="7"/>
        <v>0</v>
      </c>
      <c r="AL51" s="162">
        <f t="shared" si="8"/>
        <v>0</v>
      </c>
      <c r="AM51" s="162">
        <f t="shared" si="9"/>
        <v>0</v>
      </c>
      <c r="AN51" s="162">
        <f t="shared" si="10"/>
        <v>0</v>
      </c>
      <c r="AO51" s="162">
        <f t="shared" si="11"/>
        <v>0</v>
      </c>
      <c r="AQ51" s="162">
        <v>0</v>
      </c>
      <c r="AR51" s="162">
        <v>0</v>
      </c>
      <c r="AS51" s="162">
        <v>0</v>
      </c>
    </row>
    <row r="52" spans="1:45" x14ac:dyDescent="0.3">
      <c r="A52" s="158">
        <f>IF(ISBLANK(B52),"",MAX(A$6:A51)+1)</f>
        <v>38</v>
      </c>
      <c r="B52" s="76" t="s">
        <v>60</v>
      </c>
      <c r="C52" s="162">
        <f t="shared" ref="C52:G53" si="17">C106</f>
        <v>145303204.9988502</v>
      </c>
      <c r="D52" s="162">
        <f t="shared" si="17"/>
        <v>0</v>
      </c>
      <c r="E52" s="162">
        <f t="shared" si="17"/>
        <v>0</v>
      </c>
      <c r="F52" s="162">
        <f t="shared" si="17"/>
        <v>0</v>
      </c>
      <c r="G52" s="162">
        <f t="shared" si="17"/>
        <v>145303204.9988502</v>
      </c>
      <c r="H52" s="27"/>
      <c r="I52" s="162">
        <f t="shared" ref="I52:M53" si="18">I106</f>
        <v>145303204.9988502</v>
      </c>
      <c r="J52" s="162">
        <f t="shared" si="18"/>
        <v>0</v>
      </c>
      <c r="K52" s="162">
        <f t="shared" si="18"/>
        <v>0</v>
      </c>
      <c r="L52" s="162">
        <f t="shared" si="18"/>
        <v>0</v>
      </c>
      <c r="M52" s="162">
        <f t="shared" si="18"/>
        <v>145303204.9988502</v>
      </c>
      <c r="O52" s="158">
        <v>38</v>
      </c>
      <c r="P52" s="76" t="s">
        <v>60</v>
      </c>
      <c r="Q52" s="162">
        <v>145303204.9988502</v>
      </c>
      <c r="R52" s="162">
        <v>0</v>
      </c>
      <c r="S52" s="162">
        <v>0</v>
      </c>
      <c r="T52" s="162">
        <v>0</v>
      </c>
      <c r="U52" s="162">
        <v>145303204.9988502</v>
      </c>
      <c r="V52" s="27"/>
      <c r="W52" s="162">
        <v>145303204.9988502</v>
      </c>
      <c r="X52" s="162">
        <v>0</v>
      </c>
      <c r="Y52" s="162">
        <v>0</v>
      </c>
      <c r="Z52" s="162">
        <v>0</v>
      </c>
      <c r="AA52" s="162">
        <v>145303204.9988502</v>
      </c>
      <c r="AC52" s="158">
        <v>38</v>
      </c>
      <c r="AD52" s="76" t="s">
        <v>60</v>
      </c>
      <c r="AE52" s="162">
        <f t="shared" si="1"/>
        <v>0</v>
      </c>
      <c r="AF52" s="162">
        <f t="shared" si="2"/>
        <v>0</v>
      </c>
      <c r="AG52" s="162">
        <f t="shared" si="3"/>
        <v>0</v>
      </c>
      <c r="AH52" s="162">
        <f t="shared" si="4"/>
        <v>0</v>
      </c>
      <c r="AI52" s="162">
        <f t="shared" si="5"/>
        <v>0</v>
      </c>
      <c r="AJ52" s="162">
        <f t="shared" si="6"/>
        <v>0</v>
      </c>
      <c r="AK52" s="162">
        <f t="shared" si="7"/>
        <v>0</v>
      </c>
      <c r="AL52" s="162">
        <f t="shared" si="8"/>
        <v>0</v>
      </c>
      <c r="AM52" s="162">
        <f t="shared" si="9"/>
        <v>0</v>
      </c>
      <c r="AN52" s="162">
        <f t="shared" si="10"/>
        <v>0</v>
      </c>
      <c r="AO52" s="162">
        <f t="shared" si="11"/>
        <v>0</v>
      </c>
      <c r="AQ52" s="162">
        <v>0</v>
      </c>
      <c r="AR52" s="162">
        <v>0</v>
      </c>
      <c r="AS52" s="162">
        <v>0</v>
      </c>
    </row>
    <row r="53" spans="1:45" x14ac:dyDescent="0.3">
      <c r="A53" s="158">
        <f>IF(ISBLANK(B53),"",MAX(A$6:A52)+1)</f>
        <v>39</v>
      </c>
      <c r="B53" s="76" t="s">
        <v>61</v>
      </c>
      <c r="C53" s="162">
        <f t="shared" si="17"/>
        <v>-106223263.53024991</v>
      </c>
      <c r="D53" s="162">
        <f t="shared" si="17"/>
        <v>0</v>
      </c>
      <c r="E53" s="162">
        <f t="shared" si="17"/>
        <v>0</v>
      </c>
      <c r="F53" s="162">
        <f t="shared" si="17"/>
        <v>0</v>
      </c>
      <c r="G53" s="162">
        <f t="shared" si="17"/>
        <v>-106223263.53024991</v>
      </c>
      <c r="H53" s="27"/>
      <c r="I53" s="162">
        <f t="shared" si="18"/>
        <v>-106223263.53024991</v>
      </c>
      <c r="J53" s="162">
        <f t="shared" si="18"/>
        <v>0</v>
      </c>
      <c r="K53" s="162">
        <f t="shared" si="18"/>
        <v>0</v>
      </c>
      <c r="L53" s="162">
        <f t="shared" si="18"/>
        <v>0</v>
      </c>
      <c r="M53" s="162">
        <f t="shared" si="18"/>
        <v>-106223263.53024991</v>
      </c>
      <c r="O53" s="158">
        <v>39</v>
      </c>
      <c r="P53" s="76" t="s">
        <v>61</v>
      </c>
      <c r="Q53" s="162">
        <v>-106223263.53024991</v>
      </c>
      <c r="R53" s="162">
        <v>0</v>
      </c>
      <c r="S53" s="162">
        <v>0</v>
      </c>
      <c r="T53" s="162">
        <v>0</v>
      </c>
      <c r="U53" s="162">
        <v>-106223263.53024991</v>
      </c>
      <c r="V53" s="27"/>
      <c r="W53" s="162">
        <v>-106223263.53024991</v>
      </c>
      <c r="X53" s="162">
        <v>0</v>
      </c>
      <c r="Y53" s="162">
        <v>0</v>
      </c>
      <c r="Z53" s="162">
        <v>0</v>
      </c>
      <c r="AA53" s="162">
        <v>-106223263.53024991</v>
      </c>
      <c r="AC53" s="158">
        <v>39</v>
      </c>
      <c r="AD53" s="76" t="s">
        <v>61</v>
      </c>
      <c r="AE53" s="162">
        <f t="shared" si="1"/>
        <v>0</v>
      </c>
      <c r="AF53" s="162">
        <f t="shared" si="2"/>
        <v>0</v>
      </c>
      <c r="AG53" s="162">
        <f t="shared" si="3"/>
        <v>0</v>
      </c>
      <c r="AH53" s="162">
        <f t="shared" si="4"/>
        <v>0</v>
      </c>
      <c r="AI53" s="162">
        <f t="shared" si="5"/>
        <v>0</v>
      </c>
      <c r="AJ53" s="162">
        <f t="shared" si="6"/>
        <v>0</v>
      </c>
      <c r="AK53" s="162">
        <f t="shared" si="7"/>
        <v>0</v>
      </c>
      <c r="AL53" s="162">
        <f t="shared" si="8"/>
        <v>0</v>
      </c>
      <c r="AM53" s="162">
        <f t="shared" si="9"/>
        <v>0</v>
      </c>
      <c r="AN53" s="162">
        <f t="shared" si="10"/>
        <v>0</v>
      </c>
      <c r="AO53" s="162">
        <f t="shared" si="11"/>
        <v>0</v>
      </c>
      <c r="AQ53" s="162">
        <v>0</v>
      </c>
      <c r="AR53" s="162">
        <v>0</v>
      </c>
      <c r="AS53" s="162">
        <v>0</v>
      </c>
    </row>
    <row r="54" spans="1:45" ht="15" thickBot="1" x14ac:dyDescent="0.35">
      <c r="A54" s="158">
        <f>IF(ISBLANK(B54),"",MAX(A$6:A53)+1)</f>
        <v>40</v>
      </c>
      <c r="B54" s="178" t="s">
        <v>62</v>
      </c>
      <c r="C54" s="179">
        <f>SUM(C47:C53)</f>
        <v>5206400175.4345322</v>
      </c>
      <c r="D54" s="179">
        <f>SUM(D47:D53)</f>
        <v>0</v>
      </c>
      <c r="E54" s="179">
        <f>SUM(E47:E53)</f>
        <v>-37487757.953703716</v>
      </c>
      <c r="F54" s="179">
        <f>SUM(F47:F53)</f>
        <v>-27876144.997406568</v>
      </c>
      <c r="G54" s="179">
        <f>SUM(G47:G53)</f>
        <v>5141036272.4834223</v>
      </c>
      <c r="H54" s="27"/>
      <c r="I54" s="179">
        <f>SUM(I47:I53)</f>
        <v>5273466430.1480513</v>
      </c>
      <c r="J54" s="179">
        <f>SUM(J47:J53)</f>
        <v>134304559.37698671</v>
      </c>
      <c r="K54" s="179">
        <f>SUM(K47:K53)</f>
        <v>112328774.41348831</v>
      </c>
      <c r="L54" s="179">
        <f>SUM(L47:L53)</f>
        <v>0</v>
      </c>
      <c r="M54" s="179">
        <f>SUM(M47:M53)</f>
        <v>5520099763.9385242</v>
      </c>
      <c r="O54" s="158">
        <v>40</v>
      </c>
      <c r="P54" s="178" t="s">
        <v>62</v>
      </c>
      <c r="Q54" s="179">
        <v>5206400175.4345322</v>
      </c>
      <c r="R54" s="179">
        <v>0</v>
      </c>
      <c r="S54" s="179">
        <v>-37487757.953703716</v>
      </c>
      <c r="T54" s="179">
        <v>-27876144.997406568</v>
      </c>
      <c r="U54" s="179">
        <v>5141036272.4834223</v>
      </c>
      <c r="V54" s="27"/>
      <c r="W54" s="179">
        <v>5273466430.1480513</v>
      </c>
      <c r="X54" s="179">
        <v>134304559.37698671</v>
      </c>
      <c r="Y54" s="179">
        <v>112328774.41348831</v>
      </c>
      <c r="Z54" s="179">
        <v>0</v>
      </c>
      <c r="AA54" s="179">
        <v>5520099763.9385242</v>
      </c>
      <c r="AC54" s="158">
        <v>40</v>
      </c>
      <c r="AD54" s="178" t="s">
        <v>62</v>
      </c>
      <c r="AE54" s="179">
        <f t="shared" si="1"/>
        <v>0</v>
      </c>
      <c r="AF54" s="179">
        <f t="shared" si="2"/>
        <v>0</v>
      </c>
      <c r="AG54" s="179">
        <f t="shared" si="3"/>
        <v>0</v>
      </c>
      <c r="AH54" s="179">
        <f t="shared" si="4"/>
        <v>0</v>
      </c>
      <c r="AI54" s="179">
        <f t="shared" si="5"/>
        <v>0</v>
      </c>
      <c r="AJ54" s="179">
        <f t="shared" si="6"/>
        <v>0</v>
      </c>
      <c r="AK54" s="179">
        <f t="shared" si="7"/>
        <v>0</v>
      </c>
      <c r="AL54" s="179">
        <f t="shared" si="8"/>
        <v>0</v>
      </c>
      <c r="AM54" s="179">
        <f t="shared" si="9"/>
        <v>0</v>
      </c>
      <c r="AN54" s="179">
        <f t="shared" si="10"/>
        <v>0</v>
      </c>
      <c r="AO54" s="179">
        <f t="shared" si="11"/>
        <v>0</v>
      </c>
      <c r="AQ54" s="179">
        <v>0</v>
      </c>
      <c r="AR54" s="179">
        <v>1711045.3596286774</v>
      </c>
      <c r="AS54" s="179">
        <v>995512.87294960022</v>
      </c>
    </row>
    <row r="55" spans="1:45" ht="15" thickTop="1" x14ac:dyDescent="0.3">
      <c r="A55" s="158" t="str">
        <f>IF(ISBLANK(B55),"",MAX(A$6:A54)+1)</f>
        <v/>
      </c>
      <c r="H55" s="27"/>
      <c r="O55" s="158" t="s">
        <v>790</v>
      </c>
      <c r="V55" s="27"/>
      <c r="AC55" s="158" t="s">
        <v>790</v>
      </c>
      <c r="AE55" s="15">
        <f t="shared" si="1"/>
        <v>0</v>
      </c>
      <c r="AF55" s="15">
        <f t="shared" si="2"/>
        <v>0</v>
      </c>
      <c r="AG55" s="15">
        <f t="shared" si="3"/>
        <v>0</v>
      </c>
      <c r="AH55" s="15">
        <f t="shared" si="4"/>
        <v>0</v>
      </c>
      <c r="AI55" s="15">
        <f t="shared" si="5"/>
        <v>0</v>
      </c>
      <c r="AJ55" s="15">
        <f t="shared" si="6"/>
        <v>0</v>
      </c>
      <c r="AK55" s="15">
        <f t="shared" si="7"/>
        <v>0</v>
      </c>
      <c r="AL55" s="15">
        <f t="shared" si="8"/>
        <v>0</v>
      </c>
      <c r="AM55" s="15">
        <f t="shared" si="9"/>
        <v>0</v>
      </c>
      <c r="AN55" s="15">
        <f t="shared" si="10"/>
        <v>0</v>
      </c>
      <c r="AO55" s="15">
        <f t="shared" si="11"/>
        <v>0</v>
      </c>
      <c r="AQ55" s="15">
        <v>0</v>
      </c>
      <c r="AR55" s="15">
        <v>0</v>
      </c>
      <c r="AS55" s="15">
        <v>0</v>
      </c>
    </row>
    <row r="56" spans="1:45" x14ac:dyDescent="0.3">
      <c r="A56" s="158">
        <f>IF(ISBLANK(B56),"",MAX(A$6:A55)+1)</f>
        <v>41</v>
      </c>
      <c r="B56" s="180" t="s">
        <v>63</v>
      </c>
      <c r="H56" s="27"/>
      <c r="O56" s="158">
        <v>41</v>
      </c>
      <c r="P56" s="180" t="s">
        <v>63</v>
      </c>
      <c r="V56" s="27"/>
      <c r="AC56" s="158">
        <v>41</v>
      </c>
      <c r="AD56" s="180" t="s">
        <v>63</v>
      </c>
      <c r="AE56" s="15">
        <f t="shared" si="1"/>
        <v>0</v>
      </c>
      <c r="AF56" s="15">
        <f t="shared" si="2"/>
        <v>0</v>
      </c>
      <c r="AG56" s="15">
        <f t="shared" si="3"/>
        <v>0</v>
      </c>
      <c r="AH56" s="15">
        <f t="shared" si="4"/>
        <v>0</v>
      </c>
      <c r="AI56" s="15">
        <f t="shared" si="5"/>
        <v>0</v>
      </c>
      <c r="AJ56" s="15">
        <f t="shared" si="6"/>
        <v>0</v>
      </c>
      <c r="AK56" s="15">
        <f t="shared" si="7"/>
        <v>0</v>
      </c>
      <c r="AL56" s="15">
        <f t="shared" si="8"/>
        <v>0</v>
      </c>
      <c r="AM56" s="15">
        <f t="shared" si="9"/>
        <v>0</v>
      </c>
      <c r="AN56" s="15">
        <f t="shared" si="10"/>
        <v>0</v>
      </c>
      <c r="AO56" s="15">
        <f t="shared" si="11"/>
        <v>0</v>
      </c>
      <c r="AQ56" s="15">
        <v>0</v>
      </c>
      <c r="AR56" s="15">
        <v>0</v>
      </c>
      <c r="AS56" s="15">
        <v>0</v>
      </c>
    </row>
    <row r="57" spans="1:45" x14ac:dyDescent="0.3">
      <c r="A57" s="158">
        <f>IF(ISBLANK(B57),"",MAX(A$6:A56)+1)</f>
        <v>42</v>
      </c>
      <c r="B57" s="21" t="s">
        <v>64</v>
      </c>
      <c r="C57" s="177">
        <f>SUM(Electric_CBR!M58:M58)</f>
        <v>4226607969.3040905</v>
      </c>
      <c r="D57" s="177"/>
      <c r="E57" s="177"/>
      <c r="F57" s="177"/>
      <c r="G57" s="177">
        <f>SUM(C57:F57)</f>
        <v>4226607969.3040905</v>
      </c>
      <c r="H57" s="32">
        <f ca="1">Elect_PPlant!D30</f>
        <v>1.5006211864456276E-2</v>
      </c>
      <c r="I57" s="177">
        <v>4373337306.4057026</v>
      </c>
      <c r="J57" s="177"/>
      <c r="K57" s="177"/>
      <c r="L57" s="177"/>
      <c r="M57" s="177">
        <f>SUM(I57:L57)</f>
        <v>4373337306.4057026</v>
      </c>
      <c r="O57" s="158">
        <v>42</v>
      </c>
      <c r="P57" s="21" t="s">
        <v>64</v>
      </c>
      <c r="Q57" s="177">
        <v>4226607969.3040905</v>
      </c>
      <c r="R57" s="177"/>
      <c r="S57" s="177"/>
      <c r="T57" s="177"/>
      <c r="U57" s="177">
        <v>4226607969.3040905</v>
      </c>
      <c r="V57" s="32">
        <v>1.5006211864456276E-2</v>
      </c>
      <c r="W57" s="177">
        <v>4373337306.4057026</v>
      </c>
      <c r="X57" s="177"/>
      <c r="Y57" s="177"/>
      <c r="Z57" s="177"/>
      <c r="AA57" s="177">
        <v>4373337306.4057026</v>
      </c>
      <c r="AC57" s="158">
        <v>42</v>
      </c>
      <c r="AD57" s="21" t="s">
        <v>64</v>
      </c>
      <c r="AE57" s="177">
        <f t="shared" si="1"/>
        <v>0</v>
      </c>
      <c r="AF57" s="177">
        <f t="shared" si="2"/>
        <v>0</v>
      </c>
      <c r="AG57" s="177">
        <f t="shared" si="3"/>
        <v>0</v>
      </c>
      <c r="AH57" s="177">
        <f t="shared" si="4"/>
        <v>0</v>
      </c>
      <c r="AI57" s="177">
        <f t="shared" si="5"/>
        <v>0</v>
      </c>
      <c r="AJ57" s="177">
        <f t="shared" ca="1" si="6"/>
        <v>0</v>
      </c>
      <c r="AK57" s="177">
        <f t="shared" si="7"/>
        <v>0</v>
      </c>
      <c r="AL57" s="177">
        <f t="shared" si="8"/>
        <v>0</v>
      </c>
      <c r="AM57" s="177">
        <f t="shared" si="9"/>
        <v>0</v>
      </c>
      <c r="AN57" s="177">
        <f t="shared" si="10"/>
        <v>0</v>
      </c>
      <c r="AO57" s="177">
        <f t="shared" si="11"/>
        <v>0</v>
      </c>
      <c r="AQ57" s="177">
        <v>0</v>
      </c>
      <c r="AR57" s="177">
        <v>0</v>
      </c>
      <c r="AS57" s="177">
        <v>0</v>
      </c>
    </row>
    <row r="58" spans="1:45" x14ac:dyDescent="0.3">
      <c r="A58" s="158">
        <f>IF(ISBLANK(B58),"",MAX(A$6:A57)+1)</f>
        <v>43</v>
      </c>
      <c r="B58" s="21" t="s">
        <v>65</v>
      </c>
      <c r="C58" s="162">
        <f>Electric_CBR!M59</f>
        <v>1537389479.4362583</v>
      </c>
      <c r="D58" s="162"/>
      <c r="E58" s="162"/>
      <c r="F58" s="162"/>
      <c r="G58" s="162">
        <f>SUM(C58:F58)</f>
        <v>1537389479.4362583</v>
      </c>
      <c r="H58" s="32">
        <f ca="1">Elect_TPlant!D30</f>
        <v>5.7703848240210798E-2</v>
      </c>
      <c r="I58" s="162">
        <v>1735183365.7944</v>
      </c>
      <c r="J58" s="162"/>
      <c r="K58" s="162"/>
      <c r="L58" s="162"/>
      <c r="M58" s="162">
        <f>SUM(I58:L58)</f>
        <v>1735183365.7944</v>
      </c>
      <c r="O58" s="158">
        <v>43</v>
      </c>
      <c r="P58" s="21" t="s">
        <v>65</v>
      </c>
      <c r="Q58" s="162">
        <v>1537389479.4362583</v>
      </c>
      <c r="R58" s="162"/>
      <c r="S58" s="162"/>
      <c r="T58" s="162"/>
      <c r="U58" s="162">
        <v>1537389479.4362583</v>
      </c>
      <c r="V58" s="32">
        <v>5.7703848240210798E-2</v>
      </c>
      <c r="W58" s="162">
        <v>1735183365.7944</v>
      </c>
      <c r="X58" s="162"/>
      <c r="Y58" s="162"/>
      <c r="Z58" s="162"/>
      <c r="AA58" s="162">
        <v>1735183365.7944</v>
      </c>
      <c r="AC58" s="158">
        <v>43</v>
      </c>
      <c r="AD58" s="21" t="s">
        <v>65</v>
      </c>
      <c r="AE58" s="162">
        <f t="shared" si="1"/>
        <v>0</v>
      </c>
      <c r="AF58" s="162">
        <f t="shared" si="2"/>
        <v>0</v>
      </c>
      <c r="AG58" s="162">
        <f t="shared" si="3"/>
        <v>0</v>
      </c>
      <c r="AH58" s="162">
        <f t="shared" si="4"/>
        <v>0</v>
      </c>
      <c r="AI58" s="162">
        <f t="shared" si="5"/>
        <v>0</v>
      </c>
      <c r="AJ58" s="162">
        <f t="shared" ca="1" si="6"/>
        <v>0</v>
      </c>
      <c r="AK58" s="162">
        <f t="shared" si="7"/>
        <v>0</v>
      </c>
      <c r="AL58" s="162">
        <f t="shared" si="8"/>
        <v>0</v>
      </c>
      <c r="AM58" s="162">
        <f t="shared" si="9"/>
        <v>0</v>
      </c>
      <c r="AN58" s="162">
        <f t="shared" si="10"/>
        <v>0</v>
      </c>
      <c r="AO58" s="162">
        <f t="shared" si="11"/>
        <v>0</v>
      </c>
      <c r="AQ58" s="162">
        <v>0</v>
      </c>
      <c r="AR58" s="162">
        <v>0</v>
      </c>
      <c r="AS58" s="162">
        <v>0</v>
      </c>
    </row>
    <row r="59" spans="1:45" x14ac:dyDescent="0.3">
      <c r="A59" s="158">
        <f>IF(ISBLANK(B59),"",MAX(A$6:A58)+1)</f>
        <v>44</v>
      </c>
      <c r="B59" s="21" t="s">
        <v>66</v>
      </c>
      <c r="C59" s="35">
        <v>3905799563.9733167</v>
      </c>
      <c r="D59" s="35"/>
      <c r="E59" s="35">
        <f>Electric_CBR!$M$120</f>
        <v>-43086547.452637523</v>
      </c>
      <c r="F59" s="35"/>
      <c r="G59" s="35">
        <f>SUM(C59:F59)</f>
        <v>3862713016.520679</v>
      </c>
      <c r="H59" s="32">
        <f ca="1">Elect_DPlant!D30</f>
        <v>3.0927206976522292E-2</v>
      </c>
      <c r="I59" s="162">
        <v>4213913822.4465628</v>
      </c>
      <c r="J59" s="35">
        <v>170075026.29643583</v>
      </c>
      <c r="K59" s="35"/>
      <c r="L59" s="35"/>
      <c r="M59" s="35">
        <f>SUM(I59:L59)</f>
        <v>4383988848.7429981</v>
      </c>
      <c r="O59" s="158">
        <v>44</v>
      </c>
      <c r="P59" s="21" t="s">
        <v>66</v>
      </c>
      <c r="Q59" s="35">
        <v>3905799563.9733167</v>
      </c>
      <c r="R59" s="35"/>
      <c r="S59" s="35">
        <v>-43086547.452637523</v>
      </c>
      <c r="T59" s="35"/>
      <c r="U59" s="35">
        <v>3862713016.520679</v>
      </c>
      <c r="V59" s="32">
        <v>3.0927206976522292E-2</v>
      </c>
      <c r="W59" s="162">
        <v>4213913822.4465628</v>
      </c>
      <c r="X59" s="35">
        <v>170075026.29643583</v>
      </c>
      <c r="Y59" s="35"/>
      <c r="Z59" s="35"/>
      <c r="AA59" s="35">
        <v>4383988848.7429981</v>
      </c>
      <c r="AC59" s="158">
        <v>44</v>
      </c>
      <c r="AD59" s="21" t="s">
        <v>66</v>
      </c>
      <c r="AE59" s="35">
        <f t="shared" si="1"/>
        <v>0</v>
      </c>
      <c r="AF59" s="35">
        <f t="shared" si="2"/>
        <v>0</v>
      </c>
      <c r="AG59" s="35">
        <f t="shared" si="3"/>
        <v>0</v>
      </c>
      <c r="AH59" s="35">
        <f t="shared" si="4"/>
        <v>0</v>
      </c>
      <c r="AI59" s="35">
        <f t="shared" si="5"/>
        <v>0</v>
      </c>
      <c r="AJ59" s="35">
        <f t="shared" ca="1" si="6"/>
        <v>0</v>
      </c>
      <c r="AK59" s="35">
        <f t="shared" si="7"/>
        <v>0</v>
      </c>
      <c r="AL59" s="35">
        <f t="shared" si="8"/>
        <v>0</v>
      </c>
      <c r="AM59" s="35">
        <f t="shared" si="9"/>
        <v>0</v>
      </c>
      <c r="AN59" s="35">
        <f t="shared" si="10"/>
        <v>0</v>
      </c>
      <c r="AO59" s="35">
        <f t="shared" si="11"/>
        <v>0</v>
      </c>
      <c r="AQ59" s="35">
        <v>0</v>
      </c>
      <c r="AR59" s="35">
        <v>0</v>
      </c>
      <c r="AS59" s="35">
        <v>0</v>
      </c>
    </row>
    <row r="60" spans="1:45" x14ac:dyDescent="0.3">
      <c r="A60" s="158">
        <f>IF(ISBLANK(B60),"",MAX(A$6:A59)+1)</f>
        <v>45</v>
      </c>
      <c r="B60" s="21" t="s">
        <v>67</v>
      </c>
      <c r="C60" s="35">
        <v>381682360.51568586</v>
      </c>
      <c r="D60" s="35"/>
      <c r="E60" s="35"/>
      <c r="F60" s="35">
        <f>Electric_CBR!$M$133</f>
        <v>-32493590.70949842</v>
      </c>
      <c r="G60" s="35">
        <f>SUM(C60:F60)</f>
        <v>349188769.80618745</v>
      </c>
      <c r="H60" s="32">
        <f ca="1">Elect_IPlant!D30</f>
        <v>0.16157434378051261</v>
      </c>
      <c r="I60" s="162">
        <v>446682537.10684574</v>
      </c>
      <c r="J60" s="35"/>
      <c r="K60" s="35">
        <v>162226501.42875069</v>
      </c>
      <c r="L60" s="35"/>
      <c r="M60" s="35">
        <f>SUM(I60:L60)</f>
        <v>608909038.53559637</v>
      </c>
      <c r="O60" s="158">
        <v>45</v>
      </c>
      <c r="P60" s="21" t="s">
        <v>67</v>
      </c>
      <c r="Q60" s="35">
        <v>381682360.51568586</v>
      </c>
      <c r="R60" s="35"/>
      <c r="S60" s="35"/>
      <c r="T60" s="35">
        <v>-32493590.70949842</v>
      </c>
      <c r="U60" s="35">
        <v>349188769.80618745</v>
      </c>
      <c r="V60" s="32">
        <v>0.16157434378051261</v>
      </c>
      <c r="W60" s="162">
        <v>446682537.10684574</v>
      </c>
      <c r="X60" s="35"/>
      <c r="Y60" s="35">
        <v>162226501.42875069</v>
      </c>
      <c r="Z60" s="35"/>
      <c r="AA60" s="35">
        <v>608909038.53559637</v>
      </c>
      <c r="AC60" s="158">
        <v>45</v>
      </c>
      <c r="AD60" s="21" t="s">
        <v>67</v>
      </c>
      <c r="AE60" s="35">
        <f t="shared" si="1"/>
        <v>0</v>
      </c>
      <c r="AF60" s="35">
        <f t="shared" si="2"/>
        <v>0</v>
      </c>
      <c r="AG60" s="35">
        <f t="shared" si="3"/>
        <v>0</v>
      </c>
      <c r="AH60" s="35">
        <f t="shared" si="4"/>
        <v>0</v>
      </c>
      <c r="AI60" s="35">
        <f t="shared" si="5"/>
        <v>0</v>
      </c>
      <c r="AJ60" s="35">
        <f t="shared" ca="1" si="6"/>
        <v>0</v>
      </c>
      <c r="AK60" s="35">
        <f t="shared" si="7"/>
        <v>0</v>
      </c>
      <c r="AL60" s="35">
        <f t="shared" si="8"/>
        <v>0</v>
      </c>
      <c r="AM60" s="35">
        <f t="shared" si="9"/>
        <v>0</v>
      </c>
      <c r="AN60" s="35">
        <f t="shared" si="10"/>
        <v>0</v>
      </c>
      <c r="AO60" s="35">
        <f t="shared" si="11"/>
        <v>0</v>
      </c>
      <c r="AQ60" s="35">
        <v>0</v>
      </c>
      <c r="AR60" s="35">
        <v>0</v>
      </c>
      <c r="AS60" s="35">
        <v>0</v>
      </c>
    </row>
    <row r="61" spans="1:45" x14ac:dyDescent="0.3">
      <c r="A61" s="158">
        <f>IF(ISBLANK(B61),"",MAX(A$6:A60)+1)</f>
        <v>46</v>
      </c>
      <c r="B61" s="21" t="s">
        <v>68</v>
      </c>
      <c r="C61" s="35">
        <f>Electric_CBR!M62</f>
        <v>515670958.80223441</v>
      </c>
      <c r="D61" s="35"/>
      <c r="E61" s="35"/>
      <c r="F61" s="35"/>
      <c r="G61" s="35">
        <f>SUM(C61:F61)</f>
        <v>515670958.80223441</v>
      </c>
      <c r="H61" s="32">
        <f ca="1">Elect_GPlant!D30</f>
        <v>6.0398964202900807E-2</v>
      </c>
      <c r="I61" s="162">
        <v>658637176.28836942</v>
      </c>
      <c r="J61" s="35"/>
      <c r="K61" s="35"/>
      <c r="L61" s="35"/>
      <c r="M61" s="35">
        <f>SUM(I61:L61)</f>
        <v>658637176.28836942</v>
      </c>
      <c r="O61" s="158">
        <v>46</v>
      </c>
      <c r="P61" s="21" t="s">
        <v>68</v>
      </c>
      <c r="Q61" s="35">
        <v>515670958.80223441</v>
      </c>
      <c r="R61" s="35"/>
      <c r="S61" s="35"/>
      <c r="T61" s="35"/>
      <c r="U61" s="35">
        <v>515670958.80223441</v>
      </c>
      <c r="V61" s="32">
        <v>6.0398964202900807E-2</v>
      </c>
      <c r="W61" s="162">
        <v>658637176.28836942</v>
      </c>
      <c r="X61" s="35"/>
      <c r="Y61" s="35"/>
      <c r="Z61" s="35"/>
      <c r="AA61" s="35">
        <v>658637176.28836942</v>
      </c>
      <c r="AC61" s="158">
        <v>46</v>
      </c>
      <c r="AD61" s="21" t="s">
        <v>68</v>
      </c>
      <c r="AE61" s="35">
        <f t="shared" si="1"/>
        <v>0</v>
      </c>
      <c r="AF61" s="35">
        <f t="shared" si="2"/>
        <v>0</v>
      </c>
      <c r="AG61" s="35">
        <f t="shared" si="3"/>
        <v>0</v>
      </c>
      <c r="AH61" s="35">
        <f t="shared" si="4"/>
        <v>0</v>
      </c>
      <c r="AI61" s="35">
        <f t="shared" si="5"/>
        <v>0</v>
      </c>
      <c r="AJ61" s="35">
        <f t="shared" ca="1" si="6"/>
        <v>0</v>
      </c>
      <c r="AK61" s="35">
        <f t="shared" si="7"/>
        <v>0</v>
      </c>
      <c r="AL61" s="35">
        <f t="shared" si="8"/>
        <v>0</v>
      </c>
      <c r="AM61" s="35">
        <f t="shared" si="9"/>
        <v>0</v>
      </c>
      <c r="AN61" s="35">
        <f t="shared" si="10"/>
        <v>0</v>
      </c>
      <c r="AO61" s="35">
        <f t="shared" si="11"/>
        <v>0</v>
      </c>
      <c r="AQ61" s="35">
        <v>0</v>
      </c>
      <c r="AR61" s="35">
        <v>0</v>
      </c>
      <c r="AS61" s="35">
        <v>0</v>
      </c>
    </row>
    <row r="62" spans="1:45" x14ac:dyDescent="0.3">
      <c r="A62" s="158">
        <f>IF(ISBLANK(B62),"",MAX(A$6:A61)+1)</f>
        <v>47</v>
      </c>
      <c r="B62" s="164" t="s">
        <v>0</v>
      </c>
      <c r="C62" s="181">
        <f>SUM(C57:C61)</f>
        <v>10567150332.031586</v>
      </c>
      <c r="D62" s="181">
        <f>SUM(D57:D61)</f>
        <v>0</v>
      </c>
      <c r="E62" s="181">
        <f>SUM(E57:E61)</f>
        <v>-43086547.452637523</v>
      </c>
      <c r="F62" s="181">
        <f>SUM(F57:F61)</f>
        <v>-32493590.70949842</v>
      </c>
      <c r="G62" s="181">
        <f>SUM(G57:G61)</f>
        <v>10491570193.86945</v>
      </c>
      <c r="H62" s="27"/>
      <c r="I62" s="181">
        <f>SUM(I57:I61)</f>
        <v>11427754208.041882</v>
      </c>
      <c r="J62" s="181">
        <f>SUM(J57:J61)</f>
        <v>170075026.29643583</v>
      </c>
      <c r="K62" s="181">
        <f>SUM(K57:K61)</f>
        <v>162226501.42875069</v>
      </c>
      <c r="L62" s="181">
        <f>SUM(L57:L61)</f>
        <v>0</v>
      </c>
      <c r="M62" s="181">
        <f>SUM(M57:M61)</f>
        <v>11760055735.767067</v>
      </c>
      <c r="O62" s="158">
        <v>47</v>
      </c>
      <c r="P62" s="164" t="s">
        <v>0</v>
      </c>
      <c r="Q62" s="181">
        <v>10567150332.031586</v>
      </c>
      <c r="R62" s="181">
        <v>0</v>
      </c>
      <c r="S62" s="181">
        <v>-43086547.452637523</v>
      </c>
      <c r="T62" s="181">
        <v>-32493590.70949842</v>
      </c>
      <c r="U62" s="181">
        <v>10491570193.86945</v>
      </c>
      <c r="V62" s="27"/>
      <c r="W62" s="181">
        <v>11427754208.041882</v>
      </c>
      <c r="X62" s="181">
        <v>170075026.29643583</v>
      </c>
      <c r="Y62" s="181">
        <v>162226501.42875069</v>
      </c>
      <c r="Z62" s="181">
        <v>0</v>
      </c>
      <c r="AA62" s="181">
        <v>11760055735.767067</v>
      </c>
      <c r="AC62" s="158">
        <v>47</v>
      </c>
      <c r="AD62" s="164" t="s">
        <v>0</v>
      </c>
      <c r="AE62" s="181">
        <f t="shared" si="1"/>
        <v>0</v>
      </c>
      <c r="AF62" s="181">
        <f t="shared" si="2"/>
        <v>0</v>
      </c>
      <c r="AG62" s="181">
        <f t="shared" si="3"/>
        <v>0</v>
      </c>
      <c r="AH62" s="181">
        <f t="shared" si="4"/>
        <v>0</v>
      </c>
      <c r="AI62" s="181">
        <f t="shared" si="5"/>
        <v>0</v>
      </c>
      <c r="AJ62" s="181">
        <f t="shared" si="6"/>
        <v>0</v>
      </c>
      <c r="AK62" s="181">
        <f t="shared" si="7"/>
        <v>0</v>
      </c>
      <c r="AL62" s="181">
        <f t="shared" si="8"/>
        <v>0</v>
      </c>
      <c r="AM62" s="181">
        <f t="shared" si="9"/>
        <v>0</v>
      </c>
      <c r="AN62" s="181">
        <f t="shared" si="10"/>
        <v>0</v>
      </c>
      <c r="AO62" s="181">
        <f t="shared" si="11"/>
        <v>0</v>
      </c>
      <c r="AQ62" s="181">
        <v>0</v>
      </c>
      <c r="AR62" s="181">
        <v>0</v>
      </c>
      <c r="AS62" s="181">
        <v>0</v>
      </c>
    </row>
    <row r="63" spans="1:45" x14ac:dyDescent="0.3">
      <c r="A63" s="158" t="str">
        <f>IF(ISBLANK(B63),"",MAX(A$6:A62)+1)</f>
        <v/>
      </c>
      <c r="C63" s="16"/>
      <c r="D63" s="16"/>
      <c r="E63" s="16"/>
      <c r="F63" s="16"/>
      <c r="G63" s="16"/>
      <c r="H63" s="27"/>
      <c r="I63" s="16"/>
      <c r="J63" s="16"/>
      <c r="K63" s="16"/>
      <c r="L63" s="16"/>
      <c r="M63" s="16"/>
      <c r="O63" s="158" t="s">
        <v>790</v>
      </c>
      <c r="Q63" s="16"/>
      <c r="R63" s="16"/>
      <c r="S63" s="16"/>
      <c r="T63" s="16"/>
      <c r="U63" s="16"/>
      <c r="V63" s="27"/>
      <c r="W63" s="16"/>
      <c r="X63" s="16"/>
      <c r="Y63" s="16"/>
      <c r="Z63" s="16"/>
      <c r="AA63" s="16"/>
      <c r="AC63" s="158" t="s">
        <v>790</v>
      </c>
      <c r="AE63" s="16">
        <f t="shared" si="1"/>
        <v>0</v>
      </c>
      <c r="AF63" s="16">
        <f t="shared" si="2"/>
        <v>0</v>
      </c>
      <c r="AG63" s="16">
        <f t="shared" si="3"/>
        <v>0</v>
      </c>
      <c r="AH63" s="16">
        <f t="shared" si="4"/>
        <v>0</v>
      </c>
      <c r="AI63" s="16">
        <f t="shared" si="5"/>
        <v>0</v>
      </c>
      <c r="AJ63" s="16">
        <f t="shared" si="6"/>
        <v>0</v>
      </c>
      <c r="AK63" s="16">
        <f t="shared" si="7"/>
        <v>0</v>
      </c>
      <c r="AL63" s="16">
        <f t="shared" si="8"/>
        <v>0</v>
      </c>
      <c r="AM63" s="16">
        <f t="shared" si="9"/>
        <v>0</v>
      </c>
      <c r="AN63" s="16">
        <f t="shared" si="10"/>
        <v>0</v>
      </c>
      <c r="AO63" s="16">
        <f t="shared" si="11"/>
        <v>0</v>
      </c>
      <c r="AQ63" s="16">
        <v>0</v>
      </c>
      <c r="AR63" s="16">
        <v>0</v>
      </c>
      <c r="AS63" s="16">
        <v>0</v>
      </c>
    </row>
    <row r="64" spans="1:45" x14ac:dyDescent="0.3">
      <c r="A64" s="158">
        <f>IF(ISBLANK(B64),"",MAX(A$6:A63)+1)</f>
        <v>48</v>
      </c>
      <c r="B64" s="180" t="s">
        <v>69</v>
      </c>
      <c r="H64" s="27"/>
      <c r="O64" s="158">
        <v>48</v>
      </c>
      <c r="P64" s="180" t="s">
        <v>69</v>
      </c>
      <c r="V64" s="27"/>
      <c r="AC64" s="158">
        <v>48</v>
      </c>
      <c r="AD64" s="180" t="s">
        <v>69</v>
      </c>
      <c r="AE64" s="15">
        <f t="shared" si="1"/>
        <v>0</v>
      </c>
      <c r="AF64" s="15">
        <f t="shared" si="2"/>
        <v>0</v>
      </c>
      <c r="AG64" s="15">
        <f t="shared" si="3"/>
        <v>0</v>
      </c>
      <c r="AH64" s="15">
        <f t="shared" si="4"/>
        <v>0</v>
      </c>
      <c r="AI64" s="15">
        <f t="shared" si="5"/>
        <v>0</v>
      </c>
      <c r="AJ64" s="15">
        <f t="shared" si="6"/>
        <v>0</v>
      </c>
      <c r="AK64" s="15">
        <f t="shared" si="7"/>
        <v>0</v>
      </c>
      <c r="AL64" s="15">
        <f t="shared" si="8"/>
        <v>0</v>
      </c>
      <c r="AM64" s="15">
        <f t="shared" si="9"/>
        <v>0</v>
      </c>
      <c r="AN64" s="15">
        <f t="shared" si="10"/>
        <v>0</v>
      </c>
      <c r="AO64" s="15">
        <f t="shared" si="11"/>
        <v>0</v>
      </c>
      <c r="AQ64" s="15">
        <v>0</v>
      </c>
      <c r="AR64" s="15">
        <v>0</v>
      </c>
      <c r="AS64" s="15">
        <v>0</v>
      </c>
    </row>
    <row r="65" spans="1:45" x14ac:dyDescent="0.3">
      <c r="A65" s="158">
        <f>IF(ISBLANK(B65),"",MAX(A$6:A64)+1)</f>
        <v>49</v>
      </c>
      <c r="B65" s="21" t="s">
        <v>64</v>
      </c>
      <c r="C65" s="177">
        <f>SUM(Electric_CBR!M66:M66)</f>
        <v>-1967130595.695049</v>
      </c>
      <c r="D65" s="177"/>
      <c r="E65" s="177"/>
      <c r="F65" s="177"/>
      <c r="G65" s="177">
        <f>SUM(C65:F65)</f>
        <v>-1967130595.695049</v>
      </c>
      <c r="H65" s="26"/>
      <c r="I65" s="177">
        <v>-2304556918.466495</v>
      </c>
      <c r="J65" s="177"/>
      <c r="K65" s="177"/>
      <c r="L65" s="177"/>
      <c r="M65" s="177">
        <f>SUM(I65:L65)</f>
        <v>-2304556918.466495</v>
      </c>
      <c r="O65" s="158">
        <v>49</v>
      </c>
      <c r="P65" s="21" t="s">
        <v>64</v>
      </c>
      <c r="Q65" s="177">
        <v>-1967130595.695049</v>
      </c>
      <c r="R65" s="177"/>
      <c r="S65" s="177"/>
      <c r="T65" s="177"/>
      <c r="U65" s="177">
        <v>-1967130595.695049</v>
      </c>
      <c r="V65" s="26"/>
      <c r="W65" s="177">
        <v>-2304556918.466495</v>
      </c>
      <c r="X65" s="177"/>
      <c r="Y65" s="177"/>
      <c r="Z65" s="177"/>
      <c r="AA65" s="177">
        <v>-2304556918.466495</v>
      </c>
      <c r="AC65" s="158">
        <v>49</v>
      </c>
      <c r="AD65" s="21" t="s">
        <v>64</v>
      </c>
      <c r="AE65" s="177">
        <f t="shared" si="1"/>
        <v>0</v>
      </c>
      <c r="AF65" s="177">
        <f t="shared" si="2"/>
        <v>0</v>
      </c>
      <c r="AG65" s="177">
        <f t="shared" si="3"/>
        <v>0</v>
      </c>
      <c r="AH65" s="177">
        <f t="shared" si="4"/>
        <v>0</v>
      </c>
      <c r="AI65" s="177">
        <f t="shared" si="5"/>
        <v>0</v>
      </c>
      <c r="AJ65" s="177">
        <f t="shared" si="6"/>
        <v>0</v>
      </c>
      <c r="AK65" s="177">
        <f t="shared" si="7"/>
        <v>0</v>
      </c>
      <c r="AL65" s="177">
        <f t="shared" si="8"/>
        <v>0</v>
      </c>
      <c r="AM65" s="177">
        <f t="shared" si="9"/>
        <v>0</v>
      </c>
      <c r="AN65" s="177">
        <f t="shared" si="10"/>
        <v>0</v>
      </c>
      <c r="AO65" s="177">
        <f t="shared" si="11"/>
        <v>0</v>
      </c>
      <c r="AQ65" s="177">
        <v>0</v>
      </c>
      <c r="AR65" s="177">
        <v>0</v>
      </c>
      <c r="AS65" s="177">
        <v>0</v>
      </c>
    </row>
    <row r="66" spans="1:45" x14ac:dyDescent="0.3">
      <c r="A66" s="158">
        <f>IF(ISBLANK(B66),"",MAX(A$6:A65)+1)</f>
        <v>50</v>
      </c>
      <c r="B66" s="21" t="s">
        <v>65</v>
      </c>
      <c r="C66" s="162">
        <f>Electric_CBR!M67</f>
        <v>-503717591.12299544</v>
      </c>
      <c r="D66" s="162"/>
      <c r="E66" s="162"/>
      <c r="F66" s="162"/>
      <c r="G66" s="162">
        <f>SUM(C66:F66)</f>
        <v>-503717591.12299544</v>
      </c>
      <c r="H66" s="182"/>
      <c r="I66" s="162">
        <v>-586638640.69211459</v>
      </c>
      <c r="J66" s="162"/>
      <c r="K66" s="162"/>
      <c r="L66" s="162"/>
      <c r="M66" s="162">
        <f>SUM(I66:L66)</f>
        <v>-586638640.69211459</v>
      </c>
      <c r="O66" s="158">
        <v>50</v>
      </c>
      <c r="P66" s="21" t="s">
        <v>65</v>
      </c>
      <c r="Q66" s="162">
        <v>-503717591.12299544</v>
      </c>
      <c r="R66" s="162"/>
      <c r="S66" s="162"/>
      <c r="T66" s="162"/>
      <c r="U66" s="162">
        <v>-503717591.12299544</v>
      </c>
      <c r="V66" s="182"/>
      <c r="W66" s="162">
        <v>-586638640.69211459</v>
      </c>
      <c r="X66" s="162"/>
      <c r="Y66" s="162"/>
      <c r="Z66" s="162"/>
      <c r="AA66" s="162">
        <v>-586638640.69211459</v>
      </c>
      <c r="AC66" s="158">
        <v>50</v>
      </c>
      <c r="AD66" s="21" t="s">
        <v>65</v>
      </c>
      <c r="AE66" s="162">
        <f t="shared" si="1"/>
        <v>0</v>
      </c>
      <c r="AF66" s="162">
        <f t="shared" si="2"/>
        <v>0</v>
      </c>
      <c r="AG66" s="162">
        <f t="shared" si="3"/>
        <v>0</v>
      </c>
      <c r="AH66" s="162">
        <f t="shared" si="4"/>
        <v>0</v>
      </c>
      <c r="AI66" s="162">
        <f t="shared" si="5"/>
        <v>0</v>
      </c>
      <c r="AJ66" s="162">
        <f t="shared" si="6"/>
        <v>0</v>
      </c>
      <c r="AK66" s="162">
        <f t="shared" si="7"/>
        <v>0</v>
      </c>
      <c r="AL66" s="162">
        <f t="shared" si="8"/>
        <v>0</v>
      </c>
      <c r="AM66" s="162">
        <f t="shared" si="9"/>
        <v>0</v>
      </c>
      <c r="AN66" s="162">
        <f t="shared" si="10"/>
        <v>0</v>
      </c>
      <c r="AO66" s="162">
        <f t="shared" si="11"/>
        <v>0</v>
      </c>
      <c r="AQ66" s="162">
        <v>0</v>
      </c>
      <c r="AR66" s="162">
        <v>0</v>
      </c>
      <c r="AS66" s="162">
        <v>0</v>
      </c>
    </row>
    <row r="67" spans="1:45" x14ac:dyDescent="0.3">
      <c r="A67" s="158">
        <f>IF(ISBLANK(B67),"",MAX(A$6:A66)+1)</f>
        <v>51</v>
      </c>
      <c r="B67" s="21" t="s">
        <v>66</v>
      </c>
      <c r="C67" s="35">
        <f>Electric_CBR!M68</f>
        <v>-1461014489.0522759</v>
      </c>
      <c r="D67" s="35"/>
      <c r="E67" s="35">
        <f>Electric_CBR!$M$124</f>
        <v>2800433.4436958949</v>
      </c>
      <c r="F67" s="35"/>
      <c r="G67" s="35">
        <f>SUM(C67:F67)</f>
        <v>-1458214055.6085801</v>
      </c>
      <c r="H67" s="182"/>
      <c r="I67" s="162">
        <v>-1765810076.1162992</v>
      </c>
      <c r="J67" s="35">
        <v>-26949739.940672945</v>
      </c>
      <c r="K67" s="35"/>
      <c r="L67" s="35"/>
      <c r="M67" s="35">
        <f>SUM(I67:L67)</f>
        <v>-1792759816.056972</v>
      </c>
      <c r="O67" s="158">
        <v>51</v>
      </c>
      <c r="P67" s="21" t="s">
        <v>66</v>
      </c>
      <c r="Q67" s="35">
        <v>-1461014489.0522759</v>
      </c>
      <c r="R67" s="35"/>
      <c r="S67" s="35">
        <v>2800433.4436958949</v>
      </c>
      <c r="T67" s="35"/>
      <c r="U67" s="35">
        <v>-1458214055.6085801</v>
      </c>
      <c r="V67" s="182"/>
      <c r="W67" s="162">
        <v>-1765810076.1162992</v>
      </c>
      <c r="X67" s="35">
        <v>-26949739.940672945</v>
      </c>
      <c r="Y67" s="35"/>
      <c r="Z67" s="35"/>
      <c r="AA67" s="35">
        <v>-1792759816.056972</v>
      </c>
      <c r="AC67" s="158">
        <v>51</v>
      </c>
      <c r="AD67" s="21" t="s">
        <v>66</v>
      </c>
      <c r="AE67" s="35">
        <f t="shared" si="1"/>
        <v>0</v>
      </c>
      <c r="AF67" s="35">
        <f t="shared" si="2"/>
        <v>0</v>
      </c>
      <c r="AG67" s="35">
        <f t="shared" si="3"/>
        <v>0</v>
      </c>
      <c r="AH67" s="35">
        <f t="shared" si="4"/>
        <v>0</v>
      </c>
      <c r="AI67" s="35">
        <f t="shared" si="5"/>
        <v>0</v>
      </c>
      <c r="AJ67" s="35">
        <f t="shared" si="6"/>
        <v>0</v>
      </c>
      <c r="AK67" s="35">
        <f t="shared" si="7"/>
        <v>0</v>
      </c>
      <c r="AL67" s="35">
        <f t="shared" si="8"/>
        <v>0</v>
      </c>
      <c r="AM67" s="35">
        <f t="shared" si="9"/>
        <v>0</v>
      </c>
      <c r="AN67" s="35">
        <f t="shared" si="10"/>
        <v>0</v>
      </c>
      <c r="AO67" s="35">
        <f t="shared" si="11"/>
        <v>0</v>
      </c>
      <c r="AQ67" s="35">
        <v>0</v>
      </c>
      <c r="AR67" s="35">
        <v>0</v>
      </c>
      <c r="AS67" s="35">
        <v>0</v>
      </c>
    </row>
    <row r="68" spans="1:45" x14ac:dyDescent="0.3">
      <c r="A68" s="158">
        <f>IF(ISBLANK(B68),"",MAX(A$6:A67)+1)</f>
        <v>52</v>
      </c>
      <c r="B68" s="21" t="s">
        <v>67</v>
      </c>
      <c r="C68" s="35">
        <f>Electric_CBR!M69</f>
        <v>-128663487.36185595</v>
      </c>
      <c r="D68" s="35"/>
      <c r="E68" s="35"/>
      <c r="F68" s="35">
        <f>Electric_CBR!$M$137</f>
        <v>2801052.512056177</v>
      </c>
      <c r="G68" s="35">
        <f>SUM(C68:F68)</f>
        <v>-125862434.84979978</v>
      </c>
      <c r="H68" s="182"/>
      <c r="I68" s="162">
        <v>-258015692.95561469</v>
      </c>
      <c r="J68" s="35"/>
      <c r="K68" s="35">
        <v>-36667721.805506274</v>
      </c>
      <c r="L68" s="35"/>
      <c r="M68" s="35">
        <f>SUM(I68:L68)</f>
        <v>-294683414.76112098</v>
      </c>
      <c r="O68" s="158">
        <v>52</v>
      </c>
      <c r="P68" s="21" t="s">
        <v>67</v>
      </c>
      <c r="Q68" s="35">
        <v>-128663487.36185595</v>
      </c>
      <c r="R68" s="35"/>
      <c r="S68" s="35"/>
      <c r="T68" s="35">
        <v>2801052.512056177</v>
      </c>
      <c r="U68" s="35">
        <v>-125862434.84979978</v>
      </c>
      <c r="V68" s="182"/>
      <c r="W68" s="162">
        <v>-258015692.95561469</v>
      </c>
      <c r="X68" s="35"/>
      <c r="Y68" s="35">
        <v>-36667721.805506274</v>
      </c>
      <c r="Z68" s="35"/>
      <c r="AA68" s="35">
        <v>-294683414.76112098</v>
      </c>
      <c r="AC68" s="158">
        <v>52</v>
      </c>
      <c r="AD68" s="21" t="s">
        <v>67</v>
      </c>
      <c r="AE68" s="35">
        <f t="shared" si="1"/>
        <v>0</v>
      </c>
      <c r="AF68" s="35">
        <f t="shared" si="2"/>
        <v>0</v>
      </c>
      <c r="AG68" s="35">
        <f t="shared" si="3"/>
        <v>0</v>
      </c>
      <c r="AH68" s="35">
        <f t="shared" si="4"/>
        <v>0</v>
      </c>
      <c r="AI68" s="35">
        <f t="shared" si="5"/>
        <v>0</v>
      </c>
      <c r="AJ68" s="35">
        <f t="shared" si="6"/>
        <v>0</v>
      </c>
      <c r="AK68" s="35">
        <f t="shared" si="7"/>
        <v>0</v>
      </c>
      <c r="AL68" s="35">
        <f t="shared" si="8"/>
        <v>0</v>
      </c>
      <c r="AM68" s="35">
        <f t="shared" si="9"/>
        <v>0</v>
      </c>
      <c r="AN68" s="35">
        <f t="shared" si="10"/>
        <v>0</v>
      </c>
      <c r="AO68" s="35">
        <f t="shared" si="11"/>
        <v>0</v>
      </c>
      <c r="AQ68" s="35">
        <v>0</v>
      </c>
      <c r="AR68" s="35">
        <v>0</v>
      </c>
      <c r="AS68" s="35">
        <v>0</v>
      </c>
    </row>
    <row r="69" spans="1:45" x14ac:dyDescent="0.3">
      <c r="A69" s="158">
        <f>IF(ISBLANK(B69),"",MAX(A$6:A68)+1)</f>
        <v>53</v>
      </c>
      <c r="B69" s="21" t="s">
        <v>68</v>
      </c>
      <c r="C69" s="35">
        <f>Electric_CBR!M70</f>
        <v>-182384891.16492367</v>
      </c>
      <c r="D69" s="35"/>
      <c r="E69" s="35"/>
      <c r="F69" s="35"/>
      <c r="G69" s="35">
        <f>SUM(C69:F69)</f>
        <v>-182384891.16492367</v>
      </c>
      <c r="H69" s="182"/>
      <c r="I69" s="162">
        <v>-258172889.5974254</v>
      </c>
      <c r="J69" s="35"/>
      <c r="K69" s="35"/>
      <c r="L69" s="35"/>
      <c r="M69" s="35">
        <f>SUM(I69:L69)</f>
        <v>-258172889.5974254</v>
      </c>
      <c r="O69" s="158">
        <v>53</v>
      </c>
      <c r="P69" s="21" t="s">
        <v>68</v>
      </c>
      <c r="Q69" s="35">
        <v>-182384891.16492367</v>
      </c>
      <c r="R69" s="35"/>
      <c r="S69" s="35"/>
      <c r="T69" s="35"/>
      <c r="U69" s="35">
        <v>-182384891.16492367</v>
      </c>
      <c r="V69" s="182"/>
      <c r="W69" s="162">
        <v>-258172889.5974254</v>
      </c>
      <c r="X69" s="35"/>
      <c r="Y69" s="35"/>
      <c r="Z69" s="35"/>
      <c r="AA69" s="35">
        <v>-258172889.5974254</v>
      </c>
      <c r="AC69" s="158">
        <v>53</v>
      </c>
      <c r="AD69" s="21" t="s">
        <v>68</v>
      </c>
      <c r="AE69" s="35">
        <f t="shared" si="1"/>
        <v>0</v>
      </c>
      <c r="AF69" s="35">
        <f t="shared" si="2"/>
        <v>0</v>
      </c>
      <c r="AG69" s="35">
        <f t="shared" si="3"/>
        <v>0</v>
      </c>
      <c r="AH69" s="35">
        <f t="shared" si="4"/>
        <v>0</v>
      </c>
      <c r="AI69" s="35">
        <f t="shared" si="5"/>
        <v>0</v>
      </c>
      <c r="AJ69" s="35">
        <f t="shared" si="6"/>
        <v>0</v>
      </c>
      <c r="AK69" s="35">
        <f t="shared" si="7"/>
        <v>0</v>
      </c>
      <c r="AL69" s="35">
        <f t="shared" si="8"/>
        <v>0</v>
      </c>
      <c r="AM69" s="35">
        <f t="shared" si="9"/>
        <v>0</v>
      </c>
      <c r="AN69" s="35">
        <f t="shared" si="10"/>
        <v>0</v>
      </c>
      <c r="AO69" s="35">
        <f t="shared" si="11"/>
        <v>0</v>
      </c>
      <c r="AQ69" s="35">
        <v>0</v>
      </c>
      <c r="AR69" s="35">
        <v>0</v>
      </c>
      <c r="AS69" s="35">
        <v>0</v>
      </c>
    </row>
    <row r="70" spans="1:45" x14ac:dyDescent="0.3">
      <c r="A70" s="158">
        <f>IF(ISBLANK(B70),"",MAX(A$6:A69)+1)</f>
        <v>54</v>
      </c>
      <c r="B70" s="164" t="s">
        <v>0</v>
      </c>
      <c r="C70" s="181">
        <f>SUM(C65:C69)</f>
        <v>-4242911054.3971</v>
      </c>
      <c r="D70" s="181">
        <f>SUM(D65:D69)</f>
        <v>0</v>
      </c>
      <c r="E70" s="181">
        <f>SUM(E65:E69)</f>
        <v>2800433.4436958949</v>
      </c>
      <c r="F70" s="181">
        <f>SUM(F65:F69)</f>
        <v>2801052.512056177</v>
      </c>
      <c r="G70" s="181">
        <f>SUM(G65:G69)</f>
        <v>-4237309568.4413481</v>
      </c>
      <c r="H70" s="27"/>
      <c r="I70" s="181">
        <f>SUM(I65:I69)</f>
        <v>-5173194217.8279486</v>
      </c>
      <c r="J70" s="181">
        <f>SUM(J65:J69)</f>
        <v>-26949739.940672945</v>
      </c>
      <c r="K70" s="181">
        <f>SUM(K65:K69)</f>
        <v>-36667721.805506274</v>
      </c>
      <c r="L70" s="181">
        <f>SUM(L65:L69)</f>
        <v>0</v>
      </c>
      <c r="M70" s="181">
        <f>SUM(M65:M69)</f>
        <v>-5236811679.5741282</v>
      </c>
      <c r="O70" s="158">
        <v>54</v>
      </c>
      <c r="P70" s="164" t="s">
        <v>0</v>
      </c>
      <c r="Q70" s="181">
        <v>-4242911054.3971</v>
      </c>
      <c r="R70" s="181">
        <v>0</v>
      </c>
      <c r="S70" s="181">
        <v>2800433.4436958949</v>
      </c>
      <c r="T70" s="181">
        <v>2801052.512056177</v>
      </c>
      <c r="U70" s="181">
        <v>-4237309568.4413481</v>
      </c>
      <c r="V70" s="27"/>
      <c r="W70" s="181">
        <v>-5173194217.8279486</v>
      </c>
      <c r="X70" s="181">
        <v>-26949739.940672945</v>
      </c>
      <c r="Y70" s="181">
        <v>-36667721.805506274</v>
      </c>
      <c r="Z70" s="181">
        <v>0</v>
      </c>
      <c r="AA70" s="181">
        <v>-5236811679.5741282</v>
      </c>
      <c r="AC70" s="158">
        <v>54</v>
      </c>
      <c r="AD70" s="164" t="s">
        <v>0</v>
      </c>
      <c r="AE70" s="181">
        <f t="shared" si="1"/>
        <v>0</v>
      </c>
      <c r="AF70" s="181">
        <f t="shared" si="2"/>
        <v>0</v>
      </c>
      <c r="AG70" s="181">
        <f t="shared" si="3"/>
        <v>0</v>
      </c>
      <c r="AH70" s="181">
        <f t="shared" si="4"/>
        <v>0</v>
      </c>
      <c r="AI70" s="181">
        <f t="shared" si="5"/>
        <v>0</v>
      </c>
      <c r="AJ70" s="181">
        <f t="shared" si="6"/>
        <v>0</v>
      </c>
      <c r="AK70" s="181">
        <f t="shared" si="7"/>
        <v>0</v>
      </c>
      <c r="AL70" s="181">
        <f t="shared" si="8"/>
        <v>0</v>
      </c>
      <c r="AM70" s="181">
        <f t="shared" si="9"/>
        <v>0</v>
      </c>
      <c r="AN70" s="181">
        <f t="shared" si="10"/>
        <v>0</v>
      </c>
      <c r="AO70" s="181">
        <f t="shared" si="11"/>
        <v>0</v>
      </c>
      <c r="AQ70" s="181">
        <v>0</v>
      </c>
      <c r="AR70" s="181">
        <v>0</v>
      </c>
      <c r="AS70" s="181">
        <v>0</v>
      </c>
    </row>
    <row r="71" spans="1:45" x14ac:dyDescent="0.3">
      <c r="A71" s="158" t="str">
        <f>IF(ISBLANK(B71),"",MAX(A$6:A70)+1)</f>
        <v/>
      </c>
      <c r="C71" s="35"/>
      <c r="D71" s="35"/>
      <c r="E71" s="35"/>
      <c r="F71" s="35"/>
      <c r="G71" s="35"/>
      <c r="H71" s="27"/>
      <c r="I71" s="35"/>
      <c r="J71" s="35"/>
      <c r="K71" s="35"/>
      <c r="L71" s="35"/>
      <c r="M71" s="35"/>
      <c r="O71" s="158" t="s">
        <v>790</v>
      </c>
      <c r="Q71" s="35"/>
      <c r="R71" s="35"/>
      <c r="S71" s="35"/>
      <c r="T71" s="35"/>
      <c r="U71" s="35"/>
      <c r="V71" s="27"/>
      <c r="W71" s="35"/>
      <c r="X71" s="35"/>
      <c r="Y71" s="35"/>
      <c r="Z71" s="35"/>
      <c r="AA71" s="35"/>
      <c r="AC71" s="158" t="s">
        <v>790</v>
      </c>
      <c r="AE71" s="35">
        <f t="shared" si="1"/>
        <v>0</v>
      </c>
      <c r="AF71" s="35">
        <f t="shared" si="2"/>
        <v>0</v>
      </c>
      <c r="AG71" s="35">
        <f t="shared" si="3"/>
        <v>0</v>
      </c>
      <c r="AH71" s="35">
        <f t="shared" si="4"/>
        <v>0</v>
      </c>
      <c r="AI71" s="35">
        <f t="shared" si="5"/>
        <v>0</v>
      </c>
      <c r="AJ71" s="35">
        <f t="shared" si="6"/>
        <v>0</v>
      </c>
      <c r="AK71" s="35">
        <f t="shared" si="7"/>
        <v>0</v>
      </c>
      <c r="AL71" s="35">
        <f t="shared" si="8"/>
        <v>0</v>
      </c>
      <c r="AM71" s="35">
        <f t="shared" si="9"/>
        <v>0</v>
      </c>
      <c r="AN71" s="35">
        <f t="shared" si="10"/>
        <v>0</v>
      </c>
      <c r="AO71" s="35">
        <f t="shared" si="11"/>
        <v>0</v>
      </c>
      <c r="AQ71" s="35">
        <v>0</v>
      </c>
      <c r="AR71" s="35">
        <v>0</v>
      </c>
      <c r="AS71" s="35">
        <v>0</v>
      </c>
    </row>
    <row r="72" spans="1:45" x14ac:dyDescent="0.3">
      <c r="A72" s="158">
        <f>IF(ISBLANK(B72),"",MAX(A$6:A71)+1)</f>
        <v>55</v>
      </c>
      <c r="B72" s="180" t="s">
        <v>70</v>
      </c>
      <c r="H72" s="27"/>
      <c r="O72" s="158">
        <v>55</v>
      </c>
      <c r="P72" s="180" t="s">
        <v>70</v>
      </c>
      <c r="V72" s="27"/>
      <c r="AC72" s="158">
        <v>55</v>
      </c>
      <c r="AD72" s="180" t="s">
        <v>70</v>
      </c>
      <c r="AE72" s="15">
        <f t="shared" si="1"/>
        <v>0</v>
      </c>
      <c r="AF72" s="15">
        <f t="shared" si="2"/>
        <v>0</v>
      </c>
      <c r="AG72" s="15">
        <f t="shared" si="3"/>
        <v>0</v>
      </c>
      <c r="AH72" s="15">
        <f t="shared" si="4"/>
        <v>0</v>
      </c>
      <c r="AI72" s="15">
        <f t="shared" si="5"/>
        <v>0</v>
      </c>
      <c r="AJ72" s="15">
        <f t="shared" si="6"/>
        <v>0</v>
      </c>
      <c r="AK72" s="15">
        <f t="shared" si="7"/>
        <v>0</v>
      </c>
      <c r="AL72" s="15">
        <f t="shared" si="8"/>
        <v>0</v>
      </c>
      <c r="AM72" s="15">
        <f t="shared" si="9"/>
        <v>0</v>
      </c>
      <c r="AN72" s="15">
        <f t="shared" si="10"/>
        <v>0</v>
      </c>
      <c r="AO72" s="15">
        <f t="shared" si="11"/>
        <v>0</v>
      </c>
      <c r="AQ72" s="15">
        <v>0</v>
      </c>
      <c r="AR72" s="15">
        <v>0</v>
      </c>
      <c r="AS72" s="15">
        <v>0</v>
      </c>
    </row>
    <row r="73" spans="1:45" x14ac:dyDescent="0.3">
      <c r="A73" s="158">
        <f>IF(ISBLANK(B73),"",MAX(A$6:A72)+1)</f>
        <v>56</v>
      </c>
      <c r="B73" s="21" t="s">
        <v>64</v>
      </c>
      <c r="C73" s="177">
        <f>SUM(Electric_CBR!M74:M74)</f>
        <v>-270203768.24207133</v>
      </c>
      <c r="D73" s="177"/>
      <c r="E73" s="177"/>
      <c r="F73" s="177"/>
      <c r="G73" s="177">
        <f>SUM(C73:F73)</f>
        <v>-270203768.24207133</v>
      </c>
      <c r="H73" s="26"/>
      <c r="I73" s="177"/>
      <c r="J73" s="177"/>
      <c r="K73" s="177"/>
      <c r="L73" s="177"/>
      <c r="M73" s="177">
        <f>SUM(I73:L73)</f>
        <v>0</v>
      </c>
      <c r="O73" s="158">
        <v>56</v>
      </c>
      <c r="P73" s="21" t="s">
        <v>64</v>
      </c>
      <c r="Q73" s="177">
        <v>-270203768.24207133</v>
      </c>
      <c r="R73" s="177"/>
      <c r="S73" s="177"/>
      <c r="T73" s="177"/>
      <c r="U73" s="177">
        <v>-270203768.24207133</v>
      </c>
      <c r="V73" s="26"/>
      <c r="W73" s="177"/>
      <c r="X73" s="177"/>
      <c r="Y73" s="177"/>
      <c r="Z73" s="177"/>
      <c r="AA73" s="177">
        <v>0</v>
      </c>
      <c r="AC73" s="158">
        <v>56</v>
      </c>
      <c r="AD73" s="21" t="s">
        <v>64</v>
      </c>
      <c r="AE73" s="177">
        <f t="shared" ref="AE73:AE116" si="19">+C73-Q73</f>
        <v>0</v>
      </c>
      <c r="AF73" s="177">
        <f t="shared" ref="AF73:AF116" si="20">+D73-R73</f>
        <v>0</v>
      </c>
      <c r="AG73" s="177">
        <f t="shared" ref="AG73:AG116" si="21">+E73-S73</f>
        <v>0</v>
      </c>
      <c r="AH73" s="177">
        <f t="shared" ref="AH73:AH116" si="22">+F73-T73</f>
        <v>0</v>
      </c>
      <c r="AI73" s="177">
        <f t="shared" ref="AI73:AI116" si="23">+G73-U73</f>
        <v>0</v>
      </c>
      <c r="AJ73" s="177">
        <f t="shared" ref="AJ73:AJ116" si="24">+H73-V73</f>
        <v>0</v>
      </c>
      <c r="AK73" s="177">
        <f t="shared" ref="AK73:AK116" si="25">+I73-W73</f>
        <v>0</v>
      </c>
      <c r="AL73" s="177">
        <f t="shared" ref="AL73:AL116" si="26">+J73-X73</f>
        <v>0</v>
      </c>
      <c r="AM73" s="177">
        <f t="shared" ref="AM73:AM116" si="27">+K73-Y73</f>
        <v>0</v>
      </c>
      <c r="AN73" s="177">
        <f t="shared" ref="AN73:AN116" si="28">+L73-Z73</f>
        <v>0</v>
      </c>
      <c r="AO73" s="177">
        <f t="shared" ref="AO73:AO116" si="29">+M73-AA73</f>
        <v>0</v>
      </c>
      <c r="AQ73" s="177">
        <v>0</v>
      </c>
      <c r="AR73" s="177">
        <v>0</v>
      </c>
      <c r="AS73" s="177">
        <v>0</v>
      </c>
    </row>
    <row r="74" spans="1:45" x14ac:dyDescent="0.3">
      <c r="A74" s="158">
        <f>IF(ISBLANK(B74),"",MAX(A$6:A73)+1)</f>
        <v>57</v>
      </c>
      <c r="B74" s="21" t="s">
        <v>65</v>
      </c>
      <c r="C74" s="162">
        <f>Electric_CBR!M75</f>
        <v>-77896904.817563176</v>
      </c>
      <c r="D74" s="162"/>
      <c r="E74" s="162"/>
      <c r="F74" s="162"/>
      <c r="G74" s="162">
        <f>SUM(C74:F74)</f>
        <v>-77896904.817563176</v>
      </c>
      <c r="H74" s="182"/>
      <c r="I74" s="162"/>
      <c r="J74" s="162"/>
      <c r="K74" s="162"/>
      <c r="L74" s="162"/>
      <c r="M74" s="162">
        <f>SUM(I74:L74)</f>
        <v>0</v>
      </c>
      <c r="O74" s="158">
        <v>57</v>
      </c>
      <c r="P74" s="21" t="s">
        <v>65</v>
      </c>
      <c r="Q74" s="162">
        <v>-77896904.817563176</v>
      </c>
      <c r="R74" s="162"/>
      <c r="S74" s="162"/>
      <c r="T74" s="162"/>
      <c r="U74" s="162">
        <v>-77896904.817563176</v>
      </c>
      <c r="V74" s="182"/>
      <c r="W74" s="162"/>
      <c r="X74" s="162"/>
      <c r="Y74" s="162"/>
      <c r="Z74" s="162"/>
      <c r="AA74" s="162">
        <v>0</v>
      </c>
      <c r="AC74" s="158">
        <v>57</v>
      </c>
      <c r="AD74" s="21" t="s">
        <v>65</v>
      </c>
      <c r="AE74" s="162">
        <f t="shared" si="19"/>
        <v>0</v>
      </c>
      <c r="AF74" s="162">
        <f t="shared" si="20"/>
        <v>0</v>
      </c>
      <c r="AG74" s="162">
        <f t="shared" si="21"/>
        <v>0</v>
      </c>
      <c r="AH74" s="162">
        <f t="shared" si="22"/>
        <v>0</v>
      </c>
      <c r="AI74" s="162">
        <f t="shared" si="23"/>
        <v>0</v>
      </c>
      <c r="AJ74" s="162">
        <f t="shared" si="24"/>
        <v>0</v>
      </c>
      <c r="AK74" s="162">
        <f t="shared" si="25"/>
        <v>0</v>
      </c>
      <c r="AL74" s="162">
        <f t="shared" si="26"/>
        <v>0</v>
      </c>
      <c r="AM74" s="162">
        <f t="shared" si="27"/>
        <v>0</v>
      </c>
      <c r="AN74" s="162">
        <f t="shared" si="28"/>
        <v>0</v>
      </c>
      <c r="AO74" s="162">
        <f t="shared" si="29"/>
        <v>0</v>
      </c>
      <c r="AQ74" s="162">
        <v>0</v>
      </c>
      <c r="AR74" s="162">
        <v>0</v>
      </c>
      <c r="AS74" s="162">
        <v>0</v>
      </c>
    </row>
    <row r="75" spans="1:45" x14ac:dyDescent="0.3">
      <c r="A75" s="158">
        <f>IF(ISBLANK(B75),"",MAX(A$6:A74)+1)</f>
        <v>58</v>
      </c>
      <c r="B75" s="21" t="s">
        <v>66</v>
      </c>
      <c r="C75" s="35">
        <f>Electric_CBR!M76</f>
        <v>-361910119.91365826</v>
      </c>
      <c r="D75" s="35"/>
      <c r="E75" s="35">
        <f>Electric_CBR!$M$128</f>
        <v>2798356.0552379121</v>
      </c>
      <c r="F75" s="35"/>
      <c r="G75" s="35">
        <f>SUM(C75:F75)</f>
        <v>-359111763.85842037</v>
      </c>
      <c r="H75" s="182"/>
      <c r="I75" s="35"/>
      <c r="J75" s="35"/>
      <c r="K75" s="35"/>
      <c r="L75" s="35"/>
      <c r="M75" s="35">
        <f>SUM(I75:L75)</f>
        <v>0</v>
      </c>
      <c r="O75" s="158">
        <v>58</v>
      </c>
      <c r="P75" s="21" t="s">
        <v>66</v>
      </c>
      <c r="Q75" s="35">
        <v>-361910119.91365826</v>
      </c>
      <c r="R75" s="35"/>
      <c r="S75" s="35">
        <v>2798356.0552379121</v>
      </c>
      <c r="T75" s="35"/>
      <c r="U75" s="35">
        <v>-359111763.85842037</v>
      </c>
      <c r="V75" s="182"/>
      <c r="W75" s="35"/>
      <c r="X75" s="35"/>
      <c r="Y75" s="35"/>
      <c r="Z75" s="35"/>
      <c r="AA75" s="35">
        <v>0</v>
      </c>
      <c r="AC75" s="158">
        <v>58</v>
      </c>
      <c r="AD75" s="21" t="s">
        <v>66</v>
      </c>
      <c r="AE75" s="35">
        <f t="shared" si="19"/>
        <v>0</v>
      </c>
      <c r="AF75" s="35">
        <f t="shared" si="20"/>
        <v>0</v>
      </c>
      <c r="AG75" s="35">
        <f t="shared" si="21"/>
        <v>0</v>
      </c>
      <c r="AH75" s="35">
        <f t="shared" si="22"/>
        <v>0</v>
      </c>
      <c r="AI75" s="35">
        <f t="shared" si="23"/>
        <v>0</v>
      </c>
      <c r="AJ75" s="35">
        <f t="shared" si="24"/>
        <v>0</v>
      </c>
      <c r="AK75" s="35">
        <f t="shared" si="25"/>
        <v>0</v>
      </c>
      <c r="AL75" s="35">
        <f t="shared" si="26"/>
        <v>0</v>
      </c>
      <c r="AM75" s="35">
        <f t="shared" si="27"/>
        <v>0</v>
      </c>
      <c r="AN75" s="35">
        <f t="shared" si="28"/>
        <v>0</v>
      </c>
      <c r="AO75" s="35">
        <f t="shared" si="29"/>
        <v>0</v>
      </c>
      <c r="AQ75" s="35">
        <v>0</v>
      </c>
      <c r="AR75" s="35">
        <v>0</v>
      </c>
      <c r="AS75" s="35">
        <v>0</v>
      </c>
    </row>
    <row r="76" spans="1:45" x14ac:dyDescent="0.3">
      <c r="A76" s="158">
        <f>IF(ISBLANK(B76),"",MAX(A$6:A75)+1)</f>
        <v>59</v>
      </c>
      <c r="B76" s="21" t="s">
        <v>67</v>
      </c>
      <c r="C76" s="35">
        <f>Electric_CBR!M77</f>
        <v>-3945447.1849596915</v>
      </c>
      <c r="D76" s="35"/>
      <c r="E76" s="35"/>
      <c r="F76" s="35">
        <f>Electric_CBR!$M$141</f>
        <v>1816393.2000356747</v>
      </c>
      <c r="G76" s="35">
        <f>SUM(C76:F76)</f>
        <v>-2129053.9849240165</v>
      </c>
      <c r="H76" s="182"/>
      <c r="I76" s="35"/>
      <c r="J76" s="35"/>
      <c r="K76" s="35"/>
      <c r="L76" s="35"/>
      <c r="M76" s="35">
        <f>SUM(I76:L76)</f>
        <v>0</v>
      </c>
      <c r="O76" s="158">
        <v>59</v>
      </c>
      <c r="P76" s="21" t="s">
        <v>67</v>
      </c>
      <c r="Q76" s="35">
        <v>-3945447.1849596915</v>
      </c>
      <c r="R76" s="35"/>
      <c r="S76" s="35"/>
      <c r="T76" s="35">
        <v>1816393.2000356747</v>
      </c>
      <c r="U76" s="35">
        <v>-2129053.9849240165</v>
      </c>
      <c r="V76" s="182"/>
      <c r="W76" s="35"/>
      <c r="X76" s="35"/>
      <c r="Y76" s="35"/>
      <c r="Z76" s="35"/>
      <c r="AA76" s="35">
        <v>0</v>
      </c>
      <c r="AC76" s="158">
        <v>59</v>
      </c>
      <c r="AD76" s="21" t="s">
        <v>67</v>
      </c>
      <c r="AE76" s="35">
        <f t="shared" si="19"/>
        <v>0</v>
      </c>
      <c r="AF76" s="35">
        <f t="shared" si="20"/>
        <v>0</v>
      </c>
      <c r="AG76" s="35">
        <f t="shared" si="21"/>
        <v>0</v>
      </c>
      <c r="AH76" s="35">
        <f t="shared" si="22"/>
        <v>0</v>
      </c>
      <c r="AI76" s="35">
        <f t="shared" si="23"/>
        <v>0</v>
      </c>
      <c r="AJ76" s="35">
        <f t="shared" si="24"/>
        <v>0</v>
      </c>
      <c r="AK76" s="35">
        <f t="shared" si="25"/>
        <v>0</v>
      </c>
      <c r="AL76" s="35">
        <f t="shared" si="26"/>
        <v>0</v>
      </c>
      <c r="AM76" s="35">
        <f t="shared" si="27"/>
        <v>0</v>
      </c>
      <c r="AN76" s="35">
        <f t="shared" si="28"/>
        <v>0</v>
      </c>
      <c r="AO76" s="35">
        <f t="shared" si="29"/>
        <v>0</v>
      </c>
      <c r="AQ76" s="35">
        <v>0</v>
      </c>
      <c r="AR76" s="35">
        <v>0</v>
      </c>
      <c r="AS76" s="35">
        <v>0</v>
      </c>
    </row>
    <row r="77" spans="1:45" x14ac:dyDescent="0.3">
      <c r="A77" s="158">
        <f>IF(ISBLANK(B77),"",MAX(A$6:A76)+1)</f>
        <v>60</v>
      </c>
      <c r="B77" s="21" t="s">
        <v>68</v>
      </c>
      <c r="C77" s="35">
        <f>Electric_CBR!M78</f>
        <v>-5327313.3915682975</v>
      </c>
      <c r="D77" s="35"/>
      <c r="E77" s="35"/>
      <c r="F77" s="35"/>
      <c r="G77" s="35">
        <f>SUM(C77:F77)</f>
        <v>-5327313.3915682975</v>
      </c>
      <c r="H77" s="182"/>
      <c r="I77" s="35"/>
      <c r="J77" s="35"/>
      <c r="K77" s="35"/>
      <c r="L77" s="35"/>
      <c r="M77" s="35">
        <f>SUM(I77:L77)</f>
        <v>0</v>
      </c>
      <c r="O77" s="158">
        <v>60</v>
      </c>
      <c r="P77" s="21" t="s">
        <v>68</v>
      </c>
      <c r="Q77" s="35">
        <v>-5327313.3915682975</v>
      </c>
      <c r="R77" s="35"/>
      <c r="S77" s="35"/>
      <c r="T77" s="35"/>
      <c r="U77" s="35">
        <v>-5327313.3915682975</v>
      </c>
      <c r="V77" s="182"/>
      <c r="W77" s="35"/>
      <c r="X77" s="35"/>
      <c r="Y77" s="35"/>
      <c r="Z77" s="35"/>
      <c r="AA77" s="35">
        <v>0</v>
      </c>
      <c r="AC77" s="158">
        <v>60</v>
      </c>
      <c r="AD77" s="21" t="s">
        <v>68</v>
      </c>
      <c r="AE77" s="35">
        <f t="shared" si="19"/>
        <v>0</v>
      </c>
      <c r="AF77" s="35">
        <f t="shared" si="20"/>
        <v>0</v>
      </c>
      <c r="AG77" s="35">
        <f t="shared" si="21"/>
        <v>0</v>
      </c>
      <c r="AH77" s="35">
        <f t="shared" si="22"/>
        <v>0</v>
      </c>
      <c r="AI77" s="35">
        <f t="shared" si="23"/>
        <v>0</v>
      </c>
      <c r="AJ77" s="35">
        <f t="shared" si="24"/>
        <v>0</v>
      </c>
      <c r="AK77" s="35">
        <f t="shared" si="25"/>
        <v>0</v>
      </c>
      <c r="AL77" s="35">
        <f t="shared" si="26"/>
        <v>0</v>
      </c>
      <c r="AM77" s="35">
        <f t="shared" si="27"/>
        <v>0</v>
      </c>
      <c r="AN77" s="35">
        <f t="shared" si="28"/>
        <v>0</v>
      </c>
      <c r="AO77" s="35">
        <f t="shared" si="29"/>
        <v>0</v>
      </c>
      <c r="AQ77" s="35">
        <v>0</v>
      </c>
      <c r="AR77" s="35">
        <v>0</v>
      </c>
      <c r="AS77" s="35">
        <v>0</v>
      </c>
    </row>
    <row r="78" spans="1:45" x14ac:dyDescent="0.3">
      <c r="A78" s="158">
        <f>IF(ISBLANK(B78),"",MAX(A$6:A77)+1)</f>
        <v>61</v>
      </c>
      <c r="B78" s="164" t="s">
        <v>0</v>
      </c>
      <c r="C78" s="181">
        <f>SUM(C73:C77)</f>
        <v>-719283553.54982078</v>
      </c>
      <c r="D78" s="181">
        <f>SUM(D73:D77)</f>
        <v>0</v>
      </c>
      <c r="E78" s="181">
        <f>SUM(E73:E77)</f>
        <v>2798356.0552379121</v>
      </c>
      <c r="F78" s="181">
        <f>SUM(F73:F77)</f>
        <v>1816393.2000356747</v>
      </c>
      <c r="G78" s="181">
        <f>SUM(G73:G77)</f>
        <v>-714668804.29454708</v>
      </c>
      <c r="H78" s="27"/>
      <c r="I78" s="181">
        <f>SUM(I73:I77)</f>
        <v>0</v>
      </c>
      <c r="J78" s="181">
        <f>SUM(J73:J77)</f>
        <v>0</v>
      </c>
      <c r="K78" s="181">
        <f>SUM(K73:K77)</f>
        <v>0</v>
      </c>
      <c r="L78" s="181">
        <f>SUM(L73:L77)</f>
        <v>0</v>
      </c>
      <c r="M78" s="181">
        <f>SUM(M73:M77)</f>
        <v>0</v>
      </c>
      <c r="O78" s="158">
        <v>61</v>
      </c>
      <c r="P78" s="164" t="s">
        <v>0</v>
      </c>
      <c r="Q78" s="181">
        <v>-719283553.54982078</v>
      </c>
      <c r="R78" s="181">
        <v>0</v>
      </c>
      <c r="S78" s="181">
        <v>2798356.0552379121</v>
      </c>
      <c r="T78" s="181">
        <v>1816393.2000356747</v>
      </c>
      <c r="U78" s="181">
        <v>-714668804.29454708</v>
      </c>
      <c r="V78" s="27"/>
      <c r="W78" s="181">
        <v>0</v>
      </c>
      <c r="X78" s="181">
        <v>0</v>
      </c>
      <c r="Y78" s="181">
        <v>0</v>
      </c>
      <c r="Z78" s="181">
        <v>0</v>
      </c>
      <c r="AA78" s="181">
        <v>0</v>
      </c>
      <c r="AC78" s="158">
        <v>61</v>
      </c>
      <c r="AD78" s="164" t="s">
        <v>0</v>
      </c>
      <c r="AE78" s="181">
        <f t="shared" si="19"/>
        <v>0</v>
      </c>
      <c r="AF78" s="181">
        <f t="shared" si="20"/>
        <v>0</v>
      </c>
      <c r="AG78" s="181">
        <f t="shared" si="21"/>
        <v>0</v>
      </c>
      <c r="AH78" s="181">
        <f t="shared" si="22"/>
        <v>0</v>
      </c>
      <c r="AI78" s="181">
        <f t="shared" si="23"/>
        <v>0</v>
      </c>
      <c r="AJ78" s="181">
        <f t="shared" si="24"/>
        <v>0</v>
      </c>
      <c r="AK78" s="181">
        <f t="shared" si="25"/>
        <v>0</v>
      </c>
      <c r="AL78" s="181">
        <f t="shared" si="26"/>
        <v>0</v>
      </c>
      <c r="AM78" s="181">
        <f t="shared" si="27"/>
        <v>0</v>
      </c>
      <c r="AN78" s="181">
        <f t="shared" si="28"/>
        <v>0</v>
      </c>
      <c r="AO78" s="181">
        <f t="shared" si="29"/>
        <v>0</v>
      </c>
      <c r="AQ78" s="181">
        <v>0</v>
      </c>
      <c r="AR78" s="181">
        <v>0</v>
      </c>
      <c r="AS78" s="181">
        <v>0</v>
      </c>
    </row>
    <row r="79" spans="1:45" x14ac:dyDescent="0.3">
      <c r="A79" s="158" t="str">
        <f>IF(ISBLANK(B79),"",MAX(A$6:A78)+1)</f>
        <v/>
      </c>
      <c r="H79" s="27"/>
      <c r="O79" s="158" t="s">
        <v>790</v>
      </c>
      <c r="V79" s="27"/>
      <c r="AC79" s="158" t="s">
        <v>790</v>
      </c>
      <c r="AE79" s="15">
        <f t="shared" si="19"/>
        <v>0</v>
      </c>
      <c r="AF79" s="15">
        <f t="shared" si="20"/>
        <v>0</v>
      </c>
      <c r="AG79" s="15">
        <f t="shared" si="21"/>
        <v>0</v>
      </c>
      <c r="AH79" s="15">
        <f t="shared" si="22"/>
        <v>0</v>
      </c>
      <c r="AI79" s="15">
        <f t="shared" si="23"/>
        <v>0</v>
      </c>
      <c r="AJ79" s="15">
        <f t="shared" si="24"/>
        <v>0</v>
      </c>
      <c r="AK79" s="15">
        <f t="shared" si="25"/>
        <v>0</v>
      </c>
      <c r="AL79" s="15">
        <f t="shared" si="26"/>
        <v>0</v>
      </c>
      <c r="AM79" s="15">
        <f t="shared" si="27"/>
        <v>0</v>
      </c>
      <c r="AN79" s="15">
        <f t="shared" si="28"/>
        <v>0</v>
      </c>
      <c r="AO79" s="15">
        <f t="shared" si="29"/>
        <v>0</v>
      </c>
      <c r="AQ79" s="15">
        <v>0</v>
      </c>
      <c r="AR79" s="15">
        <v>0</v>
      </c>
      <c r="AS79" s="15">
        <v>0</v>
      </c>
    </row>
    <row r="80" spans="1:45" x14ac:dyDescent="0.3">
      <c r="A80" s="158">
        <f>IF(ISBLANK(B80),"",MAX(A$6:A79)+1)</f>
        <v>62</v>
      </c>
      <c r="B80" s="180" t="s">
        <v>71</v>
      </c>
      <c r="H80" s="25"/>
      <c r="O80" s="158">
        <v>62</v>
      </c>
      <c r="P80" s="180" t="s">
        <v>71</v>
      </c>
      <c r="V80" s="25"/>
      <c r="AC80" s="158">
        <v>62</v>
      </c>
      <c r="AD80" s="180" t="s">
        <v>71</v>
      </c>
      <c r="AE80" s="15">
        <f t="shared" si="19"/>
        <v>0</v>
      </c>
      <c r="AF80" s="15">
        <f t="shared" si="20"/>
        <v>0</v>
      </c>
      <c r="AG80" s="15">
        <f t="shared" si="21"/>
        <v>0</v>
      </c>
      <c r="AH80" s="15">
        <f t="shared" si="22"/>
        <v>0</v>
      </c>
      <c r="AI80" s="15">
        <f t="shared" si="23"/>
        <v>0</v>
      </c>
      <c r="AJ80" s="15">
        <f t="shared" si="24"/>
        <v>0</v>
      </c>
      <c r="AK80" s="15">
        <f t="shared" si="25"/>
        <v>0</v>
      </c>
      <c r="AL80" s="15">
        <f t="shared" si="26"/>
        <v>0</v>
      </c>
      <c r="AM80" s="15">
        <f t="shared" si="27"/>
        <v>0</v>
      </c>
      <c r="AN80" s="15">
        <f t="shared" si="28"/>
        <v>0</v>
      </c>
      <c r="AO80" s="15">
        <f t="shared" si="29"/>
        <v>0</v>
      </c>
      <c r="AQ80" s="15">
        <v>0</v>
      </c>
      <c r="AR80" s="15">
        <v>0</v>
      </c>
      <c r="AS80" s="15">
        <v>0</v>
      </c>
    </row>
    <row r="81" spans="1:45" x14ac:dyDescent="0.3">
      <c r="A81" s="158">
        <f>IF(ISBLANK(B81),"",MAX(A$6:A80)+1)</f>
        <v>63</v>
      </c>
      <c r="B81" s="21" t="s">
        <v>64</v>
      </c>
      <c r="C81" s="177">
        <f>SUM(Electric_CBR!M82:M82)</f>
        <v>-262616542.75874937</v>
      </c>
      <c r="D81" s="177"/>
      <c r="E81" s="177"/>
      <c r="F81" s="177"/>
      <c r="G81" s="177">
        <f>SUM(C81:F81)</f>
        <v>-262616542.75874937</v>
      </c>
      <c r="H81" s="26"/>
      <c r="I81" s="177"/>
      <c r="J81" s="177"/>
      <c r="K81" s="177"/>
      <c r="L81" s="177"/>
      <c r="M81" s="177">
        <f>SUM(I81:L81)</f>
        <v>0</v>
      </c>
      <c r="O81" s="158">
        <v>63</v>
      </c>
      <c r="P81" s="21" t="s">
        <v>64</v>
      </c>
      <c r="Q81" s="177">
        <v>-262616542.75874937</v>
      </c>
      <c r="R81" s="177"/>
      <c r="S81" s="177"/>
      <c r="T81" s="177"/>
      <c r="U81" s="177">
        <v>-262616542.75874937</v>
      </c>
      <c r="V81" s="26"/>
      <c r="W81" s="177"/>
      <c r="X81" s="177"/>
      <c r="Y81" s="177"/>
      <c r="Z81" s="177"/>
      <c r="AA81" s="177">
        <v>0</v>
      </c>
      <c r="AC81" s="158">
        <v>63</v>
      </c>
      <c r="AD81" s="21" t="s">
        <v>64</v>
      </c>
      <c r="AE81" s="177">
        <f t="shared" si="19"/>
        <v>0</v>
      </c>
      <c r="AF81" s="177">
        <f t="shared" si="20"/>
        <v>0</v>
      </c>
      <c r="AG81" s="177">
        <f t="shared" si="21"/>
        <v>0</v>
      </c>
      <c r="AH81" s="177">
        <f t="shared" si="22"/>
        <v>0</v>
      </c>
      <c r="AI81" s="177">
        <f t="shared" si="23"/>
        <v>0</v>
      </c>
      <c r="AJ81" s="177">
        <f t="shared" si="24"/>
        <v>0</v>
      </c>
      <c r="AK81" s="177">
        <f t="shared" si="25"/>
        <v>0</v>
      </c>
      <c r="AL81" s="177">
        <f t="shared" si="26"/>
        <v>0</v>
      </c>
      <c r="AM81" s="177">
        <f t="shared" si="27"/>
        <v>0</v>
      </c>
      <c r="AN81" s="177">
        <f t="shared" si="28"/>
        <v>0</v>
      </c>
      <c r="AO81" s="177">
        <f t="shared" si="29"/>
        <v>0</v>
      </c>
      <c r="AQ81" s="177">
        <v>0</v>
      </c>
      <c r="AR81" s="177">
        <v>0</v>
      </c>
      <c r="AS81" s="177">
        <v>0</v>
      </c>
    </row>
    <row r="82" spans="1:45" x14ac:dyDescent="0.3">
      <c r="A82" s="158">
        <f>IF(ISBLANK(B82),"",MAX(A$6:A81)+1)</f>
        <v>64</v>
      </c>
      <c r="B82" s="21" t="s">
        <v>65</v>
      </c>
      <c r="C82" s="162">
        <f>Electric_CBR!M83</f>
        <v>-75475354.295997649</v>
      </c>
      <c r="D82" s="162"/>
      <c r="E82" s="162"/>
      <c r="F82" s="162"/>
      <c r="G82" s="162">
        <f>SUM(C82:F82)</f>
        <v>-75475354.295997649</v>
      </c>
      <c r="H82" s="182"/>
      <c r="I82" s="162"/>
      <c r="J82" s="162"/>
      <c r="K82" s="162"/>
      <c r="L82" s="162"/>
      <c r="M82" s="162">
        <f>SUM(I82:L82)</f>
        <v>0</v>
      </c>
      <c r="O82" s="158">
        <v>64</v>
      </c>
      <c r="P82" s="21" t="s">
        <v>65</v>
      </c>
      <c r="Q82" s="162">
        <v>-75475354.295997649</v>
      </c>
      <c r="R82" s="162"/>
      <c r="S82" s="162"/>
      <c r="T82" s="162"/>
      <c r="U82" s="162">
        <v>-75475354.295997649</v>
      </c>
      <c r="V82" s="182"/>
      <c r="W82" s="162"/>
      <c r="X82" s="162"/>
      <c r="Y82" s="162"/>
      <c r="Z82" s="162"/>
      <c r="AA82" s="162">
        <v>0</v>
      </c>
      <c r="AC82" s="158">
        <v>64</v>
      </c>
      <c r="AD82" s="21" t="s">
        <v>65</v>
      </c>
      <c r="AE82" s="162">
        <f t="shared" si="19"/>
        <v>0</v>
      </c>
      <c r="AF82" s="162">
        <f t="shared" si="20"/>
        <v>0</v>
      </c>
      <c r="AG82" s="162">
        <f t="shared" si="21"/>
        <v>0</v>
      </c>
      <c r="AH82" s="162">
        <f t="shared" si="22"/>
        <v>0</v>
      </c>
      <c r="AI82" s="162">
        <f t="shared" si="23"/>
        <v>0</v>
      </c>
      <c r="AJ82" s="162">
        <f t="shared" si="24"/>
        <v>0</v>
      </c>
      <c r="AK82" s="162">
        <f t="shared" si="25"/>
        <v>0</v>
      </c>
      <c r="AL82" s="162">
        <f t="shared" si="26"/>
        <v>0</v>
      </c>
      <c r="AM82" s="162">
        <f t="shared" si="27"/>
        <v>0</v>
      </c>
      <c r="AN82" s="162">
        <f t="shared" si="28"/>
        <v>0</v>
      </c>
      <c r="AO82" s="162">
        <f t="shared" si="29"/>
        <v>0</v>
      </c>
      <c r="AQ82" s="162">
        <v>0</v>
      </c>
      <c r="AR82" s="162">
        <v>0</v>
      </c>
      <c r="AS82" s="162">
        <v>0</v>
      </c>
    </row>
    <row r="83" spans="1:45" x14ac:dyDescent="0.3">
      <c r="A83" s="158">
        <f>IF(ISBLANK(B83),"",MAX(A$6:A82)+1)</f>
        <v>65</v>
      </c>
      <c r="B83" s="21" t="s">
        <v>66</v>
      </c>
      <c r="C83" s="35">
        <f>Electric_CBR!M84</f>
        <v>-350659561.99111593</v>
      </c>
      <c r="D83" s="35"/>
      <c r="E83" s="35"/>
      <c r="F83" s="35"/>
      <c r="G83" s="35">
        <f>SUM(C83:F83)</f>
        <v>-350659561.99111593</v>
      </c>
      <c r="H83" s="182"/>
      <c r="I83" s="35"/>
      <c r="J83" s="35"/>
      <c r="K83" s="35"/>
      <c r="L83" s="35"/>
      <c r="M83" s="35">
        <f>SUM(I83:L83)</f>
        <v>0</v>
      </c>
      <c r="O83" s="158">
        <v>65</v>
      </c>
      <c r="P83" s="21" t="s">
        <v>66</v>
      </c>
      <c r="Q83" s="35">
        <v>-350659561.99111593</v>
      </c>
      <c r="R83" s="35"/>
      <c r="S83" s="35"/>
      <c r="T83" s="35"/>
      <c r="U83" s="35">
        <v>-350659561.99111593</v>
      </c>
      <c r="V83" s="182"/>
      <c r="W83" s="35"/>
      <c r="X83" s="35"/>
      <c r="Y83" s="35"/>
      <c r="Z83" s="35"/>
      <c r="AA83" s="35">
        <v>0</v>
      </c>
      <c r="AC83" s="158">
        <v>65</v>
      </c>
      <c r="AD83" s="21" t="s">
        <v>66</v>
      </c>
      <c r="AE83" s="35">
        <f t="shared" si="19"/>
        <v>0</v>
      </c>
      <c r="AF83" s="35">
        <f t="shared" si="20"/>
        <v>0</v>
      </c>
      <c r="AG83" s="35">
        <f t="shared" si="21"/>
        <v>0</v>
      </c>
      <c r="AH83" s="35">
        <f t="shared" si="22"/>
        <v>0</v>
      </c>
      <c r="AI83" s="35">
        <f t="shared" si="23"/>
        <v>0</v>
      </c>
      <c r="AJ83" s="35">
        <f t="shared" si="24"/>
        <v>0</v>
      </c>
      <c r="AK83" s="35">
        <f t="shared" si="25"/>
        <v>0</v>
      </c>
      <c r="AL83" s="35">
        <f t="shared" si="26"/>
        <v>0</v>
      </c>
      <c r="AM83" s="35">
        <f t="shared" si="27"/>
        <v>0</v>
      </c>
      <c r="AN83" s="35">
        <f t="shared" si="28"/>
        <v>0</v>
      </c>
      <c r="AO83" s="35">
        <f t="shared" si="29"/>
        <v>0</v>
      </c>
      <c r="AQ83" s="35">
        <v>0</v>
      </c>
      <c r="AR83" s="35">
        <v>0</v>
      </c>
      <c r="AS83" s="35">
        <v>0</v>
      </c>
    </row>
    <row r="84" spans="1:45" x14ac:dyDescent="0.3">
      <c r="A84" s="158">
        <f>IF(ISBLANK(B84),"",MAX(A$6:A83)+1)</f>
        <v>66</v>
      </c>
      <c r="B84" s="21" t="s">
        <v>67</v>
      </c>
      <c r="C84" s="35">
        <v>-3806886.5463951686</v>
      </c>
      <c r="D84" s="35"/>
      <c r="E84" s="35"/>
      <c r="F84" s="35"/>
      <c r="G84" s="35">
        <f>SUM(C84:F84)</f>
        <v>-3806886.5463951686</v>
      </c>
      <c r="H84" s="182"/>
      <c r="I84" s="35"/>
      <c r="J84" s="35"/>
      <c r="K84" s="35"/>
      <c r="L84" s="35"/>
      <c r="M84" s="35">
        <f>SUM(I84:L84)</f>
        <v>0</v>
      </c>
      <c r="O84" s="158">
        <v>66</v>
      </c>
      <c r="P84" s="21" t="s">
        <v>67</v>
      </c>
      <c r="Q84" s="35">
        <v>-3806886.5463951686</v>
      </c>
      <c r="R84" s="35"/>
      <c r="S84" s="35"/>
      <c r="T84" s="35"/>
      <c r="U84" s="35">
        <v>-3806886.5463951686</v>
      </c>
      <c r="V84" s="182"/>
      <c r="W84" s="35"/>
      <c r="X84" s="35"/>
      <c r="Y84" s="35"/>
      <c r="Z84" s="35"/>
      <c r="AA84" s="35">
        <v>0</v>
      </c>
      <c r="AC84" s="158">
        <v>66</v>
      </c>
      <c r="AD84" s="21" t="s">
        <v>67</v>
      </c>
      <c r="AE84" s="35">
        <f t="shared" si="19"/>
        <v>0</v>
      </c>
      <c r="AF84" s="35">
        <f t="shared" si="20"/>
        <v>0</v>
      </c>
      <c r="AG84" s="35">
        <f t="shared" si="21"/>
        <v>0</v>
      </c>
      <c r="AH84" s="35">
        <f t="shared" si="22"/>
        <v>0</v>
      </c>
      <c r="AI84" s="35">
        <f t="shared" si="23"/>
        <v>0</v>
      </c>
      <c r="AJ84" s="35">
        <f t="shared" si="24"/>
        <v>0</v>
      </c>
      <c r="AK84" s="35">
        <f t="shared" si="25"/>
        <v>0</v>
      </c>
      <c r="AL84" s="35">
        <f t="shared" si="26"/>
        <v>0</v>
      </c>
      <c r="AM84" s="35">
        <f t="shared" si="27"/>
        <v>0</v>
      </c>
      <c r="AN84" s="35">
        <f t="shared" si="28"/>
        <v>0</v>
      </c>
      <c r="AO84" s="35">
        <f t="shared" si="29"/>
        <v>0</v>
      </c>
      <c r="AQ84" s="35">
        <v>0</v>
      </c>
      <c r="AR84" s="35">
        <v>0</v>
      </c>
      <c r="AS84" s="35">
        <v>0</v>
      </c>
    </row>
    <row r="85" spans="1:45" x14ac:dyDescent="0.3">
      <c r="A85" s="158">
        <f>IF(ISBLANK(B85),"",MAX(A$6:A84)+1)</f>
        <v>67</v>
      </c>
      <c r="B85" s="21" t="s">
        <v>68</v>
      </c>
      <c r="C85" s="35">
        <f>Electric_CBR!M86</f>
        <v>-5161705.5755225085</v>
      </c>
      <c r="D85" s="35"/>
      <c r="E85" s="35"/>
      <c r="F85" s="35"/>
      <c r="G85" s="35">
        <f>SUM(C85:F85)</f>
        <v>-5161705.5755225085</v>
      </c>
      <c r="H85" s="182"/>
      <c r="I85" s="35"/>
      <c r="J85" s="35"/>
      <c r="K85" s="35"/>
      <c r="L85" s="35"/>
      <c r="M85" s="35">
        <f>SUM(I85:L85)</f>
        <v>0</v>
      </c>
      <c r="O85" s="158">
        <v>67</v>
      </c>
      <c r="P85" s="21" t="s">
        <v>68</v>
      </c>
      <c r="Q85" s="35">
        <v>-5161705.5755225085</v>
      </c>
      <c r="R85" s="35"/>
      <c r="S85" s="35"/>
      <c r="T85" s="35"/>
      <c r="U85" s="35">
        <v>-5161705.5755225085</v>
      </c>
      <c r="V85" s="182"/>
      <c r="W85" s="35"/>
      <c r="X85" s="35"/>
      <c r="Y85" s="35"/>
      <c r="Z85" s="35"/>
      <c r="AA85" s="35">
        <v>0</v>
      </c>
      <c r="AC85" s="158">
        <v>67</v>
      </c>
      <c r="AD85" s="21" t="s">
        <v>68</v>
      </c>
      <c r="AE85" s="35">
        <f t="shared" si="19"/>
        <v>0</v>
      </c>
      <c r="AF85" s="35">
        <f t="shared" si="20"/>
        <v>0</v>
      </c>
      <c r="AG85" s="35">
        <f t="shared" si="21"/>
        <v>0</v>
      </c>
      <c r="AH85" s="35">
        <f t="shared" si="22"/>
        <v>0</v>
      </c>
      <c r="AI85" s="35">
        <f t="shared" si="23"/>
        <v>0</v>
      </c>
      <c r="AJ85" s="35">
        <f t="shared" si="24"/>
        <v>0</v>
      </c>
      <c r="AK85" s="35">
        <f t="shared" si="25"/>
        <v>0</v>
      </c>
      <c r="AL85" s="35">
        <f t="shared" si="26"/>
        <v>0</v>
      </c>
      <c r="AM85" s="35">
        <f t="shared" si="27"/>
        <v>0</v>
      </c>
      <c r="AN85" s="35">
        <f t="shared" si="28"/>
        <v>0</v>
      </c>
      <c r="AO85" s="35">
        <f t="shared" si="29"/>
        <v>0</v>
      </c>
      <c r="AQ85" s="35">
        <v>0</v>
      </c>
      <c r="AR85" s="35">
        <v>0</v>
      </c>
      <c r="AS85" s="35">
        <v>0</v>
      </c>
    </row>
    <row r="86" spans="1:45" x14ac:dyDescent="0.3">
      <c r="A86" s="158">
        <f>IF(ISBLANK(B86),"",MAX(A$6:A85)+1)</f>
        <v>68</v>
      </c>
      <c r="B86" s="164" t="s">
        <v>0</v>
      </c>
      <c r="C86" s="181">
        <f>SUM(C81:C85)</f>
        <v>-697720051.16778064</v>
      </c>
      <c r="D86" s="181">
        <f>SUM(D81:D85)</f>
        <v>0</v>
      </c>
      <c r="E86" s="181">
        <f>SUM(E81:E85)</f>
        <v>0</v>
      </c>
      <c r="F86" s="181">
        <f>SUM(F81:F85)</f>
        <v>0</v>
      </c>
      <c r="G86" s="181">
        <f>SUM(G81:G85)</f>
        <v>-697720051.16778064</v>
      </c>
      <c r="H86" s="27"/>
      <c r="I86" s="181">
        <f>SUM(I81:I85)</f>
        <v>0</v>
      </c>
      <c r="J86" s="181">
        <f>SUM(J81:J85)</f>
        <v>0</v>
      </c>
      <c r="K86" s="181">
        <f>SUM(K81:K85)</f>
        <v>0</v>
      </c>
      <c r="L86" s="181">
        <f>SUM(L81:L85)</f>
        <v>0</v>
      </c>
      <c r="M86" s="181">
        <f>SUM(M81:M85)</f>
        <v>0</v>
      </c>
      <c r="O86" s="158">
        <v>68</v>
      </c>
      <c r="P86" s="164" t="s">
        <v>0</v>
      </c>
      <c r="Q86" s="181">
        <v>-697720051.16778064</v>
      </c>
      <c r="R86" s="181">
        <v>0</v>
      </c>
      <c r="S86" s="181">
        <v>0</v>
      </c>
      <c r="T86" s="181">
        <v>0</v>
      </c>
      <c r="U86" s="181">
        <v>-697720051.16778064</v>
      </c>
      <c r="V86" s="27"/>
      <c r="W86" s="181">
        <v>0</v>
      </c>
      <c r="X86" s="181">
        <v>0</v>
      </c>
      <c r="Y86" s="181">
        <v>0</v>
      </c>
      <c r="Z86" s="181">
        <v>0</v>
      </c>
      <c r="AA86" s="181">
        <v>0</v>
      </c>
      <c r="AC86" s="158">
        <v>68</v>
      </c>
      <c r="AD86" s="164" t="s">
        <v>0</v>
      </c>
      <c r="AE86" s="181">
        <f t="shared" si="19"/>
        <v>0</v>
      </c>
      <c r="AF86" s="181">
        <f t="shared" si="20"/>
        <v>0</v>
      </c>
      <c r="AG86" s="181">
        <f t="shared" si="21"/>
        <v>0</v>
      </c>
      <c r="AH86" s="181">
        <f t="shared" si="22"/>
        <v>0</v>
      </c>
      <c r="AI86" s="181">
        <f t="shared" si="23"/>
        <v>0</v>
      </c>
      <c r="AJ86" s="181">
        <f t="shared" si="24"/>
        <v>0</v>
      </c>
      <c r="AK86" s="181">
        <f t="shared" si="25"/>
        <v>0</v>
      </c>
      <c r="AL86" s="181">
        <f t="shared" si="26"/>
        <v>0</v>
      </c>
      <c r="AM86" s="181">
        <f t="shared" si="27"/>
        <v>0</v>
      </c>
      <c r="AN86" s="181">
        <f t="shared" si="28"/>
        <v>0</v>
      </c>
      <c r="AO86" s="181">
        <f t="shared" si="29"/>
        <v>0</v>
      </c>
      <c r="AQ86" s="181">
        <v>0</v>
      </c>
      <c r="AR86" s="181">
        <v>0</v>
      </c>
      <c r="AS86" s="181">
        <v>0</v>
      </c>
    </row>
    <row r="87" spans="1:45" x14ac:dyDescent="0.3">
      <c r="A87" s="158" t="str">
        <f>IF(ISBLANK(B87),"",MAX(A$6:A86)+1)</f>
        <v/>
      </c>
      <c r="B87" s="21"/>
      <c r="H87" s="25"/>
      <c r="O87" s="158" t="s">
        <v>790</v>
      </c>
      <c r="P87" s="21"/>
      <c r="V87" s="25"/>
      <c r="AC87" s="158" t="s">
        <v>790</v>
      </c>
      <c r="AD87" s="21"/>
      <c r="AE87" s="15">
        <f t="shared" si="19"/>
        <v>0</v>
      </c>
      <c r="AF87" s="15">
        <f t="shared" si="20"/>
        <v>0</v>
      </c>
      <c r="AG87" s="15">
        <f t="shared" si="21"/>
        <v>0</v>
      </c>
      <c r="AH87" s="15">
        <f t="shared" si="22"/>
        <v>0</v>
      </c>
      <c r="AI87" s="15">
        <f t="shared" si="23"/>
        <v>0</v>
      </c>
      <c r="AJ87" s="15">
        <f t="shared" si="24"/>
        <v>0</v>
      </c>
      <c r="AK87" s="15">
        <f t="shared" si="25"/>
        <v>0</v>
      </c>
      <c r="AL87" s="15">
        <f t="shared" si="26"/>
        <v>0</v>
      </c>
      <c r="AM87" s="15">
        <f t="shared" si="27"/>
        <v>0</v>
      </c>
      <c r="AN87" s="15">
        <f t="shared" si="28"/>
        <v>0</v>
      </c>
      <c r="AO87" s="15">
        <f t="shared" si="29"/>
        <v>0</v>
      </c>
      <c r="AQ87" s="15">
        <v>0</v>
      </c>
      <c r="AR87" s="15">
        <v>0</v>
      </c>
      <c r="AS87" s="15">
        <v>0</v>
      </c>
    </row>
    <row r="88" spans="1:45" x14ac:dyDescent="0.3">
      <c r="A88" s="158">
        <f>IF(ISBLANK(B88),"",MAX(A$6:A87)+1)</f>
        <v>69</v>
      </c>
      <c r="B88" s="180" t="s">
        <v>72</v>
      </c>
      <c r="H88" s="25"/>
      <c r="O88" s="158">
        <v>69</v>
      </c>
      <c r="P88" s="180" t="s">
        <v>72</v>
      </c>
      <c r="V88" s="25"/>
      <c r="AC88" s="158">
        <v>69</v>
      </c>
      <c r="AD88" s="180" t="s">
        <v>72</v>
      </c>
      <c r="AE88" s="15">
        <f t="shared" si="19"/>
        <v>0</v>
      </c>
      <c r="AF88" s="15">
        <f t="shared" si="20"/>
        <v>0</v>
      </c>
      <c r="AG88" s="15">
        <f t="shared" si="21"/>
        <v>0</v>
      </c>
      <c r="AH88" s="15">
        <f t="shared" si="22"/>
        <v>0</v>
      </c>
      <c r="AI88" s="15">
        <f t="shared" si="23"/>
        <v>0</v>
      </c>
      <c r="AJ88" s="15">
        <f t="shared" si="24"/>
        <v>0</v>
      </c>
      <c r="AK88" s="15">
        <f t="shared" si="25"/>
        <v>0</v>
      </c>
      <c r="AL88" s="15">
        <f t="shared" si="26"/>
        <v>0</v>
      </c>
      <c r="AM88" s="15">
        <f t="shared" si="27"/>
        <v>0</v>
      </c>
      <c r="AN88" s="15">
        <f t="shared" si="28"/>
        <v>0</v>
      </c>
      <c r="AO88" s="15">
        <f t="shared" si="29"/>
        <v>0</v>
      </c>
      <c r="AQ88" s="15">
        <v>0</v>
      </c>
      <c r="AR88" s="15">
        <v>0</v>
      </c>
      <c r="AS88" s="15">
        <v>0</v>
      </c>
    </row>
    <row r="89" spans="1:45" x14ac:dyDescent="0.3">
      <c r="A89" s="158">
        <f>IF(ISBLANK(B89),"",MAX(A$6:A88)+1)</f>
        <v>70</v>
      </c>
      <c r="B89" s="21" t="s">
        <v>64</v>
      </c>
      <c r="C89" s="177">
        <f t="shared" ref="C89:G93" si="30">C73+C81</f>
        <v>-532820311.0008207</v>
      </c>
      <c r="D89" s="177">
        <f t="shared" si="30"/>
        <v>0</v>
      </c>
      <c r="E89" s="177">
        <f t="shared" si="30"/>
        <v>0</v>
      </c>
      <c r="F89" s="177">
        <f t="shared" si="30"/>
        <v>0</v>
      </c>
      <c r="G89" s="177">
        <f t="shared" si="30"/>
        <v>-532820311.0008207</v>
      </c>
      <c r="H89" s="26"/>
      <c r="I89" s="177">
        <v>-436596793.54790342</v>
      </c>
      <c r="J89" s="177"/>
      <c r="K89" s="177"/>
      <c r="L89" s="177"/>
      <c r="M89" s="177">
        <f>SUM(I89:L89)</f>
        <v>-436596793.54790342</v>
      </c>
      <c r="O89" s="158">
        <v>70</v>
      </c>
      <c r="P89" s="21" t="s">
        <v>64</v>
      </c>
      <c r="Q89" s="177">
        <v>-532820311.0008207</v>
      </c>
      <c r="R89" s="177">
        <v>0</v>
      </c>
      <c r="S89" s="177">
        <v>0</v>
      </c>
      <c r="T89" s="177">
        <v>0</v>
      </c>
      <c r="U89" s="177">
        <v>-532820311.0008207</v>
      </c>
      <c r="V89" s="26"/>
      <c r="W89" s="177">
        <v>-436596793.54790342</v>
      </c>
      <c r="X89" s="177"/>
      <c r="Y89" s="177"/>
      <c r="Z89" s="177"/>
      <c r="AA89" s="177">
        <v>-436596793.54790342</v>
      </c>
      <c r="AC89" s="158">
        <v>70</v>
      </c>
      <c r="AD89" s="21" t="s">
        <v>64</v>
      </c>
      <c r="AE89" s="177">
        <f t="shared" si="19"/>
        <v>0</v>
      </c>
      <c r="AF89" s="177">
        <f t="shared" si="20"/>
        <v>0</v>
      </c>
      <c r="AG89" s="177">
        <f t="shared" si="21"/>
        <v>0</v>
      </c>
      <c r="AH89" s="177">
        <f t="shared" si="22"/>
        <v>0</v>
      </c>
      <c r="AI89" s="177">
        <f t="shared" si="23"/>
        <v>0</v>
      </c>
      <c r="AJ89" s="177">
        <f t="shared" si="24"/>
        <v>0</v>
      </c>
      <c r="AK89" s="177">
        <f t="shared" si="25"/>
        <v>0</v>
      </c>
      <c r="AL89" s="177">
        <f t="shared" si="26"/>
        <v>0</v>
      </c>
      <c r="AM89" s="177">
        <f t="shared" si="27"/>
        <v>0</v>
      </c>
      <c r="AN89" s="177">
        <f t="shared" si="28"/>
        <v>0</v>
      </c>
      <c r="AO89" s="177">
        <f t="shared" si="29"/>
        <v>0</v>
      </c>
      <c r="AQ89" s="177">
        <v>0</v>
      </c>
      <c r="AR89" s="177">
        <v>0</v>
      </c>
      <c r="AS89" s="177">
        <v>0</v>
      </c>
    </row>
    <row r="90" spans="1:45" x14ac:dyDescent="0.3">
      <c r="A90" s="158">
        <f>IF(ISBLANK(B90),"",MAX(A$6:A89)+1)</f>
        <v>71</v>
      </c>
      <c r="B90" s="21" t="s">
        <v>65</v>
      </c>
      <c r="C90" s="162">
        <f t="shared" si="30"/>
        <v>-153372259.11356083</v>
      </c>
      <c r="D90" s="162">
        <f t="shared" si="30"/>
        <v>0</v>
      </c>
      <c r="E90" s="162">
        <f t="shared" si="30"/>
        <v>0</v>
      </c>
      <c r="F90" s="162">
        <f t="shared" si="30"/>
        <v>0</v>
      </c>
      <c r="G90" s="162">
        <f t="shared" si="30"/>
        <v>-153372259.11356083</v>
      </c>
      <c r="H90" s="182"/>
      <c r="I90" s="162">
        <v>-153103968.86182827</v>
      </c>
      <c r="J90" s="162"/>
      <c r="K90" s="162"/>
      <c r="L90" s="162"/>
      <c r="M90" s="162">
        <f>SUM(I90:L90)</f>
        <v>-153103968.86182827</v>
      </c>
      <c r="O90" s="158">
        <v>71</v>
      </c>
      <c r="P90" s="21" t="s">
        <v>65</v>
      </c>
      <c r="Q90" s="162">
        <v>-153372259.11356083</v>
      </c>
      <c r="R90" s="162">
        <v>0</v>
      </c>
      <c r="S90" s="162">
        <v>0</v>
      </c>
      <c r="T90" s="162">
        <v>0</v>
      </c>
      <c r="U90" s="162">
        <v>-153372259.11356083</v>
      </c>
      <c r="V90" s="182"/>
      <c r="W90" s="162">
        <v>-153103968.86182827</v>
      </c>
      <c r="X90" s="162"/>
      <c r="Y90" s="162"/>
      <c r="Z90" s="162"/>
      <c r="AA90" s="162">
        <v>-153103968.86182827</v>
      </c>
      <c r="AC90" s="158">
        <v>71</v>
      </c>
      <c r="AD90" s="21" t="s">
        <v>65</v>
      </c>
      <c r="AE90" s="162">
        <f t="shared" si="19"/>
        <v>0</v>
      </c>
      <c r="AF90" s="162">
        <f t="shared" si="20"/>
        <v>0</v>
      </c>
      <c r="AG90" s="162">
        <f t="shared" si="21"/>
        <v>0</v>
      </c>
      <c r="AH90" s="162">
        <f t="shared" si="22"/>
        <v>0</v>
      </c>
      <c r="AI90" s="162">
        <f t="shared" si="23"/>
        <v>0</v>
      </c>
      <c r="AJ90" s="162">
        <f t="shared" si="24"/>
        <v>0</v>
      </c>
      <c r="AK90" s="162">
        <f t="shared" si="25"/>
        <v>0</v>
      </c>
      <c r="AL90" s="162">
        <f t="shared" si="26"/>
        <v>0</v>
      </c>
      <c r="AM90" s="162">
        <f t="shared" si="27"/>
        <v>0</v>
      </c>
      <c r="AN90" s="162">
        <f t="shared" si="28"/>
        <v>0</v>
      </c>
      <c r="AO90" s="162">
        <f t="shared" si="29"/>
        <v>0</v>
      </c>
      <c r="AQ90" s="162">
        <v>0</v>
      </c>
      <c r="AR90" s="162">
        <v>0</v>
      </c>
      <c r="AS90" s="162">
        <v>0</v>
      </c>
    </row>
    <row r="91" spans="1:45" x14ac:dyDescent="0.3">
      <c r="A91" s="158">
        <f>IF(ISBLANK(B91),"",MAX(A$6:A90)+1)</f>
        <v>72</v>
      </c>
      <c r="B91" s="21" t="s">
        <v>66</v>
      </c>
      <c r="C91" s="35">
        <f t="shared" si="30"/>
        <v>-712569681.90477419</v>
      </c>
      <c r="D91" s="35">
        <f t="shared" si="30"/>
        <v>0</v>
      </c>
      <c r="E91" s="35">
        <f t="shared" si="30"/>
        <v>2798356.0552379121</v>
      </c>
      <c r="F91" s="35">
        <f t="shared" si="30"/>
        <v>0</v>
      </c>
      <c r="G91" s="35">
        <f t="shared" si="30"/>
        <v>-709771325.8495363</v>
      </c>
      <c r="H91" s="182"/>
      <c r="I91" s="162">
        <v>-622000195.29598176</v>
      </c>
      <c r="J91" s="35">
        <v>-8820726.9787761793</v>
      </c>
      <c r="K91" s="35"/>
      <c r="L91" s="35"/>
      <c r="M91" s="35">
        <f>SUM(I91:L91)</f>
        <v>-630820922.27475798</v>
      </c>
      <c r="O91" s="158">
        <v>72</v>
      </c>
      <c r="P91" s="21" t="s">
        <v>66</v>
      </c>
      <c r="Q91" s="35">
        <v>-712569681.90477419</v>
      </c>
      <c r="R91" s="35">
        <v>0</v>
      </c>
      <c r="S91" s="35">
        <v>2798356.0552379121</v>
      </c>
      <c r="T91" s="35">
        <v>0</v>
      </c>
      <c r="U91" s="35">
        <v>-709771325.8495363</v>
      </c>
      <c r="V91" s="182"/>
      <c r="W91" s="162">
        <v>-622000195.29598176</v>
      </c>
      <c r="X91" s="35">
        <v>-8820726.9787761793</v>
      </c>
      <c r="Y91" s="35"/>
      <c r="Z91" s="35"/>
      <c r="AA91" s="35">
        <v>-630820922.27475798</v>
      </c>
      <c r="AC91" s="158">
        <v>72</v>
      </c>
      <c r="AD91" s="21" t="s">
        <v>66</v>
      </c>
      <c r="AE91" s="35">
        <f t="shared" si="19"/>
        <v>0</v>
      </c>
      <c r="AF91" s="35">
        <f t="shared" si="20"/>
        <v>0</v>
      </c>
      <c r="AG91" s="35">
        <f t="shared" si="21"/>
        <v>0</v>
      </c>
      <c r="AH91" s="35">
        <f t="shared" si="22"/>
        <v>0</v>
      </c>
      <c r="AI91" s="35">
        <f t="shared" si="23"/>
        <v>0</v>
      </c>
      <c r="AJ91" s="35">
        <f t="shared" si="24"/>
        <v>0</v>
      </c>
      <c r="AK91" s="35">
        <f t="shared" si="25"/>
        <v>0</v>
      </c>
      <c r="AL91" s="35">
        <f t="shared" si="26"/>
        <v>0</v>
      </c>
      <c r="AM91" s="35">
        <f t="shared" si="27"/>
        <v>0</v>
      </c>
      <c r="AN91" s="35">
        <f t="shared" si="28"/>
        <v>0</v>
      </c>
      <c r="AO91" s="35">
        <f t="shared" si="29"/>
        <v>0</v>
      </c>
      <c r="AQ91" s="35">
        <v>0</v>
      </c>
      <c r="AR91" s="35">
        <v>0</v>
      </c>
      <c r="AS91" s="35">
        <v>0</v>
      </c>
    </row>
    <row r="92" spans="1:45" x14ac:dyDescent="0.3">
      <c r="A92" s="158">
        <f>IF(ISBLANK(B92),"",MAX(A$6:A91)+1)</f>
        <v>73</v>
      </c>
      <c r="B92" s="21" t="s">
        <v>67</v>
      </c>
      <c r="C92" s="35">
        <f t="shared" si="30"/>
        <v>-7752333.7313548606</v>
      </c>
      <c r="D92" s="35">
        <f t="shared" si="30"/>
        <v>0</v>
      </c>
      <c r="E92" s="35">
        <f t="shared" si="30"/>
        <v>0</v>
      </c>
      <c r="F92" s="35">
        <f t="shared" si="30"/>
        <v>1816393.2000356747</v>
      </c>
      <c r="G92" s="35">
        <f t="shared" si="30"/>
        <v>-5935940.5313191852</v>
      </c>
      <c r="H92" s="182"/>
      <c r="I92" s="162">
        <v>2631312.9067449397</v>
      </c>
      <c r="J92" s="35"/>
      <c r="K92" s="35">
        <v>-13230005.209756112</v>
      </c>
      <c r="L92" s="35"/>
      <c r="M92" s="35">
        <f>SUM(I92:L92)</f>
        <v>-10598692.303011172</v>
      </c>
      <c r="O92" s="158">
        <v>73</v>
      </c>
      <c r="P92" s="21" t="s">
        <v>67</v>
      </c>
      <c r="Q92" s="35">
        <v>-7752333.7313548606</v>
      </c>
      <c r="R92" s="35">
        <v>0</v>
      </c>
      <c r="S92" s="35">
        <v>0</v>
      </c>
      <c r="T92" s="35">
        <v>1816393.2000356747</v>
      </c>
      <c r="U92" s="35">
        <v>-5935940.5313191852</v>
      </c>
      <c r="V92" s="182"/>
      <c r="W92" s="162">
        <v>2631312.9067449397</v>
      </c>
      <c r="X92" s="35"/>
      <c r="Y92" s="35">
        <v>-13230005.209756112</v>
      </c>
      <c r="Z92" s="35"/>
      <c r="AA92" s="35">
        <v>-10598692.303011172</v>
      </c>
      <c r="AC92" s="158">
        <v>73</v>
      </c>
      <c r="AD92" s="21" t="s">
        <v>67</v>
      </c>
      <c r="AE92" s="35">
        <f t="shared" si="19"/>
        <v>0</v>
      </c>
      <c r="AF92" s="35">
        <f t="shared" si="20"/>
        <v>0</v>
      </c>
      <c r="AG92" s="35">
        <f t="shared" si="21"/>
        <v>0</v>
      </c>
      <c r="AH92" s="35">
        <f t="shared" si="22"/>
        <v>0</v>
      </c>
      <c r="AI92" s="35">
        <f t="shared" si="23"/>
        <v>0</v>
      </c>
      <c r="AJ92" s="35">
        <f t="shared" si="24"/>
        <v>0</v>
      </c>
      <c r="AK92" s="35">
        <f t="shared" si="25"/>
        <v>0</v>
      </c>
      <c r="AL92" s="35">
        <f t="shared" si="26"/>
        <v>0</v>
      </c>
      <c r="AM92" s="35">
        <f t="shared" si="27"/>
        <v>0</v>
      </c>
      <c r="AN92" s="35">
        <f t="shared" si="28"/>
        <v>0</v>
      </c>
      <c r="AO92" s="35">
        <f t="shared" si="29"/>
        <v>0</v>
      </c>
      <c r="AQ92" s="35">
        <v>0</v>
      </c>
      <c r="AR92" s="35">
        <v>0</v>
      </c>
      <c r="AS92" s="35">
        <v>0</v>
      </c>
    </row>
    <row r="93" spans="1:45" x14ac:dyDescent="0.3">
      <c r="A93" s="158">
        <f>IF(ISBLANK(B93),"",MAX(A$6:A92)+1)</f>
        <v>74</v>
      </c>
      <c r="B93" s="21" t="s">
        <v>68</v>
      </c>
      <c r="C93" s="35">
        <f t="shared" si="30"/>
        <v>-10489018.967090806</v>
      </c>
      <c r="D93" s="35">
        <f t="shared" si="30"/>
        <v>0</v>
      </c>
      <c r="E93" s="35">
        <f t="shared" si="30"/>
        <v>0</v>
      </c>
      <c r="F93" s="35">
        <f t="shared" si="30"/>
        <v>0</v>
      </c>
      <c r="G93" s="35">
        <f t="shared" si="30"/>
        <v>-10489018.967090806</v>
      </c>
      <c r="H93" s="182"/>
      <c r="I93" s="162">
        <v>-71188417.784562543</v>
      </c>
      <c r="J93" s="35"/>
      <c r="K93" s="35"/>
      <c r="L93" s="35"/>
      <c r="M93" s="35">
        <f>SUM(I93:L93)</f>
        <v>-71188417.784562543</v>
      </c>
      <c r="O93" s="158">
        <v>74</v>
      </c>
      <c r="P93" s="21" t="s">
        <v>68</v>
      </c>
      <c r="Q93" s="35">
        <v>-10489018.967090806</v>
      </c>
      <c r="R93" s="35">
        <v>0</v>
      </c>
      <c r="S93" s="35">
        <v>0</v>
      </c>
      <c r="T93" s="35">
        <v>0</v>
      </c>
      <c r="U93" s="35">
        <v>-10489018.967090806</v>
      </c>
      <c r="V93" s="182"/>
      <c r="W93" s="162">
        <v>-71188417.784562543</v>
      </c>
      <c r="X93" s="35"/>
      <c r="Y93" s="35"/>
      <c r="Z93" s="35"/>
      <c r="AA93" s="35">
        <v>-71188417.784562543</v>
      </c>
      <c r="AC93" s="158">
        <v>74</v>
      </c>
      <c r="AD93" s="21" t="s">
        <v>68</v>
      </c>
      <c r="AE93" s="35">
        <f t="shared" si="19"/>
        <v>0</v>
      </c>
      <c r="AF93" s="35">
        <f t="shared" si="20"/>
        <v>0</v>
      </c>
      <c r="AG93" s="35">
        <f t="shared" si="21"/>
        <v>0</v>
      </c>
      <c r="AH93" s="35">
        <f t="shared" si="22"/>
        <v>0</v>
      </c>
      <c r="AI93" s="35">
        <f t="shared" si="23"/>
        <v>0</v>
      </c>
      <c r="AJ93" s="35">
        <f t="shared" si="24"/>
        <v>0</v>
      </c>
      <c r="AK93" s="35">
        <f t="shared" si="25"/>
        <v>0</v>
      </c>
      <c r="AL93" s="35">
        <f t="shared" si="26"/>
        <v>0</v>
      </c>
      <c r="AM93" s="35">
        <f t="shared" si="27"/>
        <v>0</v>
      </c>
      <c r="AN93" s="35">
        <f t="shared" si="28"/>
        <v>0</v>
      </c>
      <c r="AO93" s="35">
        <f t="shared" si="29"/>
        <v>0</v>
      </c>
      <c r="AQ93" s="35">
        <v>0</v>
      </c>
      <c r="AR93" s="35">
        <v>0</v>
      </c>
      <c r="AS93" s="35">
        <v>0</v>
      </c>
    </row>
    <row r="94" spans="1:45" x14ac:dyDescent="0.3">
      <c r="A94" s="158">
        <f>IF(ISBLANK(B94),"",MAX(A$6:A93)+1)</f>
        <v>75</v>
      </c>
      <c r="B94" s="164" t="s">
        <v>0</v>
      </c>
      <c r="C94" s="181">
        <f>SUM(C89:C93)</f>
        <v>-1417003604.7176015</v>
      </c>
      <c r="D94" s="181">
        <f>SUM(D89:D93)</f>
        <v>0</v>
      </c>
      <c r="E94" s="181">
        <f>SUM(E89:E93)</f>
        <v>2798356.0552379121</v>
      </c>
      <c r="F94" s="181">
        <f>SUM(F89:F93)</f>
        <v>1816393.2000356747</v>
      </c>
      <c r="G94" s="181">
        <f>SUM(G89:G93)</f>
        <v>-1412388855.4623277</v>
      </c>
      <c r="H94" s="27"/>
      <c r="I94" s="181">
        <f>SUM(I89:I93)</f>
        <v>-1280258062.5835309</v>
      </c>
      <c r="J94" s="181">
        <f>SUM(J89:J93)</f>
        <v>-8820726.9787761793</v>
      </c>
      <c r="K94" s="181">
        <f>SUM(K89:K93)</f>
        <v>-13230005.209756112</v>
      </c>
      <c r="L94" s="181">
        <f>SUM(L89:L93)</f>
        <v>0</v>
      </c>
      <c r="M94" s="181">
        <f>SUM(M89:M93)</f>
        <v>-1302308794.7720635</v>
      </c>
      <c r="O94" s="158">
        <v>75</v>
      </c>
      <c r="P94" s="164" t="s">
        <v>0</v>
      </c>
      <c r="Q94" s="181">
        <v>-1417003604.7176015</v>
      </c>
      <c r="R94" s="181">
        <v>0</v>
      </c>
      <c r="S94" s="181">
        <v>2798356.0552379121</v>
      </c>
      <c r="T94" s="181">
        <v>1816393.2000356747</v>
      </c>
      <c r="U94" s="181">
        <v>-1412388855.4623277</v>
      </c>
      <c r="V94" s="27"/>
      <c r="W94" s="181">
        <v>-1280258062.5835309</v>
      </c>
      <c r="X94" s="181">
        <v>-8820726.9787761793</v>
      </c>
      <c r="Y94" s="181">
        <v>-13230005.209756112</v>
      </c>
      <c r="Z94" s="181">
        <v>0</v>
      </c>
      <c r="AA94" s="181">
        <v>-1302308794.7720635</v>
      </c>
      <c r="AC94" s="158">
        <v>75</v>
      </c>
      <c r="AD94" s="164" t="s">
        <v>0</v>
      </c>
      <c r="AE94" s="181">
        <f t="shared" si="19"/>
        <v>0</v>
      </c>
      <c r="AF94" s="181">
        <f t="shared" si="20"/>
        <v>0</v>
      </c>
      <c r="AG94" s="181">
        <f t="shared" si="21"/>
        <v>0</v>
      </c>
      <c r="AH94" s="181">
        <f t="shared" si="22"/>
        <v>0</v>
      </c>
      <c r="AI94" s="181">
        <f t="shared" si="23"/>
        <v>0</v>
      </c>
      <c r="AJ94" s="181">
        <f t="shared" si="24"/>
        <v>0</v>
      </c>
      <c r="AK94" s="181">
        <f t="shared" si="25"/>
        <v>0</v>
      </c>
      <c r="AL94" s="181">
        <f t="shared" si="26"/>
        <v>0</v>
      </c>
      <c r="AM94" s="181">
        <f t="shared" si="27"/>
        <v>0</v>
      </c>
      <c r="AN94" s="181">
        <f t="shared" si="28"/>
        <v>0</v>
      </c>
      <c r="AO94" s="181">
        <f t="shared" si="29"/>
        <v>0</v>
      </c>
      <c r="AQ94" s="181">
        <v>0</v>
      </c>
      <c r="AR94" s="181">
        <v>0</v>
      </c>
      <c r="AS94" s="181">
        <v>0</v>
      </c>
    </row>
    <row r="95" spans="1:45" x14ac:dyDescent="0.3">
      <c r="A95" s="158" t="str">
        <f>IF(ISBLANK(B95),"",MAX(A$6:A94)+1)</f>
        <v/>
      </c>
      <c r="B95" s="21"/>
      <c r="C95" s="35"/>
      <c r="D95" s="35"/>
      <c r="E95" s="35"/>
      <c r="F95" s="35"/>
      <c r="G95" s="35"/>
      <c r="H95" s="25"/>
      <c r="I95" s="35"/>
      <c r="J95" s="35"/>
      <c r="K95" s="35"/>
      <c r="L95" s="35"/>
      <c r="M95" s="35"/>
      <c r="O95" s="158" t="s">
        <v>790</v>
      </c>
      <c r="P95" s="21"/>
      <c r="Q95" s="35"/>
      <c r="R95" s="35"/>
      <c r="S95" s="35"/>
      <c r="T95" s="35"/>
      <c r="U95" s="35"/>
      <c r="V95" s="25"/>
      <c r="W95" s="35"/>
      <c r="X95" s="35"/>
      <c r="Y95" s="35"/>
      <c r="Z95" s="35"/>
      <c r="AA95" s="35"/>
      <c r="AC95" s="158" t="s">
        <v>790</v>
      </c>
      <c r="AD95" s="21"/>
      <c r="AE95" s="35">
        <f t="shared" si="19"/>
        <v>0</v>
      </c>
      <c r="AF95" s="35">
        <f t="shared" si="20"/>
        <v>0</v>
      </c>
      <c r="AG95" s="35">
        <f t="shared" si="21"/>
        <v>0</v>
      </c>
      <c r="AH95" s="35">
        <f t="shared" si="22"/>
        <v>0</v>
      </c>
      <c r="AI95" s="35">
        <f t="shared" si="23"/>
        <v>0</v>
      </c>
      <c r="AJ95" s="35">
        <f t="shared" si="24"/>
        <v>0</v>
      </c>
      <c r="AK95" s="35">
        <f t="shared" si="25"/>
        <v>0</v>
      </c>
      <c r="AL95" s="35">
        <f t="shared" si="26"/>
        <v>0</v>
      </c>
      <c r="AM95" s="35">
        <f t="shared" si="27"/>
        <v>0</v>
      </c>
      <c r="AN95" s="35">
        <f t="shared" si="28"/>
        <v>0</v>
      </c>
      <c r="AO95" s="35">
        <f t="shared" si="29"/>
        <v>0</v>
      </c>
      <c r="AQ95" s="35">
        <v>0</v>
      </c>
      <c r="AR95" s="35">
        <v>0</v>
      </c>
      <c r="AS95" s="35">
        <v>0</v>
      </c>
    </row>
    <row r="96" spans="1:45" x14ac:dyDescent="0.3">
      <c r="A96" s="158">
        <f>IF(ISBLANK(B96),"",MAX(A$6:A95)+1)</f>
        <v>76</v>
      </c>
      <c r="B96" s="180" t="s">
        <v>73</v>
      </c>
      <c r="C96" s="35"/>
      <c r="D96" s="35"/>
      <c r="E96" s="35"/>
      <c r="F96" s="35"/>
      <c r="G96" s="35"/>
      <c r="H96" s="25"/>
      <c r="I96" s="35"/>
      <c r="J96" s="35"/>
      <c r="K96" s="35"/>
      <c r="L96" s="35"/>
      <c r="M96" s="35"/>
      <c r="O96" s="158">
        <v>76</v>
      </c>
      <c r="P96" s="180" t="s">
        <v>73</v>
      </c>
      <c r="Q96" s="35"/>
      <c r="R96" s="35"/>
      <c r="S96" s="35"/>
      <c r="T96" s="35"/>
      <c r="U96" s="35"/>
      <c r="V96" s="25"/>
      <c r="W96" s="35"/>
      <c r="X96" s="35"/>
      <c r="Y96" s="35"/>
      <c r="Z96" s="35"/>
      <c r="AA96" s="35"/>
      <c r="AC96" s="158">
        <v>76</v>
      </c>
      <c r="AD96" s="180" t="s">
        <v>73</v>
      </c>
      <c r="AE96" s="35">
        <f t="shared" si="19"/>
        <v>0</v>
      </c>
      <c r="AF96" s="35">
        <f t="shared" si="20"/>
        <v>0</v>
      </c>
      <c r="AG96" s="35">
        <f t="shared" si="21"/>
        <v>0</v>
      </c>
      <c r="AH96" s="35">
        <f t="shared" si="22"/>
        <v>0</v>
      </c>
      <c r="AI96" s="35">
        <f t="shared" si="23"/>
        <v>0</v>
      </c>
      <c r="AJ96" s="35">
        <f t="shared" si="24"/>
        <v>0</v>
      </c>
      <c r="AK96" s="35">
        <f t="shared" si="25"/>
        <v>0</v>
      </c>
      <c r="AL96" s="35">
        <f t="shared" si="26"/>
        <v>0</v>
      </c>
      <c r="AM96" s="35">
        <f t="shared" si="27"/>
        <v>0</v>
      </c>
      <c r="AN96" s="35">
        <f t="shared" si="28"/>
        <v>0</v>
      </c>
      <c r="AO96" s="35">
        <f t="shared" si="29"/>
        <v>0</v>
      </c>
      <c r="AQ96" s="35">
        <v>0</v>
      </c>
      <c r="AR96" s="35">
        <v>0</v>
      </c>
      <c r="AS96" s="35">
        <v>0</v>
      </c>
    </row>
    <row r="97" spans="1:45" x14ac:dyDescent="0.3">
      <c r="A97" s="158">
        <f>IF(ISBLANK(B97),"",MAX(A$6:A96)+1)</f>
        <v>77</v>
      </c>
      <c r="B97" s="21" t="s">
        <v>64</v>
      </c>
      <c r="C97" s="177">
        <f t="shared" ref="C97:G101" si="31">C57+C65+C89</f>
        <v>1726657062.6082206</v>
      </c>
      <c r="D97" s="177">
        <f t="shared" si="31"/>
        <v>0</v>
      </c>
      <c r="E97" s="177">
        <f t="shared" si="31"/>
        <v>0</v>
      </c>
      <c r="F97" s="177">
        <f t="shared" si="31"/>
        <v>0</v>
      </c>
      <c r="G97" s="177">
        <f t="shared" si="31"/>
        <v>1726657062.6082206</v>
      </c>
      <c r="H97" s="26"/>
      <c r="I97" s="177">
        <f t="shared" ref="I97:M101" si="32">I57+I65+I89</f>
        <v>1632183594.391304</v>
      </c>
      <c r="J97" s="177">
        <f t="shared" si="32"/>
        <v>0</v>
      </c>
      <c r="K97" s="177">
        <f t="shared" si="32"/>
        <v>0</v>
      </c>
      <c r="L97" s="177">
        <f t="shared" si="32"/>
        <v>0</v>
      </c>
      <c r="M97" s="177">
        <f t="shared" si="32"/>
        <v>1632183594.391304</v>
      </c>
      <c r="O97" s="158">
        <v>77</v>
      </c>
      <c r="P97" s="21" t="s">
        <v>64</v>
      </c>
      <c r="Q97" s="177">
        <v>1726657062.6082206</v>
      </c>
      <c r="R97" s="177">
        <v>0</v>
      </c>
      <c r="S97" s="177">
        <v>0</v>
      </c>
      <c r="T97" s="177">
        <v>0</v>
      </c>
      <c r="U97" s="177">
        <v>1726657062.6082206</v>
      </c>
      <c r="V97" s="26"/>
      <c r="W97" s="177">
        <v>1632183594.391304</v>
      </c>
      <c r="X97" s="177">
        <v>0</v>
      </c>
      <c r="Y97" s="177">
        <v>0</v>
      </c>
      <c r="Z97" s="177">
        <v>0</v>
      </c>
      <c r="AA97" s="177">
        <v>1632183594.391304</v>
      </c>
      <c r="AC97" s="158">
        <v>77</v>
      </c>
      <c r="AD97" s="21" t="s">
        <v>64</v>
      </c>
      <c r="AE97" s="177">
        <f t="shared" si="19"/>
        <v>0</v>
      </c>
      <c r="AF97" s="177">
        <f t="shared" si="20"/>
        <v>0</v>
      </c>
      <c r="AG97" s="177">
        <f t="shared" si="21"/>
        <v>0</v>
      </c>
      <c r="AH97" s="177">
        <f t="shared" si="22"/>
        <v>0</v>
      </c>
      <c r="AI97" s="177">
        <f t="shared" si="23"/>
        <v>0</v>
      </c>
      <c r="AJ97" s="177">
        <f t="shared" si="24"/>
        <v>0</v>
      </c>
      <c r="AK97" s="177">
        <f t="shared" si="25"/>
        <v>0</v>
      </c>
      <c r="AL97" s="177">
        <f t="shared" si="26"/>
        <v>0</v>
      </c>
      <c r="AM97" s="177">
        <f t="shared" si="27"/>
        <v>0</v>
      </c>
      <c r="AN97" s="177">
        <f t="shared" si="28"/>
        <v>0</v>
      </c>
      <c r="AO97" s="177">
        <f t="shared" si="29"/>
        <v>0</v>
      </c>
      <c r="AQ97" s="177">
        <v>0</v>
      </c>
      <c r="AR97" s="177">
        <v>0</v>
      </c>
      <c r="AS97" s="177">
        <v>0</v>
      </c>
    </row>
    <row r="98" spans="1:45" x14ac:dyDescent="0.3">
      <c r="A98" s="158">
        <f>IF(ISBLANK(B98),"",MAX(A$6:A97)+1)</f>
        <v>78</v>
      </c>
      <c r="B98" s="21" t="s">
        <v>65</v>
      </c>
      <c r="C98" s="162">
        <f t="shared" si="31"/>
        <v>880299629.19970214</v>
      </c>
      <c r="D98" s="162">
        <f t="shared" si="31"/>
        <v>0</v>
      </c>
      <c r="E98" s="162">
        <f t="shared" si="31"/>
        <v>0</v>
      </c>
      <c r="F98" s="162">
        <f t="shared" si="31"/>
        <v>0</v>
      </c>
      <c r="G98" s="162">
        <f t="shared" si="31"/>
        <v>880299629.19970214</v>
      </c>
      <c r="H98" s="182"/>
      <c r="I98" s="162">
        <f t="shared" si="32"/>
        <v>995440756.24045706</v>
      </c>
      <c r="J98" s="162">
        <f t="shared" si="32"/>
        <v>0</v>
      </c>
      <c r="K98" s="162">
        <f t="shared" si="32"/>
        <v>0</v>
      </c>
      <c r="L98" s="162">
        <f t="shared" si="32"/>
        <v>0</v>
      </c>
      <c r="M98" s="162">
        <f t="shared" si="32"/>
        <v>995440756.24045706</v>
      </c>
      <c r="O98" s="158">
        <v>78</v>
      </c>
      <c r="P98" s="21" t="s">
        <v>65</v>
      </c>
      <c r="Q98" s="162">
        <v>880299629.19970214</v>
      </c>
      <c r="R98" s="162">
        <v>0</v>
      </c>
      <c r="S98" s="162">
        <v>0</v>
      </c>
      <c r="T98" s="162">
        <v>0</v>
      </c>
      <c r="U98" s="162">
        <v>880299629.19970214</v>
      </c>
      <c r="V98" s="182"/>
      <c r="W98" s="162">
        <v>995440756.24045706</v>
      </c>
      <c r="X98" s="162">
        <v>0</v>
      </c>
      <c r="Y98" s="162">
        <v>0</v>
      </c>
      <c r="Z98" s="162">
        <v>0</v>
      </c>
      <c r="AA98" s="162">
        <v>995440756.24045706</v>
      </c>
      <c r="AC98" s="158">
        <v>78</v>
      </c>
      <c r="AD98" s="21" t="s">
        <v>65</v>
      </c>
      <c r="AE98" s="162">
        <f t="shared" si="19"/>
        <v>0</v>
      </c>
      <c r="AF98" s="162">
        <f t="shared" si="20"/>
        <v>0</v>
      </c>
      <c r="AG98" s="162">
        <f t="shared" si="21"/>
        <v>0</v>
      </c>
      <c r="AH98" s="162">
        <f t="shared" si="22"/>
        <v>0</v>
      </c>
      <c r="AI98" s="162">
        <f t="shared" si="23"/>
        <v>0</v>
      </c>
      <c r="AJ98" s="162">
        <f t="shared" si="24"/>
        <v>0</v>
      </c>
      <c r="AK98" s="162">
        <f t="shared" si="25"/>
        <v>0</v>
      </c>
      <c r="AL98" s="162">
        <f t="shared" si="26"/>
        <v>0</v>
      </c>
      <c r="AM98" s="162">
        <f t="shared" si="27"/>
        <v>0</v>
      </c>
      <c r="AN98" s="162">
        <f t="shared" si="28"/>
        <v>0</v>
      </c>
      <c r="AO98" s="162">
        <f t="shared" si="29"/>
        <v>0</v>
      </c>
      <c r="AQ98" s="162">
        <v>0</v>
      </c>
      <c r="AR98" s="162">
        <v>0</v>
      </c>
      <c r="AS98" s="162">
        <v>0</v>
      </c>
    </row>
    <row r="99" spans="1:45" x14ac:dyDescent="0.3">
      <c r="A99" s="158">
        <f>IF(ISBLANK(B99),"",MAX(A$6:A98)+1)</f>
        <v>79</v>
      </c>
      <c r="B99" s="21" t="s">
        <v>66</v>
      </c>
      <c r="C99" s="35">
        <f t="shared" si="31"/>
        <v>1732215393.0162663</v>
      </c>
      <c r="D99" s="35">
        <f t="shared" si="31"/>
        <v>0</v>
      </c>
      <c r="E99" s="35">
        <f t="shared" si="31"/>
        <v>-37487757.953703716</v>
      </c>
      <c r="F99" s="35">
        <f t="shared" si="31"/>
        <v>0</v>
      </c>
      <c r="G99" s="35">
        <f t="shared" si="31"/>
        <v>1694727635.0625625</v>
      </c>
      <c r="H99" s="182"/>
      <c r="I99" s="35">
        <f t="shared" si="32"/>
        <v>1826103551.0342817</v>
      </c>
      <c r="J99" s="35">
        <f t="shared" si="32"/>
        <v>134304559.37698671</v>
      </c>
      <c r="K99" s="35">
        <f t="shared" si="32"/>
        <v>0</v>
      </c>
      <c r="L99" s="35">
        <f t="shared" si="32"/>
        <v>0</v>
      </c>
      <c r="M99" s="35">
        <f t="shared" si="32"/>
        <v>1960408110.4112682</v>
      </c>
      <c r="O99" s="158">
        <v>79</v>
      </c>
      <c r="P99" s="21" t="s">
        <v>66</v>
      </c>
      <c r="Q99" s="35">
        <v>1732215393.0162663</v>
      </c>
      <c r="R99" s="35">
        <v>0</v>
      </c>
      <c r="S99" s="35">
        <v>-37487757.953703716</v>
      </c>
      <c r="T99" s="35">
        <v>0</v>
      </c>
      <c r="U99" s="35">
        <v>1694727635.0625625</v>
      </c>
      <c r="V99" s="182"/>
      <c r="W99" s="35">
        <v>1826103551.0342817</v>
      </c>
      <c r="X99" s="35">
        <v>134304559.37698671</v>
      </c>
      <c r="Y99" s="35">
        <v>0</v>
      </c>
      <c r="Z99" s="35">
        <v>0</v>
      </c>
      <c r="AA99" s="35">
        <v>1960408110.4112682</v>
      </c>
      <c r="AC99" s="158">
        <v>79</v>
      </c>
      <c r="AD99" s="21" t="s">
        <v>66</v>
      </c>
      <c r="AE99" s="35">
        <f t="shared" si="19"/>
        <v>0</v>
      </c>
      <c r="AF99" s="35">
        <f t="shared" si="20"/>
        <v>0</v>
      </c>
      <c r="AG99" s="35">
        <f t="shared" si="21"/>
        <v>0</v>
      </c>
      <c r="AH99" s="35">
        <f t="shared" si="22"/>
        <v>0</v>
      </c>
      <c r="AI99" s="35">
        <f t="shared" si="23"/>
        <v>0</v>
      </c>
      <c r="AJ99" s="35">
        <f t="shared" si="24"/>
        <v>0</v>
      </c>
      <c r="AK99" s="35">
        <f t="shared" si="25"/>
        <v>0</v>
      </c>
      <c r="AL99" s="35">
        <f t="shared" si="26"/>
        <v>0</v>
      </c>
      <c r="AM99" s="35">
        <f t="shared" si="27"/>
        <v>0</v>
      </c>
      <c r="AN99" s="35">
        <f t="shared" si="28"/>
        <v>0</v>
      </c>
      <c r="AO99" s="35">
        <f t="shared" si="29"/>
        <v>0</v>
      </c>
      <c r="AQ99" s="35">
        <v>0</v>
      </c>
      <c r="AR99" s="35">
        <v>0</v>
      </c>
      <c r="AS99" s="35">
        <v>0</v>
      </c>
    </row>
    <row r="100" spans="1:45" x14ac:dyDescent="0.3">
      <c r="A100" s="158">
        <f>IF(ISBLANK(B100),"",MAX(A$6:A99)+1)</f>
        <v>80</v>
      </c>
      <c r="B100" s="21" t="s">
        <v>67</v>
      </c>
      <c r="C100" s="35">
        <f t="shared" si="31"/>
        <v>245266539.42247504</v>
      </c>
      <c r="D100" s="35">
        <f t="shared" si="31"/>
        <v>0</v>
      </c>
      <c r="E100" s="35">
        <f t="shared" si="31"/>
        <v>0</v>
      </c>
      <c r="F100" s="35">
        <f t="shared" si="31"/>
        <v>-27876144.997406568</v>
      </c>
      <c r="G100" s="35">
        <f t="shared" si="31"/>
        <v>217390394.4250685</v>
      </c>
      <c r="H100" s="182"/>
      <c r="I100" s="35">
        <f t="shared" si="32"/>
        <v>191298157.05797598</v>
      </c>
      <c r="J100" s="35">
        <f t="shared" si="32"/>
        <v>0</v>
      </c>
      <c r="K100" s="35">
        <f t="shared" si="32"/>
        <v>112328774.41348831</v>
      </c>
      <c r="L100" s="35">
        <f t="shared" si="32"/>
        <v>0</v>
      </c>
      <c r="M100" s="35">
        <f t="shared" si="32"/>
        <v>303626931.47146422</v>
      </c>
      <c r="O100" s="158">
        <v>80</v>
      </c>
      <c r="P100" s="21" t="s">
        <v>67</v>
      </c>
      <c r="Q100" s="35">
        <v>245266539.42247504</v>
      </c>
      <c r="R100" s="35">
        <v>0</v>
      </c>
      <c r="S100" s="35">
        <v>0</v>
      </c>
      <c r="T100" s="35">
        <v>-27876144.997406568</v>
      </c>
      <c r="U100" s="35">
        <v>217390394.4250685</v>
      </c>
      <c r="V100" s="182"/>
      <c r="W100" s="35">
        <v>191298157.05797598</v>
      </c>
      <c r="X100" s="35">
        <v>0</v>
      </c>
      <c r="Y100" s="35">
        <v>112328774.41348831</v>
      </c>
      <c r="Z100" s="35">
        <v>0</v>
      </c>
      <c r="AA100" s="35">
        <v>303626931.47146422</v>
      </c>
      <c r="AC100" s="158">
        <v>80</v>
      </c>
      <c r="AD100" s="21" t="s">
        <v>67</v>
      </c>
      <c r="AE100" s="35">
        <f t="shared" si="19"/>
        <v>0</v>
      </c>
      <c r="AF100" s="35">
        <f t="shared" si="20"/>
        <v>0</v>
      </c>
      <c r="AG100" s="35">
        <f t="shared" si="21"/>
        <v>0</v>
      </c>
      <c r="AH100" s="35">
        <f t="shared" si="22"/>
        <v>0</v>
      </c>
      <c r="AI100" s="35">
        <f t="shared" si="23"/>
        <v>0</v>
      </c>
      <c r="AJ100" s="35">
        <f t="shared" si="24"/>
        <v>0</v>
      </c>
      <c r="AK100" s="35">
        <f t="shared" si="25"/>
        <v>0</v>
      </c>
      <c r="AL100" s="35">
        <f t="shared" si="26"/>
        <v>0</v>
      </c>
      <c r="AM100" s="35">
        <f t="shared" si="27"/>
        <v>0</v>
      </c>
      <c r="AN100" s="35">
        <f t="shared" si="28"/>
        <v>0</v>
      </c>
      <c r="AO100" s="35">
        <f t="shared" si="29"/>
        <v>0</v>
      </c>
      <c r="AQ100" s="35">
        <v>0</v>
      </c>
      <c r="AR100" s="35">
        <v>0</v>
      </c>
      <c r="AS100" s="35">
        <v>0</v>
      </c>
    </row>
    <row r="101" spans="1:45" x14ac:dyDescent="0.3">
      <c r="A101" s="158">
        <f>IF(ISBLANK(B101),"",MAX(A$6:A100)+1)</f>
        <v>81</v>
      </c>
      <c r="B101" s="21" t="s">
        <v>68</v>
      </c>
      <c r="C101" s="35">
        <f t="shared" si="31"/>
        <v>322797048.67021996</v>
      </c>
      <c r="D101" s="35">
        <f t="shared" si="31"/>
        <v>0</v>
      </c>
      <c r="E101" s="35">
        <f t="shared" si="31"/>
        <v>0</v>
      </c>
      <c r="F101" s="35">
        <f t="shared" si="31"/>
        <v>0</v>
      </c>
      <c r="G101" s="35">
        <f t="shared" si="31"/>
        <v>322797048.67021996</v>
      </c>
      <c r="H101" s="182"/>
      <c r="I101" s="35">
        <f t="shared" si="32"/>
        <v>329275868.90638149</v>
      </c>
      <c r="J101" s="35">
        <f t="shared" si="32"/>
        <v>0</v>
      </c>
      <c r="K101" s="35">
        <f t="shared" si="32"/>
        <v>0</v>
      </c>
      <c r="L101" s="35">
        <f t="shared" si="32"/>
        <v>0</v>
      </c>
      <c r="M101" s="35">
        <f t="shared" si="32"/>
        <v>329275868.90638149</v>
      </c>
      <c r="O101" s="158">
        <v>81</v>
      </c>
      <c r="P101" s="21" t="s">
        <v>68</v>
      </c>
      <c r="Q101" s="35">
        <v>322797048.67021996</v>
      </c>
      <c r="R101" s="35">
        <v>0</v>
      </c>
      <c r="S101" s="35">
        <v>0</v>
      </c>
      <c r="T101" s="35">
        <v>0</v>
      </c>
      <c r="U101" s="35">
        <v>322797048.67021996</v>
      </c>
      <c r="V101" s="182"/>
      <c r="W101" s="35">
        <v>329275868.90638149</v>
      </c>
      <c r="X101" s="35">
        <v>0</v>
      </c>
      <c r="Y101" s="35">
        <v>0</v>
      </c>
      <c r="Z101" s="35">
        <v>0</v>
      </c>
      <c r="AA101" s="35">
        <v>329275868.90638149</v>
      </c>
      <c r="AC101" s="158">
        <v>81</v>
      </c>
      <c r="AD101" s="21" t="s">
        <v>68</v>
      </c>
      <c r="AE101" s="35">
        <f t="shared" si="19"/>
        <v>0</v>
      </c>
      <c r="AF101" s="35">
        <f t="shared" si="20"/>
        <v>0</v>
      </c>
      <c r="AG101" s="35">
        <f t="shared" si="21"/>
        <v>0</v>
      </c>
      <c r="AH101" s="35">
        <f t="shared" si="22"/>
        <v>0</v>
      </c>
      <c r="AI101" s="35">
        <f t="shared" si="23"/>
        <v>0</v>
      </c>
      <c r="AJ101" s="35">
        <f t="shared" si="24"/>
        <v>0</v>
      </c>
      <c r="AK101" s="35">
        <f t="shared" si="25"/>
        <v>0</v>
      </c>
      <c r="AL101" s="35">
        <f t="shared" si="26"/>
        <v>0</v>
      </c>
      <c r="AM101" s="35">
        <f t="shared" si="27"/>
        <v>0</v>
      </c>
      <c r="AN101" s="35">
        <f t="shared" si="28"/>
        <v>0</v>
      </c>
      <c r="AO101" s="35">
        <f t="shared" si="29"/>
        <v>0</v>
      </c>
      <c r="AQ101" s="35">
        <v>0</v>
      </c>
      <c r="AR101" s="35">
        <v>0</v>
      </c>
      <c r="AS101" s="35">
        <v>0</v>
      </c>
    </row>
    <row r="102" spans="1:45" x14ac:dyDescent="0.3">
      <c r="A102" s="158">
        <f>IF(ISBLANK(B102),"",MAX(A$6:A101)+1)</f>
        <v>82</v>
      </c>
      <c r="B102" s="164" t="s">
        <v>0</v>
      </c>
      <c r="C102" s="181">
        <f>SUM(C97:C101)</f>
        <v>4907235672.9168844</v>
      </c>
      <c r="D102" s="181">
        <f>SUM(D97:D101)</f>
        <v>0</v>
      </c>
      <c r="E102" s="181">
        <f>SUM(E97:E101)</f>
        <v>-37487757.953703716</v>
      </c>
      <c r="F102" s="181">
        <f>SUM(F97:F101)</f>
        <v>-27876144.997406568</v>
      </c>
      <c r="G102" s="181">
        <f>SUM(G97:G101)</f>
        <v>4841871769.9657745</v>
      </c>
      <c r="H102" s="27"/>
      <c r="I102" s="181">
        <f>SUM(I97:I101)</f>
        <v>4974301927.6303997</v>
      </c>
      <c r="J102" s="181">
        <f>SUM(J97:J101)</f>
        <v>134304559.37698671</v>
      </c>
      <c r="K102" s="181">
        <f>SUM(K97:K101)</f>
        <v>112328774.41348831</v>
      </c>
      <c r="L102" s="181">
        <f>SUM(L97:L101)</f>
        <v>0</v>
      </c>
      <c r="M102" s="181">
        <f>SUM(M97:M101)</f>
        <v>5220935261.4208755</v>
      </c>
      <c r="O102" s="158">
        <v>82</v>
      </c>
      <c r="P102" s="164" t="s">
        <v>0</v>
      </c>
      <c r="Q102" s="181">
        <v>4907235672.9168844</v>
      </c>
      <c r="R102" s="181">
        <v>0</v>
      </c>
      <c r="S102" s="181">
        <v>-37487757.953703716</v>
      </c>
      <c r="T102" s="181">
        <v>-27876144.997406568</v>
      </c>
      <c r="U102" s="181">
        <v>4841871769.9657745</v>
      </c>
      <c r="V102" s="27"/>
      <c r="W102" s="181">
        <v>4974301927.6303997</v>
      </c>
      <c r="X102" s="181">
        <v>134304559.37698671</v>
      </c>
      <c r="Y102" s="181">
        <v>112328774.41348831</v>
      </c>
      <c r="Z102" s="181">
        <v>0</v>
      </c>
      <c r="AA102" s="181">
        <v>5220935261.4208755</v>
      </c>
      <c r="AC102" s="158">
        <v>82</v>
      </c>
      <c r="AD102" s="164" t="s">
        <v>0</v>
      </c>
      <c r="AE102" s="181">
        <f t="shared" si="19"/>
        <v>0</v>
      </c>
      <c r="AF102" s="181">
        <f t="shared" si="20"/>
        <v>0</v>
      </c>
      <c r="AG102" s="181">
        <f t="shared" si="21"/>
        <v>0</v>
      </c>
      <c r="AH102" s="181">
        <f t="shared" si="22"/>
        <v>0</v>
      </c>
      <c r="AI102" s="181">
        <f t="shared" si="23"/>
        <v>0</v>
      </c>
      <c r="AJ102" s="181">
        <f t="shared" si="24"/>
        <v>0</v>
      </c>
      <c r="AK102" s="181">
        <f t="shared" si="25"/>
        <v>0</v>
      </c>
      <c r="AL102" s="181">
        <f t="shared" si="26"/>
        <v>0</v>
      </c>
      <c r="AM102" s="181">
        <f t="shared" si="27"/>
        <v>0</v>
      </c>
      <c r="AN102" s="181">
        <f t="shared" si="28"/>
        <v>0</v>
      </c>
      <c r="AO102" s="181">
        <f t="shared" si="29"/>
        <v>0</v>
      </c>
      <c r="AQ102" s="181">
        <v>0</v>
      </c>
      <c r="AR102" s="181">
        <v>0</v>
      </c>
      <c r="AS102" s="181">
        <v>0</v>
      </c>
    </row>
    <row r="103" spans="1:45" x14ac:dyDescent="0.3">
      <c r="A103" s="158" t="str">
        <f>IF(ISBLANK(B103),"",MAX(A$6:A102)+1)</f>
        <v/>
      </c>
      <c r="B103" s="169"/>
      <c r="C103" s="177"/>
      <c r="D103" s="177"/>
      <c r="E103" s="177"/>
      <c r="F103" s="177"/>
      <c r="G103" s="177"/>
      <c r="H103" s="25"/>
      <c r="I103" s="177"/>
      <c r="J103" s="177"/>
      <c r="K103" s="177"/>
      <c r="L103" s="177"/>
      <c r="M103" s="177"/>
      <c r="O103" s="158" t="s">
        <v>790</v>
      </c>
      <c r="P103" s="169"/>
      <c r="Q103" s="177"/>
      <c r="R103" s="177"/>
      <c r="S103" s="177"/>
      <c r="T103" s="177"/>
      <c r="U103" s="177"/>
      <c r="V103" s="25"/>
      <c r="W103" s="177"/>
      <c r="X103" s="177"/>
      <c r="Y103" s="177"/>
      <c r="Z103" s="177"/>
      <c r="AA103" s="177"/>
      <c r="AC103" s="158" t="s">
        <v>790</v>
      </c>
      <c r="AD103" s="169"/>
      <c r="AE103" s="177">
        <f t="shared" si="19"/>
        <v>0</v>
      </c>
      <c r="AF103" s="177">
        <f t="shared" si="20"/>
        <v>0</v>
      </c>
      <c r="AG103" s="177">
        <f t="shared" si="21"/>
        <v>0</v>
      </c>
      <c r="AH103" s="177">
        <f t="shared" si="22"/>
        <v>0</v>
      </c>
      <c r="AI103" s="177">
        <f t="shared" si="23"/>
        <v>0</v>
      </c>
      <c r="AJ103" s="177">
        <f t="shared" si="24"/>
        <v>0</v>
      </c>
      <c r="AK103" s="177">
        <f t="shared" si="25"/>
        <v>0</v>
      </c>
      <c r="AL103" s="177">
        <f t="shared" si="26"/>
        <v>0</v>
      </c>
      <c r="AM103" s="177">
        <f t="shared" si="27"/>
        <v>0</v>
      </c>
      <c r="AN103" s="177">
        <f t="shared" si="28"/>
        <v>0</v>
      </c>
      <c r="AO103" s="177">
        <f t="shared" si="29"/>
        <v>0</v>
      </c>
      <c r="AQ103" s="177">
        <v>0</v>
      </c>
      <c r="AR103" s="177">
        <v>0</v>
      </c>
      <c r="AS103" s="177">
        <v>0</v>
      </c>
    </row>
    <row r="104" spans="1:45" x14ac:dyDescent="0.3">
      <c r="A104" s="158">
        <f>IF(ISBLANK(B104),"",MAX(A$6:A102)+1)</f>
        <v>83</v>
      </c>
      <c r="B104" s="169" t="s">
        <v>74</v>
      </c>
      <c r="C104" s="177">
        <v>-24415040.504562624</v>
      </c>
      <c r="D104" s="177"/>
      <c r="E104" s="177"/>
      <c r="F104" s="177"/>
      <c r="G104" s="177">
        <f>SUM(C104:F104)</f>
        <v>-24415040.504562624</v>
      </c>
      <c r="H104" s="59"/>
      <c r="I104" s="177">
        <f>G104*(1+H104)^(28/12)</f>
        <v>-24415040.504562624</v>
      </c>
      <c r="J104" s="177"/>
      <c r="K104" s="177"/>
      <c r="L104" s="177"/>
      <c r="M104" s="177">
        <f>SUM(I104:L104)</f>
        <v>-24415040.504562624</v>
      </c>
      <c r="O104" s="158">
        <v>83</v>
      </c>
      <c r="P104" s="169" t="s">
        <v>74</v>
      </c>
      <c r="Q104" s="177">
        <v>-24415040.504562624</v>
      </c>
      <c r="R104" s="177"/>
      <c r="S104" s="177"/>
      <c r="T104" s="177"/>
      <c r="U104" s="177">
        <v>-24415040.504562624</v>
      </c>
      <c r="V104" s="59"/>
      <c r="W104" s="177">
        <v>-24415040.504562624</v>
      </c>
      <c r="X104" s="177"/>
      <c r="Y104" s="177"/>
      <c r="Z104" s="177"/>
      <c r="AA104" s="177">
        <v>-24415040.504562624</v>
      </c>
      <c r="AC104" s="158">
        <v>83</v>
      </c>
      <c r="AD104" s="169" t="s">
        <v>74</v>
      </c>
      <c r="AE104" s="177">
        <f t="shared" si="19"/>
        <v>0</v>
      </c>
      <c r="AF104" s="177">
        <f t="shared" si="20"/>
        <v>0</v>
      </c>
      <c r="AG104" s="177">
        <f t="shared" si="21"/>
        <v>0</v>
      </c>
      <c r="AH104" s="177">
        <f t="shared" si="22"/>
        <v>0</v>
      </c>
      <c r="AI104" s="177">
        <f t="shared" si="23"/>
        <v>0</v>
      </c>
      <c r="AJ104" s="177">
        <f t="shared" si="24"/>
        <v>0</v>
      </c>
      <c r="AK104" s="177">
        <f t="shared" si="25"/>
        <v>0</v>
      </c>
      <c r="AL104" s="177">
        <f t="shared" si="26"/>
        <v>0</v>
      </c>
      <c r="AM104" s="177">
        <f t="shared" si="27"/>
        <v>0</v>
      </c>
      <c r="AN104" s="177">
        <f t="shared" si="28"/>
        <v>0</v>
      </c>
      <c r="AO104" s="177">
        <f t="shared" si="29"/>
        <v>0</v>
      </c>
      <c r="AQ104" s="177">
        <v>0</v>
      </c>
      <c r="AR104" s="177">
        <v>-454834.84243270755</v>
      </c>
      <c r="AS104" s="177">
        <v>-264630.00420184433</v>
      </c>
    </row>
    <row r="105" spans="1:45" x14ac:dyDescent="0.3">
      <c r="A105" s="158">
        <f>IF(ISBLANK(B105),"",MAX(A$6:A103)+1)</f>
        <v>83</v>
      </c>
      <c r="B105" s="76" t="s">
        <v>75</v>
      </c>
      <c r="C105" s="162">
        <v>284499601.55361074</v>
      </c>
      <c r="D105" s="162"/>
      <c r="E105" s="162"/>
      <c r="F105" s="162"/>
      <c r="G105" s="162">
        <f>SUM(C105:F105)</f>
        <v>284499601.55361074</v>
      </c>
      <c r="H105" s="182"/>
      <c r="I105" s="162">
        <f>G105*(1+H105)^(28/12)</f>
        <v>284499601.55361074</v>
      </c>
      <c r="J105" s="162"/>
      <c r="K105" s="162"/>
      <c r="L105" s="162"/>
      <c r="M105" s="162">
        <f>SUM(I105:L105)</f>
        <v>284499601.55361074</v>
      </c>
      <c r="O105" s="158">
        <v>83</v>
      </c>
      <c r="P105" s="76" t="s">
        <v>75</v>
      </c>
      <c r="Q105" s="162">
        <v>284499601.55361074</v>
      </c>
      <c r="R105" s="162"/>
      <c r="S105" s="162"/>
      <c r="T105" s="162"/>
      <c r="U105" s="162">
        <v>284499601.55361074</v>
      </c>
      <c r="V105" s="182"/>
      <c r="W105" s="162">
        <v>284499601.55361074</v>
      </c>
      <c r="X105" s="162"/>
      <c r="Y105" s="162"/>
      <c r="Z105" s="162"/>
      <c r="AA105" s="162">
        <v>284499601.55361074</v>
      </c>
      <c r="AC105" s="158">
        <v>83</v>
      </c>
      <c r="AD105" s="76" t="s">
        <v>75</v>
      </c>
      <c r="AE105" s="162">
        <f t="shared" si="19"/>
        <v>0</v>
      </c>
      <c r="AF105" s="162">
        <f t="shared" si="20"/>
        <v>0</v>
      </c>
      <c r="AG105" s="162">
        <f t="shared" si="21"/>
        <v>0</v>
      </c>
      <c r="AH105" s="162">
        <f t="shared" si="22"/>
        <v>0</v>
      </c>
      <c r="AI105" s="162">
        <f t="shared" si="23"/>
        <v>0</v>
      </c>
      <c r="AJ105" s="162">
        <f t="shared" si="24"/>
        <v>0</v>
      </c>
      <c r="AK105" s="162">
        <f t="shared" si="25"/>
        <v>0</v>
      </c>
      <c r="AL105" s="162">
        <f t="shared" si="26"/>
        <v>0</v>
      </c>
      <c r="AM105" s="162">
        <f t="shared" si="27"/>
        <v>0</v>
      </c>
      <c r="AN105" s="162">
        <f t="shared" si="28"/>
        <v>0</v>
      </c>
      <c r="AO105" s="162">
        <f t="shared" si="29"/>
        <v>0</v>
      </c>
      <c r="AQ105" s="162">
        <v>0</v>
      </c>
      <c r="AR105" s="162">
        <v>2165880.2020605206</v>
      </c>
      <c r="AS105" s="162">
        <v>1260142.8771516085</v>
      </c>
    </row>
    <row r="106" spans="1:45" x14ac:dyDescent="0.3">
      <c r="A106" s="158">
        <f>IF(ISBLANK(B106),"",MAX(A$6:A105)+1)</f>
        <v>84</v>
      </c>
      <c r="B106" s="76" t="s">
        <v>76</v>
      </c>
      <c r="C106" s="162">
        <v>145303204.9988502</v>
      </c>
      <c r="D106" s="162"/>
      <c r="E106" s="162"/>
      <c r="F106" s="162"/>
      <c r="G106" s="162">
        <f>SUM(C106:F106)</f>
        <v>145303204.9988502</v>
      </c>
      <c r="H106" s="182"/>
      <c r="I106" s="162">
        <f>G106*(1+H106)^(28/12)</f>
        <v>145303204.9988502</v>
      </c>
      <c r="J106" s="162"/>
      <c r="K106" s="162"/>
      <c r="L106" s="162"/>
      <c r="M106" s="162">
        <f>SUM(I106:L106)</f>
        <v>145303204.9988502</v>
      </c>
      <c r="O106" s="158">
        <v>84</v>
      </c>
      <c r="P106" s="76" t="s">
        <v>76</v>
      </c>
      <c r="Q106" s="162">
        <v>145303204.9988502</v>
      </c>
      <c r="R106" s="162"/>
      <c r="S106" s="162"/>
      <c r="T106" s="162"/>
      <c r="U106" s="162">
        <v>145303204.9988502</v>
      </c>
      <c r="V106" s="182"/>
      <c r="W106" s="162">
        <v>145303204.9988502</v>
      </c>
      <c r="X106" s="162"/>
      <c r="Y106" s="162"/>
      <c r="Z106" s="162"/>
      <c r="AA106" s="162">
        <v>145303204.9988502</v>
      </c>
      <c r="AC106" s="158">
        <v>84</v>
      </c>
      <c r="AD106" s="76" t="s">
        <v>76</v>
      </c>
      <c r="AE106" s="162">
        <f t="shared" si="19"/>
        <v>0</v>
      </c>
      <c r="AF106" s="162">
        <f t="shared" si="20"/>
        <v>0</v>
      </c>
      <c r="AG106" s="162">
        <f t="shared" si="21"/>
        <v>0</v>
      </c>
      <c r="AH106" s="162">
        <f t="shared" si="22"/>
        <v>0</v>
      </c>
      <c r="AI106" s="162">
        <f t="shared" si="23"/>
        <v>0</v>
      </c>
      <c r="AJ106" s="162">
        <f t="shared" si="24"/>
        <v>0</v>
      </c>
      <c r="AK106" s="162">
        <f t="shared" si="25"/>
        <v>0</v>
      </c>
      <c r="AL106" s="162">
        <f t="shared" si="26"/>
        <v>0</v>
      </c>
      <c r="AM106" s="162">
        <f t="shared" si="27"/>
        <v>0</v>
      </c>
      <c r="AN106" s="162">
        <f t="shared" si="28"/>
        <v>0</v>
      </c>
      <c r="AO106" s="162">
        <f t="shared" si="29"/>
        <v>0</v>
      </c>
      <c r="AQ106" s="162">
        <v>0</v>
      </c>
      <c r="AR106" s="162">
        <v>0</v>
      </c>
      <c r="AS106" s="162">
        <v>0</v>
      </c>
    </row>
    <row r="107" spans="1:45" x14ac:dyDescent="0.3">
      <c r="A107" s="158">
        <f>IF(ISBLANK(B107),"",MAX(A$6:A106)+1)</f>
        <v>85</v>
      </c>
      <c r="B107" s="76" t="s">
        <v>77</v>
      </c>
      <c r="C107" s="162">
        <v>-106223263.53024991</v>
      </c>
      <c r="D107" s="162"/>
      <c r="E107" s="162"/>
      <c r="F107" s="162"/>
      <c r="G107" s="162">
        <f>SUM(C107:F107)</f>
        <v>-106223263.53024991</v>
      </c>
      <c r="H107" s="182"/>
      <c r="I107" s="162">
        <f>G107*(1+H107)^(28/12)</f>
        <v>-106223263.53024991</v>
      </c>
      <c r="J107" s="162"/>
      <c r="K107" s="162"/>
      <c r="L107" s="162"/>
      <c r="M107" s="162">
        <f>SUM(I107:L107)</f>
        <v>-106223263.53024991</v>
      </c>
      <c r="O107" s="158">
        <v>85</v>
      </c>
      <c r="P107" s="76" t="s">
        <v>77</v>
      </c>
      <c r="Q107" s="162">
        <v>-106223263.53024991</v>
      </c>
      <c r="R107" s="162"/>
      <c r="S107" s="162"/>
      <c r="T107" s="162"/>
      <c r="U107" s="162">
        <v>-106223263.53024991</v>
      </c>
      <c r="V107" s="182"/>
      <c r="W107" s="162">
        <v>-106223263.53024991</v>
      </c>
      <c r="X107" s="162"/>
      <c r="Y107" s="162"/>
      <c r="Z107" s="162"/>
      <c r="AA107" s="162">
        <v>-106223263.53024991</v>
      </c>
      <c r="AC107" s="158">
        <v>85</v>
      </c>
      <c r="AD107" s="76" t="s">
        <v>77</v>
      </c>
      <c r="AE107" s="162">
        <f t="shared" si="19"/>
        <v>0</v>
      </c>
      <c r="AF107" s="162">
        <f t="shared" si="20"/>
        <v>0</v>
      </c>
      <c r="AG107" s="162">
        <f t="shared" si="21"/>
        <v>0</v>
      </c>
      <c r="AH107" s="162">
        <f t="shared" si="22"/>
        <v>0</v>
      </c>
      <c r="AI107" s="162">
        <f t="shared" si="23"/>
        <v>0</v>
      </c>
      <c r="AJ107" s="162">
        <f t="shared" si="24"/>
        <v>0</v>
      </c>
      <c r="AK107" s="162">
        <f t="shared" si="25"/>
        <v>0</v>
      </c>
      <c r="AL107" s="162">
        <f t="shared" si="26"/>
        <v>0</v>
      </c>
      <c r="AM107" s="162">
        <f t="shared" si="27"/>
        <v>0</v>
      </c>
      <c r="AN107" s="162">
        <f t="shared" si="28"/>
        <v>0</v>
      </c>
      <c r="AO107" s="162">
        <f t="shared" si="29"/>
        <v>0</v>
      </c>
      <c r="AQ107" s="162">
        <v>0</v>
      </c>
      <c r="AR107" s="162">
        <v>0</v>
      </c>
      <c r="AS107" s="162">
        <v>0</v>
      </c>
    </row>
    <row r="108" spans="1:45" ht="15" thickBot="1" x14ac:dyDescent="0.35">
      <c r="A108" s="158">
        <f>IF(ISBLANK(B108),"",MAX(A$6:A107)+1)</f>
        <v>86</v>
      </c>
      <c r="B108" s="183" t="s">
        <v>62</v>
      </c>
      <c r="C108" s="184">
        <f>SUM(C102:C107)</f>
        <v>5206400175.4345331</v>
      </c>
      <c r="D108" s="184">
        <f>SUM(D102:D107)</f>
        <v>0</v>
      </c>
      <c r="E108" s="184">
        <f>SUM(E102:E107)</f>
        <v>-37487757.953703716</v>
      </c>
      <c r="F108" s="184">
        <f>SUM(F102:F107)</f>
        <v>-27876144.997406568</v>
      </c>
      <c r="G108" s="184">
        <f>SUM(G102:G107)</f>
        <v>5141036272.4834232</v>
      </c>
      <c r="H108" s="16"/>
      <c r="I108" s="184">
        <f>SUM(I102:I107)</f>
        <v>5273466430.1480484</v>
      </c>
      <c r="J108" s="184">
        <f>SUM(J102:J107)</f>
        <v>134304559.37698671</v>
      </c>
      <c r="K108" s="184">
        <f>SUM(K102:K107)</f>
        <v>112328774.41348831</v>
      </c>
      <c r="L108" s="184">
        <f>SUM(L102:L107)</f>
        <v>0</v>
      </c>
      <c r="M108" s="184">
        <f>SUM(M102:M107)</f>
        <v>5520099763.9385242</v>
      </c>
      <c r="O108" s="158">
        <v>86</v>
      </c>
      <c r="P108" s="183" t="s">
        <v>62</v>
      </c>
      <c r="Q108" s="184">
        <v>5206400175.4345331</v>
      </c>
      <c r="R108" s="184">
        <v>0</v>
      </c>
      <c r="S108" s="184">
        <v>-37487757.953703716</v>
      </c>
      <c r="T108" s="184">
        <v>-27876144.997406568</v>
      </c>
      <c r="U108" s="184">
        <v>5141036272.4834232</v>
      </c>
      <c r="V108" s="16"/>
      <c r="W108" s="184">
        <v>5273466430.1480484</v>
      </c>
      <c r="X108" s="184">
        <v>134304559.37698671</v>
      </c>
      <c r="Y108" s="184">
        <v>112328774.41348831</v>
      </c>
      <c r="Z108" s="184">
        <v>0</v>
      </c>
      <c r="AA108" s="184">
        <v>5520099763.9385242</v>
      </c>
      <c r="AC108" s="158">
        <v>86</v>
      </c>
      <c r="AD108" s="183" t="s">
        <v>62</v>
      </c>
      <c r="AE108" s="184">
        <f t="shared" si="19"/>
        <v>0</v>
      </c>
      <c r="AF108" s="184">
        <f t="shared" si="20"/>
        <v>0</v>
      </c>
      <c r="AG108" s="184">
        <f t="shared" si="21"/>
        <v>0</v>
      </c>
      <c r="AH108" s="184">
        <f t="shared" si="22"/>
        <v>0</v>
      </c>
      <c r="AI108" s="184">
        <f t="shared" si="23"/>
        <v>0</v>
      </c>
      <c r="AJ108" s="184">
        <f t="shared" si="24"/>
        <v>0</v>
      </c>
      <c r="AK108" s="184">
        <f t="shared" si="25"/>
        <v>0</v>
      </c>
      <c r="AL108" s="184">
        <f t="shared" si="26"/>
        <v>0</v>
      </c>
      <c r="AM108" s="184">
        <f t="shared" si="27"/>
        <v>0</v>
      </c>
      <c r="AN108" s="184">
        <f t="shared" si="28"/>
        <v>0</v>
      </c>
      <c r="AO108" s="184">
        <f t="shared" si="29"/>
        <v>0</v>
      </c>
      <c r="AQ108" s="184">
        <v>0</v>
      </c>
      <c r="AR108" s="184">
        <v>1711045.3596286774</v>
      </c>
      <c r="AS108" s="184">
        <v>995512.87294960022</v>
      </c>
    </row>
    <row r="109" spans="1:45" ht="15" thickTop="1" x14ac:dyDescent="0.3">
      <c r="A109" s="158" t="str">
        <f>IF(ISBLANK(B109),"",MAX(A$6:A108)+1)</f>
        <v/>
      </c>
      <c r="O109" s="158" t="s">
        <v>790</v>
      </c>
      <c r="AC109" s="158" t="s">
        <v>790</v>
      </c>
      <c r="AE109" s="15">
        <f t="shared" si="19"/>
        <v>0</v>
      </c>
      <c r="AF109" s="15">
        <f t="shared" si="20"/>
        <v>0</v>
      </c>
      <c r="AG109" s="15">
        <f t="shared" si="21"/>
        <v>0</v>
      </c>
      <c r="AH109" s="15">
        <f t="shared" si="22"/>
        <v>0</v>
      </c>
      <c r="AI109" s="15">
        <f t="shared" si="23"/>
        <v>0</v>
      </c>
      <c r="AJ109" s="15">
        <f t="shared" si="24"/>
        <v>0</v>
      </c>
      <c r="AK109" s="15">
        <f t="shared" si="25"/>
        <v>0</v>
      </c>
      <c r="AL109" s="15">
        <f t="shared" si="26"/>
        <v>0</v>
      </c>
      <c r="AM109" s="15">
        <f t="shared" si="27"/>
        <v>0</v>
      </c>
      <c r="AN109" s="15">
        <f t="shared" si="28"/>
        <v>0</v>
      </c>
      <c r="AO109" s="15">
        <f t="shared" si="29"/>
        <v>0</v>
      </c>
      <c r="AQ109" s="15">
        <v>0</v>
      </c>
      <c r="AR109" s="15">
        <v>0</v>
      </c>
      <c r="AS109" s="15">
        <v>0</v>
      </c>
    </row>
    <row r="110" spans="1:45" x14ac:dyDescent="0.3">
      <c r="A110" s="158">
        <f>IF(ISBLANK(B110),"",MAX(A$6:A109)+1)</f>
        <v>87</v>
      </c>
      <c r="B110" s="15" t="s">
        <v>78</v>
      </c>
      <c r="M110" s="52">
        <v>7.4399999999999994E-2</v>
      </c>
      <c r="N110" s="52">
        <f>+AO110</f>
        <v>0</v>
      </c>
      <c r="O110" s="158">
        <v>87</v>
      </c>
      <c r="P110" s="15" t="s">
        <v>78</v>
      </c>
      <c r="AA110" s="52">
        <v>7.4399999999999994E-2</v>
      </c>
      <c r="AC110" s="158">
        <v>87</v>
      </c>
      <c r="AD110" s="15" t="s">
        <v>78</v>
      </c>
      <c r="AE110" s="15">
        <f t="shared" si="19"/>
        <v>0</v>
      </c>
      <c r="AF110" s="15">
        <f t="shared" si="20"/>
        <v>0</v>
      </c>
      <c r="AG110" s="15">
        <f t="shared" si="21"/>
        <v>0</v>
      </c>
      <c r="AH110" s="15">
        <f t="shared" si="22"/>
        <v>0</v>
      </c>
      <c r="AI110" s="15">
        <f t="shared" si="23"/>
        <v>0</v>
      </c>
      <c r="AJ110" s="15">
        <f t="shared" si="24"/>
        <v>0</v>
      </c>
      <c r="AK110" s="15">
        <f t="shared" si="25"/>
        <v>0</v>
      </c>
      <c r="AL110" s="15">
        <f t="shared" si="26"/>
        <v>0</v>
      </c>
      <c r="AM110" s="15">
        <f t="shared" si="27"/>
        <v>0</v>
      </c>
      <c r="AN110" s="15">
        <f t="shared" si="28"/>
        <v>0</v>
      </c>
      <c r="AO110" s="52">
        <f t="shared" si="29"/>
        <v>0</v>
      </c>
      <c r="AQ110" s="52">
        <v>0</v>
      </c>
      <c r="AR110" s="52">
        <v>0</v>
      </c>
      <c r="AS110" s="52">
        <v>0</v>
      </c>
    </row>
    <row r="111" spans="1:45" x14ac:dyDescent="0.3">
      <c r="A111" s="158">
        <f>IF(ISBLANK(B111),"",MAX(A$6:A110)+1)</f>
        <v>88</v>
      </c>
      <c r="B111" s="15" t="s">
        <v>79</v>
      </c>
      <c r="M111" s="185">
        <f>M54*M110</f>
        <v>410695422.43702614</v>
      </c>
      <c r="N111" s="185">
        <f t="shared" ref="N111:N116" si="33">+AO111</f>
        <v>0</v>
      </c>
      <c r="O111" s="158">
        <v>88</v>
      </c>
      <c r="P111" s="15" t="s">
        <v>79</v>
      </c>
      <c r="AA111" s="185">
        <v>410695422.43702614</v>
      </c>
      <c r="AC111" s="158">
        <v>88</v>
      </c>
      <c r="AD111" s="15" t="s">
        <v>79</v>
      </c>
      <c r="AE111" s="15">
        <f t="shared" si="19"/>
        <v>0</v>
      </c>
      <c r="AF111" s="15">
        <f t="shared" si="20"/>
        <v>0</v>
      </c>
      <c r="AG111" s="15">
        <f t="shared" si="21"/>
        <v>0</v>
      </c>
      <c r="AH111" s="15">
        <f t="shared" si="22"/>
        <v>0</v>
      </c>
      <c r="AI111" s="15">
        <f t="shared" si="23"/>
        <v>0</v>
      </c>
      <c r="AJ111" s="15">
        <f t="shared" si="24"/>
        <v>0</v>
      </c>
      <c r="AK111" s="15">
        <f t="shared" si="25"/>
        <v>0</v>
      </c>
      <c r="AL111" s="15">
        <f t="shared" si="26"/>
        <v>0</v>
      </c>
      <c r="AM111" s="15">
        <f t="shared" si="27"/>
        <v>0</v>
      </c>
      <c r="AN111" s="15">
        <f t="shared" si="28"/>
        <v>0</v>
      </c>
      <c r="AO111" s="185">
        <f t="shared" si="29"/>
        <v>0</v>
      </c>
      <c r="AQ111" s="185">
        <v>0</v>
      </c>
      <c r="AR111" s="185">
        <v>127301.77475637197</v>
      </c>
      <c r="AS111" s="185">
        <v>74066.157747447491</v>
      </c>
    </row>
    <row r="112" spans="1:45" x14ac:dyDescent="0.3">
      <c r="A112" s="158">
        <f>IF(ISBLANK(B112),"",MAX(A$6:A111)+1)</f>
        <v>89</v>
      </c>
      <c r="B112" s="15" t="s">
        <v>80</v>
      </c>
      <c r="M112" s="185">
        <f ca="1">M111-M40</f>
        <v>63762013.026149511</v>
      </c>
      <c r="N112" s="185">
        <f t="shared" ca="1" si="33"/>
        <v>0</v>
      </c>
      <c r="O112" s="158">
        <v>89</v>
      </c>
      <c r="P112" s="15" t="s">
        <v>80</v>
      </c>
      <c r="AA112" s="185">
        <v>63762013.026149511</v>
      </c>
      <c r="AC112" s="158">
        <v>89</v>
      </c>
      <c r="AD112" s="15" t="s">
        <v>80</v>
      </c>
      <c r="AE112" s="15">
        <f t="shared" si="19"/>
        <v>0</v>
      </c>
      <c r="AF112" s="15">
        <f t="shared" si="20"/>
        <v>0</v>
      </c>
      <c r="AG112" s="15">
        <f t="shared" si="21"/>
        <v>0</v>
      </c>
      <c r="AH112" s="15">
        <f t="shared" si="22"/>
        <v>0</v>
      </c>
      <c r="AI112" s="15">
        <f t="shared" si="23"/>
        <v>0</v>
      </c>
      <c r="AJ112" s="15">
        <f t="shared" si="24"/>
        <v>0</v>
      </c>
      <c r="AK112" s="15">
        <f t="shared" si="25"/>
        <v>0</v>
      </c>
      <c r="AL112" s="15">
        <f t="shared" si="26"/>
        <v>0</v>
      </c>
      <c r="AM112" s="15">
        <f t="shared" si="27"/>
        <v>0</v>
      </c>
      <c r="AN112" s="15">
        <f t="shared" si="28"/>
        <v>0</v>
      </c>
      <c r="AO112" s="185">
        <f t="shared" ca="1" si="29"/>
        <v>0</v>
      </c>
      <c r="AQ112" s="185">
        <v>450204.14688789845</v>
      </c>
      <c r="AR112" s="185">
        <v>817876.74271911383</v>
      </c>
      <c r="AS112" s="185">
        <v>466354.97392350435</v>
      </c>
    </row>
    <row r="113" spans="1:45" x14ac:dyDescent="0.3">
      <c r="A113" s="158">
        <f>IF(ISBLANK(B113),"",MAX(A$6:A112)+1)</f>
        <v>90</v>
      </c>
      <c r="B113" s="15" t="s">
        <v>81</v>
      </c>
      <c r="M113" s="23">
        <v>0.75138099999999997</v>
      </c>
      <c r="N113" s="23">
        <f t="shared" si="33"/>
        <v>0</v>
      </c>
      <c r="O113" s="158">
        <v>90</v>
      </c>
      <c r="P113" s="15" t="s">
        <v>81</v>
      </c>
      <c r="AA113" s="23">
        <v>0.75138099999999997</v>
      </c>
      <c r="AC113" s="158">
        <v>90</v>
      </c>
      <c r="AD113" s="15" t="s">
        <v>81</v>
      </c>
      <c r="AE113" s="15">
        <f t="shared" si="19"/>
        <v>0</v>
      </c>
      <c r="AF113" s="15">
        <f t="shared" si="20"/>
        <v>0</v>
      </c>
      <c r="AG113" s="15">
        <f t="shared" si="21"/>
        <v>0</v>
      </c>
      <c r="AH113" s="15">
        <f t="shared" si="22"/>
        <v>0</v>
      </c>
      <c r="AI113" s="15">
        <f t="shared" si="23"/>
        <v>0</v>
      </c>
      <c r="AJ113" s="15">
        <f t="shared" si="24"/>
        <v>0</v>
      </c>
      <c r="AK113" s="15">
        <f t="shared" si="25"/>
        <v>0</v>
      </c>
      <c r="AL113" s="15">
        <f t="shared" si="26"/>
        <v>0</v>
      </c>
      <c r="AM113" s="15">
        <f t="shared" si="27"/>
        <v>0</v>
      </c>
      <c r="AN113" s="15">
        <f t="shared" si="28"/>
        <v>0</v>
      </c>
      <c r="AO113" s="23">
        <f t="shared" si="29"/>
        <v>0</v>
      </c>
      <c r="AQ113" s="23">
        <v>0</v>
      </c>
      <c r="AR113" s="23">
        <v>0</v>
      </c>
      <c r="AS113" s="23">
        <v>0</v>
      </c>
    </row>
    <row r="114" spans="1:45" x14ac:dyDescent="0.3">
      <c r="A114" s="158">
        <f>IF(ISBLANK(B114),"",MAX(A$6:A113)+1)</f>
        <v>91</v>
      </c>
      <c r="B114" s="15" t="s">
        <v>82</v>
      </c>
      <c r="L114" s="185"/>
      <c r="M114" s="185">
        <f ca="1">M112/M113</f>
        <v>84859762.259292573</v>
      </c>
      <c r="N114" s="185">
        <f ca="1">+N112/M113</f>
        <v>0</v>
      </c>
      <c r="O114" s="158">
        <v>91</v>
      </c>
      <c r="P114" s="15" t="s">
        <v>82</v>
      </c>
      <c r="AA114" s="185">
        <v>84859762.259292573</v>
      </c>
      <c r="AC114" s="158">
        <v>91</v>
      </c>
      <c r="AD114" s="15" t="s">
        <v>82</v>
      </c>
      <c r="AE114" s="15">
        <f t="shared" si="19"/>
        <v>0</v>
      </c>
      <c r="AF114" s="15">
        <f t="shared" si="20"/>
        <v>0</v>
      </c>
      <c r="AG114" s="15">
        <f t="shared" si="21"/>
        <v>0</v>
      </c>
      <c r="AH114" s="15">
        <f t="shared" si="22"/>
        <v>0</v>
      </c>
      <c r="AI114" s="15">
        <f t="shared" si="23"/>
        <v>0</v>
      </c>
      <c r="AJ114" s="15">
        <f t="shared" si="24"/>
        <v>0</v>
      </c>
      <c r="AK114" s="15">
        <f t="shared" si="25"/>
        <v>0</v>
      </c>
      <c r="AL114" s="15">
        <f t="shared" si="26"/>
        <v>0</v>
      </c>
      <c r="AM114" s="15">
        <f t="shared" si="27"/>
        <v>0</v>
      </c>
      <c r="AN114" s="15">
        <f t="shared" si="28"/>
        <v>0</v>
      </c>
      <c r="AO114" s="185">
        <f t="shared" ca="1" si="29"/>
        <v>0</v>
      </c>
      <c r="AQ114" s="185">
        <v>599168.92613454163</v>
      </c>
      <c r="AR114" s="185">
        <v>1088498.035908699</v>
      </c>
      <c r="AS114" s="185">
        <v>620663.78298559785</v>
      </c>
    </row>
    <row r="115" spans="1:45" x14ac:dyDescent="0.3">
      <c r="A115" s="158">
        <f>IF(ISBLANK(B115),"",MAX(A$6:A114)+1)</f>
        <v>92</v>
      </c>
      <c r="B115" s="15" t="s">
        <v>83</v>
      </c>
      <c r="M115" s="13">
        <f ca="1">1+H12</f>
        <v>1.0141644325272383</v>
      </c>
      <c r="N115" s="13">
        <f t="shared" ca="1" si="33"/>
        <v>0</v>
      </c>
      <c r="O115" s="158">
        <v>92</v>
      </c>
      <c r="P115" s="15" t="s">
        <v>83</v>
      </c>
      <c r="AA115" s="13">
        <v>1.0141644325272383</v>
      </c>
      <c r="AC115" s="158">
        <v>92</v>
      </c>
      <c r="AD115" s="15" t="s">
        <v>83</v>
      </c>
      <c r="AE115" s="15">
        <f t="shared" si="19"/>
        <v>0</v>
      </c>
      <c r="AF115" s="15">
        <f t="shared" si="20"/>
        <v>0</v>
      </c>
      <c r="AG115" s="15">
        <f t="shared" si="21"/>
        <v>0</v>
      </c>
      <c r="AH115" s="15">
        <f t="shared" si="22"/>
        <v>0</v>
      </c>
      <c r="AI115" s="15">
        <f t="shared" si="23"/>
        <v>0</v>
      </c>
      <c r="AJ115" s="15">
        <f t="shared" si="24"/>
        <v>0</v>
      </c>
      <c r="AK115" s="15">
        <f t="shared" si="25"/>
        <v>0</v>
      </c>
      <c r="AL115" s="15">
        <f t="shared" si="26"/>
        <v>0</v>
      </c>
      <c r="AM115" s="15">
        <f t="shared" si="27"/>
        <v>0</v>
      </c>
      <c r="AN115" s="15">
        <f t="shared" si="28"/>
        <v>0</v>
      </c>
      <c r="AO115" s="13">
        <f t="shared" ca="1" si="29"/>
        <v>0</v>
      </c>
      <c r="AQ115" s="13">
        <v>0</v>
      </c>
      <c r="AR115" s="13">
        <v>0</v>
      </c>
      <c r="AS115" s="13">
        <v>0</v>
      </c>
    </row>
    <row r="116" spans="1:45" x14ac:dyDescent="0.3">
      <c r="A116" s="158">
        <f>IF(ISBLANK(B116),"",MAX(A$6:A115)+1)</f>
        <v>93</v>
      </c>
      <c r="B116" s="15" t="s">
        <v>84</v>
      </c>
      <c r="M116" s="185">
        <f ca="1">M114/M115</f>
        <v>83674559.605513886</v>
      </c>
      <c r="N116" s="185">
        <f t="shared" ca="1" si="33"/>
        <v>0</v>
      </c>
      <c r="O116" s="158">
        <v>93</v>
      </c>
      <c r="P116" s="15" t="s">
        <v>84</v>
      </c>
      <c r="AA116" s="185">
        <v>83674559.605513886</v>
      </c>
      <c r="AC116" s="158">
        <v>93</v>
      </c>
      <c r="AD116" s="15" t="s">
        <v>84</v>
      </c>
      <c r="AE116" s="15">
        <f t="shared" si="19"/>
        <v>0</v>
      </c>
      <c r="AF116" s="15">
        <f t="shared" si="20"/>
        <v>0</v>
      </c>
      <c r="AG116" s="15">
        <f t="shared" si="21"/>
        <v>0</v>
      </c>
      <c r="AH116" s="15">
        <f t="shared" si="22"/>
        <v>0</v>
      </c>
      <c r="AI116" s="15">
        <f t="shared" si="23"/>
        <v>0</v>
      </c>
      <c r="AJ116" s="15">
        <f t="shared" si="24"/>
        <v>0</v>
      </c>
      <c r="AK116" s="15">
        <f t="shared" si="25"/>
        <v>0</v>
      </c>
      <c r="AL116" s="15">
        <f t="shared" si="26"/>
        <v>0</v>
      </c>
      <c r="AM116" s="15">
        <f t="shared" si="27"/>
        <v>0</v>
      </c>
      <c r="AN116" s="15">
        <f t="shared" si="28"/>
        <v>0</v>
      </c>
      <c r="AO116" s="185">
        <f t="shared" ca="1" si="29"/>
        <v>0</v>
      </c>
      <c r="AQ116" s="185">
        <v>590800.57130524516</v>
      </c>
      <c r="AR116" s="185">
        <v>1073295.4154152572</v>
      </c>
      <c r="AS116" s="185">
        <v>611995.21801304817</v>
      </c>
    </row>
    <row r="117" spans="1:45" x14ac:dyDescent="0.3">
      <c r="M117" s="95"/>
      <c r="N117" s="60">
        <f ca="1">+N116-N112</f>
        <v>0</v>
      </c>
    </row>
    <row r="118" spans="1:45" x14ac:dyDescent="0.3">
      <c r="C118" s="16"/>
      <c r="M118" s="95"/>
      <c r="N118" s="186"/>
    </row>
    <row r="119" spans="1:45" x14ac:dyDescent="0.3">
      <c r="C119" s="35"/>
      <c r="M119" s="95"/>
      <c r="N119" s="81"/>
      <c r="O119" s="95">
        <f>+M119-N119</f>
        <v>0</v>
      </c>
      <c r="AA119" s="15">
        <v>81989268.97208558</v>
      </c>
    </row>
    <row r="120" spans="1:45" x14ac:dyDescent="0.3">
      <c r="O120" s="15" t="s">
        <v>791</v>
      </c>
    </row>
    <row r="123" spans="1:45" x14ac:dyDescent="0.3">
      <c r="C123" s="35"/>
      <c r="D123" s="35"/>
      <c r="E123" s="35"/>
      <c r="F123" s="35"/>
      <c r="G123" s="35"/>
      <c r="I123" s="35"/>
      <c r="J123" s="35"/>
      <c r="K123" s="35"/>
      <c r="L123" s="35"/>
    </row>
  </sheetData>
  <printOptions horizontalCentered="1"/>
  <pageMargins left="0.2" right="0.2" top="0.5" bottom="0.5" header="0.2" footer="0.2"/>
  <pageSetup scale="58" fitToWidth="2" fitToHeight="2" orientation="landscape" horizontalDpi="1200" verticalDpi="1200" r:id="rId1"/>
  <headerFooter>
    <oddHeader>&amp;RExh. RJA-8
Page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3"/>
  <sheetViews>
    <sheetView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.109375" style="15" bestFit="1" customWidth="1"/>
    <col min="3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6640625" style="15" bestFit="1" customWidth="1"/>
    <col min="15" max="18" width="12.109375" style="15" customWidth="1"/>
    <col min="19" max="20" width="9.109375" style="15"/>
    <col min="21" max="21" width="12.5546875" style="15" bestFit="1" customWidth="1"/>
    <col min="22" max="22" width="14.6640625" style="15" bestFit="1" customWidth="1"/>
    <col min="23" max="23" width="16.44140625" style="15" bestFit="1" customWidth="1"/>
    <col min="24" max="16384" width="9.109375" style="15"/>
  </cols>
  <sheetData>
    <row r="5" spans="2:23" ht="28.8" x14ac:dyDescent="0.3">
      <c r="B5" s="64" t="s">
        <v>112</v>
      </c>
      <c r="C5" s="119" t="s">
        <v>113</v>
      </c>
      <c r="D5" s="119" t="s">
        <v>146</v>
      </c>
      <c r="E5" s="119" t="str">
        <f>"ln("&amp;D5&amp;")"</f>
        <v>ln(Gross Dist. Plant)</v>
      </c>
      <c r="F5" s="119" t="s">
        <v>114</v>
      </c>
    </row>
    <row r="6" spans="2:23" x14ac:dyDescent="0.3">
      <c r="B6" s="15">
        <v>2008</v>
      </c>
      <c r="C6" s="119"/>
      <c r="D6" s="162">
        <f ca="1">OFFSET(Electric_CBR!$C$121,0,Elect_DPlant!$B6-Electric_CBR!$C$7)</f>
        <v>3126647076.6941481</v>
      </c>
      <c r="E6" s="119"/>
      <c r="F6" s="119"/>
      <c r="T6" s="15" t="s">
        <v>115</v>
      </c>
      <c r="U6" s="60">
        <f t="array" aca="1" ref="U6:V10" ca="1">LINEST(D10:D16,C10:C16,,TRUE)</f>
        <v>119004997.57525392</v>
      </c>
      <c r="V6" s="60">
        <f ca="1"/>
        <v>3103013871.0653048</v>
      </c>
      <c r="W6" s="15" t="s">
        <v>116</v>
      </c>
    </row>
    <row r="7" spans="2:23" x14ac:dyDescent="0.3">
      <c r="B7" s="15">
        <f>B6+1</f>
        <v>2009</v>
      </c>
      <c r="C7" s="119"/>
      <c r="D7" s="162">
        <f ca="1">OFFSET(Electric_CBR!$C$121,0,Elect_DPlant!$B7-Electric_CBR!$C$7)</f>
        <v>3282996397.8271761</v>
      </c>
      <c r="E7" s="119"/>
      <c r="F7" s="119"/>
      <c r="T7" s="15" t="s">
        <v>117</v>
      </c>
      <c r="U7" s="60">
        <f ca="1"/>
        <v>9751803.7964898963</v>
      </c>
      <c r="V7" s="60">
        <f ca="1"/>
        <v>35160628.616508715</v>
      </c>
      <c r="W7" s="15" t="s">
        <v>118</v>
      </c>
    </row>
    <row r="8" spans="2:23" x14ac:dyDescent="0.3">
      <c r="B8" s="15">
        <f>B7+1</f>
        <v>2010</v>
      </c>
      <c r="C8" s="119"/>
      <c r="D8" s="162">
        <f ca="1">OFFSET(Electric_CBR!$C$121,0,Elect_DPlant!$B8-Electric_CBR!$C$7)</f>
        <v>3447196696.1536126</v>
      </c>
      <c r="E8" s="119"/>
      <c r="F8" s="119"/>
      <c r="T8" s="15" t="s">
        <v>119</v>
      </c>
      <c r="U8" s="95">
        <f ca="1"/>
        <v>0.96751613255815927</v>
      </c>
      <c r="V8" s="60">
        <f ca="1"/>
        <v>51601695.359615602</v>
      </c>
      <c r="W8" s="15" t="s">
        <v>120</v>
      </c>
    </row>
    <row r="9" spans="2:23" x14ac:dyDescent="0.3">
      <c r="B9" s="15">
        <f>B8+1</f>
        <v>2011</v>
      </c>
      <c r="C9" s="119"/>
      <c r="D9" s="162">
        <f ca="1">OFFSET(Electric_CBR!$C$121,0,Elect_DPlant!$B9-Electric_CBR!$C$7)</f>
        <v>3564292381.2229676</v>
      </c>
      <c r="E9" s="119"/>
      <c r="F9" s="119"/>
      <c r="T9" s="15" t="s">
        <v>121</v>
      </c>
      <c r="U9" s="95">
        <f ca="1"/>
        <v>148.92255891180494</v>
      </c>
      <c r="V9" s="15">
        <f ca="1"/>
        <v>5</v>
      </c>
      <c r="W9" s="15" t="s">
        <v>122</v>
      </c>
    </row>
    <row r="10" spans="2:23" x14ac:dyDescent="0.3">
      <c r="B10" s="15">
        <v>2012</v>
      </c>
      <c r="C10" s="15">
        <v>0</v>
      </c>
      <c r="D10" s="162">
        <f ca="1">OFFSET(Electric_CBR!$C$121,0,Elect_DPlant!$B10-Electric_CBR!$C$7)</f>
        <v>3165842291.7865334</v>
      </c>
      <c r="E10" s="425"/>
      <c r="T10" s="15" t="s">
        <v>123</v>
      </c>
      <c r="U10" s="15">
        <f ca="1"/>
        <v>3.9654130454081338E+17</v>
      </c>
      <c r="V10" s="15">
        <f ca="1"/>
        <v>1.331367481993287E+16</v>
      </c>
      <c r="W10" s="15" t="s">
        <v>124</v>
      </c>
    </row>
    <row r="11" spans="2:23" x14ac:dyDescent="0.3">
      <c r="B11" s="15">
        <f t="shared" ref="B11:B20" si="0">B10+1</f>
        <v>2013</v>
      </c>
      <c r="C11" s="15">
        <v>1</v>
      </c>
      <c r="D11" s="162">
        <f ca="1">OFFSET(Electric_CBR!$C$121,0,Elect_DPlant!$B11-Electric_CBR!$C$7)</f>
        <v>3232299791.6025748</v>
      </c>
      <c r="E11" s="425">
        <f t="shared" ref="E11:E16" ca="1" si="1">LN(D11/$D$10)</f>
        <v>2.0774746522516093E-2</v>
      </c>
      <c r="F11" s="15">
        <v>1</v>
      </c>
    </row>
    <row r="12" spans="2:23" x14ac:dyDescent="0.3">
      <c r="B12" s="15">
        <f t="shared" si="0"/>
        <v>2014</v>
      </c>
      <c r="C12" s="15">
        <v>2</v>
      </c>
      <c r="D12" s="162">
        <f ca="1">OFFSET(Electric_CBR!$C$121,0,Elect_DPlant!$B12-Electric_CBR!$C$7)</f>
        <v>3269591083.0320902</v>
      </c>
      <c r="E12" s="425">
        <f t="shared" ca="1" si="1"/>
        <v>3.2245778891686401E-2</v>
      </c>
      <c r="F12" s="15">
        <v>2</v>
      </c>
    </row>
    <row r="13" spans="2:23" x14ac:dyDescent="0.3">
      <c r="B13" s="15">
        <f t="shared" si="0"/>
        <v>2015</v>
      </c>
      <c r="C13" s="15">
        <v>3</v>
      </c>
      <c r="D13" s="162">
        <f ca="1">OFFSET(Electric_CBR!$C$121,0,Elect_DPlant!$B13-Electric_CBR!$C$7)</f>
        <v>3425792687.7435322</v>
      </c>
      <c r="E13" s="425">
        <f t="shared" ca="1" si="1"/>
        <v>7.8913739475222011E-2</v>
      </c>
      <c r="F13" s="15">
        <v>3</v>
      </c>
      <c r="T13" s="15" t="s">
        <v>115</v>
      </c>
      <c r="U13" s="13">
        <f t="array" aca="1" ref="U13:V17" ca="1">LINEST(E11:E16,F11:F16,FALSE,TRUE)</f>
        <v>3.0458598251749538E-2</v>
      </c>
      <c r="V13" s="13">
        <f ca="1"/>
        <v>0</v>
      </c>
      <c r="W13" s="15" t="s">
        <v>116</v>
      </c>
    </row>
    <row r="14" spans="2:23" x14ac:dyDescent="0.3">
      <c r="B14" s="15">
        <f t="shared" si="0"/>
        <v>2016</v>
      </c>
      <c r="C14" s="15">
        <v>4</v>
      </c>
      <c r="D14" s="162">
        <f ca="1">OFFSET(Electric_CBR!$C$121,0,Elect_DPlant!$B14-Electric_CBR!$C$7)</f>
        <v>3552757927.5621958</v>
      </c>
      <c r="E14" s="425">
        <f t="shared" ca="1" si="1"/>
        <v>0.11530503573749898</v>
      </c>
      <c r="F14" s="15">
        <v>4</v>
      </c>
      <c r="T14" s="15" t="s">
        <v>117</v>
      </c>
      <c r="U14" s="13">
        <f ca="1"/>
        <v>1.7684706788953931E-3</v>
      </c>
      <c r="V14" s="13" t="e">
        <f ca="1"/>
        <v>#N/A</v>
      </c>
      <c r="W14" s="15" t="s">
        <v>118</v>
      </c>
    </row>
    <row r="15" spans="2:23" x14ac:dyDescent="0.3">
      <c r="B15" s="15">
        <f t="shared" si="0"/>
        <v>2017</v>
      </c>
      <c r="C15" s="15">
        <v>5</v>
      </c>
      <c r="D15" s="162">
        <f ca="1">OFFSET(Electric_CBR!$C$121,0,Elect_DPlant!$B15-Electric_CBR!$C$7)</f>
        <v>3710655248.2898583</v>
      </c>
      <c r="E15" s="425">
        <f t="shared" ca="1" si="1"/>
        <v>0.15878933067673703</v>
      </c>
      <c r="F15" s="15">
        <v>5</v>
      </c>
      <c r="T15" s="15" t="s">
        <v>119</v>
      </c>
      <c r="U15" s="15">
        <f ca="1"/>
        <v>0.98342373833493391</v>
      </c>
      <c r="V15" s="15">
        <f ca="1"/>
        <v>1.6870135071547551E-2</v>
      </c>
      <c r="W15" s="15" t="s">
        <v>120</v>
      </c>
    </row>
    <row r="16" spans="2:23" x14ac:dyDescent="0.3">
      <c r="B16" s="15">
        <f t="shared" si="0"/>
        <v>2018</v>
      </c>
      <c r="C16" s="15">
        <v>6</v>
      </c>
      <c r="D16" s="162">
        <f ca="1">OFFSET(Electric_CBR!$C$121,0,Elect_DPlant!$B16-Electric_CBR!$C$7)</f>
        <v>3863263016.520679</v>
      </c>
      <c r="E16" s="425">
        <f t="shared" ca="1" si="1"/>
        <v>0.19909302030732867</v>
      </c>
      <c r="F16" s="15">
        <v>6</v>
      </c>
      <c r="T16" s="15" t="s">
        <v>121</v>
      </c>
      <c r="U16" s="15">
        <f ca="1"/>
        <v>296.63616507920671</v>
      </c>
      <c r="V16" s="15">
        <f ca="1"/>
        <v>5</v>
      </c>
      <c r="W16" s="15" t="s">
        <v>122</v>
      </c>
    </row>
    <row r="17" spans="2:23" x14ac:dyDescent="0.3">
      <c r="B17" s="15">
        <f t="shared" si="0"/>
        <v>2019</v>
      </c>
      <c r="C17" s="15">
        <v>7</v>
      </c>
      <c r="D17" s="162"/>
      <c r="E17" s="162"/>
      <c r="T17" s="15" t="s">
        <v>123</v>
      </c>
      <c r="U17" s="15">
        <f ca="1"/>
        <v>8.4423084878994678E-2</v>
      </c>
      <c r="V17" s="15">
        <f ca="1"/>
        <v>1.4230072866612932E-3</v>
      </c>
      <c r="W17" s="15" t="s">
        <v>124</v>
      </c>
    </row>
    <row r="18" spans="2:23" x14ac:dyDescent="0.3">
      <c r="B18" s="15">
        <f t="shared" si="0"/>
        <v>2020</v>
      </c>
      <c r="C18" s="15">
        <v>8</v>
      </c>
      <c r="D18" s="162"/>
      <c r="E18" s="162"/>
    </row>
    <row r="19" spans="2:23" x14ac:dyDescent="0.3">
      <c r="B19" s="15">
        <f t="shared" si="0"/>
        <v>2021</v>
      </c>
      <c r="C19" s="15">
        <v>9</v>
      </c>
      <c r="D19" s="162"/>
      <c r="E19" s="162"/>
    </row>
    <row r="20" spans="2:23" x14ac:dyDescent="0.3">
      <c r="B20" s="15">
        <f t="shared" si="0"/>
        <v>2022</v>
      </c>
      <c r="C20" s="15">
        <v>10</v>
      </c>
      <c r="D20" s="162"/>
      <c r="E20" s="162"/>
      <c r="U20" s="60"/>
      <c r="V20" s="60"/>
    </row>
    <row r="21" spans="2:23" x14ac:dyDescent="0.3">
      <c r="U21" s="60"/>
      <c r="V21" s="60"/>
    </row>
    <row r="22" spans="2:23" x14ac:dyDescent="0.3">
      <c r="C22" s="35"/>
      <c r="D22" s="35"/>
      <c r="U22" s="95"/>
      <c r="V22" s="60"/>
    </row>
    <row r="23" spans="2:23" x14ac:dyDescent="0.3">
      <c r="U23" s="95"/>
    </row>
    <row r="25" spans="2:23" x14ac:dyDescent="0.3">
      <c r="B25" s="15" t="s">
        <v>2</v>
      </c>
      <c r="D25" s="52">
        <f ca="1">RATE(3,,-D13,D16)</f>
        <v>4.0872975191498524E-2</v>
      </c>
      <c r="E25" s="52"/>
    </row>
    <row r="26" spans="2:23" x14ac:dyDescent="0.3">
      <c r="B26" s="15" t="s">
        <v>3</v>
      </c>
      <c r="D26" s="52">
        <f ca="1">RATE(5,,-D11,D16)</f>
        <v>3.6307230859180653E-2</v>
      </c>
      <c r="E26" s="52"/>
    </row>
    <row r="27" spans="2:23" x14ac:dyDescent="0.3">
      <c r="B27" s="15" t="s">
        <v>4</v>
      </c>
      <c r="D27" s="52">
        <f ca="1">RATE(10,,-D6,D16)</f>
        <v>2.1380451229442887E-2</v>
      </c>
      <c r="E27" s="52"/>
      <c r="U27" s="13"/>
      <c r="V27" s="13"/>
    </row>
    <row r="28" spans="2:23" x14ac:dyDescent="0.3">
      <c r="B28" s="15" t="s">
        <v>5</v>
      </c>
      <c r="D28" s="52">
        <f ca="1">$C$52/D16</f>
        <v>3.0804270138053366E-2</v>
      </c>
      <c r="E28" s="52"/>
      <c r="U28" s="13"/>
      <c r="V28" s="13"/>
    </row>
    <row r="29" spans="2:23" x14ac:dyDescent="0.3">
      <c r="B29" s="15" t="s">
        <v>6</v>
      </c>
      <c r="D29" s="52">
        <f ca="1">$C$52/AVERAGE(D10:D16)</f>
        <v>3.4394221048451933E-2</v>
      </c>
      <c r="E29" s="52"/>
    </row>
    <row r="30" spans="2:23" x14ac:dyDescent="0.3">
      <c r="B30" s="15" t="s">
        <v>7</v>
      </c>
      <c r="D30" s="52">
        <f ca="1">EXP(N52)-1</f>
        <v>3.0927206976522292E-2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0.98362397925129874</v>
      </c>
      <c r="M38" s="426" t="s">
        <v>127</v>
      </c>
      <c r="N38" s="7">
        <f ca="1">N39^0.5</f>
        <v>0.99167723495849891</v>
      </c>
    </row>
    <row r="39" spans="2:18" x14ac:dyDescent="0.3">
      <c r="B39" s="426" t="s">
        <v>128</v>
      </c>
      <c r="C39" s="7">
        <f ca="1">U8</f>
        <v>0.96751613255815927</v>
      </c>
      <c r="M39" s="426" t="s">
        <v>128</v>
      </c>
      <c r="N39" s="7">
        <f ca="1">U15</f>
        <v>0.98342373833493391</v>
      </c>
    </row>
    <row r="40" spans="2:18" x14ac:dyDescent="0.3">
      <c r="B40" s="426" t="s">
        <v>129</v>
      </c>
      <c r="C40" s="7">
        <f ca="1">1-(1-C39)*(C42-1)/(C42-2)</f>
        <v>0.96101935906979108</v>
      </c>
      <c r="M40" s="426" t="s">
        <v>129</v>
      </c>
      <c r="N40" s="7">
        <f ca="1">1-(1-N39)*(N42-1)/(N42-2)</f>
        <v>0.97927967291866735</v>
      </c>
    </row>
    <row r="41" spans="2:18" x14ac:dyDescent="0.3">
      <c r="B41" s="426" t="s">
        <v>120</v>
      </c>
      <c r="C41" s="8">
        <f ca="1">V8</f>
        <v>51601695.359615602</v>
      </c>
      <c r="M41" s="426" t="s">
        <v>120</v>
      </c>
      <c r="N41" s="6">
        <f ca="1">V15</f>
        <v>1.6870135071547551E-2</v>
      </c>
    </row>
    <row r="42" spans="2:18" ht="15" thickBot="1" x14ac:dyDescent="0.35">
      <c r="B42" s="427" t="s">
        <v>130</v>
      </c>
      <c r="C42" s="9">
        <f ca="1">V9+2</f>
        <v>7</v>
      </c>
      <c r="M42" s="427" t="s">
        <v>130</v>
      </c>
      <c r="N42" s="9">
        <f ca="1">V16+1</f>
        <v>6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3.9654130454081338E+17</v>
      </c>
      <c r="E46" s="428">
        <f ca="1">D46/C46</f>
        <v>3.9654130454081338E+17</v>
      </c>
      <c r="F46" s="6">
        <f ca="1">E46/E47</f>
        <v>148.92255891180494</v>
      </c>
      <c r="G46" s="426">
        <f ca="1">FDIST(F46,C46,C47)</f>
        <v>6.5336233893815285E-5</v>
      </c>
      <c r="M46" s="426" t="s">
        <v>137</v>
      </c>
      <c r="N46" s="60">
        <v>1</v>
      </c>
      <c r="O46" s="428">
        <f ca="1">U17</f>
        <v>8.4423084878994678E-2</v>
      </c>
      <c r="P46" s="428">
        <f ca="1">O46/N46</f>
        <v>8.4423084878994678E-2</v>
      </c>
      <c r="Q46" s="6">
        <f ca="1">P46/P47</f>
        <v>296.63616507920671</v>
      </c>
      <c r="R46" s="426">
        <f ca="1">FDIST(Q46,N46,N47)</f>
        <v>1.2083251504281998E-5</v>
      </c>
    </row>
    <row r="47" spans="2:18" x14ac:dyDescent="0.3">
      <c r="B47" s="426" t="s">
        <v>138</v>
      </c>
      <c r="C47" s="8">
        <f ca="1">C42-C46-1</f>
        <v>5</v>
      </c>
      <c r="D47" s="428">
        <f ca="1">V10</f>
        <v>1.331367481993287E+16</v>
      </c>
      <c r="E47" s="428">
        <f ca="1">D47/C47</f>
        <v>2662734963986574</v>
      </c>
      <c r="F47" s="426"/>
      <c r="G47" s="426"/>
      <c r="M47" s="426" t="s">
        <v>138</v>
      </c>
      <c r="N47" s="60">
        <f ca="1">N42-N46</f>
        <v>5</v>
      </c>
      <c r="O47" s="428">
        <f ca="1">V17</f>
        <v>1.4230072866612932E-3</v>
      </c>
      <c r="P47" s="428">
        <f ca="1">O47/N47</f>
        <v>2.8460145733225865E-4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6</v>
      </c>
      <c r="D48" s="429">
        <f ca="1">D46+D47</f>
        <v>4.0985497936074624E+17</v>
      </c>
      <c r="E48" s="427"/>
      <c r="F48" s="427"/>
      <c r="G48" s="427"/>
      <c r="M48" s="427" t="s">
        <v>0</v>
      </c>
      <c r="N48" s="60">
        <f ca="1">N46+N47</f>
        <v>6</v>
      </c>
      <c r="O48" s="429">
        <f ca="1">O46+O47</f>
        <v>8.5846092165655974E-2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3103013871.0653048</v>
      </c>
      <c r="D51" s="8">
        <f ca="1">V7</f>
        <v>35160628.616508715</v>
      </c>
      <c r="E51" s="6">
        <f ca="1">C51/D51</f>
        <v>88.252514052276339</v>
      </c>
      <c r="F51" s="7">
        <f ca="1">TDIST(ABS(E51),C47,2)</f>
        <v>3.5405536419396813E-9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119004997.57525392</v>
      </c>
      <c r="D52" s="9">
        <f ca="1">U7</f>
        <v>9751803.7964898963</v>
      </c>
      <c r="E52" s="427">
        <f ca="1">C52/D52</f>
        <v>12.203383092888831</v>
      </c>
      <c r="F52" s="11">
        <f ca="1">TDIST(ABS(E52),C47,2)</f>
        <v>6.5336233893815285E-5</v>
      </c>
      <c r="M52" s="427" t="s">
        <v>114</v>
      </c>
      <c r="N52" s="10">
        <f ca="1">U13</f>
        <v>3.0458598251749538E-2</v>
      </c>
      <c r="O52" s="9">
        <f ca="1">U14</f>
        <v>1.7684706788953931E-3</v>
      </c>
      <c r="P52" s="430">
        <f ca="1">N52/O52</f>
        <v>17.223128783098812</v>
      </c>
      <c r="Q52" s="11">
        <f ca="1">TDIST(ABS(P52),N47,2)</f>
        <v>1.2083251504281998E-5</v>
      </c>
    </row>
    <row r="53" spans="2:17" x14ac:dyDescent="0.3">
      <c r="D53" s="95"/>
      <c r="E53" s="95"/>
      <c r="N53" s="95"/>
      <c r="O53" s="95"/>
    </row>
  </sheetData>
  <pageMargins left="0.7" right="0.7" top="0.75" bottom="0.75" header="0.3" footer="0.3"/>
  <pageSetup orientation="portrait" horizontalDpi="1200" verticalDpi="1200" r:id="rId1"/>
  <ignoredErrors>
    <ignoredError sqref="D6:D16 E11:E16" unlocked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3"/>
  <sheetViews>
    <sheetView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4.88671875" style="15" customWidth="1"/>
    <col min="4" max="4" width="18" style="15" bestFit="1" customWidth="1"/>
    <col min="5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5546875" style="15" bestFit="1" customWidth="1"/>
    <col min="15" max="18" width="12.109375" style="15" customWidth="1"/>
    <col min="19" max="20" width="9.109375" style="15"/>
    <col min="21" max="21" width="12" style="15" bestFit="1" customWidth="1"/>
    <col min="22" max="22" width="14" style="15" bestFit="1" customWidth="1"/>
    <col min="23" max="23" width="16.44140625" style="15" bestFit="1" customWidth="1"/>
    <col min="24" max="16384" width="9.109375" style="15"/>
  </cols>
  <sheetData>
    <row r="5" spans="2:23" ht="28.8" x14ac:dyDescent="0.3">
      <c r="B5" s="64" t="s">
        <v>112</v>
      </c>
      <c r="C5" s="119" t="s">
        <v>113</v>
      </c>
      <c r="D5" s="119" t="s">
        <v>147</v>
      </c>
      <c r="E5" s="119" t="str">
        <f>"ln("&amp;D5&amp;")"</f>
        <v>ln(Gross General Plant)</v>
      </c>
      <c r="F5" s="119" t="s">
        <v>114</v>
      </c>
    </row>
    <row r="6" spans="2:23" x14ac:dyDescent="0.3">
      <c r="B6" s="15">
        <v>2008</v>
      </c>
      <c r="D6" s="162">
        <f ca="1">OFFSET(Electric_CBR!$C$62,0,Elect_GPlant!$B6-Electric_CBR!$C$7)</f>
        <v>386608928.43824172</v>
      </c>
      <c r="E6" s="162"/>
      <c r="T6" s="15" t="s">
        <v>115</v>
      </c>
      <c r="U6" s="60">
        <f t="array" aca="1" ref="U6:V10" ca="1">LINEST(D8:D16,C8:C16,,TRUE)</f>
        <v>22853446.734935787</v>
      </c>
      <c r="V6" s="60">
        <f ca="1"/>
        <v>306211093.85870689</v>
      </c>
      <c r="W6" s="15" t="s">
        <v>116</v>
      </c>
    </row>
    <row r="7" spans="2:23" x14ac:dyDescent="0.3">
      <c r="B7" s="15">
        <v>2009</v>
      </c>
      <c r="D7" s="162">
        <f ca="1">OFFSET(Electric_CBR!$C$62,0,Elect_GPlant!$B7-Electric_CBR!$C$7)</f>
        <v>358238111.68528235</v>
      </c>
      <c r="E7" s="425"/>
      <c r="T7" s="15" t="s">
        <v>117</v>
      </c>
      <c r="U7" s="60">
        <f ca="1"/>
        <v>2773439.1063307887</v>
      </c>
      <c r="V7" s="60">
        <f ca="1"/>
        <v>13204211.252522115</v>
      </c>
      <c r="W7" s="15" t="s">
        <v>118</v>
      </c>
    </row>
    <row r="8" spans="2:23" x14ac:dyDescent="0.3">
      <c r="B8" s="15">
        <f>B7+1</f>
        <v>2010</v>
      </c>
      <c r="C8" s="15">
        <v>0</v>
      </c>
      <c r="D8" s="162">
        <f ca="1">OFFSET(Electric_CBR!$C$62,0,Elect_GPlant!$B8-Electric_CBR!$C$7)</f>
        <v>310156608.38009387</v>
      </c>
      <c r="E8" s="425"/>
      <c r="T8" s="15" t="s">
        <v>119</v>
      </c>
      <c r="U8" s="95">
        <f ca="1"/>
        <v>0.90654134875507919</v>
      </c>
      <c r="V8" s="60">
        <f ca="1"/>
        <v>21482966.941079054</v>
      </c>
      <c r="W8" s="15" t="s">
        <v>120</v>
      </c>
    </row>
    <row r="9" spans="2:23" x14ac:dyDescent="0.3">
      <c r="B9" s="15">
        <f t="shared" ref="B9:B20" si="0">B8+1</f>
        <v>2011</v>
      </c>
      <c r="C9" s="15">
        <v>1</v>
      </c>
      <c r="D9" s="162">
        <f ca="1">OFFSET(Electric_CBR!$C$62,0,Elect_GPlant!$B9-Electric_CBR!$C$7)</f>
        <v>316883943.20509148</v>
      </c>
      <c r="E9" s="425">
        <f ca="1">LN(D9/$D$8)</f>
        <v>2.1458238842205601E-2</v>
      </c>
      <c r="F9" s="15">
        <v>1</v>
      </c>
      <c r="T9" s="15" t="s">
        <v>121</v>
      </c>
      <c r="U9" s="95">
        <f ca="1"/>
        <v>67.899433137073316</v>
      </c>
      <c r="V9" s="15">
        <f ca="1"/>
        <v>7</v>
      </c>
      <c r="W9" s="15" t="s">
        <v>122</v>
      </c>
    </row>
    <row r="10" spans="2:23" x14ac:dyDescent="0.3">
      <c r="B10" s="15">
        <f t="shared" si="0"/>
        <v>2012</v>
      </c>
      <c r="C10" s="15">
        <v>2</v>
      </c>
      <c r="D10" s="162">
        <f ca="1">OFFSET(Electric_CBR!$C$62,0,Elect_GPlant!$B10-Electric_CBR!$C$7)</f>
        <v>360312995.12847489</v>
      </c>
      <c r="E10" s="425">
        <f t="shared" ref="E10:E16" ca="1" si="1">LN(D10/$D$8)</f>
        <v>0.14989572638904242</v>
      </c>
      <c r="F10" s="15">
        <v>2</v>
      </c>
      <c r="T10" s="15" t="s">
        <v>123</v>
      </c>
      <c r="U10" s="15">
        <f ca="1"/>
        <v>3.1336801659992844E+16</v>
      </c>
      <c r="V10" s="15">
        <f ca="1"/>
        <v>3230625080140469</v>
      </c>
      <c r="W10" s="15" t="s">
        <v>124</v>
      </c>
    </row>
    <row r="11" spans="2:23" x14ac:dyDescent="0.3">
      <c r="B11" s="15">
        <f t="shared" si="0"/>
        <v>2013</v>
      </c>
      <c r="C11" s="15">
        <v>3</v>
      </c>
      <c r="D11" s="162">
        <f ca="1">OFFSET(Electric_CBR!$C$62,0,Elect_GPlant!$B11-Electric_CBR!$C$7)</f>
        <v>404519761.32717073</v>
      </c>
      <c r="E11" s="425">
        <f t="shared" ca="1" si="1"/>
        <v>0.26562323078147521</v>
      </c>
      <c r="F11" s="15">
        <v>3</v>
      </c>
    </row>
    <row r="12" spans="2:23" x14ac:dyDescent="0.3">
      <c r="B12" s="15">
        <f t="shared" si="0"/>
        <v>2014</v>
      </c>
      <c r="C12" s="15">
        <v>4</v>
      </c>
      <c r="D12" s="162">
        <f ca="1">OFFSET(Electric_CBR!$C$62,0,Elect_GPlant!$B12-Electric_CBR!$C$7)</f>
        <v>393243430.31765521</v>
      </c>
      <c r="E12" s="425">
        <f t="shared" ca="1" si="1"/>
        <v>0.23735147743975776</v>
      </c>
      <c r="F12" s="15">
        <v>4</v>
      </c>
    </row>
    <row r="13" spans="2:23" x14ac:dyDescent="0.3">
      <c r="B13" s="15">
        <f t="shared" si="0"/>
        <v>2015</v>
      </c>
      <c r="C13" s="15">
        <v>5</v>
      </c>
      <c r="D13" s="162">
        <f ca="1">OFFSET(Electric_CBR!$C$62,0,Elect_GPlant!$B13-Electric_CBR!$C$7)</f>
        <v>397055644.72152829</v>
      </c>
      <c r="E13" s="425">
        <f t="shared" ca="1" si="1"/>
        <v>0.24699907565437523</v>
      </c>
      <c r="F13" s="15">
        <v>5</v>
      </c>
      <c r="T13" s="15" t="s">
        <v>115</v>
      </c>
      <c r="U13" s="13">
        <f t="array" aca="1" ref="U13:V17" ca="1">LINEST(E9:E16,F9:F16,FALSE,TRUE)</f>
        <v>5.8645218633784815E-2</v>
      </c>
      <c r="V13" s="13">
        <f ca="1"/>
        <v>0</v>
      </c>
      <c r="W13" s="15" t="s">
        <v>116</v>
      </c>
    </row>
    <row r="14" spans="2:23" x14ac:dyDescent="0.3">
      <c r="B14" s="15">
        <f t="shared" si="0"/>
        <v>2016</v>
      </c>
      <c r="C14" s="15">
        <v>6</v>
      </c>
      <c r="D14" s="162">
        <f ca="1">OFFSET(Electric_CBR!$C$62,0,Elect_GPlant!$B14-Electric_CBR!$C$7)</f>
        <v>414450417.02595299</v>
      </c>
      <c r="E14" s="425">
        <f t="shared" ca="1" si="1"/>
        <v>0.28987598801496628</v>
      </c>
      <c r="F14" s="15">
        <v>6</v>
      </c>
      <c r="T14" s="15" t="s">
        <v>117</v>
      </c>
      <c r="U14" s="13">
        <f ca="1"/>
        <v>3.552737574505061E-3</v>
      </c>
      <c r="V14" s="13" t="e">
        <f ca="1"/>
        <v>#N/A</v>
      </c>
      <c r="W14" s="15" t="s">
        <v>118</v>
      </c>
    </row>
    <row r="15" spans="2:23" x14ac:dyDescent="0.3">
      <c r="B15" s="15">
        <f t="shared" si="0"/>
        <v>2017</v>
      </c>
      <c r="C15" s="15">
        <v>7</v>
      </c>
      <c r="D15" s="162">
        <f ca="1">OFFSET(Electric_CBR!$C$62,0,Elect_GPlant!$B15-Electric_CBR!$C$7)</f>
        <v>466330168.27784866</v>
      </c>
      <c r="E15" s="425">
        <f t="shared" ca="1" si="1"/>
        <v>0.40781654062723505</v>
      </c>
      <c r="F15" s="15">
        <v>7</v>
      </c>
      <c r="T15" s="15" t="s">
        <v>119</v>
      </c>
      <c r="U15" s="15">
        <f ca="1"/>
        <v>0.97495372852840367</v>
      </c>
      <c r="V15" s="15">
        <f ca="1"/>
        <v>5.0743242227445633E-2</v>
      </c>
      <c r="W15" s="15" t="s">
        <v>120</v>
      </c>
    </row>
    <row r="16" spans="2:23" x14ac:dyDescent="0.3">
      <c r="B16" s="15">
        <f t="shared" si="0"/>
        <v>2018</v>
      </c>
      <c r="C16" s="15">
        <v>8</v>
      </c>
      <c r="D16" s="162">
        <f ca="1">OFFSET(Electric_CBR!$C$62,0,Elect_GPlant!$B16-Electric_CBR!$C$7)</f>
        <v>515670958.80223441</v>
      </c>
      <c r="E16" s="425">
        <f t="shared" ca="1" si="1"/>
        <v>0.50839152710200453</v>
      </c>
      <c r="F16" s="15">
        <v>8</v>
      </c>
      <c r="T16" s="15" t="s">
        <v>121</v>
      </c>
      <c r="U16" s="15">
        <f ca="1"/>
        <v>272.48271693606517</v>
      </c>
      <c r="V16" s="15">
        <f ca="1"/>
        <v>7</v>
      </c>
      <c r="W16" s="15" t="s">
        <v>122</v>
      </c>
    </row>
    <row r="17" spans="2:23" x14ac:dyDescent="0.3">
      <c r="B17" s="15">
        <f t="shared" si="0"/>
        <v>2019</v>
      </c>
      <c r="C17" s="15">
        <v>9</v>
      </c>
      <c r="D17" s="162"/>
      <c r="E17" s="162"/>
      <c r="T17" s="15" t="s">
        <v>123</v>
      </c>
      <c r="U17" s="15">
        <f ca="1"/>
        <v>0.70160938039530207</v>
      </c>
      <c r="V17" s="15">
        <f ca="1"/>
        <v>1.802413642227255E-2</v>
      </c>
      <c r="W17" s="15" t="s">
        <v>124</v>
      </c>
    </row>
    <row r="18" spans="2:23" x14ac:dyDescent="0.3">
      <c r="B18" s="15">
        <f t="shared" si="0"/>
        <v>2020</v>
      </c>
      <c r="C18" s="15">
        <v>10</v>
      </c>
      <c r="D18" s="162"/>
      <c r="E18" s="162"/>
    </row>
    <row r="19" spans="2:23" x14ac:dyDescent="0.3">
      <c r="B19" s="15">
        <f t="shared" si="0"/>
        <v>2021</v>
      </c>
      <c r="C19" s="15">
        <v>11</v>
      </c>
      <c r="D19" s="162"/>
      <c r="E19" s="162"/>
    </row>
    <row r="20" spans="2:23" x14ac:dyDescent="0.3">
      <c r="B20" s="15">
        <f t="shared" si="0"/>
        <v>2022</v>
      </c>
      <c r="C20" s="15">
        <v>12</v>
      </c>
      <c r="D20" s="162"/>
      <c r="E20" s="162"/>
    </row>
    <row r="22" spans="2:23" x14ac:dyDescent="0.3">
      <c r="D22" s="35"/>
    </row>
    <row r="25" spans="2:23" x14ac:dyDescent="0.3">
      <c r="B25" s="15" t="s">
        <v>2</v>
      </c>
      <c r="D25" s="52">
        <f ca="1">RATE(3,,-D13,D16)</f>
        <v>9.1039397046734277E-2</v>
      </c>
      <c r="E25" s="52"/>
    </row>
    <row r="26" spans="2:23" x14ac:dyDescent="0.3">
      <c r="B26" s="15" t="s">
        <v>3</v>
      </c>
      <c r="D26" s="52">
        <f ca="1">RATE(5,,-D11,D16)</f>
        <v>4.9751699212742077E-2</v>
      </c>
      <c r="E26" s="52"/>
    </row>
    <row r="27" spans="2:23" x14ac:dyDescent="0.3">
      <c r="B27" s="15" t="s">
        <v>4</v>
      </c>
      <c r="D27" s="52">
        <f ca="1">RATE(10,,-D6,D16)</f>
        <v>2.9224413922889832E-2</v>
      </c>
      <c r="E27" s="52"/>
    </row>
    <row r="28" spans="2:23" x14ac:dyDescent="0.3">
      <c r="B28" s="15" t="s">
        <v>5</v>
      </c>
      <c r="D28" s="52">
        <f ca="1">$C$52/D16</f>
        <v>4.4317885940325638E-2</v>
      </c>
      <c r="E28" s="52"/>
    </row>
    <row r="29" spans="2:23" x14ac:dyDescent="0.3">
      <c r="B29" s="15" t="s">
        <v>6</v>
      </c>
      <c r="D29" s="52">
        <f ca="1">$C$52/AVERAGE(D8:D16)</f>
        <v>5.747489113117106E-2</v>
      </c>
      <c r="E29" s="52"/>
    </row>
    <row r="30" spans="2:23" x14ac:dyDescent="0.3">
      <c r="B30" s="15" t="s">
        <v>7</v>
      </c>
      <c r="D30" s="52">
        <f ca="1">EXP(N52)-1</f>
        <v>6.0398964202900807E-2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0.95212464979911071</v>
      </c>
      <c r="M38" s="426" t="s">
        <v>127</v>
      </c>
      <c r="N38" s="7">
        <f ca="1">N39^0.5</f>
        <v>0.98739745215814878</v>
      </c>
    </row>
    <row r="39" spans="2:18" x14ac:dyDescent="0.3">
      <c r="B39" s="426" t="s">
        <v>128</v>
      </c>
      <c r="C39" s="7">
        <f ca="1">U8</f>
        <v>0.90654134875507919</v>
      </c>
      <c r="M39" s="426" t="s">
        <v>128</v>
      </c>
      <c r="N39" s="7">
        <f ca="1">U15</f>
        <v>0.97495372852840367</v>
      </c>
    </row>
    <row r="40" spans="2:18" x14ac:dyDescent="0.3">
      <c r="B40" s="426" t="s">
        <v>129</v>
      </c>
      <c r="C40" s="7">
        <f ca="1">1-(1-C39)*(C42-1)/(C42-2)</f>
        <v>0.89319011286294769</v>
      </c>
      <c r="M40" s="426" t="s">
        <v>129</v>
      </c>
      <c r="N40" s="7">
        <f ca="1">1-(1-N39)*(N42-1)/(N42-2)</f>
        <v>0.9707793499498043</v>
      </c>
    </row>
    <row r="41" spans="2:18" x14ac:dyDescent="0.3">
      <c r="B41" s="426" t="s">
        <v>120</v>
      </c>
      <c r="C41" s="8">
        <f ca="1">V8</f>
        <v>21482966.941079054</v>
      </c>
      <c r="M41" s="426" t="s">
        <v>120</v>
      </c>
      <c r="N41" s="6">
        <f ca="1">V15</f>
        <v>5.0743242227445633E-2</v>
      </c>
    </row>
    <row r="42" spans="2:18" ht="15" thickBot="1" x14ac:dyDescent="0.35">
      <c r="B42" s="427" t="s">
        <v>130</v>
      </c>
      <c r="C42" s="9">
        <f ca="1">V9+2</f>
        <v>9</v>
      </c>
      <c r="M42" s="427" t="s">
        <v>130</v>
      </c>
      <c r="N42" s="9">
        <f ca="1">V16+1</f>
        <v>8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3.1336801659992844E+16</v>
      </c>
      <c r="E46" s="428">
        <f ca="1">D46/C46</f>
        <v>3.1336801659992844E+16</v>
      </c>
      <c r="F46" s="6">
        <f ca="1">E46/E47</f>
        <v>67.899433137073316</v>
      </c>
      <c r="G46" s="426">
        <f ca="1">FDIST(F46,C46,C47)</f>
        <v>7.5429141130083218E-5</v>
      </c>
      <c r="M46" s="426" t="s">
        <v>137</v>
      </c>
      <c r="N46" s="60">
        <v>1</v>
      </c>
      <c r="O46" s="428">
        <f ca="1">U17</f>
        <v>0.70160938039530207</v>
      </c>
      <c r="P46" s="428">
        <f ca="1">O46/N46</f>
        <v>0.70160938039530207</v>
      </c>
      <c r="Q46" s="6">
        <f ca="1">P46/P47</f>
        <v>272.48271693606517</v>
      </c>
      <c r="R46" s="426">
        <f ca="1">FDIST(Q46,N46,N47)</f>
        <v>7.3081600288047442E-7</v>
      </c>
    </row>
    <row r="47" spans="2:18" x14ac:dyDescent="0.3">
      <c r="B47" s="426" t="s">
        <v>138</v>
      </c>
      <c r="C47" s="8">
        <f ca="1">C42-C46-1</f>
        <v>7</v>
      </c>
      <c r="D47" s="428">
        <f ca="1">V10</f>
        <v>3230625080140469</v>
      </c>
      <c r="E47" s="428">
        <f ca="1">D47/C47</f>
        <v>461517868591495.56</v>
      </c>
      <c r="F47" s="426"/>
      <c r="G47" s="426"/>
      <c r="M47" s="426" t="s">
        <v>138</v>
      </c>
      <c r="N47" s="60">
        <f ca="1">N42-N46</f>
        <v>7</v>
      </c>
      <c r="O47" s="428">
        <f ca="1">V17</f>
        <v>1.802413642227255E-2</v>
      </c>
      <c r="P47" s="428">
        <f ca="1">O47/N47</f>
        <v>2.5748766317532216E-3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8</v>
      </c>
      <c r="D48" s="429">
        <f ca="1">D46+D47</f>
        <v>3.4567426740133312E+16</v>
      </c>
      <c r="E48" s="427"/>
      <c r="F48" s="427"/>
      <c r="G48" s="427"/>
      <c r="M48" s="427" t="s">
        <v>0</v>
      </c>
      <c r="N48" s="60">
        <f ca="1">N46+N47</f>
        <v>8</v>
      </c>
      <c r="O48" s="429">
        <f ca="1">O46+O47</f>
        <v>0.71963351681757459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306211093.85870689</v>
      </c>
      <c r="D51" s="8">
        <f ca="1">V7</f>
        <v>13204211.252522115</v>
      </c>
      <c r="E51" s="6">
        <f ca="1">C51/D51</f>
        <v>23.190411604496106</v>
      </c>
      <c r="F51" s="7">
        <f ca="1">TDIST(ABS(E51),C47,2)</f>
        <v>7.0330001300880514E-8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22853446.734935787</v>
      </c>
      <c r="D52" s="9">
        <f ca="1">U7</f>
        <v>2773439.1063307887</v>
      </c>
      <c r="E52" s="427">
        <f ca="1">C52/D52</f>
        <v>8.2401112332949307</v>
      </c>
      <c r="F52" s="11">
        <f ca="1">TDIST(ABS(E52),C47,2)</f>
        <v>7.5429141130083218E-5</v>
      </c>
      <c r="M52" s="427" t="s">
        <v>114</v>
      </c>
      <c r="N52" s="10">
        <f ca="1">U13</f>
        <v>5.8645218633784815E-2</v>
      </c>
      <c r="O52" s="9">
        <f ca="1">U14</f>
        <v>3.552737574505061E-3</v>
      </c>
      <c r="P52" s="430">
        <f ca="1">N52/O52</f>
        <v>16.507050522006203</v>
      </c>
      <c r="Q52" s="11">
        <f ca="1">TDIST(ABS(P52),N47,2)</f>
        <v>7.3081600288047315E-7</v>
      </c>
    </row>
    <row r="53" spans="2:17" x14ac:dyDescent="0.3">
      <c r="D53" s="95"/>
      <c r="E53" s="95"/>
      <c r="N53" s="95"/>
      <c r="O53" s="95"/>
    </row>
  </sheetData>
  <pageMargins left="0.7" right="0.7" top="0.75" bottom="0.75" header="0.3" footer="0.3"/>
  <pageSetup orientation="portrait" horizontalDpi="1200" verticalDpi="1200" r:id="rId1"/>
  <ignoredErrors>
    <ignoredError sqref="D6:D16 E9:E1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5:Z171"/>
  <sheetViews>
    <sheetView zoomScale="70" zoomScaleNormal="70"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4" style="15" customWidth="1"/>
    <col min="4" max="4" width="16.88671875" style="15" bestFit="1" customWidth="1"/>
    <col min="5" max="6" width="12.88671875" style="15" customWidth="1"/>
    <col min="7" max="10" width="13.88671875" style="15" customWidth="1"/>
    <col min="11" max="13" width="13.109375" style="15" customWidth="1"/>
    <col min="14" max="14" width="18" style="15" bestFit="1" customWidth="1"/>
    <col min="15" max="15" width="13.33203125" style="15" bestFit="1" customWidth="1"/>
    <col min="16" max="16" width="14.5546875" style="15" bestFit="1" customWidth="1"/>
    <col min="17" max="17" width="12" style="15" bestFit="1" customWidth="1"/>
    <col min="18" max="19" width="13.44140625" style="15" bestFit="1" customWidth="1"/>
    <col min="20" max="20" width="12.44140625" style="15" bestFit="1" customWidth="1"/>
    <col min="21" max="21" width="12.5546875" style="15" bestFit="1" customWidth="1"/>
    <col min="22" max="22" width="12" style="15" bestFit="1" customWidth="1"/>
    <col min="23" max="23" width="9.109375" style="15"/>
    <col min="24" max="24" width="11" style="15" bestFit="1" customWidth="1"/>
    <col min="25" max="25" width="12.5546875" style="15" bestFit="1" customWidth="1"/>
    <col min="26" max="16384" width="9.109375" style="15"/>
  </cols>
  <sheetData>
    <row r="5" spans="2:26" ht="43.2" x14ac:dyDescent="0.3">
      <c r="B5" s="64" t="s">
        <v>112</v>
      </c>
      <c r="C5" s="119" t="s">
        <v>142</v>
      </c>
      <c r="D5" s="119" t="s">
        <v>148</v>
      </c>
      <c r="E5" s="119" t="s">
        <v>149</v>
      </c>
      <c r="F5" s="119" t="s">
        <v>150</v>
      </c>
      <c r="G5" s="119" t="s">
        <v>151</v>
      </c>
      <c r="H5" s="119" t="s">
        <v>152</v>
      </c>
      <c r="I5" s="119" t="s">
        <v>153</v>
      </c>
      <c r="J5" s="119" t="s">
        <v>154</v>
      </c>
      <c r="K5" s="119" t="s">
        <v>155</v>
      </c>
      <c r="L5" s="119" t="s">
        <v>156</v>
      </c>
      <c r="M5" s="119"/>
      <c r="N5" s="119" t="s">
        <v>114</v>
      </c>
      <c r="O5" s="119" t="str">
        <f t="shared" ref="O5:T5" si="0">"Ln("&amp;D5&amp;")"</f>
        <v>Ln(CBR O&amp;M)</v>
      </c>
      <c r="P5" s="119" t="str">
        <f t="shared" si="0"/>
        <v>Ln(ECI_Utilities)</v>
      </c>
      <c r="Q5" s="119" t="str">
        <f t="shared" si="0"/>
        <v>Ln(PPI_Utilities)</v>
      </c>
      <c r="R5" s="119" t="str">
        <f t="shared" si="0"/>
        <v>Ln(PPI_Generation)</v>
      </c>
      <c r="S5" s="119" t="str">
        <f t="shared" si="0"/>
        <v>Ln(PPI_Transmission)</v>
      </c>
      <c r="T5" s="119" t="str">
        <f t="shared" si="0"/>
        <v>Ln(PPI_Distribution)</v>
      </c>
    </row>
    <row r="6" spans="2:26" x14ac:dyDescent="0.3">
      <c r="B6" s="15">
        <v>2008</v>
      </c>
      <c r="D6" s="162">
        <f ca="1">OFFSET(Electric_CBR!$C$112,0,$B6-$B$6)</f>
        <v>325081954</v>
      </c>
      <c r="E6" s="95">
        <f>AVERAGEIF(Indices!$A$12:$A$75,$B6,Indices!$C$12:$C$75)</f>
        <v>107.9</v>
      </c>
      <c r="F6" s="95">
        <f>AVERAGEIF(Indices!$F$12:$F$195,$B6,Indices!H12:H195)</f>
        <v>136.46666666666667</v>
      </c>
      <c r="G6" s="95">
        <f>AVERAGEIF(Indices!$F$12:$F$195,$B6,Indices!I12:I195)</f>
        <v>145.55000000000001</v>
      </c>
      <c r="H6" s="95">
        <f>AVERAGEIF(Indices!$F$12:$F$195,$B6,Indices!J12:J195)</f>
        <v>110.75000000000001</v>
      </c>
      <c r="I6" s="95">
        <f>AVERAGEIF(Indices!$F$12:$F$195,$B6,Indices!K12:K195)</f>
        <v>124.8</v>
      </c>
      <c r="O6" s="493">
        <f t="shared" ref="O6:O16" ca="1" si="1">LN(D6/D$6)</f>
        <v>0</v>
      </c>
      <c r="P6" s="493">
        <f t="shared" ref="P6:P16" si="2">LN(E6/E$6)</f>
        <v>0</v>
      </c>
      <c r="Q6" s="493">
        <f t="shared" ref="Q6:Q16" si="3">LN(F6/F$6)</f>
        <v>0</v>
      </c>
      <c r="R6" s="493">
        <f t="shared" ref="R6:R16" si="4">LN(G6/G$6)</f>
        <v>0</v>
      </c>
      <c r="S6" s="493">
        <f t="shared" ref="S6:S16" si="5">LN(H6/H$6)</f>
        <v>0</v>
      </c>
      <c r="T6" s="493">
        <f t="shared" ref="T6:T16" si="6">LN(I6/I$6)</f>
        <v>0</v>
      </c>
      <c r="U6" s="493"/>
      <c r="V6" s="493"/>
      <c r="W6" s="15" t="s">
        <v>115</v>
      </c>
      <c r="X6" s="60">
        <f t="array" aca="1" ref="X6:Y10" ca="1">LINEST(D7:D16,C7:C16,,TRUE)</f>
        <v>8983150.3743513804</v>
      </c>
      <c r="Y6" s="60">
        <f ca="1"/>
        <v>333579096.66876894</v>
      </c>
      <c r="Z6" s="15" t="s">
        <v>116</v>
      </c>
    </row>
    <row r="7" spans="2:26" x14ac:dyDescent="0.3">
      <c r="B7" s="15">
        <v>2009</v>
      </c>
      <c r="C7" s="15">
        <v>0</v>
      </c>
      <c r="D7" s="162">
        <f ca="1">OFFSET(Electric_CBR!$C$112,0,$B7-$B$6)</f>
        <v>334267431</v>
      </c>
      <c r="E7" s="95">
        <f>AVERAGEIF(Indices!$A$12:$A$75,$B7,Indices!$C$12:$C$75)</f>
        <v>110.925</v>
      </c>
      <c r="F7" s="95">
        <f>AVERAGEIF(Indices!$F$12:$F$195,$B7,Indices!H13:H196)</f>
        <v>130.03333333333333</v>
      </c>
      <c r="G7" s="95">
        <f>AVERAGEIF(Indices!$F$12:$F$195,$B7,Indices!I13:I196)</f>
        <v>132.73333333333335</v>
      </c>
      <c r="H7" s="95">
        <f>AVERAGEIF(Indices!$F$12:$F$195,$B7,Indices!J13:J196)</f>
        <v>112.86666666666666</v>
      </c>
      <c r="I7" s="95">
        <f>AVERAGEIF(Indices!$F$12:$F$195,$B7,Indices!K13:K196)</f>
        <v>127.64166666666667</v>
      </c>
      <c r="N7" s="15">
        <v>1</v>
      </c>
      <c r="O7" s="493">
        <f t="shared" ca="1" si="1"/>
        <v>2.7864047515898296E-2</v>
      </c>
      <c r="P7" s="493">
        <f t="shared" si="2"/>
        <v>2.7649425000884052E-2</v>
      </c>
      <c r="Q7" s="493">
        <f t="shared" si="3"/>
        <v>-4.8289556714578311E-2</v>
      </c>
      <c r="R7" s="493">
        <f t="shared" si="4"/>
        <v>-9.2177567229645971E-2</v>
      </c>
      <c r="S7" s="493">
        <f t="shared" si="5"/>
        <v>1.8931772105680082E-2</v>
      </c>
      <c r="T7" s="493">
        <f t="shared" si="6"/>
        <v>2.251440294718066E-2</v>
      </c>
      <c r="U7" s="493"/>
      <c r="V7" s="493"/>
      <c r="W7" s="15" t="s">
        <v>117</v>
      </c>
      <c r="X7" s="60">
        <f ca="1"/>
        <v>437903.88626830204</v>
      </c>
      <c r="Y7" s="60">
        <f ca="1"/>
        <v>2337767.0302776401</v>
      </c>
      <c r="Z7" s="15" t="s">
        <v>118</v>
      </c>
    </row>
    <row r="8" spans="2:26" x14ac:dyDescent="0.3">
      <c r="B8" s="15">
        <f>B7+1</f>
        <v>2010</v>
      </c>
      <c r="C8" s="15">
        <v>1</v>
      </c>
      <c r="D8" s="162">
        <f ca="1">OFFSET(Electric_CBR!$C$112,0,$B8-$B$6)</f>
        <v>342908099</v>
      </c>
      <c r="E8" s="95">
        <f>AVERAGEIF(Indices!$A$12:$A$75,$B8,Indices!$C$12:$C$75)</f>
        <v>116.925</v>
      </c>
      <c r="F8" s="95">
        <f>AVERAGEIF(Indices!$F$12:$F$195,$B8,Indices!H14:H197)</f>
        <v>133.75000000000003</v>
      </c>
      <c r="G8" s="95">
        <f>AVERAGEIF(Indices!$F$12:$F$195,$B8,Indices!I14:I197)</f>
        <v>138.13333333333335</v>
      </c>
      <c r="H8" s="95">
        <f>AVERAGEIF(Indices!$F$12:$F$195,$B8,Indices!J14:J197)</f>
        <v>118.4083333333333</v>
      </c>
      <c r="I8" s="95">
        <f>AVERAGEIF(Indices!$F$12:$F$195,$B8,Indices!K14:K197)</f>
        <v>131.29166666666666</v>
      </c>
      <c r="N8" s="15">
        <v>2</v>
      </c>
      <c r="O8" s="493">
        <f t="shared" ca="1" si="1"/>
        <v>5.338516162584641E-2</v>
      </c>
      <c r="P8" s="493">
        <f t="shared" si="2"/>
        <v>8.0327831347860909E-2</v>
      </c>
      <c r="Q8" s="493">
        <f t="shared" si="3"/>
        <v>-2.0107998782963286E-2</v>
      </c>
      <c r="R8" s="493">
        <f t="shared" si="4"/>
        <v>-5.2300267914468547E-2</v>
      </c>
      <c r="S8" s="493">
        <f t="shared" si="5"/>
        <v>6.6863693930783966E-2</v>
      </c>
      <c r="T8" s="493">
        <f t="shared" si="6"/>
        <v>5.0708855474001703E-2</v>
      </c>
      <c r="U8" s="493"/>
      <c r="V8" s="493"/>
      <c r="W8" s="15" t="s">
        <v>119</v>
      </c>
      <c r="X8" s="95">
        <f ca="1"/>
        <v>0.98134429571941217</v>
      </c>
      <c r="Y8" s="60">
        <f ca="1"/>
        <v>3977459.5689626765</v>
      </c>
      <c r="Z8" s="15" t="s">
        <v>120</v>
      </c>
    </row>
    <row r="9" spans="2:26" x14ac:dyDescent="0.3">
      <c r="B9" s="15">
        <f t="shared" ref="B9:B20" si="7">B8+1</f>
        <v>2011</v>
      </c>
      <c r="C9" s="15">
        <v>2</v>
      </c>
      <c r="D9" s="162">
        <f ca="1">OFFSET(Electric_CBR!$C$112,0,$B9-$B$6)</f>
        <v>350088577.93844378</v>
      </c>
      <c r="E9" s="95">
        <f>AVERAGEIF(Indices!$A$12:$A$75,$B9,Indices!$C$12:$C$75)</f>
        <v>120.875</v>
      </c>
      <c r="F9" s="95">
        <f>AVERAGEIF(Indices!$F$12:$F$195,$B9,Indices!H15:H198)</f>
        <v>134.35833333333335</v>
      </c>
      <c r="G9" s="95">
        <f>AVERAGEIF(Indices!$F$12:$F$195,$B9,Indices!I15:I198)</f>
        <v>135.96666666666667</v>
      </c>
      <c r="H9" s="95">
        <f>AVERAGEIF(Indices!$F$12:$F$195,$B9,Indices!J15:J198)</f>
        <v>123.69166666666666</v>
      </c>
      <c r="I9" s="95">
        <f>AVERAGEIF(Indices!$F$12:$F$195,$B9,Indices!K15:K198)</f>
        <v>134.32500000000002</v>
      </c>
      <c r="N9" s="15">
        <v>3</v>
      </c>
      <c r="O9" s="493">
        <f t="shared" ca="1" si="1"/>
        <v>7.4108885593244994E-2</v>
      </c>
      <c r="P9" s="493">
        <f t="shared" si="2"/>
        <v>0.11355208150936938</v>
      </c>
      <c r="Q9" s="493">
        <f t="shared" si="3"/>
        <v>-1.5570024377385574E-2</v>
      </c>
      <c r="R9" s="493">
        <f t="shared" si="4"/>
        <v>-6.8109912536229208E-2</v>
      </c>
      <c r="S9" s="493">
        <f t="shared" si="5"/>
        <v>0.11051650091747371</v>
      </c>
      <c r="T9" s="493">
        <f t="shared" si="6"/>
        <v>7.3549780679558113E-2</v>
      </c>
      <c r="U9" s="493"/>
      <c r="V9" s="493"/>
      <c r="W9" s="15" t="s">
        <v>121</v>
      </c>
      <c r="X9" s="95">
        <f ca="1"/>
        <v>420.82326390241963</v>
      </c>
      <c r="Y9" s="15">
        <f ca="1"/>
        <v>8</v>
      </c>
      <c r="Z9" s="15" t="s">
        <v>122</v>
      </c>
    </row>
    <row r="10" spans="2:26" x14ac:dyDescent="0.3">
      <c r="B10" s="15">
        <f t="shared" si="7"/>
        <v>2012</v>
      </c>
      <c r="C10" s="15">
        <v>3</v>
      </c>
      <c r="D10" s="162">
        <f ca="1">OFFSET(Electric_CBR!$C$112,0,$B10-$B$6)</f>
        <v>359031919.19991827</v>
      </c>
      <c r="E10" s="95">
        <f>AVERAGEIF(Indices!$A$12:$A$75,$B10,Indices!$C$12:$C$75)</f>
        <v>124.80000000000001</v>
      </c>
      <c r="F10" s="95">
        <f>AVERAGEIF(Indices!$F$12:$F$195,$B10,Indices!H16:H199)</f>
        <v>132.375</v>
      </c>
      <c r="G10" s="95">
        <f>AVERAGEIF(Indices!$F$12:$F$195,$B10,Indices!I16:I199)</f>
        <v>128.1</v>
      </c>
      <c r="H10" s="95">
        <f>AVERAGEIF(Indices!$F$12:$F$195,$B10,Indices!J16:J199)</f>
        <v>128.61666666666665</v>
      </c>
      <c r="I10" s="95">
        <f>AVERAGEIF(Indices!$F$12:$F$195,$B10,Indices!K16:K199)</f>
        <v>136</v>
      </c>
      <c r="N10" s="15">
        <v>4</v>
      </c>
      <c r="O10" s="493">
        <f t="shared" ca="1" si="1"/>
        <v>9.9333979261234925E-2</v>
      </c>
      <c r="P10" s="493">
        <f t="shared" si="2"/>
        <v>0.14550758367123828</v>
      </c>
      <c r="Q10" s="493">
        <f t="shared" si="3"/>
        <v>-3.0441580637508892E-2</v>
      </c>
      <c r="R10" s="493">
        <f t="shared" si="4"/>
        <v>-0.12770846128894378</v>
      </c>
      <c r="S10" s="493">
        <f t="shared" si="5"/>
        <v>0.1495609953102571</v>
      </c>
      <c r="T10" s="493">
        <f t="shared" si="6"/>
        <v>8.5942429800724834E-2</v>
      </c>
      <c r="U10" s="493"/>
      <c r="V10" s="493"/>
      <c r="W10" s="15" t="s">
        <v>123</v>
      </c>
      <c r="X10" s="15">
        <f ca="1"/>
        <v>6657501728477270</v>
      </c>
      <c r="Y10" s="15">
        <f ca="1"/>
        <v>126561476981862.09</v>
      </c>
      <c r="Z10" s="15" t="s">
        <v>124</v>
      </c>
    </row>
    <row r="11" spans="2:26" x14ac:dyDescent="0.3">
      <c r="B11" s="15">
        <f t="shared" si="7"/>
        <v>2013</v>
      </c>
      <c r="C11" s="15">
        <v>4</v>
      </c>
      <c r="D11" s="162">
        <f ca="1">OFFSET(Electric_CBR!$C$112,0,$B11-$B$6)</f>
        <v>372115598.34072012</v>
      </c>
      <c r="E11" s="95">
        <f>AVERAGEIF(Indices!$A$12:$A$75,$B11,Indices!$C$12:$C$75)</f>
        <v>126.8</v>
      </c>
      <c r="F11" s="95">
        <f>AVERAGEIF(Indices!$F$12:$F$195,$B11,Indices!H17:H200)</f>
        <v>141.28333333333333</v>
      </c>
      <c r="G11" s="95">
        <f>AVERAGEIF(Indices!$F$12:$F$195,$B11,Indices!I17:I200)</f>
        <v>148.91666666666666</v>
      </c>
      <c r="H11" s="95">
        <f>AVERAGEIF(Indices!$F$12:$F$195,$B11,Indices!J17:J200)</f>
        <v>140.20833333333334</v>
      </c>
      <c r="I11" s="95">
        <f>AVERAGEIF(Indices!$F$12:$F$195,$B11,Indices!K17:K200)</f>
        <v>138.94166666666666</v>
      </c>
      <c r="N11" s="15">
        <v>5</v>
      </c>
      <c r="O11" s="493">
        <f t="shared" ca="1" si="1"/>
        <v>0.13512723753361544</v>
      </c>
      <c r="P11" s="493">
        <f t="shared" si="2"/>
        <v>0.16140616973903651</v>
      </c>
      <c r="Q11" s="493">
        <f t="shared" si="3"/>
        <v>3.4686945827225403E-2</v>
      </c>
      <c r="R11" s="493">
        <f t="shared" si="4"/>
        <v>2.2867195179795321E-2</v>
      </c>
      <c r="S11" s="493">
        <f t="shared" si="5"/>
        <v>0.23585400280563748</v>
      </c>
      <c r="T11" s="493">
        <f t="shared" si="6"/>
        <v>0.10734172484308556</v>
      </c>
      <c r="U11" s="493"/>
      <c r="V11" s="493"/>
      <c r="W11" s="493"/>
      <c r="X11" s="493"/>
    </row>
    <row r="12" spans="2:26" x14ac:dyDescent="0.3">
      <c r="B12" s="15">
        <f t="shared" si="7"/>
        <v>2014</v>
      </c>
      <c r="C12" s="15">
        <v>5</v>
      </c>
      <c r="D12" s="162">
        <f ca="1">OFFSET(Electric_CBR!$C$112,0,$B12-$B$6)</f>
        <v>383250776.87076169</v>
      </c>
      <c r="E12" s="95">
        <f>AVERAGEIF(Indices!$A$12:$A$75,$B12,Indices!$C$12:$C$75)</f>
        <v>129.4</v>
      </c>
      <c r="F12" s="95">
        <f>AVERAGEIF(Indices!$F$12:$F$195,$B12,Indices!H18:H201)</f>
        <v>140.54166666666666</v>
      </c>
      <c r="G12" s="95">
        <f>AVERAGEIF(Indices!$F$12:$F$195,$B12,Indices!I18:I201)</f>
        <v>137.23333333333335</v>
      </c>
      <c r="H12" s="95">
        <f>AVERAGEIF(Indices!$F$12:$F$195,$B12,Indices!J18:J201)</f>
        <v>149.72499999999999</v>
      </c>
      <c r="I12" s="95">
        <f>AVERAGEIF(Indices!$F$12:$F$195,$B12,Indices!K18:K201)</f>
        <v>143.69999999999999</v>
      </c>
      <c r="N12" s="15">
        <v>6</v>
      </c>
      <c r="O12" s="493">
        <f t="shared" ca="1" si="1"/>
        <v>0.16461222811486972</v>
      </c>
      <c r="P12" s="493">
        <f t="shared" si="2"/>
        <v>0.18170350980271122</v>
      </c>
      <c r="Q12" s="493">
        <f t="shared" si="3"/>
        <v>2.9423620154625022E-2</v>
      </c>
      <c r="R12" s="493">
        <f t="shared" si="4"/>
        <v>-5.8837030083882871E-2</v>
      </c>
      <c r="S12" s="493">
        <f t="shared" si="5"/>
        <v>0.30152486922528088</v>
      </c>
      <c r="T12" s="493">
        <f t="shared" si="6"/>
        <v>0.14101533714965198</v>
      </c>
      <c r="U12" s="493"/>
      <c r="V12" s="493"/>
      <c r="W12" s="15" t="s">
        <v>115</v>
      </c>
      <c r="X12" s="60">
        <f t="array" aca="1" ref="X12:Y16" ca="1">LINEST(O7:O16,N7:N16,FALSE,TRUE)</f>
        <v>2.4835078193685921E-2</v>
      </c>
      <c r="Y12" s="60">
        <f ca="1"/>
        <v>0</v>
      </c>
      <c r="Z12" s="15" t="s">
        <v>116</v>
      </c>
    </row>
    <row r="13" spans="2:26" x14ac:dyDescent="0.3">
      <c r="B13" s="15">
        <f t="shared" si="7"/>
        <v>2015</v>
      </c>
      <c r="C13" s="15">
        <v>6</v>
      </c>
      <c r="D13" s="162">
        <f ca="1">OFFSET(Electric_CBR!$C$112,0,$B13-$B$6)</f>
        <v>379658483.271532</v>
      </c>
      <c r="E13" s="95">
        <f>AVERAGEIF(Indices!$A$12:$A$75,$B13,Indices!$C$12:$C$75)</f>
        <v>133.47499999999999</v>
      </c>
      <c r="F13" s="95">
        <f>AVERAGEIF(Indices!$F$12:$F$195,$B13,Indices!H19:H202)</f>
        <v>134.625</v>
      </c>
      <c r="G13" s="95">
        <f>AVERAGEIF(Indices!$F$12:$F$195,$B13,Indices!I19:I202)</f>
        <v>121.36666666666666</v>
      </c>
      <c r="H13" s="95">
        <f>AVERAGEIF(Indices!$F$12:$F$195,$B13,Indices!J19:J202)</f>
        <v>156.21666666666667</v>
      </c>
      <c r="I13" s="95">
        <f>AVERAGEIF(Indices!$F$12:$F$195,$B13,Indices!K19:K202)</f>
        <v>142.96666666666667</v>
      </c>
      <c r="N13" s="15">
        <v>7</v>
      </c>
      <c r="O13" s="493">
        <f t="shared" ca="1" si="1"/>
        <v>0.15519480369422511</v>
      </c>
      <c r="P13" s="493">
        <f t="shared" si="2"/>
        <v>0.21270932212216087</v>
      </c>
      <c r="Q13" s="493">
        <f t="shared" si="3"/>
        <v>-1.3587249082526837E-2</v>
      </c>
      <c r="R13" s="493">
        <f t="shared" si="4"/>
        <v>-0.18170340367835425</v>
      </c>
      <c r="S13" s="493">
        <f t="shared" si="5"/>
        <v>0.34396852359913993</v>
      </c>
      <c r="T13" s="493">
        <f t="shared" si="6"/>
        <v>0.13589904691939783</v>
      </c>
      <c r="U13" s="493"/>
      <c r="V13" s="493"/>
      <c r="W13" s="15" t="s">
        <v>117</v>
      </c>
      <c r="X13" s="60">
        <f ca="1"/>
        <v>5.1369471847663331E-4</v>
      </c>
      <c r="Y13" s="60" t="e">
        <f ca="1"/>
        <v>#N/A</v>
      </c>
      <c r="Z13" s="15" t="s">
        <v>118</v>
      </c>
    </row>
    <row r="14" spans="2:26" x14ac:dyDescent="0.3">
      <c r="B14" s="15">
        <f t="shared" si="7"/>
        <v>2016</v>
      </c>
      <c r="C14" s="15">
        <v>7</v>
      </c>
      <c r="D14" s="162">
        <f ca="1">OFFSET(Electric_CBR!$C$112,0,$B14-$B$6)</f>
        <v>399074692.93704486</v>
      </c>
      <c r="E14" s="95">
        <f>AVERAGEIF(Indices!$A$12:$A$75,$B14,Indices!$C$12:$C$75)</f>
        <v>136.95000000000002</v>
      </c>
      <c r="F14" s="95">
        <f>AVERAGEIF(Indices!$F$12:$F$195,$B14,Indices!H20:H203)</f>
        <v>139.60833333333335</v>
      </c>
      <c r="G14" s="95">
        <f>AVERAGEIF(Indices!$F$12:$F$195,$B14,Indices!I20:I203)</f>
        <v>123.95</v>
      </c>
      <c r="H14" s="95">
        <f>AVERAGEIF(Indices!$F$12:$F$195,$B14,Indices!J20:J203)</f>
        <v>160.10833333333332</v>
      </c>
      <c r="I14" s="95">
        <f>AVERAGEIF(Indices!$F$12:$F$195,$B14,Indices!K20:K203)</f>
        <v>147.03333333333333</v>
      </c>
      <c r="N14" s="15">
        <v>8</v>
      </c>
      <c r="O14" s="493">
        <f t="shared" ca="1" si="1"/>
        <v>0.20507128301849348</v>
      </c>
      <c r="P14" s="493">
        <f t="shared" si="2"/>
        <v>0.23841102344499832</v>
      </c>
      <c r="Q14" s="493">
        <f t="shared" si="3"/>
        <v>2.276049835240692E-2</v>
      </c>
      <c r="R14" s="493">
        <f t="shared" si="4"/>
        <v>-0.16064141171043275</v>
      </c>
      <c r="S14" s="493">
        <f t="shared" si="5"/>
        <v>0.3685752605244102</v>
      </c>
      <c r="T14" s="493">
        <f t="shared" si="6"/>
        <v>0.16394686250745699</v>
      </c>
      <c r="U14" s="493"/>
      <c r="V14" s="493"/>
      <c r="W14" s="15" t="s">
        <v>119</v>
      </c>
      <c r="X14" s="95">
        <f ca="1"/>
        <v>0.99616422971728491</v>
      </c>
      <c r="Y14" s="60">
        <f ca="1"/>
        <v>1.007941821532638E-2</v>
      </c>
      <c r="Z14" s="15" t="s">
        <v>120</v>
      </c>
    </row>
    <row r="15" spans="2:26" x14ac:dyDescent="0.3">
      <c r="B15" s="15">
        <f t="shared" si="7"/>
        <v>2017</v>
      </c>
      <c r="C15" s="15">
        <v>8</v>
      </c>
      <c r="D15" s="162">
        <f ca="1">OFFSET(Electric_CBR!$C$112,0,$B15-$B$6)</f>
        <v>401848228.37282121</v>
      </c>
      <c r="E15" s="95">
        <f>AVERAGEIF(Indices!$A$12:$A$75,$B15,Indices!$C$12:$C$75)</f>
        <v>140.44999999999999</v>
      </c>
      <c r="F15" s="95">
        <f>AVERAGEIF(Indices!$F$12:$F$195,$B15,Indices!H21:H204)</f>
        <v>144.0083333333333</v>
      </c>
      <c r="G15" s="95">
        <f>AVERAGEIF(Indices!$F$12:$F$195,$B15,Indices!I21:I204)</f>
        <v>133.15</v>
      </c>
      <c r="H15" s="95">
        <f>AVERAGEIF(Indices!$F$12:$F$195,$B15,Indices!J21:J204)</f>
        <v>166.81666666666669</v>
      </c>
      <c r="I15" s="95">
        <f>AVERAGEIF(Indices!$F$12:$F$195,$B15,Indices!K21:K204)</f>
        <v>150.25</v>
      </c>
      <c r="N15" s="15">
        <v>9</v>
      </c>
      <c r="O15" s="493">
        <f t="shared" ca="1" si="1"/>
        <v>0.21199715927615409</v>
      </c>
      <c r="P15" s="493">
        <f t="shared" si="2"/>
        <v>0.26364668128616348</v>
      </c>
      <c r="Q15" s="493">
        <f t="shared" si="3"/>
        <v>5.3790783712866004E-2</v>
      </c>
      <c r="R15" s="493">
        <f t="shared" si="4"/>
        <v>-8.9043357931691033E-2</v>
      </c>
      <c r="S15" s="493">
        <f t="shared" si="5"/>
        <v>0.40961999607167315</v>
      </c>
      <c r="T15" s="493">
        <f t="shared" si="6"/>
        <v>0.18558811747998977</v>
      </c>
      <c r="U15" s="493"/>
      <c r="V15" s="493"/>
      <c r="W15" s="15" t="s">
        <v>121</v>
      </c>
      <c r="X15" s="95">
        <f ca="1"/>
        <v>2337.3344613092031</v>
      </c>
      <c r="Y15" s="15">
        <f ca="1"/>
        <v>9</v>
      </c>
      <c r="Z15" s="15" t="s">
        <v>122</v>
      </c>
    </row>
    <row r="16" spans="2:26" x14ac:dyDescent="0.3">
      <c r="B16" s="15">
        <f t="shared" si="7"/>
        <v>2018</v>
      </c>
      <c r="C16" s="15">
        <v>9</v>
      </c>
      <c r="D16" s="162">
        <f ca="1">OFFSET(Electric_CBR!$C$112,0,$B16-$B$6)</f>
        <v>417788926.60226011</v>
      </c>
      <c r="E16" s="95">
        <f>AVERAGEIF(Indices!$A$12:$A$75,$B16,Indices!$C$12:$C$75)</f>
        <v>144.42500000000001</v>
      </c>
      <c r="F16" s="95">
        <f>AVERAGEIF(Indices!$F$12:$F$195,$B16,Indices!H22:H205)</f>
        <v>147.94</v>
      </c>
      <c r="G16" s="95">
        <f>AVERAGEIF(Indices!$F$12:$F$195,$B16,Indices!I22:I205)</f>
        <v>147.74</v>
      </c>
      <c r="H16" s="95">
        <f>AVERAGEIF(Indices!$F$12:$F$195,$B16,Indices!J22:J205)</f>
        <v>166.34</v>
      </c>
      <c r="I16" s="95">
        <f>AVERAGEIF(Indices!$F$12:$F$195,$B16,Indices!K22:K205)</f>
        <v>148.1</v>
      </c>
      <c r="N16" s="15">
        <v>10</v>
      </c>
      <c r="O16" s="493">
        <f t="shared" ca="1" si="1"/>
        <v>0.25089902801266056</v>
      </c>
      <c r="P16" s="493">
        <f t="shared" si="2"/>
        <v>0.29155546940324034</v>
      </c>
      <c r="Q16" s="493">
        <f t="shared" si="3"/>
        <v>8.0726401600642025E-2</v>
      </c>
      <c r="R16" s="493">
        <f t="shared" si="4"/>
        <v>1.4934301908959398E-2</v>
      </c>
      <c r="S16" s="493">
        <f t="shared" si="5"/>
        <v>0.40675847751529631</v>
      </c>
      <c r="T16" s="493">
        <f t="shared" si="6"/>
        <v>0.17117526533842573</v>
      </c>
      <c r="U16" s="493"/>
      <c r="V16" s="493"/>
      <c r="W16" s="15" t="s">
        <v>123</v>
      </c>
      <c r="X16" s="15">
        <f ca="1"/>
        <v>0.23746072692130002</v>
      </c>
      <c r="Y16" s="15">
        <f ca="1"/>
        <v>9.1435204403507908E-4</v>
      </c>
      <c r="Z16" s="15" t="s">
        <v>124</v>
      </c>
    </row>
    <row r="17" spans="2:15" x14ac:dyDescent="0.3">
      <c r="B17" s="15">
        <f t="shared" si="7"/>
        <v>2019</v>
      </c>
      <c r="C17" s="15">
        <v>10</v>
      </c>
      <c r="D17" s="162"/>
      <c r="E17" s="95"/>
      <c r="F17" s="95"/>
      <c r="G17" s="95"/>
      <c r="H17" s="95"/>
      <c r="I17" s="95"/>
      <c r="O17" s="162"/>
    </row>
    <row r="18" spans="2:15" x14ac:dyDescent="0.3">
      <c r="B18" s="15">
        <f t="shared" si="7"/>
        <v>2020</v>
      </c>
      <c r="C18" s="15">
        <v>11</v>
      </c>
      <c r="D18" s="162"/>
      <c r="E18" s="95"/>
      <c r="F18" s="95"/>
      <c r="G18" s="95"/>
      <c r="H18" s="95"/>
      <c r="I18" s="95"/>
      <c r="O18" s="162"/>
    </row>
    <row r="19" spans="2:15" x14ac:dyDescent="0.3">
      <c r="B19" s="15">
        <f t="shared" si="7"/>
        <v>2021</v>
      </c>
      <c r="C19" s="15">
        <v>12</v>
      </c>
      <c r="D19" s="162"/>
      <c r="E19" s="95"/>
      <c r="F19" s="95"/>
      <c r="G19" s="95"/>
      <c r="H19" s="95"/>
      <c r="I19" s="95"/>
      <c r="O19" s="162"/>
    </row>
    <row r="20" spans="2:15" x14ac:dyDescent="0.3">
      <c r="B20" s="15">
        <f t="shared" si="7"/>
        <v>2022</v>
      </c>
      <c r="C20" s="15">
        <v>13</v>
      </c>
      <c r="D20" s="162"/>
      <c r="E20" s="95"/>
      <c r="F20" s="95"/>
      <c r="G20" s="95"/>
      <c r="H20" s="95"/>
      <c r="I20" s="95"/>
      <c r="O20" s="162"/>
    </row>
    <row r="21" spans="2:15" x14ac:dyDescent="0.3">
      <c r="D21" s="162"/>
      <c r="E21" s="95"/>
      <c r="F21" s="95"/>
      <c r="G21" s="95"/>
      <c r="H21" s="95"/>
      <c r="I21" s="95"/>
      <c r="O21" s="162"/>
    </row>
    <row r="22" spans="2:15" ht="43.2" x14ac:dyDescent="0.3">
      <c r="D22" s="119" t="str">
        <f>D5</f>
        <v>CBR O&amp;M</v>
      </c>
      <c r="E22" s="119" t="str">
        <f t="shared" ref="E22:L22" si="8">E5</f>
        <v>ECI_Utilities</v>
      </c>
      <c r="F22" s="119" t="str">
        <f t="shared" si="8"/>
        <v>PPI_Utilities</v>
      </c>
      <c r="G22" s="119" t="str">
        <f t="shared" si="8"/>
        <v>PPI_Generation</v>
      </c>
      <c r="H22" s="119" t="str">
        <f t="shared" si="8"/>
        <v>PPI_Transmission</v>
      </c>
      <c r="I22" s="119" t="str">
        <f t="shared" si="8"/>
        <v>PPI_Distribution</v>
      </c>
      <c r="J22" s="119" t="str">
        <f t="shared" si="8"/>
        <v>PPI_Weigthed</v>
      </c>
      <c r="K22" s="119" t="str">
        <f t="shared" si="8"/>
        <v>Composite Index - Electric</v>
      </c>
      <c r="L22" s="119" t="str">
        <f t="shared" si="8"/>
        <v>Composite Index - NG</v>
      </c>
      <c r="O22" s="162"/>
    </row>
    <row r="23" spans="2:15" x14ac:dyDescent="0.3">
      <c r="D23" s="119"/>
      <c r="E23" s="119"/>
      <c r="F23" s="119"/>
      <c r="G23" s="494">
        <f>SUM(Electric_CBR!M58:M58,Electric_CBR!M66:M66)</f>
        <v>2259477373.6090412</v>
      </c>
      <c r="H23" s="35">
        <f>Electric_CBR!M59+Electric_CBR!M67</f>
        <v>1033671888.3132629</v>
      </c>
      <c r="I23" s="35">
        <f>Electric_CBR!M60+Electric_CBR!M68</f>
        <v>2445335074.9210405</v>
      </c>
      <c r="J23" s="119"/>
      <c r="K23" s="119"/>
      <c r="L23" s="119"/>
      <c r="O23" s="162"/>
    </row>
    <row r="24" spans="2:15" x14ac:dyDescent="0.3">
      <c r="B24" s="15" t="s">
        <v>157</v>
      </c>
      <c r="E24" s="95"/>
      <c r="F24" s="95"/>
      <c r="G24" s="68">
        <f>G23/SUM($G$23:$I$23)</f>
        <v>0.39374114155933138</v>
      </c>
      <c r="H24" s="68">
        <f>H23/SUM($G$23:$I$23)</f>
        <v>0.1801297742814561</v>
      </c>
      <c r="I24" s="68">
        <f>I23/SUM($G$23:$I$23)</f>
        <v>0.42612908415921252</v>
      </c>
      <c r="O24" s="162"/>
    </row>
    <row r="26" spans="2:15" x14ac:dyDescent="0.3">
      <c r="B26" s="15" t="s">
        <v>2</v>
      </c>
      <c r="D26" s="52">
        <f t="shared" ref="D26:I26" ca="1" si="9">RATE(3,,-D13,D16)</f>
        <v>3.2415712466888957E-2</v>
      </c>
      <c r="E26" s="52">
        <f t="shared" si="9"/>
        <v>2.6630467835197385E-2</v>
      </c>
      <c r="F26" s="52">
        <f t="shared" si="9"/>
        <v>3.1937273336131965E-2</v>
      </c>
      <c r="G26" s="52">
        <f t="shared" si="9"/>
        <v>6.7741747524206419E-2</v>
      </c>
      <c r="H26" s="52">
        <f t="shared" si="9"/>
        <v>2.1150552909670772E-2</v>
      </c>
      <c r="I26" s="52">
        <f t="shared" si="9"/>
        <v>1.1828145224617915E-2</v>
      </c>
      <c r="J26" s="52">
        <f t="shared" ref="J26:J31" si="10">SUMPRODUCT($G$24:$I$24,$G26:$I26)</f>
        <v>3.5522874014820634E-2</v>
      </c>
      <c r="K26" s="52">
        <f t="shared" ref="K26:K31" si="11">(E26+J26)/2</f>
        <v>3.1076670925009008E-2</v>
      </c>
      <c r="L26" s="52">
        <f t="shared" ref="L26:L31" si="12">(E26+F26)/2</f>
        <v>2.9283870585664673E-2</v>
      </c>
      <c r="M26" s="52"/>
      <c r="N26" s="52"/>
      <c r="O26" s="52"/>
    </row>
    <row r="27" spans="2:15" x14ac:dyDescent="0.3">
      <c r="B27" s="15" t="s">
        <v>3</v>
      </c>
      <c r="D27" s="52">
        <f t="shared" ref="D27:I27" ca="1" si="13">RATE(5,,-D11,D16)</f>
        <v>2.3424501212784433E-2</v>
      </c>
      <c r="E27" s="52">
        <f t="shared" si="13"/>
        <v>2.6371595405204982E-2</v>
      </c>
      <c r="F27" s="52">
        <f t="shared" si="13"/>
        <v>9.2504142000900472E-3</v>
      </c>
      <c r="G27" s="52">
        <f t="shared" si="13"/>
        <v>-1.5853207036211031E-3</v>
      </c>
      <c r="H27" s="52">
        <f t="shared" si="13"/>
        <v>3.4771774779357389E-2</v>
      </c>
      <c r="I27" s="52">
        <f t="shared" si="13"/>
        <v>1.2848550431781899E-2</v>
      </c>
      <c r="J27" s="52">
        <f t="shared" si="10"/>
        <v>1.1114366987058534E-2</v>
      </c>
      <c r="K27" s="52">
        <f t="shared" si="11"/>
        <v>1.8742981196131759E-2</v>
      </c>
      <c r="L27" s="52">
        <f t="shared" si="12"/>
        <v>1.7811004802647516E-2</v>
      </c>
      <c r="M27" s="52"/>
      <c r="N27" s="52"/>
      <c r="O27" s="52"/>
    </row>
    <row r="28" spans="2:15" x14ac:dyDescent="0.3">
      <c r="B28" s="15" t="s">
        <v>4</v>
      </c>
      <c r="D28" s="52">
        <f t="shared" ref="D28:I28" ca="1" si="14">RATE(10,,-D6,D16)</f>
        <v>2.540730336963044E-2</v>
      </c>
      <c r="E28" s="52">
        <f t="shared" si="14"/>
        <v>2.9584730775433506E-2</v>
      </c>
      <c r="F28" s="52">
        <f t="shared" si="14"/>
        <v>8.1053117758661669E-3</v>
      </c>
      <c r="G28" s="52">
        <f t="shared" si="14"/>
        <v>1.4945459131125573E-3</v>
      </c>
      <c r="H28" s="52">
        <f t="shared" si="14"/>
        <v>4.1514441573126594E-2</v>
      </c>
      <c r="I28" s="52">
        <f t="shared" si="14"/>
        <v>1.7264870920821213E-2</v>
      </c>
      <c r="J28" s="52">
        <f t="shared" si="10"/>
        <v>1.5423514837546327E-2</v>
      </c>
      <c r="K28" s="52">
        <f t="shared" si="11"/>
        <v>2.2504122806489918E-2</v>
      </c>
      <c r="L28" s="52">
        <f t="shared" si="12"/>
        <v>1.8845021275649836E-2</v>
      </c>
      <c r="M28" s="52"/>
      <c r="N28" s="52"/>
      <c r="O28" s="52"/>
    </row>
    <row r="29" spans="2:15" x14ac:dyDescent="0.3">
      <c r="B29" s="15" t="s">
        <v>5</v>
      </c>
      <c r="D29" s="52">
        <f ca="1">$C$51/D16</f>
        <v>2.1501647847415168E-2</v>
      </c>
      <c r="E29" s="52">
        <f>$C$71/E$16</f>
        <v>2.4136465922860253E-2</v>
      </c>
      <c r="F29" s="52">
        <f>$C$91/F$16</f>
        <v>1.0865447772301882E-2</v>
      </c>
      <c r="G29" s="52">
        <f>G28</f>
        <v>1.4945459131125573E-3</v>
      </c>
      <c r="H29" s="52">
        <f>$C$131/H$16</f>
        <v>3.9878829171843502E-2</v>
      </c>
      <c r="I29" s="52">
        <f>$C$151/I$16</f>
        <v>1.6615854698231472E-2</v>
      </c>
      <c r="J29" s="52">
        <f t="shared" si="10"/>
        <v>1.4852327656354615E-2</v>
      </c>
      <c r="K29" s="52">
        <f t="shared" si="11"/>
        <v>1.9494396789607432E-2</v>
      </c>
      <c r="L29" s="52">
        <f t="shared" si="12"/>
        <v>1.7500956847581066E-2</v>
      </c>
      <c r="M29" s="52"/>
      <c r="N29" s="52"/>
    </row>
    <row r="30" spans="2:15" x14ac:dyDescent="0.3">
      <c r="B30" s="15" t="s">
        <v>6</v>
      </c>
      <c r="D30" s="52">
        <f ca="1">$C$51/AVERAGE(D7:D16)</f>
        <v>2.4018908427746018E-2</v>
      </c>
      <c r="E30" s="52">
        <f>$C$71/AVERAGE(E7:E16)</f>
        <v>2.7127169439575823E-2</v>
      </c>
      <c r="F30" s="52">
        <f>$C$91/AVERAGE(F7:F16)</f>
        <v>1.1660552306702637E-2</v>
      </c>
      <c r="G30" s="52">
        <f>G28</f>
        <v>1.4945459131125573E-3</v>
      </c>
      <c r="H30" s="52">
        <f>$C$131/AVERAGE(H7:H16)</f>
        <v>4.6615967770712655E-2</v>
      </c>
      <c r="I30" s="52">
        <f>$C$151/AVERAGE(I7:I16)</f>
        <v>1.7574062351780616E-2</v>
      </c>
      <c r="J30" s="52">
        <f t="shared" si="10"/>
        <v>1.6474207061313043E-2</v>
      </c>
      <c r="K30" s="52">
        <f t="shared" si="11"/>
        <v>2.1800688250444435E-2</v>
      </c>
      <c r="L30" s="52">
        <f t="shared" si="12"/>
        <v>1.939386087313923E-2</v>
      </c>
      <c r="M30" s="52"/>
      <c r="N30" s="52"/>
    </row>
    <row r="31" spans="2:15" x14ac:dyDescent="0.3">
      <c r="B31" s="15" t="s">
        <v>7</v>
      </c>
      <c r="C31" s="15" t="s">
        <v>158</v>
      </c>
      <c r="D31" s="52">
        <f ca="1">EXP($O51)-1</f>
        <v>2.5146037645821018E-2</v>
      </c>
      <c r="E31" s="52">
        <f>EXP($O71)-1</f>
        <v>3.0837002156372417E-2</v>
      </c>
      <c r="F31" s="52">
        <f>EXP($O91)-1</f>
        <v>3.8289971786424903E-3</v>
      </c>
      <c r="G31" s="52">
        <f>EXP(O111)-1</f>
        <v>-1.1260099710056148E-2</v>
      </c>
      <c r="H31" s="52">
        <f>EXP($O131)-1</f>
        <v>4.5637827725607982E-2</v>
      </c>
      <c r="I31" s="52">
        <f>EXP($O151)-1</f>
        <v>2.0243913152319548E-2</v>
      </c>
      <c r="J31" s="52">
        <f t="shared" si="10"/>
        <v>1.2413687264396907E-2</v>
      </c>
      <c r="K31" s="52">
        <f t="shared" si="11"/>
        <v>2.1625344710384662E-2</v>
      </c>
      <c r="L31" s="52">
        <f t="shared" si="12"/>
        <v>1.7332999667507454E-2</v>
      </c>
      <c r="M31" s="52"/>
      <c r="N31" s="52"/>
    </row>
    <row r="32" spans="2:15" x14ac:dyDescent="0.3">
      <c r="C32" s="15" t="s">
        <v>159</v>
      </c>
    </row>
    <row r="33" spans="2:19" x14ac:dyDescent="0.3">
      <c r="B33" s="66" t="s">
        <v>160</v>
      </c>
    </row>
    <row r="34" spans="2:19" x14ac:dyDescent="0.3">
      <c r="B34" s="15" t="s">
        <v>125</v>
      </c>
      <c r="N34" s="15" t="s">
        <v>125</v>
      </c>
    </row>
    <row r="35" spans="2:19" ht="15" thickBot="1" x14ac:dyDescent="0.35"/>
    <row r="36" spans="2:19" x14ac:dyDescent="0.3">
      <c r="B36" s="2" t="s">
        <v>126</v>
      </c>
      <c r="C36" s="2"/>
      <c r="N36" s="2" t="s">
        <v>126</v>
      </c>
      <c r="O36" s="2"/>
    </row>
    <row r="37" spans="2:19" x14ac:dyDescent="0.3">
      <c r="B37" s="426" t="s">
        <v>127</v>
      </c>
      <c r="C37" s="6">
        <f ca="1">C38^0.5</f>
        <v>0.99062823284994872</v>
      </c>
      <c r="N37" s="426" t="s">
        <v>127</v>
      </c>
      <c r="O37" s="6">
        <f ca="1">O38^0.5</f>
        <v>0.99808027218119333</v>
      </c>
    </row>
    <row r="38" spans="2:19" x14ac:dyDescent="0.3">
      <c r="B38" s="426" t="s">
        <v>128</v>
      </c>
      <c r="C38" s="6">
        <f ca="1">X8</f>
        <v>0.98134429571941217</v>
      </c>
      <c r="N38" s="426" t="s">
        <v>128</v>
      </c>
      <c r="O38" s="6">
        <f ca="1">X14</f>
        <v>0.99616422971728491</v>
      </c>
    </row>
    <row r="39" spans="2:19" x14ac:dyDescent="0.3">
      <c r="B39" s="426" t="s">
        <v>129</v>
      </c>
      <c r="C39" s="7">
        <f ca="1">1-(1-C38)*(C41-1)/(C41-2)</f>
        <v>0.97901233268433874</v>
      </c>
      <c r="N39" s="426" t="s">
        <v>129</v>
      </c>
      <c r="O39" s="7">
        <f ca="1">1-(1-O38)*(O41-1)/(O41-2)</f>
        <v>0.99568475843194548</v>
      </c>
    </row>
    <row r="40" spans="2:19" x14ac:dyDescent="0.3">
      <c r="B40" s="426" t="s">
        <v>120</v>
      </c>
      <c r="C40" s="8">
        <f ca="1">Y8</f>
        <v>3977459.5689626765</v>
      </c>
      <c r="N40" s="426" t="s">
        <v>120</v>
      </c>
      <c r="O40" s="6">
        <f ca="1">Y14</f>
        <v>1.007941821532638E-2</v>
      </c>
    </row>
    <row r="41" spans="2:19" ht="15" thickBot="1" x14ac:dyDescent="0.35">
      <c r="B41" s="427" t="s">
        <v>130</v>
      </c>
      <c r="C41" s="427">
        <f ca="1">Y9+2</f>
        <v>10</v>
      </c>
      <c r="N41" s="427" t="s">
        <v>130</v>
      </c>
      <c r="O41" s="427">
        <f ca="1">Y15+1</f>
        <v>10</v>
      </c>
    </row>
    <row r="43" spans="2:19" ht="15" thickBot="1" x14ac:dyDescent="0.35">
      <c r="B43" s="15" t="s">
        <v>131</v>
      </c>
      <c r="N43" s="15" t="s">
        <v>131</v>
      </c>
    </row>
    <row r="44" spans="2:19" x14ac:dyDescent="0.3">
      <c r="B44" s="1"/>
      <c r="C44" s="1" t="s">
        <v>132</v>
      </c>
      <c r="D44" s="1" t="s">
        <v>133</v>
      </c>
      <c r="E44" s="1" t="s">
        <v>134</v>
      </c>
      <c r="F44" s="1" t="s">
        <v>135</v>
      </c>
      <c r="G44" s="1" t="s">
        <v>136</v>
      </c>
      <c r="N44" s="1"/>
      <c r="O44" s="1" t="s">
        <v>132</v>
      </c>
      <c r="P44" s="1" t="s">
        <v>133</v>
      </c>
      <c r="Q44" s="1" t="s">
        <v>134</v>
      </c>
      <c r="R44" s="1" t="s">
        <v>135</v>
      </c>
      <c r="S44" s="1" t="s">
        <v>136</v>
      </c>
    </row>
    <row r="45" spans="2:19" x14ac:dyDescent="0.3">
      <c r="B45" s="426" t="s">
        <v>137</v>
      </c>
      <c r="C45" s="426">
        <v>1</v>
      </c>
      <c r="D45" s="426">
        <f ca="1">X10</f>
        <v>6657501728477270</v>
      </c>
      <c r="E45" s="428">
        <f ca="1">D45/C45</f>
        <v>6657501728477270</v>
      </c>
      <c r="F45" s="6">
        <f ca="1">E45/E46</f>
        <v>420.82326390241963</v>
      </c>
      <c r="G45" s="426">
        <f ca="1">FDIST(F45,C45,C46)</f>
        <v>3.3371173510190748E-8</v>
      </c>
      <c r="N45" s="426" t="s">
        <v>137</v>
      </c>
      <c r="O45" s="426">
        <v>1</v>
      </c>
      <c r="P45" s="428">
        <f ca="1">X16</f>
        <v>0.23746072692130002</v>
      </c>
      <c r="Q45" s="428">
        <f ca="1">P45/O45</f>
        <v>0.23746072692130002</v>
      </c>
      <c r="R45" s="6">
        <f ca="1">Q45/Q46</f>
        <v>2337.3344613092031</v>
      </c>
      <c r="S45" s="426">
        <f ca="1">FDIST(R45,O45,O46)</f>
        <v>3.473751977782992E-12</v>
      </c>
    </row>
    <row r="46" spans="2:19" x14ac:dyDescent="0.3">
      <c r="B46" s="426" t="s">
        <v>138</v>
      </c>
      <c r="C46" s="426">
        <f ca="1">Y9</f>
        <v>8</v>
      </c>
      <c r="D46" s="426">
        <f ca="1">Y10</f>
        <v>126561476981862.09</v>
      </c>
      <c r="E46" s="428">
        <f ca="1">D46/C46</f>
        <v>15820184622732.762</v>
      </c>
      <c r="F46" s="426"/>
      <c r="G46" s="426"/>
      <c r="N46" s="426" t="s">
        <v>138</v>
      </c>
      <c r="O46" s="426">
        <f ca="1">Y15</f>
        <v>9</v>
      </c>
      <c r="P46" s="428">
        <f ca="1">Y16</f>
        <v>9.1435204403507908E-4</v>
      </c>
      <c r="Q46" s="428">
        <f ca="1">P46/O46</f>
        <v>1.0159467155945323E-4</v>
      </c>
      <c r="R46" s="426"/>
      <c r="S46" s="426"/>
    </row>
    <row r="47" spans="2:19" ht="15" thickBot="1" x14ac:dyDescent="0.35">
      <c r="B47" s="427" t="s">
        <v>0</v>
      </c>
      <c r="C47" s="427">
        <f ca="1">C45+C46</f>
        <v>9</v>
      </c>
      <c r="D47" s="427">
        <f ca="1">SUM(D45:D46)</f>
        <v>6784063205459132</v>
      </c>
      <c r="E47" s="427"/>
      <c r="F47" s="427"/>
      <c r="G47" s="427"/>
      <c r="N47" s="427" t="s">
        <v>0</v>
      </c>
      <c r="O47" s="427">
        <f ca="1">O45+O46</f>
        <v>10</v>
      </c>
      <c r="P47" s="429">
        <f ca="1">P45+P46</f>
        <v>0.23837507896533511</v>
      </c>
      <c r="Q47" s="427"/>
      <c r="R47" s="427"/>
      <c r="S47" s="427"/>
    </row>
    <row r="48" spans="2:19" ht="15" thickBot="1" x14ac:dyDescent="0.35"/>
    <row r="49" spans="2:19" x14ac:dyDescent="0.3">
      <c r="B49" s="1"/>
      <c r="C49" s="1" t="s">
        <v>139</v>
      </c>
      <c r="D49" s="1" t="s">
        <v>120</v>
      </c>
      <c r="E49" s="1" t="s">
        <v>140</v>
      </c>
      <c r="F49" s="1" t="s">
        <v>141</v>
      </c>
      <c r="N49" s="1"/>
      <c r="O49" s="1" t="s">
        <v>139</v>
      </c>
      <c r="P49" s="1" t="s">
        <v>120</v>
      </c>
      <c r="Q49" s="1" t="s">
        <v>140</v>
      </c>
      <c r="R49" s="1" t="s">
        <v>141</v>
      </c>
    </row>
    <row r="50" spans="2:19" x14ac:dyDescent="0.3">
      <c r="B50" s="426" t="s">
        <v>116</v>
      </c>
      <c r="C50" s="8">
        <f ca="1">Y6</f>
        <v>333579096.66876894</v>
      </c>
      <c r="D50" s="8">
        <f ca="1">Y7</f>
        <v>2337767.0302776401</v>
      </c>
      <c r="E50" s="6">
        <f ca="1">C50/D50</f>
        <v>142.6913342298065</v>
      </c>
      <c r="F50" s="7">
        <f ca="1">TDIST(ABS(E50),C46,2)</f>
        <v>6.5076329453751064E-15</v>
      </c>
      <c r="N50" s="426" t="s">
        <v>116</v>
      </c>
      <c r="O50" s="8">
        <f ca="1">Y12</f>
        <v>0</v>
      </c>
      <c r="P50" s="426" t="e">
        <v>#N/A</v>
      </c>
      <c r="Q50" s="426" t="e">
        <v>#N/A</v>
      </c>
      <c r="R50" s="426" t="e">
        <v>#N/A</v>
      </c>
    </row>
    <row r="51" spans="2:19" ht="15" thickBot="1" x14ac:dyDescent="0.35">
      <c r="B51" s="427" t="s">
        <v>161</v>
      </c>
      <c r="C51" s="9">
        <f ca="1">X6</f>
        <v>8983150.3743513804</v>
      </c>
      <c r="D51" s="9">
        <f ca="1">X7</f>
        <v>437903.88626830204</v>
      </c>
      <c r="E51" s="427">
        <f ca="1">C51/D51</f>
        <v>20.513977281415215</v>
      </c>
      <c r="F51" s="11">
        <f ca="1">TDIST(ABS(E51),C46,2)</f>
        <v>3.3371173510190748E-8</v>
      </c>
      <c r="N51" s="427" t="s">
        <v>162</v>
      </c>
      <c r="O51" s="10">
        <f ca="1">X12</f>
        <v>2.4835078193685921E-2</v>
      </c>
      <c r="P51" s="9">
        <f ca="1">X13</f>
        <v>5.1369471847663331E-4</v>
      </c>
      <c r="Q51" s="430">
        <f ca="1">O51/P51</f>
        <v>48.345987023838958</v>
      </c>
      <c r="R51" s="11">
        <f ca="1">TDIST(ABS(Q51),O46,2)</f>
        <v>3.4737519777829798E-12</v>
      </c>
    </row>
    <row r="53" spans="2:19" x14ac:dyDescent="0.3">
      <c r="B53" s="66" t="s">
        <v>163</v>
      </c>
    </row>
    <row r="54" spans="2:19" x14ac:dyDescent="0.3">
      <c r="B54" s="15" t="s">
        <v>125</v>
      </c>
      <c r="N54" s="15" t="s">
        <v>125</v>
      </c>
    </row>
    <row r="55" spans="2:19" ht="15" thickBot="1" x14ac:dyDescent="0.35"/>
    <row r="56" spans="2:19" x14ac:dyDescent="0.3">
      <c r="B56" s="2" t="s">
        <v>126</v>
      </c>
      <c r="C56" s="2"/>
      <c r="N56" s="2" t="s">
        <v>126</v>
      </c>
      <c r="O56" s="2"/>
    </row>
    <row r="57" spans="2:19" x14ac:dyDescent="0.3">
      <c r="B57" s="426" t="s">
        <v>127</v>
      </c>
      <c r="C57" s="426">
        <v>0.99581241202135751</v>
      </c>
      <c r="N57" s="426" t="s">
        <v>127</v>
      </c>
      <c r="O57" s="426">
        <v>0.99743949812299593</v>
      </c>
    </row>
    <row r="58" spans="2:19" x14ac:dyDescent="0.3">
      <c r="B58" s="426" t="s">
        <v>128</v>
      </c>
      <c r="C58" s="426">
        <v>0.99164235993579386</v>
      </c>
      <c r="N58" s="426" t="s">
        <v>128</v>
      </c>
      <c r="O58" s="426">
        <v>0.99488555241585408</v>
      </c>
    </row>
    <row r="59" spans="2:19" x14ac:dyDescent="0.3">
      <c r="B59" s="426" t="s">
        <v>129</v>
      </c>
      <c r="C59" s="426">
        <v>0.99059765492776819</v>
      </c>
      <c r="N59" s="426" t="s">
        <v>129</v>
      </c>
      <c r="O59" s="426">
        <v>0.88377444130474303</v>
      </c>
    </row>
    <row r="60" spans="2:19" x14ac:dyDescent="0.3">
      <c r="B60" s="426" t="s">
        <v>120</v>
      </c>
      <c r="C60" s="426">
        <v>1.0276904822332134</v>
      </c>
      <c r="N60" s="426" t="s">
        <v>120</v>
      </c>
      <c r="O60" s="426">
        <v>1.4242373612180472E-2</v>
      </c>
    </row>
    <row r="61" spans="2:19" ht="15" thickBot="1" x14ac:dyDescent="0.35">
      <c r="B61" s="427" t="s">
        <v>130</v>
      </c>
      <c r="C61" s="427">
        <v>10</v>
      </c>
      <c r="N61" s="427" t="s">
        <v>130</v>
      </c>
      <c r="O61" s="427">
        <v>10</v>
      </c>
    </row>
    <row r="63" spans="2:19" ht="15" thickBot="1" x14ac:dyDescent="0.35">
      <c r="B63" s="15" t="s">
        <v>131</v>
      </c>
      <c r="N63" s="15" t="s">
        <v>131</v>
      </c>
    </row>
    <row r="64" spans="2:19" x14ac:dyDescent="0.3">
      <c r="B64" s="1"/>
      <c r="C64" s="1" t="s">
        <v>132</v>
      </c>
      <c r="D64" s="1" t="s">
        <v>133</v>
      </c>
      <c r="E64" s="1" t="s">
        <v>134</v>
      </c>
      <c r="F64" s="1" t="s">
        <v>135</v>
      </c>
      <c r="G64" s="1" t="s">
        <v>136</v>
      </c>
      <c r="N64" s="1"/>
      <c r="O64" s="1" t="s">
        <v>132</v>
      </c>
      <c r="P64" s="1" t="s">
        <v>133</v>
      </c>
      <c r="Q64" s="1" t="s">
        <v>134</v>
      </c>
      <c r="R64" s="1" t="s">
        <v>135</v>
      </c>
      <c r="S64" s="1" t="s">
        <v>136</v>
      </c>
    </row>
    <row r="65" spans="2:22" x14ac:dyDescent="0.3">
      <c r="B65" s="426" t="s">
        <v>137</v>
      </c>
      <c r="C65" s="426">
        <v>1</v>
      </c>
      <c r="D65" s="426">
        <v>1002.5038806818186</v>
      </c>
      <c r="E65" s="426">
        <v>1002.5038806818186</v>
      </c>
      <c r="F65" s="426">
        <v>949.2080083063388</v>
      </c>
      <c r="G65" s="426">
        <v>1.3385967996906968E-9</v>
      </c>
      <c r="N65" s="426" t="s">
        <v>137</v>
      </c>
      <c r="O65" s="426">
        <v>1</v>
      </c>
      <c r="P65" s="426">
        <v>0.3551253296722654</v>
      </c>
      <c r="Q65" s="426">
        <v>0.3551253296722654</v>
      </c>
      <c r="R65" s="426">
        <v>1750.7208402132574</v>
      </c>
      <c r="S65" s="426">
        <v>1.1727950266634728E-10</v>
      </c>
    </row>
    <row r="66" spans="2:22" x14ac:dyDescent="0.3">
      <c r="B66" s="426" t="s">
        <v>138</v>
      </c>
      <c r="C66" s="426">
        <v>8</v>
      </c>
      <c r="D66" s="426">
        <v>8.4491818181818754</v>
      </c>
      <c r="E66" s="426">
        <v>1.0561477272727344</v>
      </c>
      <c r="F66" s="426"/>
      <c r="G66" s="426"/>
      <c r="N66" s="426" t="s">
        <v>138</v>
      </c>
      <c r="O66" s="426">
        <v>9</v>
      </c>
      <c r="P66" s="426">
        <v>1.8256068549804118E-3</v>
      </c>
      <c r="Q66" s="426">
        <v>2.0284520610893463E-4</v>
      </c>
      <c r="R66" s="426"/>
      <c r="S66" s="426"/>
    </row>
    <row r="67" spans="2:22" ht="15" thickBot="1" x14ac:dyDescent="0.35">
      <c r="B67" s="427" t="s">
        <v>0</v>
      </c>
      <c r="C67" s="427">
        <v>9</v>
      </c>
      <c r="D67" s="427">
        <v>1010.9530625000004</v>
      </c>
      <c r="E67" s="427"/>
      <c r="F67" s="427"/>
      <c r="G67" s="427"/>
      <c r="N67" s="427" t="s">
        <v>0</v>
      </c>
      <c r="O67" s="427">
        <v>10</v>
      </c>
      <c r="P67" s="427">
        <v>0.3569509365272458</v>
      </c>
      <c r="Q67" s="427"/>
      <c r="R67" s="427"/>
      <c r="S67" s="427"/>
    </row>
    <row r="68" spans="2:22" ht="15" thickBot="1" x14ac:dyDescent="0.35"/>
    <row r="69" spans="2:22" x14ac:dyDescent="0.3">
      <c r="B69" s="1"/>
      <c r="C69" s="1" t="s">
        <v>139</v>
      </c>
      <c r="D69" s="1" t="s">
        <v>120</v>
      </c>
      <c r="E69" s="1" t="s">
        <v>140</v>
      </c>
      <c r="F69" s="1" t="s">
        <v>141</v>
      </c>
      <c r="G69" s="1" t="s">
        <v>164</v>
      </c>
      <c r="H69" s="1" t="s">
        <v>165</v>
      </c>
      <c r="I69" s="1" t="s">
        <v>166</v>
      </c>
      <c r="J69" s="1" t="s">
        <v>167</v>
      </c>
      <c r="N69" s="1"/>
      <c r="O69" s="1" t="s">
        <v>139</v>
      </c>
      <c r="P69" s="1" t="s">
        <v>120</v>
      </c>
      <c r="Q69" s="1" t="s">
        <v>140</v>
      </c>
      <c r="R69" s="1" t="s">
        <v>141</v>
      </c>
      <c r="S69" s="1" t="s">
        <v>164</v>
      </c>
      <c r="T69" s="1" t="s">
        <v>165</v>
      </c>
      <c r="U69" s="1" t="s">
        <v>166</v>
      </c>
      <c r="V69" s="1" t="s">
        <v>167</v>
      </c>
    </row>
    <row r="70" spans="2:22" x14ac:dyDescent="0.3">
      <c r="B70" s="426" t="s">
        <v>116</v>
      </c>
      <c r="C70" s="426">
        <v>112.81590909090909</v>
      </c>
      <c r="D70" s="426">
        <v>0.604029000179506</v>
      </c>
      <c r="E70" s="426">
        <v>186.77233884032444</v>
      </c>
      <c r="F70" s="426">
        <v>7.5571675941325657E-16</v>
      </c>
      <c r="G70" s="426">
        <v>111.42301571871191</v>
      </c>
      <c r="H70" s="426">
        <v>114.20880246310627</v>
      </c>
      <c r="I70" s="426">
        <v>111.42301571871191</v>
      </c>
      <c r="J70" s="426">
        <v>114.20880246310627</v>
      </c>
      <c r="N70" s="426" t="s">
        <v>116</v>
      </c>
      <c r="O70" s="426">
        <v>0</v>
      </c>
      <c r="P70" s="426" t="e">
        <v>#N/A</v>
      </c>
      <c r="Q70" s="426" t="e">
        <v>#N/A</v>
      </c>
      <c r="R70" s="426" t="e">
        <v>#N/A</v>
      </c>
      <c r="S70" s="426" t="e">
        <v>#N/A</v>
      </c>
      <c r="T70" s="426" t="e">
        <v>#N/A</v>
      </c>
      <c r="U70" s="426" t="e">
        <v>#N/A</v>
      </c>
      <c r="V70" s="426" t="e">
        <v>#N/A</v>
      </c>
    </row>
    <row r="71" spans="2:22" ht="15" thickBot="1" x14ac:dyDescent="0.35">
      <c r="B71" s="427" t="s">
        <v>161</v>
      </c>
      <c r="C71" s="427">
        <v>3.4859090909090922</v>
      </c>
      <c r="D71" s="427">
        <v>0.11314499827040038</v>
      </c>
      <c r="E71" s="427">
        <v>30.809219534196885</v>
      </c>
      <c r="F71" s="427">
        <v>1.3385967996906921E-9</v>
      </c>
      <c r="G71" s="427">
        <v>3.2249962570198805</v>
      </c>
      <c r="H71" s="427">
        <v>3.7468219247983039</v>
      </c>
      <c r="I71" s="427">
        <v>3.2249962570198805</v>
      </c>
      <c r="J71" s="427">
        <v>3.7468219247983039</v>
      </c>
      <c r="N71" s="427" t="s">
        <v>161</v>
      </c>
      <c r="O71" s="427">
        <v>3.0371095694660011E-2</v>
      </c>
      <c r="P71" s="427">
        <v>7.2585857108531274E-4</v>
      </c>
      <c r="Q71" s="427">
        <v>41.841616128123654</v>
      </c>
      <c r="R71" s="427">
        <v>1.2684825608741141E-11</v>
      </c>
      <c r="S71" s="427">
        <v>2.8729089528900902E-2</v>
      </c>
      <c r="T71" s="427">
        <v>3.201310186041912E-2</v>
      </c>
      <c r="U71" s="427">
        <v>2.8729089528900902E-2</v>
      </c>
      <c r="V71" s="427">
        <v>3.201310186041912E-2</v>
      </c>
    </row>
    <row r="73" spans="2:22" x14ac:dyDescent="0.3">
      <c r="B73" s="66" t="s">
        <v>168</v>
      </c>
    </row>
    <row r="74" spans="2:22" x14ac:dyDescent="0.3">
      <c r="B74" s="15" t="s">
        <v>125</v>
      </c>
      <c r="N74" s="15" t="s">
        <v>125</v>
      </c>
    </row>
    <row r="75" spans="2:22" ht="15" thickBot="1" x14ac:dyDescent="0.35"/>
    <row r="76" spans="2:22" x14ac:dyDescent="0.3">
      <c r="B76" s="2" t="s">
        <v>126</v>
      </c>
      <c r="C76" s="2"/>
      <c r="N76" s="2" t="s">
        <v>126</v>
      </c>
      <c r="O76" s="2"/>
    </row>
    <row r="77" spans="2:22" x14ac:dyDescent="0.3">
      <c r="B77" s="426" t="s">
        <v>127</v>
      </c>
      <c r="C77" s="426">
        <v>0.8539237549024532</v>
      </c>
      <c r="N77" s="426" t="s">
        <v>127</v>
      </c>
      <c r="O77" s="426">
        <v>0.59121600434539667</v>
      </c>
    </row>
    <row r="78" spans="2:22" x14ac:dyDescent="0.3">
      <c r="B78" s="426" t="s">
        <v>128</v>
      </c>
      <c r="C78" s="426">
        <v>0.72918577918670491</v>
      </c>
      <c r="N78" s="426" t="s">
        <v>128</v>
      </c>
      <c r="O78" s="426">
        <v>0.34953636379413611</v>
      </c>
    </row>
    <row r="79" spans="2:22" x14ac:dyDescent="0.3">
      <c r="B79" s="426" t="s">
        <v>129</v>
      </c>
      <c r="C79" s="426">
        <v>0.69533400158504299</v>
      </c>
      <c r="N79" s="426" t="s">
        <v>129</v>
      </c>
      <c r="O79" s="426">
        <v>0.238425252683025</v>
      </c>
    </row>
    <row r="80" spans="2:22" x14ac:dyDescent="0.3">
      <c r="B80" s="426" t="s">
        <v>120</v>
      </c>
      <c r="C80" s="426">
        <v>3.1458054577666541</v>
      </c>
      <c r="N80" s="426" t="s">
        <v>120</v>
      </c>
      <c r="O80" s="426">
        <v>3.4098035060989601E-2</v>
      </c>
    </row>
    <row r="81" spans="2:22" ht="15" thickBot="1" x14ac:dyDescent="0.35">
      <c r="B81" s="427" t="s">
        <v>130</v>
      </c>
      <c r="C81" s="427">
        <v>10</v>
      </c>
      <c r="N81" s="427" t="s">
        <v>130</v>
      </c>
      <c r="O81" s="427">
        <v>10</v>
      </c>
    </row>
    <row r="83" spans="2:22" ht="15" thickBot="1" x14ac:dyDescent="0.35">
      <c r="B83" s="15" t="s">
        <v>131</v>
      </c>
      <c r="N83" s="15" t="s">
        <v>131</v>
      </c>
    </row>
    <row r="84" spans="2:22" x14ac:dyDescent="0.3">
      <c r="B84" s="1"/>
      <c r="C84" s="1" t="s">
        <v>132</v>
      </c>
      <c r="D84" s="1" t="s">
        <v>133</v>
      </c>
      <c r="E84" s="1" t="s">
        <v>134</v>
      </c>
      <c r="F84" s="1" t="s">
        <v>135</v>
      </c>
      <c r="G84" s="1" t="s">
        <v>136</v>
      </c>
      <c r="N84" s="1"/>
      <c r="O84" s="1" t="s">
        <v>132</v>
      </c>
      <c r="P84" s="1" t="s">
        <v>133</v>
      </c>
      <c r="Q84" s="1" t="s">
        <v>134</v>
      </c>
      <c r="R84" s="1" t="s">
        <v>135</v>
      </c>
      <c r="S84" s="1" t="s">
        <v>136</v>
      </c>
    </row>
    <row r="85" spans="2:22" x14ac:dyDescent="0.3">
      <c r="B85" s="426" t="s">
        <v>137</v>
      </c>
      <c r="C85" s="426">
        <v>1</v>
      </c>
      <c r="D85" s="426">
        <v>213.16722639730563</v>
      </c>
      <c r="E85" s="426">
        <v>213.16722639730563</v>
      </c>
      <c r="F85" s="426">
        <v>21.5405461942686</v>
      </c>
      <c r="G85" s="426">
        <v>1.6636559906818779E-3</v>
      </c>
      <c r="N85" s="426" t="s">
        <v>137</v>
      </c>
      <c r="O85" s="426">
        <v>1</v>
      </c>
      <c r="P85" s="426">
        <v>5.6230320229217201E-3</v>
      </c>
      <c r="Q85" s="426">
        <v>5.6230320229217201E-3</v>
      </c>
      <c r="R85" s="426">
        <v>4.8362846115376206</v>
      </c>
      <c r="S85" s="426">
        <v>5.9071654828544547E-2</v>
      </c>
    </row>
    <row r="86" spans="2:22" x14ac:dyDescent="0.3">
      <c r="B86" s="426" t="s">
        <v>138</v>
      </c>
      <c r="C86" s="426">
        <v>8</v>
      </c>
      <c r="D86" s="426">
        <v>79.168735824915743</v>
      </c>
      <c r="E86" s="426">
        <v>9.8960919781144678</v>
      </c>
      <c r="F86" s="426"/>
      <c r="G86" s="426"/>
      <c r="N86" s="426" t="s">
        <v>138</v>
      </c>
      <c r="O86" s="426">
        <v>9</v>
      </c>
      <c r="P86" s="426">
        <v>1.0464083955184285E-2</v>
      </c>
      <c r="Q86" s="426">
        <v>1.1626759950204761E-3</v>
      </c>
      <c r="R86" s="426"/>
      <c r="S86" s="426"/>
    </row>
    <row r="87" spans="2:22" ht="15" thickBot="1" x14ac:dyDescent="0.35">
      <c r="B87" s="427" t="s">
        <v>0</v>
      </c>
      <c r="C87" s="427">
        <v>9</v>
      </c>
      <c r="D87" s="427">
        <v>292.33596222222138</v>
      </c>
      <c r="E87" s="427"/>
      <c r="F87" s="427"/>
      <c r="G87" s="427"/>
      <c r="N87" s="427" t="s">
        <v>0</v>
      </c>
      <c r="O87" s="427">
        <v>10</v>
      </c>
      <c r="P87" s="427">
        <v>1.6087115978106005E-2</v>
      </c>
      <c r="Q87" s="427"/>
      <c r="R87" s="427"/>
      <c r="S87" s="427"/>
    </row>
    <row r="88" spans="2:22" ht="15" thickBot="1" x14ac:dyDescent="0.35"/>
    <row r="89" spans="2:22" x14ac:dyDescent="0.3">
      <c r="B89" s="1"/>
      <c r="C89" s="1" t="s">
        <v>139</v>
      </c>
      <c r="D89" s="1" t="s">
        <v>120</v>
      </c>
      <c r="E89" s="1" t="s">
        <v>140</v>
      </c>
      <c r="F89" s="1" t="s">
        <v>141</v>
      </c>
      <c r="G89" s="1" t="s">
        <v>164</v>
      </c>
      <c r="H89" s="1" t="s">
        <v>165</v>
      </c>
      <c r="I89" s="1" t="s">
        <v>166</v>
      </c>
      <c r="J89" s="1" t="s">
        <v>167</v>
      </c>
      <c r="N89" s="1"/>
      <c r="O89" s="1" t="s">
        <v>139</v>
      </c>
      <c r="P89" s="1" t="s">
        <v>120</v>
      </c>
      <c r="Q89" s="1" t="s">
        <v>140</v>
      </c>
      <c r="R89" s="1" t="s">
        <v>141</v>
      </c>
      <c r="S89" s="1" t="s">
        <v>164</v>
      </c>
      <c r="T89" s="1" t="s">
        <v>165</v>
      </c>
      <c r="U89" s="1" t="s">
        <v>166</v>
      </c>
      <c r="V89" s="1" t="s">
        <v>167</v>
      </c>
    </row>
    <row r="90" spans="2:22" x14ac:dyDescent="0.3">
      <c r="B90" s="426" t="s">
        <v>116</v>
      </c>
      <c r="C90" s="426">
        <v>130.6188787878788</v>
      </c>
      <c r="D90" s="426">
        <v>1.8489591547884197</v>
      </c>
      <c r="E90" s="426">
        <v>70.644545310588967</v>
      </c>
      <c r="F90" s="426">
        <v>1.7950836862962201E-12</v>
      </c>
      <c r="G90" s="426">
        <v>126.3551713311131</v>
      </c>
      <c r="H90" s="426">
        <v>134.8825862446445</v>
      </c>
      <c r="I90" s="426">
        <v>126.3551713311131</v>
      </c>
      <c r="J90" s="426">
        <v>134.8825862446445</v>
      </c>
      <c r="N90" s="426" t="s">
        <v>116</v>
      </c>
      <c r="O90" s="426">
        <v>0</v>
      </c>
      <c r="P90" s="426" t="e">
        <v>#N/A</v>
      </c>
      <c r="Q90" s="426" t="e">
        <v>#N/A</v>
      </c>
      <c r="R90" s="426" t="e">
        <v>#N/A</v>
      </c>
      <c r="S90" s="426" t="e">
        <v>#N/A</v>
      </c>
      <c r="T90" s="426" t="e">
        <v>#N/A</v>
      </c>
      <c r="U90" s="426" t="e">
        <v>#N/A</v>
      </c>
      <c r="V90" s="426" t="e">
        <v>#N/A</v>
      </c>
    </row>
    <row r="91" spans="2:22" ht="15" thickBot="1" x14ac:dyDescent="0.35">
      <c r="B91" s="427" t="s">
        <v>161</v>
      </c>
      <c r="C91" s="427">
        <v>1.6074343434343406</v>
      </c>
      <c r="D91" s="427">
        <v>0.34634178211378303</v>
      </c>
      <c r="E91" s="427">
        <v>4.6411793969064155</v>
      </c>
      <c r="F91" s="427">
        <v>1.6636559906818779E-3</v>
      </c>
      <c r="G91" s="427">
        <v>0.80876876168597622</v>
      </c>
      <c r="H91" s="427">
        <v>2.4060999251827049</v>
      </c>
      <c r="I91" s="427">
        <v>0.80876876168597622</v>
      </c>
      <c r="J91" s="427">
        <v>2.4060999251827049</v>
      </c>
      <c r="N91" s="427" t="s">
        <v>161</v>
      </c>
      <c r="O91" s="427">
        <v>3.8216852279609396E-3</v>
      </c>
      <c r="P91" s="427">
        <v>1.7377967802375035E-3</v>
      </c>
      <c r="Q91" s="427">
        <v>2.19915543141853</v>
      </c>
      <c r="R91" s="427">
        <v>5.541684378409914E-2</v>
      </c>
      <c r="S91" s="427">
        <v>-1.0948420594098776E-4</v>
      </c>
      <c r="T91" s="427">
        <v>7.7528546618628666E-3</v>
      </c>
      <c r="U91" s="427">
        <v>-1.0948420594098776E-4</v>
      </c>
      <c r="V91" s="427">
        <v>7.7528546618628666E-3</v>
      </c>
    </row>
    <row r="93" spans="2:22" x14ac:dyDescent="0.3">
      <c r="B93" s="66" t="s">
        <v>169</v>
      </c>
    </row>
    <row r="94" spans="2:22" x14ac:dyDescent="0.3">
      <c r="B94" s="15" t="s">
        <v>125</v>
      </c>
      <c r="N94" s="15" t="s">
        <v>125</v>
      </c>
    </row>
    <row r="95" spans="2:22" ht="15" thickBot="1" x14ac:dyDescent="0.35"/>
    <row r="96" spans="2:22" x14ac:dyDescent="0.3">
      <c r="B96" s="2" t="s">
        <v>126</v>
      </c>
      <c r="C96" s="2"/>
      <c r="N96" s="2" t="s">
        <v>126</v>
      </c>
      <c r="O96" s="2"/>
    </row>
    <row r="97" spans="2:22" x14ac:dyDescent="0.3">
      <c r="B97" s="426" t="s">
        <v>127</v>
      </c>
      <c r="C97" s="426">
        <v>1.6668821458723199E-2</v>
      </c>
      <c r="N97" s="426" t="s">
        <v>127</v>
      </c>
      <c r="O97" s="426">
        <v>0.69186038468533995</v>
      </c>
    </row>
    <row r="98" spans="2:22" x14ac:dyDescent="0.3">
      <c r="B98" s="426" t="s">
        <v>128</v>
      </c>
      <c r="C98" s="426">
        <v>2.7784960882279094E-4</v>
      </c>
      <c r="N98" s="426" t="s">
        <v>128</v>
      </c>
      <c r="O98" s="426">
        <v>0.4786707918969465</v>
      </c>
    </row>
    <row r="99" spans="2:22" x14ac:dyDescent="0.3">
      <c r="B99" s="426" t="s">
        <v>129</v>
      </c>
      <c r="C99" s="426">
        <v>-0.12468741919007437</v>
      </c>
      <c r="N99" s="426" t="s">
        <v>129</v>
      </c>
      <c r="O99" s="426">
        <v>0.3675596807858354</v>
      </c>
    </row>
    <row r="100" spans="2:22" x14ac:dyDescent="0.3">
      <c r="B100" s="426" t="s">
        <v>120</v>
      </c>
      <c r="C100" s="426">
        <v>9.5846433281198724</v>
      </c>
      <c r="N100" s="426" t="s">
        <v>120</v>
      </c>
      <c r="O100" s="426">
        <v>7.7293960425271743E-2</v>
      </c>
    </row>
    <row r="101" spans="2:22" ht="15" thickBot="1" x14ac:dyDescent="0.35">
      <c r="B101" s="427" t="s">
        <v>130</v>
      </c>
      <c r="C101" s="427">
        <v>10</v>
      </c>
      <c r="N101" s="427" t="s">
        <v>130</v>
      </c>
      <c r="O101" s="427">
        <v>10</v>
      </c>
    </row>
    <row r="103" spans="2:22" ht="15" thickBot="1" x14ac:dyDescent="0.35">
      <c r="B103" s="15" t="s">
        <v>131</v>
      </c>
      <c r="N103" s="15" t="s">
        <v>131</v>
      </c>
    </row>
    <row r="104" spans="2:22" x14ac:dyDescent="0.3">
      <c r="B104" s="1"/>
      <c r="C104" s="1" t="s">
        <v>132</v>
      </c>
      <c r="D104" s="1" t="s">
        <v>133</v>
      </c>
      <c r="E104" s="1" t="s">
        <v>134</v>
      </c>
      <c r="F104" s="1" t="s">
        <v>135</v>
      </c>
      <c r="G104" s="1" t="s">
        <v>136</v>
      </c>
      <c r="N104" s="1"/>
      <c r="O104" s="1" t="s">
        <v>132</v>
      </c>
      <c r="P104" s="1" t="s">
        <v>133</v>
      </c>
      <c r="Q104" s="1" t="s">
        <v>134</v>
      </c>
      <c r="R104" s="1" t="s">
        <v>135</v>
      </c>
      <c r="S104" s="1" t="s">
        <v>136</v>
      </c>
    </row>
    <row r="105" spans="2:22" x14ac:dyDescent="0.3">
      <c r="B105" s="426" t="s">
        <v>137</v>
      </c>
      <c r="C105" s="426">
        <v>1</v>
      </c>
      <c r="D105" s="426">
        <v>0.20425484848476572</v>
      </c>
      <c r="E105" s="426">
        <v>0.20425484848476572</v>
      </c>
      <c r="F105" s="426">
        <v>2.2234146454718226E-3</v>
      </c>
      <c r="G105" s="426">
        <v>0.96354708261350652</v>
      </c>
      <c r="N105" s="426" t="s">
        <v>137</v>
      </c>
      <c r="O105" s="426">
        <v>1</v>
      </c>
      <c r="P105" s="426">
        <v>4.9369474085133772E-2</v>
      </c>
      <c r="Q105" s="426">
        <v>4.9369474085133772E-2</v>
      </c>
      <c r="R105" s="426">
        <v>8.2635637138921432</v>
      </c>
      <c r="S105" s="426">
        <v>2.068098383843504E-2</v>
      </c>
    </row>
    <row r="106" spans="2:22" x14ac:dyDescent="0.3">
      <c r="B106" s="426" t="s">
        <v>138</v>
      </c>
      <c r="C106" s="426">
        <v>8</v>
      </c>
      <c r="D106" s="426">
        <v>734.9231018181822</v>
      </c>
      <c r="E106" s="426">
        <v>91.865387727272775</v>
      </c>
      <c r="F106" s="426"/>
      <c r="G106" s="426"/>
      <c r="N106" s="426" t="s">
        <v>138</v>
      </c>
      <c r="O106" s="426">
        <v>9</v>
      </c>
      <c r="P106" s="426">
        <v>5.3769206864011279E-2</v>
      </c>
      <c r="Q106" s="426">
        <v>5.9743563182234755E-3</v>
      </c>
      <c r="R106" s="426"/>
      <c r="S106" s="426"/>
    </row>
    <row r="107" spans="2:22" ht="15" thickBot="1" x14ac:dyDescent="0.35">
      <c r="B107" s="427" t="s">
        <v>0</v>
      </c>
      <c r="C107" s="427">
        <v>9</v>
      </c>
      <c r="D107" s="427">
        <v>735.12735666666697</v>
      </c>
      <c r="E107" s="427"/>
      <c r="F107" s="427"/>
      <c r="G107" s="427"/>
      <c r="N107" s="427" t="s">
        <v>0</v>
      </c>
      <c r="O107" s="427">
        <v>10</v>
      </c>
      <c r="P107" s="427">
        <v>0.10313868094914505</v>
      </c>
      <c r="Q107" s="427"/>
      <c r="R107" s="427"/>
      <c r="S107" s="427"/>
    </row>
    <row r="108" spans="2:22" ht="15" thickBot="1" x14ac:dyDescent="0.35"/>
    <row r="109" spans="2:22" x14ac:dyDescent="0.3">
      <c r="B109" s="1"/>
      <c r="C109" s="1" t="s">
        <v>139</v>
      </c>
      <c r="D109" s="1" t="s">
        <v>120</v>
      </c>
      <c r="E109" s="1" t="s">
        <v>140</v>
      </c>
      <c r="F109" s="1" t="s">
        <v>141</v>
      </c>
      <c r="G109" s="1" t="s">
        <v>164</v>
      </c>
      <c r="H109" s="1" t="s">
        <v>165</v>
      </c>
      <c r="I109" s="1" t="s">
        <v>166</v>
      </c>
      <c r="J109" s="1" t="s">
        <v>167</v>
      </c>
      <c r="N109" s="1"/>
      <c r="O109" s="1" t="s">
        <v>139</v>
      </c>
      <c r="P109" s="1" t="s">
        <v>120</v>
      </c>
      <c r="Q109" s="1" t="s">
        <v>140</v>
      </c>
      <c r="R109" s="1" t="s">
        <v>141</v>
      </c>
      <c r="S109" s="1" t="s">
        <v>164</v>
      </c>
      <c r="T109" s="1" t="s">
        <v>165</v>
      </c>
      <c r="U109" s="1" t="s">
        <v>166</v>
      </c>
      <c r="V109" s="1" t="s">
        <v>167</v>
      </c>
    </row>
    <row r="110" spans="2:22" x14ac:dyDescent="0.3">
      <c r="B110" s="426" t="s">
        <v>116</v>
      </c>
      <c r="C110" s="426">
        <v>134.50509090909094</v>
      </c>
      <c r="D110" s="426">
        <v>5.6334106685320391</v>
      </c>
      <c r="E110" s="426">
        <v>23.876315579197858</v>
      </c>
      <c r="F110" s="426">
        <v>1.0085309832123778E-8</v>
      </c>
      <c r="G110" s="426">
        <v>121.51442261215279</v>
      </c>
      <c r="H110" s="426">
        <v>147.49575920602911</v>
      </c>
      <c r="I110" s="426">
        <v>121.51442261215279</v>
      </c>
      <c r="J110" s="426">
        <v>147.49575920602911</v>
      </c>
      <c r="N110" s="426" t="s">
        <v>116</v>
      </c>
      <c r="O110" s="426">
        <v>0</v>
      </c>
      <c r="P110" s="426" t="e">
        <v>#N/A</v>
      </c>
      <c r="Q110" s="426" t="e">
        <v>#N/A</v>
      </c>
      <c r="R110" s="426" t="e">
        <v>#N/A</v>
      </c>
      <c r="S110" s="426" t="e">
        <v>#N/A</v>
      </c>
      <c r="T110" s="426" t="e">
        <v>#N/A</v>
      </c>
      <c r="U110" s="426" t="e">
        <v>#N/A</v>
      </c>
      <c r="V110" s="426" t="e">
        <v>#N/A</v>
      </c>
    </row>
    <row r="111" spans="2:22" ht="15" thickBot="1" x14ac:dyDescent="0.35">
      <c r="B111" s="427" t="s">
        <v>161</v>
      </c>
      <c r="C111" s="427">
        <v>4.975757575757471E-2</v>
      </c>
      <c r="D111" s="427">
        <v>1.0552345005920107</v>
      </c>
      <c r="E111" s="427">
        <v>4.7153097941414507E-2</v>
      </c>
      <c r="F111" s="427">
        <v>0.96354708261349997</v>
      </c>
      <c r="G111" s="427">
        <v>-2.3836175462177063</v>
      </c>
      <c r="H111" s="427">
        <v>2.4831326977328554</v>
      </c>
      <c r="I111" s="427">
        <v>-2.3836175462177063</v>
      </c>
      <c r="J111" s="427">
        <v>2.4831326977328554</v>
      </c>
      <c r="N111" s="427" t="s">
        <v>161</v>
      </c>
      <c r="O111" s="427">
        <v>-1.1323974577025803E-2</v>
      </c>
      <c r="P111" s="427">
        <v>3.9392649845830727E-3</v>
      </c>
      <c r="Q111" s="427">
        <v>-2.8746414931069482</v>
      </c>
      <c r="R111" s="427">
        <v>1.8337446715038244E-2</v>
      </c>
      <c r="S111" s="427">
        <v>-2.0235211078060561E-2</v>
      </c>
      <c r="T111" s="427">
        <v>-2.4127380759910427E-3</v>
      </c>
      <c r="U111" s="427">
        <v>-2.0235211078060561E-2</v>
      </c>
      <c r="V111" s="427">
        <v>-2.4127380759910427E-3</v>
      </c>
    </row>
    <row r="113" spans="2:19" x14ac:dyDescent="0.3">
      <c r="B113" s="66" t="s">
        <v>170</v>
      </c>
    </row>
    <row r="114" spans="2:19" x14ac:dyDescent="0.3">
      <c r="B114" s="15" t="s">
        <v>125</v>
      </c>
      <c r="N114" s="15" t="s">
        <v>125</v>
      </c>
    </row>
    <row r="115" spans="2:19" ht="15" thickBot="1" x14ac:dyDescent="0.35"/>
    <row r="116" spans="2:19" x14ac:dyDescent="0.3">
      <c r="B116" s="2" t="s">
        <v>126</v>
      </c>
      <c r="C116" s="2"/>
      <c r="N116" s="2" t="s">
        <v>126</v>
      </c>
      <c r="O116" s="2"/>
    </row>
    <row r="117" spans="2:19" x14ac:dyDescent="0.3">
      <c r="B117" s="426" t="s">
        <v>127</v>
      </c>
      <c r="C117" s="426">
        <v>0.98786599924949114</v>
      </c>
      <c r="N117" s="426" t="s">
        <v>127</v>
      </c>
      <c r="O117" s="426">
        <v>0.99572195225349081</v>
      </c>
    </row>
    <row r="118" spans="2:19" x14ac:dyDescent="0.3">
      <c r="B118" s="426" t="s">
        <v>128</v>
      </c>
      <c r="C118" s="426">
        <v>0.97587923247319575</v>
      </c>
      <c r="N118" s="426" t="s">
        <v>128</v>
      </c>
      <c r="O118" s="426">
        <v>0.99146220619950309</v>
      </c>
    </row>
    <row r="119" spans="2:19" x14ac:dyDescent="0.3">
      <c r="B119" s="426" t="s">
        <v>129</v>
      </c>
      <c r="C119" s="426">
        <v>0.97286413653234516</v>
      </c>
      <c r="N119" s="426" t="s">
        <v>129</v>
      </c>
      <c r="O119" s="426">
        <v>0.88035109508839204</v>
      </c>
    </row>
    <row r="120" spans="2:19" x14ac:dyDescent="0.3">
      <c r="B120" s="426" t="s">
        <v>120</v>
      </c>
      <c r="C120" s="426">
        <v>3.3490266275220741</v>
      </c>
      <c r="N120" s="426" t="s">
        <v>120</v>
      </c>
      <c r="O120" s="426">
        <v>2.7085829627688834E-2</v>
      </c>
    </row>
    <row r="121" spans="2:19" ht="15" thickBot="1" x14ac:dyDescent="0.35">
      <c r="B121" s="427" t="s">
        <v>130</v>
      </c>
      <c r="C121" s="427">
        <v>10</v>
      </c>
      <c r="N121" s="427" t="s">
        <v>130</v>
      </c>
      <c r="O121" s="427">
        <v>10</v>
      </c>
    </row>
    <row r="123" spans="2:19" ht="15" thickBot="1" x14ac:dyDescent="0.35">
      <c r="B123" s="15" t="s">
        <v>131</v>
      </c>
      <c r="N123" s="15" t="s">
        <v>131</v>
      </c>
    </row>
    <row r="124" spans="2:19" x14ac:dyDescent="0.3">
      <c r="B124" s="1"/>
      <c r="C124" s="1" t="s">
        <v>132</v>
      </c>
      <c r="D124" s="1" t="s">
        <v>133</v>
      </c>
      <c r="E124" s="1" t="s">
        <v>134</v>
      </c>
      <c r="F124" s="1" t="s">
        <v>135</v>
      </c>
      <c r="G124" s="1" t="s">
        <v>136</v>
      </c>
      <c r="N124" s="1"/>
      <c r="O124" s="1" t="s">
        <v>132</v>
      </c>
      <c r="P124" s="1" t="s">
        <v>133</v>
      </c>
      <c r="Q124" s="1" t="s">
        <v>134</v>
      </c>
      <c r="R124" s="1" t="s">
        <v>135</v>
      </c>
      <c r="S124" s="1" t="s">
        <v>136</v>
      </c>
    </row>
    <row r="125" spans="2:19" x14ac:dyDescent="0.3">
      <c r="B125" s="426" t="s">
        <v>137</v>
      </c>
      <c r="C125" s="426">
        <v>1</v>
      </c>
      <c r="D125" s="426">
        <v>3630.2132787962996</v>
      </c>
      <c r="E125" s="426">
        <v>3630.2132787962996</v>
      </c>
      <c r="F125" s="426">
        <v>323.66440458870073</v>
      </c>
      <c r="G125" s="426">
        <v>9.346657904327717E-8</v>
      </c>
      <c r="N125" s="426" t="s">
        <v>137</v>
      </c>
      <c r="O125" s="426">
        <v>1</v>
      </c>
      <c r="P125" s="426">
        <v>0.76675619986547872</v>
      </c>
      <c r="Q125" s="426">
        <v>0.76675619986547872</v>
      </c>
      <c r="R125" s="426">
        <v>1045.1364912650065</v>
      </c>
      <c r="S125" s="426">
        <v>9.132785948423092E-10</v>
      </c>
    </row>
    <row r="126" spans="2:19" x14ac:dyDescent="0.3">
      <c r="B126" s="426" t="s">
        <v>138</v>
      </c>
      <c r="C126" s="426">
        <v>8</v>
      </c>
      <c r="D126" s="426">
        <v>89.727834814815026</v>
      </c>
      <c r="E126" s="426">
        <v>11.215979351851878</v>
      </c>
      <c r="F126" s="426"/>
      <c r="G126" s="426"/>
      <c r="N126" s="426" t="s">
        <v>138</v>
      </c>
      <c r="O126" s="426">
        <v>9</v>
      </c>
      <c r="P126" s="426">
        <v>6.602779499581676E-3</v>
      </c>
      <c r="Q126" s="426">
        <v>7.3364216662018624E-4</v>
      </c>
      <c r="R126" s="426"/>
      <c r="S126" s="426"/>
    </row>
    <row r="127" spans="2:19" ht="15" thickBot="1" x14ac:dyDescent="0.35">
      <c r="B127" s="427" t="s">
        <v>0</v>
      </c>
      <c r="C127" s="427">
        <v>9</v>
      </c>
      <c r="D127" s="427">
        <v>3719.9411136111148</v>
      </c>
      <c r="E127" s="427"/>
      <c r="F127" s="427"/>
      <c r="G127" s="427"/>
      <c r="N127" s="427" t="s">
        <v>0</v>
      </c>
      <c r="O127" s="427">
        <v>10</v>
      </c>
      <c r="P127" s="427">
        <v>0.77335897936506037</v>
      </c>
      <c r="Q127" s="427"/>
      <c r="R127" s="427"/>
      <c r="S127" s="427"/>
    </row>
    <row r="128" spans="2:19" ht="15" thickBot="1" x14ac:dyDescent="0.35"/>
    <row r="129" spans="2:22" x14ac:dyDescent="0.3">
      <c r="B129" s="1"/>
      <c r="C129" s="1" t="s">
        <v>139</v>
      </c>
      <c r="D129" s="1" t="s">
        <v>120</v>
      </c>
      <c r="E129" s="1" t="s">
        <v>140</v>
      </c>
      <c r="F129" s="1" t="s">
        <v>141</v>
      </c>
      <c r="G129" s="1" t="s">
        <v>164</v>
      </c>
      <c r="H129" s="1" t="s">
        <v>165</v>
      </c>
      <c r="I129" s="1" t="s">
        <v>166</v>
      </c>
      <c r="J129" s="1" t="s">
        <v>167</v>
      </c>
      <c r="N129" s="1"/>
      <c r="O129" s="1" t="s">
        <v>139</v>
      </c>
      <c r="P129" s="1" t="s">
        <v>120</v>
      </c>
      <c r="Q129" s="1" t="s">
        <v>140</v>
      </c>
      <c r="R129" s="1" t="s">
        <v>141</v>
      </c>
      <c r="S129" s="1" t="s">
        <v>164</v>
      </c>
      <c r="T129" s="1" t="s">
        <v>165</v>
      </c>
      <c r="U129" s="1" t="s">
        <v>166</v>
      </c>
      <c r="V129" s="1" t="s">
        <v>167</v>
      </c>
    </row>
    <row r="130" spans="2:22" x14ac:dyDescent="0.3">
      <c r="B130" s="426" t="s">
        <v>116</v>
      </c>
      <c r="C130" s="426">
        <v>112.4493333333333</v>
      </c>
      <c r="D130" s="426">
        <v>1.9684031723256183</v>
      </c>
      <c r="E130" s="426">
        <v>57.127185585906808</v>
      </c>
      <c r="F130" s="426">
        <v>9.7869512537372912E-12</v>
      </c>
      <c r="G130" s="426">
        <v>107.91018747820142</v>
      </c>
      <c r="H130" s="426">
        <v>116.98847918846518</v>
      </c>
      <c r="I130" s="426">
        <v>107.91018747820142</v>
      </c>
      <c r="J130" s="426">
        <v>116.98847918846518</v>
      </c>
      <c r="N130" s="426" t="s">
        <v>116</v>
      </c>
      <c r="O130" s="426">
        <v>0</v>
      </c>
      <c r="P130" s="426" t="e">
        <v>#N/A</v>
      </c>
      <c r="Q130" s="426" t="e">
        <v>#N/A</v>
      </c>
      <c r="R130" s="426" t="e">
        <v>#N/A</v>
      </c>
      <c r="S130" s="426" t="e">
        <v>#N/A</v>
      </c>
      <c r="T130" s="426" t="e">
        <v>#N/A</v>
      </c>
      <c r="U130" s="426" t="e">
        <v>#N/A</v>
      </c>
      <c r="V130" s="426" t="e">
        <v>#N/A</v>
      </c>
    </row>
    <row r="131" spans="2:22" ht="15" thickBot="1" x14ac:dyDescent="0.35">
      <c r="B131" s="427" t="s">
        <v>161</v>
      </c>
      <c r="C131" s="427">
        <v>6.6334444444444483</v>
      </c>
      <c r="D131" s="427">
        <v>0.36871569653451408</v>
      </c>
      <c r="E131" s="427">
        <v>17.99067549006153</v>
      </c>
      <c r="F131" s="427">
        <v>9.346657904327717E-8</v>
      </c>
      <c r="G131" s="427">
        <v>5.7831845235211743</v>
      </c>
      <c r="H131" s="427">
        <v>7.4837043653677222</v>
      </c>
      <c r="I131" s="427">
        <v>5.7831845235211743</v>
      </c>
      <c r="J131" s="427">
        <v>7.4837043653677222</v>
      </c>
      <c r="N131" s="427" t="s">
        <v>161</v>
      </c>
      <c r="O131" s="427">
        <v>4.4627060681890533E-2</v>
      </c>
      <c r="P131" s="427">
        <v>1.3804216997509639E-3</v>
      </c>
      <c r="Q131" s="427">
        <v>32.328570820019358</v>
      </c>
      <c r="R131" s="427">
        <v>1.2745517978741639E-10</v>
      </c>
      <c r="S131" s="427">
        <v>4.1504329846116815E-2</v>
      </c>
      <c r="T131" s="427">
        <v>4.7749791517664252E-2</v>
      </c>
      <c r="U131" s="427">
        <v>4.1504329846116815E-2</v>
      </c>
      <c r="V131" s="427">
        <v>4.7749791517664252E-2</v>
      </c>
    </row>
    <row r="133" spans="2:22" x14ac:dyDescent="0.3">
      <c r="B133" s="66" t="s">
        <v>171</v>
      </c>
    </row>
    <row r="134" spans="2:22" x14ac:dyDescent="0.3">
      <c r="B134" s="15" t="s">
        <v>125</v>
      </c>
      <c r="N134" s="15" t="s">
        <v>125</v>
      </c>
    </row>
    <row r="135" spans="2:22" ht="15" thickBot="1" x14ac:dyDescent="0.35"/>
    <row r="136" spans="2:22" x14ac:dyDescent="0.3">
      <c r="B136" s="2" t="s">
        <v>126</v>
      </c>
      <c r="C136" s="2"/>
      <c r="N136" s="2" t="s">
        <v>126</v>
      </c>
      <c r="O136" s="2"/>
    </row>
    <row r="137" spans="2:22" x14ac:dyDescent="0.3">
      <c r="B137" s="426" t="s">
        <v>127</v>
      </c>
      <c r="C137" s="426">
        <v>0.97968934236420235</v>
      </c>
      <c r="N137" s="426" t="s">
        <v>127</v>
      </c>
      <c r="O137" s="426">
        <v>0.9944552899959106</v>
      </c>
    </row>
    <row r="138" spans="2:22" x14ac:dyDescent="0.3">
      <c r="B138" s="426" t="s">
        <v>128</v>
      </c>
      <c r="C138" s="426">
        <v>0.9597912075420032</v>
      </c>
      <c r="N138" s="426" t="s">
        <v>128</v>
      </c>
      <c r="O138" s="426">
        <v>0.98894132380085065</v>
      </c>
    </row>
    <row r="139" spans="2:22" x14ac:dyDescent="0.3">
      <c r="B139" s="426" t="s">
        <v>129</v>
      </c>
      <c r="C139" s="426">
        <v>0.95476510848475371</v>
      </c>
      <c r="N139" s="426" t="s">
        <v>129</v>
      </c>
      <c r="O139" s="426">
        <v>0.8778302126897396</v>
      </c>
    </row>
    <row r="140" spans="2:22" x14ac:dyDescent="0.3">
      <c r="B140" s="426" t="s">
        <v>120</v>
      </c>
      <c r="C140" s="426">
        <v>1.6174536965359194</v>
      </c>
      <c r="N140" s="426" t="s">
        <v>120</v>
      </c>
      <c r="O140" s="426">
        <v>1.3861512135917639E-2</v>
      </c>
    </row>
    <row r="141" spans="2:22" ht="15" thickBot="1" x14ac:dyDescent="0.35">
      <c r="B141" s="427" t="s">
        <v>130</v>
      </c>
      <c r="C141" s="427">
        <v>10</v>
      </c>
      <c r="N141" s="427" t="s">
        <v>130</v>
      </c>
      <c r="O141" s="427">
        <v>10</v>
      </c>
    </row>
    <row r="143" spans="2:22" ht="15" thickBot="1" x14ac:dyDescent="0.35">
      <c r="B143" s="15" t="s">
        <v>131</v>
      </c>
      <c r="N143" s="15" t="s">
        <v>131</v>
      </c>
    </row>
    <row r="144" spans="2:22" x14ac:dyDescent="0.3">
      <c r="B144" s="1"/>
      <c r="C144" s="1" t="s">
        <v>132</v>
      </c>
      <c r="D144" s="1" t="s">
        <v>133</v>
      </c>
      <c r="E144" s="1" t="s">
        <v>134</v>
      </c>
      <c r="F144" s="1" t="s">
        <v>135</v>
      </c>
      <c r="G144" s="1" t="s">
        <v>136</v>
      </c>
      <c r="N144" s="1"/>
      <c r="O144" s="1" t="s">
        <v>132</v>
      </c>
      <c r="P144" s="1" t="s">
        <v>133</v>
      </c>
      <c r="Q144" s="1" t="s">
        <v>134</v>
      </c>
      <c r="R144" s="1" t="s">
        <v>135</v>
      </c>
      <c r="S144" s="1" t="s">
        <v>136</v>
      </c>
    </row>
    <row r="145" spans="2:22" x14ac:dyDescent="0.3">
      <c r="B145" s="426" t="s">
        <v>137</v>
      </c>
      <c r="C145" s="426">
        <v>1</v>
      </c>
      <c r="D145" s="426">
        <v>499.58505387205378</v>
      </c>
      <c r="E145" s="426">
        <v>499.58505387205378</v>
      </c>
      <c r="F145" s="426">
        <v>190.96145869978585</v>
      </c>
      <c r="G145" s="426">
        <v>7.2652312818603902E-7</v>
      </c>
      <c r="N145" s="426" t="s">
        <v>137</v>
      </c>
      <c r="O145" s="426">
        <v>1</v>
      </c>
      <c r="P145" s="426">
        <v>0.15464330087017245</v>
      </c>
      <c r="Q145" s="426">
        <v>0.15464330087017245</v>
      </c>
      <c r="R145" s="426">
        <v>804.84062955856598</v>
      </c>
      <c r="S145" s="426">
        <v>2.575807106510521E-9</v>
      </c>
    </row>
    <row r="146" spans="2:22" x14ac:dyDescent="0.3">
      <c r="B146" s="426" t="s">
        <v>138</v>
      </c>
      <c r="C146" s="426">
        <v>8</v>
      </c>
      <c r="D146" s="426">
        <v>20.929251683501683</v>
      </c>
      <c r="E146" s="426">
        <v>2.6161564604377103</v>
      </c>
      <c r="F146" s="426"/>
      <c r="G146" s="426"/>
      <c r="N146" s="426" t="s">
        <v>138</v>
      </c>
      <c r="O146" s="426">
        <v>9</v>
      </c>
      <c r="P146" s="426">
        <v>1.7292736682477279E-3</v>
      </c>
      <c r="Q146" s="426">
        <v>1.9214151869419198E-4</v>
      </c>
      <c r="R146" s="426"/>
      <c r="S146" s="426"/>
    </row>
    <row r="147" spans="2:22" ht="15" thickBot="1" x14ac:dyDescent="0.35">
      <c r="B147" s="427" t="s">
        <v>0</v>
      </c>
      <c r="C147" s="427">
        <v>9</v>
      </c>
      <c r="D147" s="427">
        <v>520.51430555555544</v>
      </c>
      <c r="E147" s="427"/>
      <c r="F147" s="427"/>
      <c r="G147" s="427"/>
      <c r="N147" s="427" t="s">
        <v>0</v>
      </c>
      <c r="O147" s="427">
        <v>10</v>
      </c>
      <c r="P147" s="427">
        <v>0.15637257453842018</v>
      </c>
      <c r="Q147" s="427"/>
      <c r="R147" s="427"/>
      <c r="S147" s="427"/>
    </row>
    <row r="148" spans="2:22" ht="15" thickBot="1" x14ac:dyDescent="0.35"/>
    <row r="149" spans="2:22" x14ac:dyDescent="0.3">
      <c r="B149" s="1"/>
      <c r="C149" s="1" t="s">
        <v>139</v>
      </c>
      <c r="D149" s="1" t="s">
        <v>120</v>
      </c>
      <c r="E149" s="1" t="s">
        <v>140</v>
      </c>
      <c r="F149" s="1" t="s">
        <v>141</v>
      </c>
      <c r="G149" s="1" t="s">
        <v>164</v>
      </c>
      <c r="H149" s="1" t="s">
        <v>165</v>
      </c>
      <c r="I149" s="1" t="s">
        <v>166</v>
      </c>
      <c r="J149" s="1" t="s">
        <v>167</v>
      </c>
      <c r="N149" s="1"/>
      <c r="O149" s="1" t="s">
        <v>139</v>
      </c>
      <c r="P149" s="1" t="s">
        <v>120</v>
      </c>
      <c r="Q149" s="1" t="s">
        <v>140</v>
      </c>
      <c r="R149" s="1" t="s">
        <v>141</v>
      </c>
      <c r="S149" s="1" t="s">
        <v>164</v>
      </c>
      <c r="T149" s="1" t="s">
        <v>165</v>
      </c>
      <c r="U149" s="1" t="s">
        <v>166</v>
      </c>
      <c r="V149" s="1" t="s">
        <v>167</v>
      </c>
    </row>
    <row r="150" spans="2:22" x14ac:dyDescent="0.3">
      <c r="B150" s="426" t="s">
        <v>116</v>
      </c>
      <c r="C150" s="426">
        <v>128.95136363636365</v>
      </c>
      <c r="D150" s="426">
        <v>0.95066457853360764</v>
      </c>
      <c r="E150" s="426">
        <v>135.64338731886917</v>
      </c>
      <c r="F150" s="426">
        <v>9.7577426103238244E-15</v>
      </c>
      <c r="G150" s="426">
        <v>126.75912718707302</v>
      </c>
      <c r="H150" s="426">
        <v>131.14360008565427</v>
      </c>
      <c r="I150" s="426">
        <v>126.75912718707302</v>
      </c>
      <c r="J150" s="426">
        <v>131.14360008565427</v>
      </c>
      <c r="N150" s="426" t="s">
        <v>116</v>
      </c>
      <c r="O150" s="426">
        <v>0</v>
      </c>
      <c r="P150" s="426" t="e">
        <v>#N/A</v>
      </c>
      <c r="Q150" s="426" t="e">
        <v>#N/A</v>
      </c>
      <c r="R150" s="426" t="e">
        <v>#N/A</v>
      </c>
      <c r="S150" s="426" t="e">
        <v>#N/A</v>
      </c>
      <c r="T150" s="426" t="e">
        <v>#N/A</v>
      </c>
      <c r="U150" s="426" t="e">
        <v>#N/A</v>
      </c>
      <c r="V150" s="426" t="e">
        <v>#N/A</v>
      </c>
    </row>
    <row r="151" spans="2:22" ht="15" thickBot="1" x14ac:dyDescent="0.35">
      <c r="B151" s="427" t="s">
        <v>161</v>
      </c>
      <c r="C151" s="427">
        <v>2.4608080808080808</v>
      </c>
      <c r="D151" s="427">
        <v>0.17807579116557359</v>
      </c>
      <c r="E151" s="427">
        <v>13.818880515431989</v>
      </c>
      <c r="F151" s="427">
        <v>7.2652312818603902E-7</v>
      </c>
      <c r="G151" s="427">
        <v>2.0501645700005144</v>
      </c>
      <c r="H151" s="427">
        <v>2.8714515916156471</v>
      </c>
      <c r="I151" s="427">
        <v>2.0501645700005144</v>
      </c>
      <c r="J151" s="427">
        <v>2.8714515916156471</v>
      </c>
      <c r="N151" s="427" t="s">
        <v>161</v>
      </c>
      <c r="O151" s="427">
        <v>2.0041729250518715E-2</v>
      </c>
      <c r="P151" s="427">
        <v>7.0644807291489866E-4</v>
      </c>
      <c r="Q151" s="427">
        <v>28.369713244207567</v>
      </c>
      <c r="R151" s="427">
        <v>4.0871241849824714E-10</v>
      </c>
      <c r="S151" s="427">
        <v>1.8443632682229288E-2</v>
      </c>
      <c r="T151" s="427">
        <v>2.1639825818808141E-2</v>
      </c>
      <c r="U151" s="427">
        <v>1.8443632682229288E-2</v>
      </c>
      <c r="V151" s="427">
        <v>2.1639825818808141E-2</v>
      </c>
    </row>
    <row r="155" spans="2:22" ht="15" thickBot="1" x14ac:dyDescent="0.35"/>
    <row r="156" spans="2:22" x14ac:dyDescent="0.3">
      <c r="N156" s="2"/>
      <c r="O156" s="2"/>
    </row>
    <row r="157" spans="2:22" x14ac:dyDescent="0.3">
      <c r="N157" s="426"/>
      <c r="O157" s="426"/>
    </row>
    <row r="158" spans="2:22" x14ac:dyDescent="0.3">
      <c r="N158" s="426"/>
      <c r="O158" s="426"/>
    </row>
    <row r="159" spans="2:22" x14ac:dyDescent="0.3">
      <c r="N159" s="426"/>
      <c r="O159" s="426"/>
    </row>
    <row r="160" spans="2:22" x14ac:dyDescent="0.3">
      <c r="N160" s="426"/>
      <c r="O160" s="426"/>
    </row>
    <row r="161" spans="14:22" ht="15" thickBot="1" x14ac:dyDescent="0.35">
      <c r="N161" s="427"/>
      <c r="O161" s="427"/>
    </row>
    <row r="163" spans="14:22" ht="15" thickBot="1" x14ac:dyDescent="0.35"/>
    <row r="164" spans="14:22" x14ac:dyDescent="0.3">
      <c r="N164" s="1"/>
      <c r="O164" s="1"/>
      <c r="P164" s="1"/>
      <c r="Q164" s="1"/>
      <c r="R164" s="1"/>
      <c r="S164" s="1"/>
    </row>
    <row r="165" spans="14:22" x14ac:dyDescent="0.3">
      <c r="N165" s="426"/>
      <c r="O165" s="426"/>
      <c r="P165" s="426"/>
      <c r="Q165" s="426"/>
      <c r="R165" s="426"/>
      <c r="S165" s="426"/>
    </row>
    <row r="166" spans="14:22" x14ac:dyDescent="0.3">
      <c r="N166" s="426"/>
      <c r="O166" s="426"/>
      <c r="P166" s="426"/>
      <c r="Q166" s="426"/>
      <c r="R166" s="426"/>
      <c r="S166" s="426"/>
    </row>
    <row r="167" spans="14:22" ht="15" thickBot="1" x14ac:dyDescent="0.35">
      <c r="N167" s="427"/>
      <c r="O167" s="427"/>
      <c r="P167" s="427"/>
      <c r="Q167" s="427"/>
      <c r="R167" s="427"/>
      <c r="S167" s="427"/>
    </row>
    <row r="168" spans="14:22" ht="15" thickBot="1" x14ac:dyDescent="0.35"/>
    <row r="169" spans="14:22" x14ac:dyDescent="0.3">
      <c r="N169" s="1"/>
      <c r="O169" s="1"/>
      <c r="P169" s="1"/>
      <c r="Q169" s="1"/>
      <c r="R169" s="1"/>
      <c r="S169" s="1"/>
      <c r="T169" s="1"/>
      <c r="U169" s="1"/>
      <c r="V169" s="1"/>
    </row>
    <row r="170" spans="14:22" x14ac:dyDescent="0.3">
      <c r="N170" s="426"/>
      <c r="O170" s="426"/>
      <c r="P170" s="426"/>
      <c r="Q170" s="426"/>
      <c r="R170" s="426"/>
      <c r="S170" s="426"/>
      <c r="T170" s="426"/>
      <c r="U170" s="426"/>
      <c r="V170" s="426"/>
    </row>
    <row r="171" spans="14:22" ht="15" thickBot="1" x14ac:dyDescent="0.35">
      <c r="N171" s="427"/>
      <c r="O171" s="427"/>
      <c r="P171" s="427"/>
      <c r="Q171" s="427"/>
      <c r="R171" s="427"/>
      <c r="S171" s="427"/>
      <c r="T171" s="427"/>
      <c r="U171" s="427"/>
      <c r="V171" s="427"/>
    </row>
  </sheetData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216"/>
  <sheetViews>
    <sheetView topLeftCell="A71" zoomScale="60" zoomScaleNormal="60"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5546875" style="15" bestFit="1" customWidth="1"/>
    <col min="15" max="18" width="12.109375" style="15" customWidth="1"/>
    <col min="19" max="20" width="9.109375" style="15"/>
    <col min="21" max="21" width="12.109375" style="15" bestFit="1" customWidth="1"/>
    <col min="22" max="22" width="14.5546875" style="15" bestFit="1" customWidth="1"/>
    <col min="23" max="23" width="16.44140625" style="15" bestFit="1" customWidth="1"/>
    <col min="24" max="16384" width="9.109375" style="15"/>
  </cols>
  <sheetData>
    <row r="5" spans="2:23" ht="43.2" x14ac:dyDescent="0.3">
      <c r="B5" s="64" t="s">
        <v>112</v>
      </c>
      <c r="C5" s="119" t="s">
        <v>113</v>
      </c>
      <c r="D5" s="119" t="s">
        <v>36</v>
      </c>
      <c r="E5" s="119" t="str">
        <f>"ln("&amp;D5&amp;")"</f>
        <v>ln(Other Power Supply Expenses)</v>
      </c>
      <c r="F5" s="119" t="s">
        <v>114</v>
      </c>
    </row>
    <row r="6" spans="2:23" x14ac:dyDescent="0.3">
      <c r="B6" s="15">
        <v>2008</v>
      </c>
      <c r="C6" s="119"/>
      <c r="D6" s="162">
        <f ca="1">OFFSET(Electric_CBR!$C$25,0,$B6-Electric_CBR!$C$7)</f>
        <v>102819798</v>
      </c>
      <c r="E6" s="119"/>
      <c r="F6" s="119"/>
      <c r="T6" s="15" t="s">
        <v>115</v>
      </c>
      <c r="U6" s="60">
        <f t="array" aca="1" ref="U6:V10" ca="1">LINEST(D7:D16,C7:C16,,TRUE)</f>
        <v>2673349.8432727223</v>
      </c>
      <c r="V6" s="60">
        <f ca="1"/>
        <v>103947875.07527266</v>
      </c>
      <c r="W6" s="15" t="s">
        <v>116</v>
      </c>
    </row>
    <row r="7" spans="2:23" x14ac:dyDescent="0.3">
      <c r="B7" s="15">
        <f>B6+1</f>
        <v>2009</v>
      </c>
      <c r="C7" s="15">
        <v>0</v>
      </c>
      <c r="D7" s="162">
        <f ca="1">OFFSET(Electric_CBR!$C$25,0,$B7-Electric_CBR!$C$7)</f>
        <v>103178213</v>
      </c>
      <c r="E7" s="425">
        <f ca="1">LN(D7/$D$6)</f>
        <v>3.4797943915060923E-3</v>
      </c>
      <c r="F7" s="15">
        <v>1</v>
      </c>
      <c r="T7" s="15" t="s">
        <v>117</v>
      </c>
      <c r="U7" s="60">
        <f ca="1"/>
        <v>368223.46997280384</v>
      </c>
      <c r="V7" s="60">
        <f ca="1"/>
        <v>1965775.4015670642</v>
      </c>
      <c r="W7" s="15" t="s">
        <v>118</v>
      </c>
    </row>
    <row r="8" spans="2:23" x14ac:dyDescent="0.3">
      <c r="B8" s="15">
        <f>B7+1</f>
        <v>2010</v>
      </c>
      <c r="C8" s="15">
        <v>1</v>
      </c>
      <c r="D8" s="162">
        <f ca="1">OFFSET(Electric_CBR!$C$25,0,$B8-Electric_CBR!$C$7)</f>
        <v>102409192</v>
      </c>
      <c r="E8" s="425">
        <f t="shared" ref="E8:E16" ca="1" si="0">LN(D8/$D$6)</f>
        <v>-4.0014478253867763E-3</v>
      </c>
      <c r="F8" s="15">
        <v>2</v>
      </c>
      <c r="T8" s="15" t="s">
        <v>119</v>
      </c>
      <c r="U8" s="95">
        <f ca="1"/>
        <v>0.86822484450191417</v>
      </c>
      <c r="V8" s="60">
        <f ca="1"/>
        <v>3344555.7577504995</v>
      </c>
      <c r="W8" s="15" t="s">
        <v>120</v>
      </c>
    </row>
    <row r="9" spans="2:23" x14ac:dyDescent="0.3">
      <c r="B9" s="15">
        <f>B8+1</f>
        <v>2011</v>
      </c>
      <c r="C9" s="15">
        <v>2</v>
      </c>
      <c r="D9" s="162">
        <f ca="1">OFFSET(Electric_CBR!$C$25,0,$B9-Electric_CBR!$C$7)</f>
        <v>114139604</v>
      </c>
      <c r="E9" s="425">
        <f t="shared" ca="1" si="0"/>
        <v>0.10444437365192691</v>
      </c>
      <c r="F9" s="15">
        <v>3</v>
      </c>
      <c r="T9" s="15" t="s">
        <v>121</v>
      </c>
      <c r="U9" s="95">
        <f ca="1"/>
        <v>52.709471142427944</v>
      </c>
      <c r="V9" s="15">
        <f ca="1"/>
        <v>8</v>
      </c>
      <c r="W9" s="15" t="s">
        <v>122</v>
      </c>
    </row>
    <row r="10" spans="2:23" x14ac:dyDescent="0.3">
      <c r="B10" s="15">
        <v>2012</v>
      </c>
      <c r="C10" s="15">
        <v>3</v>
      </c>
      <c r="D10" s="162">
        <f ca="1">OFFSET(Electric_CBR!$C$25,0,$B10-Electric_CBR!$C$7)</f>
        <v>114593255.67</v>
      </c>
      <c r="E10" s="425">
        <f t="shared" ca="1" si="0"/>
        <v>0.1084110294746264</v>
      </c>
      <c r="F10" s="15">
        <v>4</v>
      </c>
      <c r="T10" s="15" t="s">
        <v>123</v>
      </c>
      <c r="U10" s="15">
        <f ca="1"/>
        <v>589610949223418.38</v>
      </c>
      <c r="V10" s="15">
        <f ca="1"/>
        <v>89488425733616.156</v>
      </c>
      <c r="W10" s="15" t="s">
        <v>124</v>
      </c>
    </row>
    <row r="11" spans="2:23" x14ac:dyDescent="0.3">
      <c r="B11" s="15">
        <f t="shared" ref="B11:B20" si="1">B10+1</f>
        <v>2013</v>
      </c>
      <c r="C11" s="15">
        <v>4</v>
      </c>
      <c r="D11" s="162">
        <f ca="1">OFFSET(Electric_CBR!$C$25,0,$B11-Electric_CBR!$C$7)</f>
        <v>116266189.11</v>
      </c>
      <c r="E11" s="425">
        <f t="shared" ca="1" si="0"/>
        <v>0.12290437390571909</v>
      </c>
      <c r="F11" s="15">
        <v>5</v>
      </c>
    </row>
    <row r="12" spans="2:23" x14ac:dyDescent="0.3">
      <c r="B12" s="15">
        <f t="shared" si="1"/>
        <v>2014</v>
      </c>
      <c r="C12" s="15">
        <v>5</v>
      </c>
      <c r="D12" s="162">
        <f ca="1">OFFSET(Electric_CBR!$C$25,0,$B12-Electric_CBR!$C$7)</f>
        <v>113089598.489999</v>
      </c>
      <c r="E12" s="425">
        <f t="shared" ca="1" si="0"/>
        <v>9.5202489491700723E-2</v>
      </c>
      <c r="F12" s="15">
        <v>6</v>
      </c>
    </row>
    <row r="13" spans="2:23" x14ac:dyDescent="0.3">
      <c r="B13" s="15">
        <f t="shared" si="1"/>
        <v>2015</v>
      </c>
      <c r="C13" s="15">
        <v>6</v>
      </c>
      <c r="D13" s="162">
        <f ca="1">OFFSET(Electric_CBR!$C$25,0,$B13-Electric_CBR!$C$7)</f>
        <v>117539552.45</v>
      </c>
      <c r="E13" s="425">
        <f t="shared" ca="1" si="0"/>
        <v>0.13379697151020142</v>
      </c>
      <c r="F13" s="15">
        <v>7</v>
      </c>
      <c r="T13" s="15" t="s">
        <v>115</v>
      </c>
      <c r="U13" s="13">
        <f t="array" aca="1" ref="U13:V17" ca="1">LINEST(E7:E16,F7:F16,FALSE,TRUE)</f>
        <v>2.1818523674126913E-2</v>
      </c>
      <c r="V13" s="13">
        <f ca="1"/>
        <v>0</v>
      </c>
      <c r="W13" s="15" t="s">
        <v>116</v>
      </c>
    </row>
    <row r="14" spans="2:23" x14ac:dyDescent="0.3">
      <c r="B14" s="15">
        <f t="shared" si="1"/>
        <v>2016</v>
      </c>
      <c r="C14" s="15">
        <v>7</v>
      </c>
      <c r="D14" s="162">
        <f ca="1">OFFSET(Electric_CBR!$C$25,0,$B14-Electric_CBR!$C$7)</f>
        <v>126338251.61</v>
      </c>
      <c r="E14" s="425">
        <f t="shared" ca="1" si="0"/>
        <v>0.20598492457929346</v>
      </c>
      <c r="F14" s="15">
        <v>8</v>
      </c>
      <c r="T14" s="15" t="s">
        <v>117</v>
      </c>
      <c r="U14" s="13">
        <f ca="1"/>
        <v>1.463111983541441E-3</v>
      </c>
      <c r="V14" s="13" t="e">
        <f ca="1"/>
        <v>#N/A</v>
      </c>
      <c r="W14" s="15" t="s">
        <v>118</v>
      </c>
    </row>
    <row r="15" spans="2:23" x14ac:dyDescent="0.3">
      <c r="B15" s="15">
        <f t="shared" si="1"/>
        <v>2017</v>
      </c>
      <c r="C15" s="15">
        <v>8</v>
      </c>
      <c r="D15" s="162">
        <f ca="1">OFFSET(Electric_CBR!$C$25,0,$B15-Electric_CBR!$C$7)</f>
        <v>125057644.48</v>
      </c>
      <c r="E15" s="425">
        <f t="shared" ca="1" si="0"/>
        <v>0.19579686481552447</v>
      </c>
      <c r="F15" s="15">
        <v>9</v>
      </c>
      <c r="T15" s="15" t="s">
        <v>119</v>
      </c>
      <c r="U15" s="15">
        <f ca="1"/>
        <v>0.96110293562896498</v>
      </c>
      <c r="V15" s="15">
        <f ca="1"/>
        <v>2.8708330157069209E-2</v>
      </c>
      <c r="W15" s="15" t="s">
        <v>120</v>
      </c>
    </row>
    <row r="16" spans="2:23" x14ac:dyDescent="0.3">
      <c r="B16" s="15">
        <f t="shared" si="1"/>
        <v>2018</v>
      </c>
      <c r="C16" s="15">
        <v>9</v>
      </c>
      <c r="D16" s="162">
        <f ca="1">OFFSET(Electric_CBR!$C$25,0,$B16-Electric_CBR!$C$7)</f>
        <v>127167992.89</v>
      </c>
      <c r="E16" s="425">
        <f t="shared" ca="1" si="0"/>
        <v>0.21253106899195651</v>
      </c>
      <c r="F16" s="15">
        <v>10</v>
      </c>
      <c r="T16" s="15" t="s">
        <v>121</v>
      </c>
      <c r="U16" s="15">
        <f ca="1"/>
        <v>222.37992919336915</v>
      </c>
      <c r="V16" s="15">
        <f ca="1"/>
        <v>9</v>
      </c>
      <c r="W16" s="15" t="s">
        <v>122</v>
      </c>
    </row>
    <row r="17" spans="2:23" x14ac:dyDescent="0.3">
      <c r="B17" s="15">
        <f t="shared" si="1"/>
        <v>2019</v>
      </c>
      <c r="C17" s="15">
        <v>10</v>
      </c>
      <c r="D17" s="162"/>
      <c r="E17" s="162"/>
      <c r="T17" s="15" t="s">
        <v>123</v>
      </c>
      <c r="U17" s="15">
        <f ca="1"/>
        <v>0.18327847049759807</v>
      </c>
      <c r="V17" s="15">
        <f ca="1"/>
        <v>7.4175139836656044E-3</v>
      </c>
      <c r="W17" s="15" t="s">
        <v>124</v>
      </c>
    </row>
    <row r="18" spans="2:23" x14ac:dyDescent="0.3">
      <c r="B18" s="15">
        <f t="shared" si="1"/>
        <v>2020</v>
      </c>
      <c r="C18" s="15">
        <v>11</v>
      </c>
      <c r="D18" s="162"/>
      <c r="E18" s="162"/>
    </row>
    <row r="19" spans="2:23" x14ac:dyDescent="0.3">
      <c r="B19" s="15">
        <f t="shared" si="1"/>
        <v>2021</v>
      </c>
      <c r="C19" s="15">
        <v>12</v>
      </c>
      <c r="D19" s="162"/>
      <c r="E19" s="162"/>
    </row>
    <row r="20" spans="2:23" x14ac:dyDescent="0.3">
      <c r="B20" s="15">
        <f t="shared" si="1"/>
        <v>2022</v>
      </c>
      <c r="C20" s="15">
        <v>13</v>
      </c>
      <c r="D20" s="162"/>
      <c r="E20" s="162"/>
      <c r="U20" s="60"/>
      <c r="V20" s="60"/>
    </row>
    <row r="21" spans="2:23" x14ac:dyDescent="0.3">
      <c r="U21" s="60"/>
      <c r="V21" s="60"/>
    </row>
    <row r="22" spans="2:23" x14ac:dyDescent="0.3">
      <c r="C22" s="35"/>
      <c r="D22" s="35"/>
      <c r="U22" s="95"/>
      <c r="V22" s="60"/>
    </row>
    <row r="23" spans="2:23" x14ac:dyDescent="0.3">
      <c r="U23" s="95"/>
    </row>
    <row r="25" spans="2:23" x14ac:dyDescent="0.3">
      <c r="B25" s="15" t="s">
        <v>2</v>
      </c>
      <c r="D25" s="52">
        <f ca="1">RATE(3,,-D13,D16)</f>
        <v>2.6592123971971138E-2</v>
      </c>
      <c r="E25" s="52"/>
    </row>
    <row r="26" spans="2:23" x14ac:dyDescent="0.3">
      <c r="B26" s="15" t="s">
        <v>3</v>
      </c>
      <c r="D26" s="52">
        <f ca="1">RATE(5,,-D11,D16)</f>
        <v>1.8086962179057409E-2</v>
      </c>
      <c r="E26" s="52"/>
    </row>
    <row r="27" spans="2:23" x14ac:dyDescent="0.3">
      <c r="B27" s="15" t="s">
        <v>4</v>
      </c>
      <c r="D27" s="52">
        <f ca="1">RATE(10,,-D6,D16)</f>
        <v>2.1480562698495225E-2</v>
      </c>
      <c r="E27" s="52"/>
      <c r="U27" s="13"/>
      <c r="V27" s="13"/>
    </row>
    <row r="28" spans="2:23" x14ac:dyDescent="0.3">
      <c r="B28" s="15" t="s">
        <v>5</v>
      </c>
      <c r="D28" s="52">
        <f ca="1">$C$52/D16</f>
        <v>2.1022191060176307E-2</v>
      </c>
      <c r="E28" s="52"/>
      <c r="U28" s="13"/>
      <c r="V28" s="13"/>
    </row>
    <row r="29" spans="2:23" x14ac:dyDescent="0.3">
      <c r="B29" s="15" t="s">
        <v>6</v>
      </c>
      <c r="D29" s="52">
        <f ca="1">$C$52/AVERAGE(D7:D16)</f>
        <v>2.3050501046056944E-2</v>
      </c>
      <c r="E29" s="52"/>
    </row>
    <row r="30" spans="2:23" x14ac:dyDescent="0.3">
      <c r="B30" s="15" t="s">
        <v>7</v>
      </c>
      <c r="D30" s="52">
        <f ca="1">EXP(N52)-1</f>
        <v>2.2058288256380676E-2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0.93178583617798905</v>
      </c>
      <c r="M38" s="426" t="s">
        <v>127</v>
      </c>
      <c r="N38" s="7">
        <f ca="1">N39^0.5</f>
        <v>0.98035857502699741</v>
      </c>
    </row>
    <row r="39" spans="2:18" x14ac:dyDescent="0.3">
      <c r="B39" s="426" t="s">
        <v>128</v>
      </c>
      <c r="C39" s="7">
        <f ca="1">U8</f>
        <v>0.86822484450191417</v>
      </c>
      <c r="M39" s="426" t="s">
        <v>128</v>
      </c>
      <c r="N39" s="7">
        <f ca="1">U15</f>
        <v>0.96110293562896498</v>
      </c>
    </row>
    <row r="40" spans="2:18" x14ac:dyDescent="0.3">
      <c r="B40" s="426" t="s">
        <v>129</v>
      </c>
      <c r="C40" s="7">
        <f ca="1">1-(1-C39)*(C42-1)/(C42-2)</f>
        <v>0.85175295006465346</v>
      </c>
      <c r="M40" s="426" t="s">
        <v>129</v>
      </c>
      <c r="N40" s="7">
        <f ca="1">1-(1-N39)*(N42-1)/(N42-2)</f>
        <v>0.95624080258258559</v>
      </c>
    </row>
    <row r="41" spans="2:18" x14ac:dyDescent="0.3">
      <c r="B41" s="426" t="s">
        <v>120</v>
      </c>
      <c r="C41" s="8">
        <f ca="1">V8</f>
        <v>3344555.7577504995</v>
      </c>
      <c r="M41" s="426" t="s">
        <v>120</v>
      </c>
      <c r="N41" s="6">
        <f ca="1">V15</f>
        <v>2.8708330157069209E-2</v>
      </c>
    </row>
    <row r="42" spans="2:18" ht="15" thickBot="1" x14ac:dyDescent="0.35">
      <c r="B42" s="427" t="s">
        <v>130</v>
      </c>
      <c r="C42" s="9">
        <f ca="1">V9+2</f>
        <v>10</v>
      </c>
      <c r="M42" s="427" t="s">
        <v>130</v>
      </c>
      <c r="N42" s="9">
        <f ca="1">V16+1</f>
        <v>10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589610949223418.38</v>
      </c>
      <c r="E46" s="428">
        <f ca="1">D46/C46</f>
        <v>589610949223418.38</v>
      </c>
      <c r="F46" s="6">
        <f ca="1">E46/E47</f>
        <v>52.709471142427944</v>
      </c>
      <c r="G46" s="426">
        <f ca="1">FDIST(F46,C46,C47)</f>
        <v>8.7191679723374794E-5</v>
      </c>
      <c r="M46" s="426" t="s">
        <v>137</v>
      </c>
      <c r="N46" s="60">
        <v>1</v>
      </c>
      <c r="O46" s="428">
        <f ca="1">U17</f>
        <v>0.18327847049759807</v>
      </c>
      <c r="P46" s="428">
        <f ca="1">O46/N46</f>
        <v>0.18327847049759807</v>
      </c>
      <c r="Q46" s="6">
        <f ca="1">P46/P47</f>
        <v>222.37992919336915</v>
      </c>
      <c r="R46" s="426">
        <f ca="1">FDIST(Q46,N46,N47)</f>
        <v>1.1869550581088208E-7</v>
      </c>
    </row>
    <row r="47" spans="2:18" x14ac:dyDescent="0.3">
      <c r="B47" s="426" t="s">
        <v>138</v>
      </c>
      <c r="C47" s="8">
        <f ca="1">C42-C46-1</f>
        <v>8</v>
      </c>
      <c r="D47" s="428">
        <f ca="1">V10</f>
        <v>89488425733616.156</v>
      </c>
      <c r="E47" s="428">
        <f ca="1">D47/C47</f>
        <v>11186053216702.02</v>
      </c>
      <c r="F47" s="426"/>
      <c r="G47" s="426"/>
      <c r="M47" s="426" t="s">
        <v>138</v>
      </c>
      <c r="N47" s="60">
        <f ca="1">N42-N46</f>
        <v>9</v>
      </c>
      <c r="O47" s="428">
        <f ca="1">V17</f>
        <v>7.4175139836656044E-3</v>
      </c>
      <c r="P47" s="428">
        <f ca="1">O47/N47</f>
        <v>8.2416822040728933E-4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9</v>
      </c>
      <c r="D48" s="429">
        <f ca="1">D46+D47</f>
        <v>679099374957034.5</v>
      </c>
      <c r="E48" s="427"/>
      <c r="F48" s="427"/>
      <c r="G48" s="427"/>
      <c r="M48" s="427" t="s">
        <v>0</v>
      </c>
      <c r="N48" s="60">
        <f ca="1">N46+N47</f>
        <v>10</v>
      </c>
      <c r="O48" s="429">
        <f ca="1">O46+O47</f>
        <v>0.19069598448126368</v>
      </c>
      <c r="P48" s="428"/>
      <c r="Q48" s="427"/>
      <c r="R48" s="427"/>
    </row>
    <row r="49" spans="2:23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23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23" x14ac:dyDescent="0.3">
      <c r="B51" s="426" t="s">
        <v>116</v>
      </c>
      <c r="C51" s="8">
        <f ca="1">V6</f>
        <v>103947875.07527266</v>
      </c>
      <c r="D51" s="8">
        <f ca="1">V7</f>
        <v>1965775.4015670642</v>
      </c>
      <c r="E51" s="6">
        <f ca="1">C51/D51</f>
        <v>52.878815653308187</v>
      </c>
      <c r="F51" s="7">
        <f ca="1">TDIST(ABS(E51),C47,2)</f>
        <v>1.8134158106047892E-11</v>
      </c>
      <c r="M51" s="426" t="s">
        <v>116</v>
      </c>
      <c r="N51" s="8"/>
      <c r="O51" s="8"/>
      <c r="P51" s="6"/>
      <c r="Q51" s="7"/>
    </row>
    <row r="52" spans="2:23" ht="15" thickBot="1" x14ac:dyDescent="0.35">
      <c r="B52" s="427" t="s">
        <v>142</v>
      </c>
      <c r="C52" s="9">
        <f ca="1">U6</f>
        <v>2673349.8432727223</v>
      </c>
      <c r="D52" s="9">
        <f ca="1">U7</f>
        <v>368223.46997280384</v>
      </c>
      <c r="E52" s="427">
        <f ca="1">C52/D52</f>
        <v>7.2601288654147167</v>
      </c>
      <c r="F52" s="11">
        <f ca="1">TDIST(ABS(E52),C47,2)</f>
        <v>8.7191679723374617E-5</v>
      </c>
      <c r="M52" s="427" t="s">
        <v>114</v>
      </c>
      <c r="N52" s="10">
        <f ca="1">U13</f>
        <v>2.1818523674126913E-2</v>
      </c>
      <c r="O52" s="9">
        <f ca="1">U14</f>
        <v>1.463111983541441E-3</v>
      </c>
      <c r="P52" s="430">
        <f ca="1">N52/O52</f>
        <v>14.912408564459637</v>
      </c>
      <c r="Q52" s="11">
        <f ca="1">TDIST(ABS(P52),N47,2)</f>
        <v>1.1869550581088208E-7</v>
      </c>
    </row>
    <row r="53" spans="2:23" x14ac:dyDescent="0.3">
      <c r="D53" s="95"/>
      <c r="E53" s="95"/>
      <c r="N53" s="95"/>
      <c r="O53" s="95"/>
    </row>
    <row r="60" spans="2:23" ht="28.8" x14ac:dyDescent="0.3">
      <c r="B60" s="64" t="s">
        <v>112</v>
      </c>
      <c r="C60" s="119" t="s">
        <v>113</v>
      </c>
      <c r="D60" s="119" t="s">
        <v>594</v>
      </c>
      <c r="E60" s="119" t="str">
        <f>"ln("&amp;D60&amp;")"</f>
        <v>ln(T&amp;D Expense)</v>
      </c>
      <c r="F60" s="119" t="s">
        <v>114</v>
      </c>
    </row>
    <row r="61" spans="2:23" x14ac:dyDescent="0.3">
      <c r="B61" s="15">
        <v>2008</v>
      </c>
      <c r="D61" s="162">
        <f ca="1">OFFSET(Electric_CBR!$C$26,0,$B61-Electric_CBR!$C$7)+OFFSET(Electric_CBR!$C$27,0,$B61-Electric_CBR!$C$7)</f>
        <v>86010455</v>
      </c>
      <c r="E61" s="162"/>
      <c r="T61" s="15" t="s">
        <v>115</v>
      </c>
      <c r="U61" s="60">
        <f t="array" aca="1" ref="U61:V65" ca="1">LINEST(D62:D71,C62:C71,,TRUE)</f>
        <v>2101043.1287070615</v>
      </c>
      <c r="V61" s="60">
        <f ca="1"/>
        <v>88588043.859818205</v>
      </c>
      <c r="W61" s="15" t="s">
        <v>116</v>
      </c>
    </row>
    <row r="62" spans="2:23" x14ac:dyDescent="0.3">
      <c r="B62" s="15">
        <v>2009</v>
      </c>
      <c r="C62" s="15">
        <v>0</v>
      </c>
      <c r="D62" s="162">
        <f ca="1">OFFSET(Electric_CBR!$C$26,0,$B62-Electric_CBR!$C$7)+OFFSET(Electric_CBR!$C$27,0,$B62-Electric_CBR!$C$7)</f>
        <v>86257874</v>
      </c>
      <c r="E62" s="425">
        <f ca="1">LN(D62/$D$61)</f>
        <v>2.8724858662181369E-3</v>
      </c>
      <c r="F62" s="15">
        <v>1</v>
      </c>
      <c r="T62" s="15" t="s">
        <v>117</v>
      </c>
      <c r="U62" s="60">
        <f ca="1"/>
        <v>494153.80553128198</v>
      </c>
      <c r="V62" s="60">
        <f ca="1"/>
        <v>2638059.4250982804</v>
      </c>
      <c r="W62" s="15" t="s">
        <v>118</v>
      </c>
    </row>
    <row r="63" spans="2:23" x14ac:dyDescent="0.3">
      <c r="B63" s="15">
        <f>B62+1</f>
        <v>2010</v>
      </c>
      <c r="C63" s="15">
        <v>1</v>
      </c>
      <c r="D63" s="162">
        <f ca="1">OFFSET(Electric_CBR!$C$26,0,$B63-Electric_CBR!$C$7)+OFFSET(Electric_CBR!$C$27,0,$B63-Electric_CBR!$C$7)</f>
        <v>94790178</v>
      </c>
      <c r="E63" s="425">
        <f t="shared" ref="E63:E71" ca="1" si="2">LN(D63/$D$61)</f>
        <v>9.7196937666457497E-2</v>
      </c>
      <c r="F63" s="15">
        <v>2</v>
      </c>
      <c r="T63" s="15" t="s">
        <v>119</v>
      </c>
      <c r="U63" s="95">
        <f ca="1"/>
        <v>0.69322568927025519</v>
      </c>
      <c r="V63" s="60">
        <f ca="1"/>
        <v>4488374.8328862265</v>
      </c>
      <c r="W63" s="15" t="s">
        <v>120</v>
      </c>
    </row>
    <row r="64" spans="2:23" x14ac:dyDescent="0.3">
      <c r="B64" s="15">
        <f t="shared" ref="B64:B75" si="3">B63+1</f>
        <v>2011</v>
      </c>
      <c r="C64" s="15">
        <v>2</v>
      </c>
      <c r="D64" s="162">
        <f ca="1">OFFSET(Electric_CBR!$C$26,0,$B64-Electric_CBR!$C$7)+OFFSET(Electric_CBR!$C$27,0,$B64-Electric_CBR!$C$7)</f>
        <v>87726306</v>
      </c>
      <c r="E64" s="425">
        <f t="shared" ca="1" si="2"/>
        <v>1.9752950158834656E-2</v>
      </c>
      <c r="F64" s="15">
        <v>3</v>
      </c>
      <c r="T64" s="15" t="s">
        <v>121</v>
      </c>
      <c r="U64" s="95">
        <f ca="1"/>
        <v>18.077802867423472</v>
      </c>
      <c r="V64" s="15">
        <f ca="1"/>
        <v>8</v>
      </c>
      <c r="W64" s="15" t="s">
        <v>122</v>
      </c>
    </row>
    <row r="65" spans="2:23" x14ac:dyDescent="0.3">
      <c r="B65" s="15">
        <f t="shared" si="3"/>
        <v>2012</v>
      </c>
      <c r="C65" s="15">
        <v>3</v>
      </c>
      <c r="D65" s="162">
        <f ca="1">OFFSET(Electric_CBR!$C$26,0,$B65-Electric_CBR!$C$7)+OFFSET(Electric_CBR!$C$27,0,$B65-Electric_CBR!$C$7)</f>
        <v>93920821.249999896</v>
      </c>
      <c r="E65" s="425">
        <f t="shared" ca="1" si="2"/>
        <v>8.7983241553563379E-2</v>
      </c>
      <c r="F65" s="15">
        <v>4</v>
      </c>
      <c r="T65" s="15" t="s">
        <v>123</v>
      </c>
      <c r="U65" s="15">
        <f ca="1"/>
        <v>364186533866690.5</v>
      </c>
      <c r="V65" s="15">
        <f ca="1"/>
        <v>161164069123891.69</v>
      </c>
      <c r="W65" s="15" t="s">
        <v>124</v>
      </c>
    </row>
    <row r="66" spans="2:23" x14ac:dyDescent="0.3">
      <c r="B66" s="15">
        <f t="shared" si="3"/>
        <v>2013</v>
      </c>
      <c r="C66" s="15">
        <v>4</v>
      </c>
      <c r="D66" s="162">
        <f ca="1">OFFSET(Electric_CBR!$C$26,0,$B66-Electric_CBR!$C$7)+OFFSET(Electric_CBR!$C$27,0,$B66-Electric_CBR!$C$7)</f>
        <v>96677771.240000099</v>
      </c>
      <c r="E66" s="425">
        <f t="shared" ca="1" si="2"/>
        <v>0.11691464397940279</v>
      </c>
      <c r="F66" s="15">
        <v>5</v>
      </c>
    </row>
    <row r="67" spans="2:23" x14ac:dyDescent="0.3">
      <c r="B67" s="15">
        <f t="shared" si="3"/>
        <v>2014</v>
      </c>
      <c r="C67" s="15">
        <v>5</v>
      </c>
      <c r="D67" s="162">
        <f ca="1">OFFSET(Electric_CBR!$C$26,0,$B67-Electric_CBR!$C$7)+OFFSET(Electric_CBR!$C$27,0,$B67-Electric_CBR!$C$7)</f>
        <v>106174212.38000008</v>
      </c>
      <c r="E67" s="425">
        <f t="shared" ca="1" si="2"/>
        <v>0.21061239940943183</v>
      </c>
      <c r="F67" s="15">
        <v>6</v>
      </c>
    </row>
    <row r="68" spans="2:23" x14ac:dyDescent="0.3">
      <c r="B68" s="15">
        <f t="shared" si="3"/>
        <v>2015</v>
      </c>
      <c r="C68" s="15">
        <v>6</v>
      </c>
      <c r="D68" s="162">
        <f ca="1">OFFSET(Electric_CBR!$C$26,0,$B68-Electric_CBR!$C$7)+OFFSET(Electric_CBR!$C$27,0,$B68-Electric_CBR!$C$7)</f>
        <v>102228396.50999969</v>
      </c>
      <c r="E68" s="425">
        <f t="shared" ca="1" si="2"/>
        <v>0.17274063289217834</v>
      </c>
      <c r="F68" s="15">
        <v>7</v>
      </c>
      <c r="T68" s="15" t="s">
        <v>115</v>
      </c>
      <c r="U68" s="13">
        <f t="array" aca="1" ref="U68:V72" ca="1">LINEST(E62:E71,F62:F71,FALSE,TRUE)</f>
        <v>2.295602155315522E-2</v>
      </c>
      <c r="V68" s="13">
        <f ca="1"/>
        <v>0</v>
      </c>
      <c r="W68" s="15" t="s">
        <v>116</v>
      </c>
    </row>
    <row r="69" spans="2:23" x14ac:dyDescent="0.3">
      <c r="B69" s="15">
        <f t="shared" si="3"/>
        <v>2016</v>
      </c>
      <c r="C69" s="15">
        <v>7</v>
      </c>
      <c r="D69" s="162">
        <f ca="1">OFFSET(Electric_CBR!$C$26,0,$B69-Electric_CBR!$C$7)+OFFSET(Electric_CBR!$C$27,0,$B69-Electric_CBR!$C$7)</f>
        <v>106617740.98999999</v>
      </c>
      <c r="E69" s="425">
        <f t="shared" ca="1" si="2"/>
        <v>0.21478106504993652</v>
      </c>
      <c r="F69" s="15">
        <v>8</v>
      </c>
      <c r="T69" s="15" t="s">
        <v>117</v>
      </c>
      <c r="U69" s="13">
        <f ca="1"/>
        <v>2.2282782709170238E-3</v>
      </c>
      <c r="V69" s="13" t="e">
        <f ca="1"/>
        <v>#N/A</v>
      </c>
      <c r="W69" s="15" t="s">
        <v>118</v>
      </c>
    </row>
    <row r="70" spans="2:23" x14ac:dyDescent="0.3">
      <c r="B70" s="15">
        <f t="shared" si="3"/>
        <v>2017</v>
      </c>
      <c r="C70" s="15">
        <v>8</v>
      </c>
      <c r="D70" s="162">
        <f ca="1">OFFSET(Electric_CBR!$C$26,0,$B70-Electric_CBR!$C$7)+OFFSET(Electric_CBR!$C$27,0,$B70-Electric_CBR!$C$7)</f>
        <v>98329412.406666562</v>
      </c>
      <c r="E70" s="425">
        <f t="shared" ca="1" si="2"/>
        <v>0.13385433441427394</v>
      </c>
      <c r="F70" s="15">
        <v>9</v>
      </c>
      <c r="T70" s="15" t="s">
        <v>119</v>
      </c>
      <c r="U70" s="15">
        <f ca="1"/>
        <v>0.92183019279466794</v>
      </c>
      <c r="V70" s="15">
        <f ca="1"/>
        <v>4.3721976856802458E-2</v>
      </c>
      <c r="W70" s="15" t="s">
        <v>120</v>
      </c>
    </row>
    <row r="71" spans="2:23" x14ac:dyDescent="0.3">
      <c r="B71" s="15">
        <f t="shared" si="3"/>
        <v>2018</v>
      </c>
      <c r="C71" s="15">
        <v>9</v>
      </c>
      <c r="D71" s="162">
        <f ca="1">OFFSET(Electric_CBR!$C$26,0,$B71-Electric_CBR!$C$7)+OFFSET(Electric_CBR!$C$27,0,$B71-Electric_CBR!$C$7)</f>
        <v>107704666.61333331</v>
      </c>
      <c r="E71" s="425">
        <f t="shared" ca="1" si="2"/>
        <v>0.22492405433480586</v>
      </c>
      <c r="F71" s="15">
        <v>10</v>
      </c>
      <c r="T71" s="15" t="s">
        <v>121</v>
      </c>
      <c r="U71" s="15">
        <f ca="1"/>
        <v>106.13396695938251</v>
      </c>
      <c r="V71" s="15">
        <f ca="1"/>
        <v>9</v>
      </c>
      <c r="W71" s="15" t="s">
        <v>122</v>
      </c>
    </row>
    <row r="72" spans="2:23" x14ac:dyDescent="0.3">
      <c r="B72" s="15">
        <f t="shared" si="3"/>
        <v>2019</v>
      </c>
      <c r="C72" s="15">
        <v>10</v>
      </c>
      <c r="D72" s="162"/>
      <c r="E72" s="162"/>
      <c r="T72" s="15" t="s">
        <v>123</v>
      </c>
      <c r="U72" s="15">
        <f ca="1"/>
        <v>0.20288688633633689</v>
      </c>
      <c r="V72" s="15">
        <f ca="1"/>
        <v>1.7204501342400928E-2</v>
      </c>
      <c r="W72" s="15" t="s">
        <v>124</v>
      </c>
    </row>
    <row r="73" spans="2:23" x14ac:dyDescent="0.3">
      <c r="B73" s="15">
        <f t="shared" si="3"/>
        <v>2020</v>
      </c>
      <c r="C73" s="15">
        <v>11</v>
      </c>
      <c r="D73" s="162"/>
      <c r="E73" s="162"/>
    </row>
    <row r="74" spans="2:23" x14ac:dyDescent="0.3">
      <c r="B74" s="15">
        <f t="shared" si="3"/>
        <v>2021</v>
      </c>
      <c r="C74" s="15">
        <v>12</v>
      </c>
      <c r="D74" s="162"/>
      <c r="E74" s="162"/>
    </row>
    <row r="75" spans="2:23" x14ac:dyDescent="0.3">
      <c r="B75" s="15">
        <f t="shared" si="3"/>
        <v>2022</v>
      </c>
      <c r="C75" s="15">
        <v>13</v>
      </c>
      <c r="D75" s="162"/>
      <c r="E75" s="162"/>
    </row>
    <row r="77" spans="2:23" x14ac:dyDescent="0.3">
      <c r="C77" s="35"/>
      <c r="D77" s="35"/>
    </row>
    <row r="80" spans="2:23" x14ac:dyDescent="0.3">
      <c r="B80" s="15" t="s">
        <v>2</v>
      </c>
      <c r="D80" s="52">
        <f ca="1">RATE(3,,-D68,D71)</f>
        <v>1.754663866933388E-2</v>
      </c>
      <c r="E80" s="52"/>
    </row>
    <row r="81" spans="2:14" x14ac:dyDescent="0.3">
      <c r="B81" s="15" t="s">
        <v>3</v>
      </c>
      <c r="D81" s="52">
        <f ca="1">RATE(5,,-D66,D71)</f>
        <v>2.1836891893103515E-2</v>
      </c>
      <c r="E81" s="52"/>
    </row>
    <row r="82" spans="2:14" x14ac:dyDescent="0.3">
      <c r="B82" s="15" t="s">
        <v>4</v>
      </c>
      <c r="D82" s="52">
        <f ca="1">RATE(10,,-D61,D71)</f>
        <v>2.274726681280086E-2</v>
      </c>
      <c r="E82" s="52"/>
    </row>
    <row r="83" spans="2:14" x14ac:dyDescent="0.3">
      <c r="B83" s="15" t="s">
        <v>5</v>
      </c>
      <c r="D83" s="52">
        <f ca="1">C107/D71</f>
        <v>1.9507447492966498E-2</v>
      </c>
      <c r="E83" s="52"/>
    </row>
    <row r="84" spans="2:14" x14ac:dyDescent="0.3">
      <c r="B84" s="15" t="s">
        <v>6</v>
      </c>
      <c r="D84" s="52">
        <f ca="1">C107/AVERAGE(D62:D71)</f>
        <v>2.1429870002348202E-2</v>
      </c>
      <c r="E84" s="52"/>
    </row>
    <row r="85" spans="2:14" x14ac:dyDescent="0.3">
      <c r="B85" s="15" t="s">
        <v>7</v>
      </c>
      <c r="D85" s="52">
        <f ca="1">EXP(N107)-1</f>
        <v>2.3221538863637203E-2</v>
      </c>
    </row>
    <row r="87" spans="2:14" x14ac:dyDescent="0.3">
      <c r="D87" s="52"/>
    </row>
    <row r="90" spans="2:14" x14ac:dyDescent="0.3">
      <c r="B90" s="15" t="s">
        <v>125</v>
      </c>
      <c r="M90" s="15" t="s">
        <v>125</v>
      </c>
    </row>
    <row r="91" spans="2:14" ht="15" thickBot="1" x14ac:dyDescent="0.35"/>
    <row r="92" spans="2:14" x14ac:dyDescent="0.3">
      <c r="B92" s="2" t="s">
        <v>126</v>
      </c>
      <c r="C92" s="2"/>
      <c r="M92" s="2" t="s">
        <v>126</v>
      </c>
      <c r="N92" s="2"/>
    </row>
    <row r="93" spans="2:14" x14ac:dyDescent="0.3">
      <c r="B93" s="426" t="s">
        <v>127</v>
      </c>
      <c r="C93" s="7">
        <f ca="1">C94^0.5</f>
        <v>0.8326017591083118</v>
      </c>
      <c r="M93" s="426" t="s">
        <v>127</v>
      </c>
      <c r="N93" s="7">
        <f ca="1">N94^0.5</f>
        <v>0.96011988459497488</v>
      </c>
    </row>
    <row r="94" spans="2:14" x14ac:dyDescent="0.3">
      <c r="B94" s="426" t="s">
        <v>128</v>
      </c>
      <c r="C94" s="7">
        <f ca="1">U63</f>
        <v>0.69322568927025519</v>
      </c>
      <c r="M94" s="426" t="s">
        <v>128</v>
      </c>
      <c r="N94" s="7">
        <f ca="1">U70</f>
        <v>0.92183019279466794</v>
      </c>
    </row>
    <row r="95" spans="2:14" x14ac:dyDescent="0.3">
      <c r="B95" s="426" t="s">
        <v>129</v>
      </c>
      <c r="C95" s="7">
        <f ca="1">1-(1-C94)*(C97-1)/(C97-2)</f>
        <v>0.65487890042903707</v>
      </c>
      <c r="M95" s="426" t="s">
        <v>129</v>
      </c>
      <c r="N95" s="7">
        <f ca="1">1-(1-N94)*(N97-1)/(N97-2)</f>
        <v>0.91205896689400145</v>
      </c>
    </row>
    <row r="96" spans="2:14" x14ac:dyDescent="0.3">
      <c r="B96" s="426" t="s">
        <v>120</v>
      </c>
      <c r="C96" s="8">
        <f ca="1">V63</f>
        <v>4488374.8328862265</v>
      </c>
      <c r="M96" s="426" t="s">
        <v>120</v>
      </c>
      <c r="N96" s="6">
        <f ca="1">V70</f>
        <v>4.3721976856802458E-2</v>
      </c>
    </row>
    <row r="97" spans="2:18" ht="15" thickBot="1" x14ac:dyDescent="0.35">
      <c r="B97" s="427" t="s">
        <v>130</v>
      </c>
      <c r="C97" s="9">
        <f ca="1">V64+2</f>
        <v>10</v>
      </c>
      <c r="M97" s="427" t="s">
        <v>130</v>
      </c>
      <c r="N97" s="9">
        <f ca="1">V71+1</f>
        <v>10</v>
      </c>
    </row>
    <row r="99" spans="2:18" ht="15" thickBot="1" x14ac:dyDescent="0.35">
      <c r="B99" s="15" t="s">
        <v>131</v>
      </c>
      <c r="M99" s="15" t="s">
        <v>131</v>
      </c>
    </row>
    <row r="100" spans="2:18" x14ac:dyDescent="0.3">
      <c r="B100" s="1"/>
      <c r="C100" s="1" t="s">
        <v>132</v>
      </c>
      <c r="D100" s="1" t="s">
        <v>133</v>
      </c>
      <c r="E100" s="1" t="s">
        <v>134</v>
      </c>
      <c r="F100" s="1" t="s">
        <v>135</v>
      </c>
      <c r="G100" s="1" t="s">
        <v>136</v>
      </c>
      <c r="M100" s="1"/>
      <c r="N100" s="1" t="s">
        <v>132</v>
      </c>
      <c r="O100" s="1" t="s">
        <v>133</v>
      </c>
      <c r="P100" s="1" t="s">
        <v>134</v>
      </c>
      <c r="Q100" s="1" t="s">
        <v>135</v>
      </c>
      <c r="R100" s="1" t="s">
        <v>136</v>
      </c>
    </row>
    <row r="101" spans="2:18" x14ac:dyDescent="0.3">
      <c r="B101" s="426" t="s">
        <v>137</v>
      </c>
      <c r="C101" s="60">
        <v>1</v>
      </c>
      <c r="D101" s="428">
        <f ca="1">U65</f>
        <v>364186533866690.5</v>
      </c>
      <c r="E101" s="428">
        <f ca="1">D101/C101</f>
        <v>364186533866690.5</v>
      </c>
      <c r="F101" s="6">
        <f ca="1">E101/E102</f>
        <v>18.077802867423472</v>
      </c>
      <c r="G101" s="426">
        <f ca="1">FDIST(F101,C101,C102)</f>
        <v>2.7923143953949917E-3</v>
      </c>
      <c r="M101" s="426" t="s">
        <v>137</v>
      </c>
      <c r="N101" s="60">
        <v>1</v>
      </c>
      <c r="O101" s="428">
        <f ca="1">U72</f>
        <v>0.20288688633633689</v>
      </c>
      <c r="P101" s="428">
        <f ca="1">O101/N101</f>
        <v>0.20288688633633689</v>
      </c>
      <c r="Q101" s="6">
        <f ca="1">P101/P102</f>
        <v>106.13396695938251</v>
      </c>
      <c r="R101" s="426">
        <f ca="1">FDIST(Q101,N101,N102)</f>
        <v>2.7914705306951399E-6</v>
      </c>
    </row>
    <row r="102" spans="2:18" x14ac:dyDescent="0.3">
      <c r="B102" s="426" t="s">
        <v>138</v>
      </c>
      <c r="C102" s="8">
        <f ca="1">C97-C101-1</f>
        <v>8</v>
      </c>
      <c r="D102" s="428">
        <f ca="1">V65</f>
        <v>161164069123891.69</v>
      </c>
      <c r="E102" s="428">
        <f ca="1">D102/C102</f>
        <v>20145508640486.461</v>
      </c>
      <c r="F102" s="426"/>
      <c r="G102" s="426"/>
      <c r="M102" s="426" t="s">
        <v>138</v>
      </c>
      <c r="N102" s="60">
        <f ca="1">N97-N101</f>
        <v>9</v>
      </c>
      <c r="O102" s="428">
        <f ca="1">V72</f>
        <v>1.7204501342400928E-2</v>
      </c>
      <c r="P102" s="428">
        <f ca="1">O102/N102</f>
        <v>1.9116112602667696E-3</v>
      </c>
      <c r="Q102" s="426"/>
      <c r="R102" s="426"/>
    </row>
    <row r="103" spans="2:18" ht="15" thickBot="1" x14ac:dyDescent="0.35">
      <c r="B103" s="427" t="s">
        <v>0</v>
      </c>
      <c r="C103" s="9">
        <f ca="1">C101+C102</f>
        <v>9</v>
      </c>
      <c r="D103" s="429">
        <f ca="1">D101+D102</f>
        <v>525350602990582.19</v>
      </c>
      <c r="E103" s="427"/>
      <c r="F103" s="427"/>
      <c r="G103" s="427"/>
      <c r="M103" s="427" t="s">
        <v>0</v>
      </c>
      <c r="N103" s="60">
        <f ca="1">N101+N102</f>
        <v>10</v>
      </c>
      <c r="O103" s="429">
        <f ca="1">O101+O102</f>
        <v>0.22009138767873782</v>
      </c>
      <c r="P103" s="428"/>
      <c r="Q103" s="427"/>
      <c r="R103" s="427"/>
    </row>
    <row r="104" spans="2:18" ht="15" thickBot="1" x14ac:dyDescent="0.35">
      <c r="C104" s="1"/>
      <c r="D104" s="1"/>
      <c r="E104" s="1"/>
      <c r="F104" s="1"/>
      <c r="N104" s="1"/>
      <c r="O104" s="1"/>
      <c r="P104" s="1"/>
      <c r="Q104" s="1"/>
    </row>
    <row r="105" spans="2:18" x14ac:dyDescent="0.3">
      <c r="B105" s="1"/>
      <c r="C105" s="1" t="s">
        <v>139</v>
      </c>
      <c r="D105" s="1" t="s">
        <v>120</v>
      </c>
      <c r="E105" s="1" t="s">
        <v>140</v>
      </c>
      <c r="F105" s="1" t="s">
        <v>141</v>
      </c>
      <c r="M105" s="1"/>
      <c r="N105" s="1" t="s">
        <v>139</v>
      </c>
      <c r="O105" s="1" t="s">
        <v>120</v>
      </c>
      <c r="P105" s="1" t="s">
        <v>140</v>
      </c>
      <c r="Q105" s="1" t="s">
        <v>141</v>
      </c>
    </row>
    <row r="106" spans="2:18" x14ac:dyDescent="0.3">
      <c r="B106" s="426" t="s">
        <v>116</v>
      </c>
      <c r="C106" s="8">
        <f ca="1">V61</f>
        <v>88588043.859818205</v>
      </c>
      <c r="D106" s="8">
        <f ca="1">V62</f>
        <v>2638059.4250982804</v>
      </c>
      <c r="E106" s="6">
        <f ca="1">C106/D106</f>
        <v>33.580761303933812</v>
      </c>
      <c r="F106" s="7">
        <f ca="1">TDIST(ABS(E106),C102,2)</f>
        <v>6.7521267902494073E-10</v>
      </c>
      <c r="M106" s="426" t="s">
        <v>116</v>
      </c>
      <c r="N106" s="8"/>
      <c r="O106" s="8"/>
      <c r="P106" s="6"/>
      <c r="Q106" s="7"/>
    </row>
    <row r="107" spans="2:18" ht="15" thickBot="1" x14ac:dyDescent="0.35">
      <c r="B107" s="427" t="s">
        <v>142</v>
      </c>
      <c r="C107" s="9">
        <f ca="1">U61</f>
        <v>2101043.1287070615</v>
      </c>
      <c r="D107" s="9">
        <f ca="1">U62</f>
        <v>494153.80553128198</v>
      </c>
      <c r="E107" s="427">
        <f ca="1">C107/D107</f>
        <v>4.2517999561860238</v>
      </c>
      <c r="F107" s="11">
        <f ca="1">TDIST(ABS(E107),C102,2)</f>
        <v>2.7923143953949917E-3</v>
      </c>
      <c r="M107" s="427" t="s">
        <v>114</v>
      </c>
      <c r="N107" s="10">
        <f ca="1">U68</f>
        <v>2.295602155315522E-2</v>
      </c>
      <c r="O107" s="9">
        <f ca="1">U69</f>
        <v>2.2282782709170238E-3</v>
      </c>
      <c r="P107" s="430">
        <f ca="1">N107/O107</f>
        <v>10.302134097330635</v>
      </c>
      <c r="Q107" s="11">
        <f ca="1">TDIST(ABS(P107),N102,2)</f>
        <v>2.7914705306951399E-6</v>
      </c>
    </row>
    <row r="115" spans="2:23" ht="28.8" x14ac:dyDescent="0.3">
      <c r="B115" s="64" t="s">
        <v>112</v>
      </c>
      <c r="C115" s="119" t="s">
        <v>113</v>
      </c>
      <c r="D115" s="119" t="s">
        <v>595</v>
      </c>
      <c r="E115" s="119" t="str">
        <f>"ln("&amp;D115&amp;")"</f>
        <v>ln(Customer Expenses)</v>
      </c>
      <c r="F115" s="119" t="s">
        <v>114</v>
      </c>
    </row>
    <row r="116" spans="2:23" x14ac:dyDescent="0.3">
      <c r="B116" s="15">
        <v>2008</v>
      </c>
      <c r="D116" s="162">
        <f ca="1">OFFSET(Electric_CBR!$C$28,0,$B116-Electric_CBR!$C$7)+OFFSET(Electric_CBR!$C$29,0,$B116-Electric_CBR!$C$7)</f>
        <v>43865721</v>
      </c>
      <c r="E116" s="162"/>
      <c r="T116" s="15" t="s">
        <v>115</v>
      </c>
      <c r="U116" s="60">
        <f t="array" aca="1" ref="U116:V120" ca="1">LINEST(D117:D126,C117:C126,,TRUE)</f>
        <v>501804.87168697501</v>
      </c>
      <c r="V116" s="60">
        <f ca="1"/>
        <v>49021185.481206015</v>
      </c>
      <c r="W116" s="15" t="s">
        <v>116</v>
      </c>
    </row>
    <row r="117" spans="2:23" x14ac:dyDescent="0.3">
      <c r="B117" s="15">
        <v>2009</v>
      </c>
      <c r="C117" s="15">
        <v>0</v>
      </c>
      <c r="D117" s="162">
        <f ca="1">OFFSET(Electric_CBR!$C$28,0,$B117-Electric_CBR!$C$7)+OFFSET(Electric_CBR!$C$29,0,$B117-Electric_CBR!$C$7)</f>
        <v>47205353</v>
      </c>
      <c r="E117" s="425">
        <f ca="1">LN(D117/$D$116)</f>
        <v>7.3374124937939975E-2</v>
      </c>
      <c r="F117" s="15">
        <v>1</v>
      </c>
      <c r="T117" s="15" t="s">
        <v>117</v>
      </c>
      <c r="U117" s="60">
        <f ca="1"/>
        <v>250401.85098297402</v>
      </c>
      <c r="V117" s="60">
        <f ca="1"/>
        <v>1336780.0786993485</v>
      </c>
      <c r="W117" s="15" t="s">
        <v>118</v>
      </c>
    </row>
    <row r="118" spans="2:23" x14ac:dyDescent="0.3">
      <c r="B118" s="15">
        <f>B117+1</f>
        <v>2010</v>
      </c>
      <c r="C118" s="15">
        <v>1</v>
      </c>
      <c r="D118" s="162">
        <f ca="1">OFFSET(Electric_CBR!$C$28,0,$B118-Electric_CBR!$C$7)+OFFSET(Electric_CBR!$C$29,0,$B118-Electric_CBR!$C$7)</f>
        <v>49127936</v>
      </c>
      <c r="E118" s="425">
        <f t="shared" ref="E118:E126" ca="1" si="4">LN(D118/$D$116)</f>
        <v>0.11329466206684707</v>
      </c>
      <c r="F118" s="15">
        <v>2</v>
      </c>
      <c r="T118" s="15" t="s">
        <v>119</v>
      </c>
      <c r="U118" s="95">
        <f ca="1"/>
        <v>0.33422153697006596</v>
      </c>
      <c r="V118" s="60">
        <f ca="1"/>
        <v>2274387.7583858059</v>
      </c>
      <c r="W118" s="15" t="s">
        <v>120</v>
      </c>
    </row>
    <row r="119" spans="2:23" x14ac:dyDescent="0.3">
      <c r="B119" s="15">
        <f t="shared" ref="B119:B130" si="5">B118+1</f>
        <v>2011</v>
      </c>
      <c r="C119" s="15">
        <v>2</v>
      </c>
      <c r="D119" s="162">
        <f ca="1">OFFSET(Electric_CBR!$C$28,0,$B119-Electric_CBR!$C$7)+OFFSET(Electric_CBR!$C$29,0,$B119-Electric_CBR!$C$7)</f>
        <v>51860830.474710055</v>
      </c>
      <c r="E119" s="425">
        <f t="shared" ca="1" si="4"/>
        <v>0.16743062152385171</v>
      </c>
      <c r="F119" s="15">
        <v>3</v>
      </c>
      <c r="T119" s="15" t="s">
        <v>121</v>
      </c>
      <c r="U119" s="95">
        <f ca="1"/>
        <v>4.0160089943316661</v>
      </c>
      <c r="V119" s="15">
        <f ca="1"/>
        <v>8</v>
      </c>
      <c r="W119" s="15" t="s">
        <v>122</v>
      </c>
    </row>
    <row r="120" spans="2:23" x14ac:dyDescent="0.3">
      <c r="B120" s="15">
        <f t="shared" si="5"/>
        <v>2012</v>
      </c>
      <c r="C120" s="15">
        <v>3</v>
      </c>
      <c r="D120" s="162">
        <f ca="1">OFFSET(Electric_CBR!$C$28,0,$B120-Electric_CBR!$C$7)+OFFSET(Electric_CBR!$C$29,0,$B120-Electric_CBR!$C$7)</f>
        <v>51252976.729592077</v>
      </c>
      <c r="E120" s="425">
        <f t="shared" ca="1" si="4"/>
        <v>0.15564052662044314</v>
      </c>
      <c r="F120" s="15">
        <v>4</v>
      </c>
      <c r="T120" s="15" t="s">
        <v>123</v>
      </c>
      <c r="U120" s="15">
        <f ca="1"/>
        <v>20774170663024.461</v>
      </c>
      <c r="V120" s="15">
        <f ca="1"/>
        <v>41382717403961.68</v>
      </c>
      <c r="W120" s="15" t="s">
        <v>124</v>
      </c>
    </row>
    <row r="121" spans="2:23" x14ac:dyDescent="0.3">
      <c r="B121" s="15">
        <f t="shared" si="5"/>
        <v>2013</v>
      </c>
      <c r="C121" s="15">
        <v>4</v>
      </c>
      <c r="D121" s="162">
        <f ca="1">OFFSET(Electric_CBR!$C$28,0,$B121-Electric_CBR!$C$7)+OFFSET(Electric_CBR!$C$29,0,$B121-Electric_CBR!$C$7)</f>
        <v>52660583.56731908</v>
      </c>
      <c r="E121" s="425">
        <f t="shared" ca="1" si="4"/>
        <v>0.1827340635616784</v>
      </c>
      <c r="F121" s="15">
        <v>5</v>
      </c>
    </row>
    <row r="122" spans="2:23" x14ac:dyDescent="0.3">
      <c r="B122" s="15">
        <f t="shared" si="5"/>
        <v>2014</v>
      </c>
      <c r="C122" s="15">
        <v>5</v>
      </c>
      <c r="D122" s="162">
        <f ca="1">OFFSET(Electric_CBR!$C$28,0,$B122-Electric_CBR!$C$7)+OFFSET(Electric_CBR!$C$29,0,$B122-Electric_CBR!$C$7)</f>
        <v>53654545.125547931</v>
      </c>
      <c r="E122" s="425">
        <f t="shared" ca="1" si="4"/>
        <v>0.20143301133871935</v>
      </c>
      <c r="F122" s="15">
        <v>6</v>
      </c>
    </row>
    <row r="123" spans="2:23" x14ac:dyDescent="0.3">
      <c r="B123" s="15">
        <f t="shared" si="5"/>
        <v>2015</v>
      </c>
      <c r="C123" s="15">
        <v>6</v>
      </c>
      <c r="D123" s="162">
        <f ca="1">OFFSET(Electric_CBR!$C$28,0,$B123-Electric_CBR!$C$7)+OFFSET(Electric_CBR!$C$29,0,$B123-Electric_CBR!$C$7)</f>
        <v>50200511.919027314</v>
      </c>
      <c r="E123" s="425">
        <f t="shared" ca="1" si="4"/>
        <v>0.13489205199589838</v>
      </c>
      <c r="F123" s="15">
        <v>7</v>
      </c>
      <c r="T123" s="15" t="s">
        <v>115</v>
      </c>
      <c r="U123" s="13">
        <f t="array" aca="1" ref="U123:V127" ca="1">LINEST(E117:E126,F117:F126,FALSE,TRUE)</f>
        <v>2.4222369276133283E-2</v>
      </c>
      <c r="V123" s="13">
        <f ca="1"/>
        <v>0</v>
      </c>
      <c r="W123" s="15" t="s">
        <v>116</v>
      </c>
    </row>
    <row r="124" spans="2:23" x14ac:dyDescent="0.3">
      <c r="B124" s="15">
        <f t="shared" si="5"/>
        <v>2016</v>
      </c>
      <c r="C124" s="15">
        <v>7</v>
      </c>
      <c r="D124" s="162">
        <f ca="1">OFFSET(Electric_CBR!$C$28,0,$B124-Electric_CBR!$C$7)+OFFSET(Electric_CBR!$C$29,0,$B124-Electric_CBR!$C$7)</f>
        <v>48411112.369821206</v>
      </c>
      <c r="E124" s="425">
        <f t="shared" ca="1" si="4"/>
        <v>9.8596209547639091E-2</v>
      </c>
      <c r="F124" s="15">
        <v>8</v>
      </c>
      <c r="T124" s="15" t="s">
        <v>117</v>
      </c>
      <c r="U124" s="13">
        <f ca="1"/>
        <v>3.3058186189055989E-3</v>
      </c>
      <c r="V124" s="13" t="e">
        <f ca="1"/>
        <v>#N/A</v>
      </c>
      <c r="W124" s="15" t="s">
        <v>118</v>
      </c>
    </row>
    <row r="125" spans="2:23" x14ac:dyDescent="0.3">
      <c r="B125" s="15">
        <f t="shared" si="5"/>
        <v>2017</v>
      </c>
      <c r="C125" s="15">
        <v>8</v>
      </c>
      <c r="D125" s="162">
        <f ca="1">OFFSET(Electric_CBR!$C$28,0,$B125-Electric_CBR!$C$7)+OFFSET(Electric_CBR!$C$29,0,$B125-Electric_CBR!$C$7)</f>
        <v>52409733.720673412</v>
      </c>
      <c r="E125" s="425">
        <f t="shared" ca="1" si="4"/>
        <v>0.17795915986425317</v>
      </c>
      <c r="F125" s="15">
        <v>9</v>
      </c>
      <c r="T125" s="15" t="s">
        <v>119</v>
      </c>
      <c r="U125" s="15">
        <f ca="1"/>
        <v>0.85643127911378159</v>
      </c>
      <c r="V125" s="15">
        <f ca="1"/>
        <v>6.4864845219306785E-2</v>
      </c>
      <c r="W125" s="15" t="s">
        <v>120</v>
      </c>
    </row>
    <row r="126" spans="2:23" x14ac:dyDescent="0.3">
      <c r="B126" s="15">
        <f t="shared" si="5"/>
        <v>2018</v>
      </c>
      <c r="C126" s="15">
        <v>9</v>
      </c>
      <c r="D126" s="162">
        <f ca="1">OFFSET(Electric_CBR!$C$28,0,$B126-Electric_CBR!$C$7)+OFFSET(Electric_CBR!$C$29,0,$B126-Electric_CBR!$C$7)</f>
        <v>56009491.131282963</v>
      </c>
      <c r="E126" s="425">
        <f t="shared" ca="1" si="4"/>
        <v>0.24438798862149627</v>
      </c>
      <c r="F126" s="15">
        <v>10</v>
      </c>
      <c r="T126" s="15" t="s">
        <v>121</v>
      </c>
      <c r="U126" s="15">
        <f ca="1"/>
        <v>53.68774942372518</v>
      </c>
      <c r="V126" s="15">
        <f ca="1"/>
        <v>9</v>
      </c>
      <c r="W126" s="15" t="s">
        <v>122</v>
      </c>
    </row>
    <row r="127" spans="2:23" x14ac:dyDescent="0.3">
      <c r="B127" s="15">
        <f t="shared" si="5"/>
        <v>2019</v>
      </c>
      <c r="C127" s="15">
        <v>10</v>
      </c>
      <c r="D127" s="162"/>
      <c r="E127" s="162"/>
      <c r="T127" s="15" t="s">
        <v>123</v>
      </c>
      <c r="U127" s="15">
        <f ca="1"/>
        <v>0.22588842173950574</v>
      </c>
      <c r="V127" s="15">
        <f ca="1"/>
        <v>3.7867033307921627E-2</v>
      </c>
      <c r="W127" s="15" t="s">
        <v>124</v>
      </c>
    </row>
    <row r="128" spans="2:23" x14ac:dyDescent="0.3">
      <c r="B128" s="15">
        <f t="shared" si="5"/>
        <v>2020</v>
      </c>
      <c r="C128" s="15">
        <v>11</v>
      </c>
      <c r="D128" s="162"/>
      <c r="E128" s="162"/>
    </row>
    <row r="129" spans="2:5" x14ac:dyDescent="0.3">
      <c r="B129" s="15">
        <f t="shared" si="5"/>
        <v>2021</v>
      </c>
      <c r="C129" s="15">
        <v>12</v>
      </c>
      <c r="D129" s="162"/>
      <c r="E129" s="162"/>
    </row>
    <row r="130" spans="2:5" x14ac:dyDescent="0.3">
      <c r="B130" s="15">
        <f t="shared" si="5"/>
        <v>2022</v>
      </c>
      <c r="C130" s="15">
        <v>13</v>
      </c>
      <c r="D130" s="162"/>
      <c r="E130" s="162"/>
    </row>
    <row r="132" spans="2:5" x14ac:dyDescent="0.3">
      <c r="C132" s="35"/>
      <c r="D132" s="35"/>
    </row>
    <row r="135" spans="2:5" x14ac:dyDescent="0.3">
      <c r="B135" s="15" t="s">
        <v>2</v>
      </c>
      <c r="D135" s="52">
        <f ca="1">RATE(3,,-D123,D126)</f>
        <v>3.7172899209528702E-2</v>
      </c>
      <c r="E135" s="52"/>
    </row>
    <row r="136" spans="2:5" x14ac:dyDescent="0.3">
      <c r="B136" s="15" t="s">
        <v>3</v>
      </c>
      <c r="D136" s="52">
        <f ca="1">RATE(5,,-D121,D126)</f>
        <v>1.240712258619334E-2</v>
      </c>
      <c r="E136" s="52"/>
    </row>
    <row r="137" spans="2:5" x14ac:dyDescent="0.3">
      <c r="B137" s="15" t="s">
        <v>4</v>
      </c>
      <c r="D137" s="52">
        <f ca="1">RATE(10,,-D116,D126)</f>
        <v>2.4739873941751509E-2</v>
      </c>
      <c r="E137" s="52"/>
    </row>
    <row r="138" spans="2:5" x14ac:dyDescent="0.3">
      <c r="B138" s="15" t="s">
        <v>5</v>
      </c>
      <c r="D138" s="52">
        <f ca="1">C162/D126</f>
        <v>8.95928282067005E-3</v>
      </c>
      <c r="E138" s="52"/>
    </row>
    <row r="139" spans="2:5" x14ac:dyDescent="0.3">
      <c r="B139" s="15" t="s">
        <v>6</v>
      </c>
      <c r="D139" s="52">
        <f ca="1">C162/AVERAGE(D117:D126)</f>
        <v>9.7857185888944875E-3</v>
      </c>
      <c r="E139" s="52"/>
    </row>
    <row r="140" spans="2:5" x14ac:dyDescent="0.3">
      <c r="B140" s="15" t="s">
        <v>7</v>
      </c>
      <c r="D140" s="52">
        <f ca="1">EXP(N162)-1</f>
        <v>2.4518113913641004E-2</v>
      </c>
    </row>
    <row r="142" spans="2:5" x14ac:dyDescent="0.3">
      <c r="D142" s="52"/>
    </row>
    <row r="145" spans="2:18" x14ac:dyDescent="0.3">
      <c r="B145" s="15" t="s">
        <v>125</v>
      </c>
      <c r="M145" s="15" t="s">
        <v>125</v>
      </c>
    </row>
    <row r="146" spans="2:18" ht="15" thickBot="1" x14ac:dyDescent="0.35"/>
    <row r="147" spans="2:18" x14ac:dyDescent="0.3">
      <c r="B147" s="2" t="s">
        <v>126</v>
      </c>
      <c r="C147" s="2"/>
      <c r="M147" s="2" t="s">
        <v>126</v>
      </c>
      <c r="N147" s="2"/>
    </row>
    <row r="148" spans="2:18" x14ac:dyDescent="0.3">
      <c r="B148" s="426" t="s">
        <v>127</v>
      </c>
      <c r="C148" s="7">
        <f ca="1">C149^0.5</f>
        <v>0.57811896437503751</v>
      </c>
      <c r="M148" s="426" t="s">
        <v>127</v>
      </c>
      <c r="N148" s="7">
        <f ca="1">N149^0.5</f>
        <v>0.92543572392348328</v>
      </c>
    </row>
    <row r="149" spans="2:18" x14ac:dyDescent="0.3">
      <c r="B149" s="426" t="s">
        <v>128</v>
      </c>
      <c r="C149" s="7">
        <f ca="1">U118</f>
        <v>0.33422153697006596</v>
      </c>
      <c r="M149" s="426" t="s">
        <v>128</v>
      </c>
      <c r="N149" s="7">
        <f ca="1">U125</f>
        <v>0.85643127911378159</v>
      </c>
    </row>
    <row r="150" spans="2:18" x14ac:dyDescent="0.3">
      <c r="B150" s="426" t="s">
        <v>129</v>
      </c>
      <c r="C150" s="7">
        <f ca="1">1-(1-C149)*(C152-1)/(C152-2)</f>
        <v>0.25099922909132422</v>
      </c>
      <c r="M150" s="426" t="s">
        <v>129</v>
      </c>
      <c r="N150" s="7">
        <f ca="1">1-(1-N149)*(N152-1)/(N152-2)</f>
        <v>0.83848518900300428</v>
      </c>
    </row>
    <row r="151" spans="2:18" x14ac:dyDescent="0.3">
      <c r="B151" s="426" t="s">
        <v>120</v>
      </c>
      <c r="C151" s="8">
        <f ca="1">V118</f>
        <v>2274387.7583858059</v>
      </c>
      <c r="M151" s="426" t="s">
        <v>120</v>
      </c>
      <c r="N151" s="6">
        <f ca="1">V125</f>
        <v>6.4864845219306785E-2</v>
      </c>
    </row>
    <row r="152" spans="2:18" ht="15" thickBot="1" x14ac:dyDescent="0.35">
      <c r="B152" s="427" t="s">
        <v>130</v>
      </c>
      <c r="C152" s="9">
        <f ca="1">V119+2</f>
        <v>10</v>
      </c>
      <c r="M152" s="427" t="s">
        <v>130</v>
      </c>
      <c r="N152" s="9">
        <f ca="1">V126+1</f>
        <v>10</v>
      </c>
    </row>
    <row r="154" spans="2:18" ht="15" thickBot="1" x14ac:dyDescent="0.35">
      <c r="B154" s="15" t="s">
        <v>131</v>
      </c>
      <c r="M154" s="15" t="s">
        <v>131</v>
      </c>
    </row>
    <row r="155" spans="2:18" x14ac:dyDescent="0.3">
      <c r="B155" s="1"/>
      <c r="C155" s="1" t="s">
        <v>132</v>
      </c>
      <c r="D155" s="1" t="s">
        <v>133</v>
      </c>
      <c r="E155" s="1" t="s">
        <v>134</v>
      </c>
      <c r="F155" s="1" t="s">
        <v>135</v>
      </c>
      <c r="G155" s="1" t="s">
        <v>136</v>
      </c>
      <c r="M155" s="1"/>
      <c r="N155" s="1" t="s">
        <v>132</v>
      </c>
      <c r="O155" s="1" t="s">
        <v>133</v>
      </c>
      <c r="P155" s="1" t="s">
        <v>134</v>
      </c>
      <c r="Q155" s="1" t="s">
        <v>135</v>
      </c>
      <c r="R155" s="1" t="s">
        <v>136</v>
      </c>
    </row>
    <row r="156" spans="2:18" x14ac:dyDescent="0.3">
      <c r="B156" s="426" t="s">
        <v>137</v>
      </c>
      <c r="C156" s="60">
        <v>1</v>
      </c>
      <c r="D156" s="428">
        <f ca="1">U120</f>
        <v>20774170663024.461</v>
      </c>
      <c r="E156" s="428">
        <f ca="1">D156/C156</f>
        <v>20774170663024.461</v>
      </c>
      <c r="F156" s="6">
        <f ca="1">E156/E157</f>
        <v>4.0160089943316661</v>
      </c>
      <c r="G156" s="426">
        <f ca="1">FDIST(F156,C156,C157)</f>
        <v>8.0019004180307218E-2</v>
      </c>
      <c r="M156" s="426" t="s">
        <v>137</v>
      </c>
      <c r="N156" s="60">
        <v>1</v>
      </c>
      <c r="O156" s="428">
        <f ca="1">U127</f>
        <v>0.22588842173950574</v>
      </c>
      <c r="P156" s="428">
        <f ca="1">O156/N156</f>
        <v>0.22588842173950574</v>
      </c>
      <c r="Q156" s="6">
        <f ca="1">P156/P157</f>
        <v>53.68774942372518</v>
      </c>
      <c r="R156" s="426">
        <f ca="1">FDIST(Q156,N156,N157)</f>
        <v>4.4338337982456382E-5</v>
      </c>
    </row>
    <row r="157" spans="2:18" x14ac:dyDescent="0.3">
      <c r="B157" s="426" t="s">
        <v>138</v>
      </c>
      <c r="C157" s="8">
        <f ca="1">C152-C156-1</f>
        <v>8</v>
      </c>
      <c r="D157" s="428">
        <f ca="1">V120</f>
        <v>41382717403961.68</v>
      </c>
      <c r="E157" s="428">
        <f ca="1">D157/C157</f>
        <v>5172839675495.21</v>
      </c>
      <c r="F157" s="426"/>
      <c r="G157" s="426"/>
      <c r="M157" s="426" t="s">
        <v>138</v>
      </c>
      <c r="N157" s="60">
        <f ca="1">N152-N156</f>
        <v>9</v>
      </c>
      <c r="O157" s="428">
        <f ca="1">V127</f>
        <v>3.7867033307921627E-2</v>
      </c>
      <c r="P157" s="428">
        <f ca="1">O157/N157</f>
        <v>4.2074481453246255E-3</v>
      </c>
      <c r="Q157" s="426"/>
      <c r="R157" s="426"/>
    </row>
    <row r="158" spans="2:18" ht="15" thickBot="1" x14ac:dyDescent="0.35">
      <c r="B158" s="427" t="s">
        <v>0</v>
      </c>
      <c r="C158" s="9">
        <f ca="1">C156+C157</f>
        <v>9</v>
      </c>
      <c r="D158" s="429">
        <f ca="1">D156+D157</f>
        <v>62156888066986.141</v>
      </c>
      <c r="E158" s="427"/>
      <c r="F158" s="427"/>
      <c r="G158" s="427"/>
      <c r="M158" s="427" t="s">
        <v>0</v>
      </c>
      <c r="N158" s="60">
        <f ca="1">N156+N157</f>
        <v>10</v>
      </c>
      <c r="O158" s="429">
        <f ca="1">O156+O157</f>
        <v>0.26375545504742737</v>
      </c>
      <c r="P158" s="428"/>
      <c r="Q158" s="427"/>
      <c r="R158" s="427"/>
    </row>
    <row r="159" spans="2:18" ht="15" thickBot="1" x14ac:dyDescent="0.35">
      <c r="C159" s="1"/>
      <c r="D159" s="1"/>
      <c r="E159" s="1"/>
      <c r="F159" s="1"/>
      <c r="N159" s="1"/>
      <c r="O159" s="1"/>
      <c r="P159" s="1"/>
      <c r="Q159" s="1"/>
    </row>
    <row r="160" spans="2:18" x14ac:dyDescent="0.3">
      <c r="B160" s="1"/>
      <c r="C160" s="1" t="s">
        <v>139</v>
      </c>
      <c r="D160" s="1" t="s">
        <v>120</v>
      </c>
      <c r="E160" s="1" t="s">
        <v>140</v>
      </c>
      <c r="F160" s="1" t="s">
        <v>141</v>
      </c>
      <c r="M160" s="1"/>
      <c r="N160" s="1" t="s">
        <v>139</v>
      </c>
      <c r="O160" s="1" t="s">
        <v>120</v>
      </c>
      <c r="P160" s="1" t="s">
        <v>140</v>
      </c>
      <c r="Q160" s="1" t="s">
        <v>141</v>
      </c>
    </row>
    <row r="161" spans="2:23" x14ac:dyDescent="0.3">
      <c r="B161" s="426" t="s">
        <v>116</v>
      </c>
      <c r="C161" s="8">
        <f ca="1">V116</f>
        <v>49021185.481206015</v>
      </c>
      <c r="D161" s="8">
        <f ca="1">V117</f>
        <v>1336780.0786993485</v>
      </c>
      <c r="E161" s="6">
        <f ca="1">C161/D161</f>
        <v>36.671092173143634</v>
      </c>
      <c r="F161" s="7">
        <f ca="1">TDIST(ABS(E161),C157,2)</f>
        <v>3.3523810273316758E-10</v>
      </c>
      <c r="M161" s="426" t="s">
        <v>116</v>
      </c>
      <c r="N161" s="8"/>
      <c r="O161" s="8"/>
      <c r="P161" s="6"/>
      <c r="Q161" s="7"/>
    </row>
    <row r="162" spans="2:23" ht="15" thickBot="1" x14ac:dyDescent="0.35">
      <c r="B162" s="427" t="s">
        <v>142</v>
      </c>
      <c r="C162" s="9">
        <f ca="1">U116</f>
        <v>501804.87168697501</v>
      </c>
      <c r="D162" s="9">
        <f ca="1">U117</f>
        <v>250401.85098297402</v>
      </c>
      <c r="E162" s="427">
        <f ca="1">C162/D162</f>
        <v>2.0039982520779969</v>
      </c>
      <c r="F162" s="11">
        <f ca="1">TDIST(ABS(E162),C157,2)</f>
        <v>8.0019004180307149E-2</v>
      </c>
      <c r="M162" s="427" t="s">
        <v>114</v>
      </c>
      <c r="N162" s="10">
        <f ca="1">U123</f>
        <v>2.4222369276133283E-2</v>
      </c>
      <c r="O162" s="9">
        <f ca="1">U124</f>
        <v>3.3058186189055989E-3</v>
      </c>
      <c r="P162" s="430">
        <f ca="1">N162/O162</f>
        <v>7.3271924653120175</v>
      </c>
      <c r="Q162" s="11">
        <f ca="1">TDIST(ABS(P162),N157,2)</f>
        <v>4.4338337982456307E-5</v>
      </c>
    </row>
    <row r="169" spans="2:23" ht="28.8" x14ac:dyDescent="0.3">
      <c r="B169" s="64" t="s">
        <v>112</v>
      </c>
      <c r="C169" s="119" t="s">
        <v>113</v>
      </c>
      <c r="D169" s="119" t="s">
        <v>172</v>
      </c>
      <c r="E169" s="119" t="str">
        <f>"ln("&amp;D169&amp;")"</f>
        <v>ln(A&amp;G Expense)</v>
      </c>
      <c r="F169" s="119" t="s">
        <v>114</v>
      </c>
    </row>
    <row r="170" spans="2:23" x14ac:dyDescent="0.3">
      <c r="B170" s="15">
        <v>2008</v>
      </c>
      <c r="D170" s="162">
        <f ca="1">OFFSET(Electric_CBR!$C$31,0,$B170-Electric_CBR!$C$7)</f>
        <v>92385980</v>
      </c>
      <c r="E170" s="162"/>
      <c r="T170" s="15" t="s">
        <v>115</v>
      </c>
      <c r="U170" s="60">
        <f t="array" aca="1" ref="U170:V174" ca="1">LINEST(D171:D180,C171:C180,,TRUE)</f>
        <v>3706952.5306846187</v>
      </c>
      <c r="V170" s="60">
        <f ca="1"/>
        <v>92021992.252472132</v>
      </c>
      <c r="W170" s="15" t="s">
        <v>116</v>
      </c>
    </row>
    <row r="171" spans="2:23" x14ac:dyDescent="0.3">
      <c r="B171" s="15">
        <v>2009</v>
      </c>
      <c r="C171" s="15">
        <v>0</v>
      </c>
      <c r="D171" s="162">
        <f ca="1">OFFSET(Electric_CBR!$C$31,0,$B171-Electric_CBR!$C$7)</f>
        <v>97625991</v>
      </c>
      <c r="E171" s="425">
        <f ca="1">LN(D171/$D$170)</f>
        <v>5.516852366317359E-2</v>
      </c>
      <c r="F171" s="15">
        <v>1</v>
      </c>
      <c r="T171" s="15" t="s">
        <v>117</v>
      </c>
      <c r="U171" s="60">
        <f ca="1"/>
        <v>387727.26434420847</v>
      </c>
      <c r="V171" s="60">
        <f ca="1"/>
        <v>2069897.1709245716</v>
      </c>
      <c r="W171" s="15" t="s">
        <v>118</v>
      </c>
    </row>
    <row r="172" spans="2:23" x14ac:dyDescent="0.3">
      <c r="B172" s="15">
        <f>B171+1</f>
        <v>2010</v>
      </c>
      <c r="C172" s="15">
        <v>1</v>
      </c>
      <c r="D172" s="162">
        <f ca="1">OFFSET(Electric_CBR!$C$31,0,$B172-Electric_CBR!$C$7)</f>
        <v>96580793</v>
      </c>
      <c r="E172" s="425">
        <f t="shared" ref="E172:E180" ca="1" si="6">LN(D172/$D$170)</f>
        <v>4.4404655687875848E-2</v>
      </c>
      <c r="F172" s="15">
        <v>2</v>
      </c>
      <c r="T172" s="15" t="s">
        <v>119</v>
      </c>
      <c r="U172" s="95">
        <f ca="1"/>
        <v>0.91952309581550273</v>
      </c>
      <c r="V172" s="60">
        <f ca="1"/>
        <v>3521707.767554983</v>
      </c>
      <c r="W172" s="15" t="s">
        <v>120</v>
      </c>
    </row>
    <row r="173" spans="2:23" x14ac:dyDescent="0.3">
      <c r="B173" s="15">
        <f t="shared" ref="B173:B184" si="7">B172+1</f>
        <v>2011</v>
      </c>
      <c r="C173" s="15">
        <v>2</v>
      </c>
      <c r="D173" s="162">
        <f ca="1">OFFSET(Electric_CBR!$C$31,0,$B173-Electric_CBR!$C$7)</f>
        <v>96361837.463733703</v>
      </c>
      <c r="E173" s="425">
        <f t="shared" ca="1" si="6"/>
        <v>4.2135010770814753E-2</v>
      </c>
      <c r="F173" s="15">
        <v>3</v>
      </c>
      <c r="T173" s="15" t="s">
        <v>121</v>
      </c>
      <c r="U173" s="95">
        <f ca="1"/>
        <v>91.407402422682651</v>
      </c>
      <c r="V173" s="15">
        <f ca="1"/>
        <v>8</v>
      </c>
      <c r="W173" s="15" t="s">
        <v>122</v>
      </c>
    </row>
    <row r="174" spans="2:23" x14ac:dyDescent="0.3">
      <c r="B174" s="15">
        <f t="shared" si="7"/>
        <v>2012</v>
      </c>
      <c r="C174" s="15">
        <v>3</v>
      </c>
      <c r="D174" s="162">
        <f ca="1">OFFSET(Electric_CBR!$C$31,0,$B174-Electric_CBR!$C$7)</f>
        <v>99264865.550326318</v>
      </c>
      <c r="E174" s="425">
        <f t="shared" ca="1" si="6"/>
        <v>7.1816451662663441E-2</v>
      </c>
      <c r="F174" s="15">
        <v>4</v>
      </c>
      <c r="T174" s="15" t="s">
        <v>123</v>
      </c>
      <c r="U174" s="15">
        <f ca="1"/>
        <v>1133673507841800.8</v>
      </c>
      <c r="V174" s="15">
        <f ca="1"/>
        <v>99219404800456.813</v>
      </c>
      <c r="W174" s="15" t="s">
        <v>124</v>
      </c>
    </row>
    <row r="175" spans="2:23" x14ac:dyDescent="0.3">
      <c r="B175" s="15">
        <f t="shared" si="7"/>
        <v>2013</v>
      </c>
      <c r="C175" s="15">
        <v>4</v>
      </c>
      <c r="D175" s="162">
        <f ca="1">OFFSET(Electric_CBR!$C$31,0,$B175-Electric_CBR!$C$7)</f>
        <v>106511054.42340092</v>
      </c>
      <c r="E175" s="425">
        <f t="shared" ca="1" si="6"/>
        <v>0.14227354163222489</v>
      </c>
      <c r="F175" s="15">
        <v>5</v>
      </c>
    </row>
    <row r="176" spans="2:23" x14ac:dyDescent="0.3">
      <c r="B176" s="15">
        <f t="shared" si="7"/>
        <v>2014</v>
      </c>
      <c r="C176" s="15">
        <v>5</v>
      </c>
      <c r="D176" s="162">
        <f ca="1">OFFSET(Electric_CBR!$C$31,0,$B176-Electric_CBR!$C$7)</f>
        <v>110332420.87521468</v>
      </c>
      <c r="E176" s="425">
        <f t="shared" ca="1" si="6"/>
        <v>0.17752258112809355</v>
      </c>
      <c r="F176" s="15">
        <v>6</v>
      </c>
    </row>
    <row r="177" spans="2:23" x14ac:dyDescent="0.3">
      <c r="B177" s="15">
        <f t="shared" si="7"/>
        <v>2015</v>
      </c>
      <c r="C177" s="15">
        <v>6</v>
      </c>
      <c r="D177" s="162">
        <f ca="1">OFFSET(Electric_CBR!$C$31,0,$B177-Electric_CBR!$C$7)</f>
        <v>109690022.39250499</v>
      </c>
      <c r="E177" s="425">
        <f t="shared" ca="1" si="6"/>
        <v>0.17168317403325989</v>
      </c>
      <c r="F177" s="15">
        <v>7</v>
      </c>
      <c r="T177" s="15" t="s">
        <v>115</v>
      </c>
      <c r="U177" s="13">
        <f t="array" aca="1" ref="U177:V181" ca="1">LINEST(E171:E180,F171:F180,FALSE,TRUE)</f>
        <v>2.9727191709133498E-2</v>
      </c>
      <c r="V177" s="13">
        <f ca="1"/>
        <v>0</v>
      </c>
      <c r="W177" s="15" t="s">
        <v>116</v>
      </c>
    </row>
    <row r="178" spans="2:23" x14ac:dyDescent="0.3">
      <c r="B178" s="15">
        <f t="shared" si="7"/>
        <v>2016</v>
      </c>
      <c r="C178" s="15">
        <v>7</v>
      </c>
      <c r="D178" s="162">
        <f ca="1">OFFSET(Electric_CBR!$C$31,0,$B178-Electric_CBR!$C$7)</f>
        <v>117707587.96722367</v>
      </c>
      <c r="E178" s="425">
        <f t="shared" ca="1" si="6"/>
        <v>0.24222824536519164</v>
      </c>
      <c r="F178" s="15">
        <v>8</v>
      </c>
      <c r="T178" s="15" t="s">
        <v>117</v>
      </c>
      <c r="U178" s="13">
        <f ca="1"/>
        <v>1.6083178988362794E-3</v>
      </c>
      <c r="V178" s="13" t="e">
        <f ca="1"/>
        <v>#N/A</v>
      </c>
      <c r="W178" s="15" t="s">
        <v>118</v>
      </c>
    </row>
    <row r="179" spans="2:23" x14ac:dyDescent="0.3">
      <c r="B179" s="15">
        <f t="shared" si="7"/>
        <v>2017</v>
      </c>
      <c r="C179" s="15">
        <v>8</v>
      </c>
      <c r="D179" s="162">
        <f ca="1">OFFSET(Electric_CBR!$C$31,0,$B179-Electric_CBR!$C$7)</f>
        <v>126051437.76548122</v>
      </c>
      <c r="E179" s="425">
        <f t="shared" ca="1" si="6"/>
        <v>0.31071482434621328</v>
      </c>
      <c r="F179" s="15">
        <v>9</v>
      </c>
      <c r="T179" s="15" t="s">
        <v>119</v>
      </c>
      <c r="U179" s="15">
        <f ca="1"/>
        <v>0.97433237615997237</v>
      </c>
      <c r="V179" s="15">
        <f ca="1"/>
        <v>3.1557475953109759E-2</v>
      </c>
      <c r="W179" s="15" t="s">
        <v>120</v>
      </c>
    </row>
    <row r="180" spans="2:23" x14ac:dyDescent="0.3">
      <c r="B180" s="15">
        <f t="shared" si="7"/>
        <v>2018</v>
      </c>
      <c r="C180" s="15">
        <v>9</v>
      </c>
      <c r="D180" s="162">
        <f ca="1">OFFSET(Electric_CBR!$C$31,0,$B180-Electric_CBR!$C$7)</f>
        <v>126906775.96764377</v>
      </c>
      <c r="E180" s="425">
        <f t="shared" ca="1" si="6"/>
        <v>0.31747753388144134</v>
      </c>
      <c r="F180" s="15">
        <v>10</v>
      </c>
      <c r="T180" s="15" t="s">
        <v>121</v>
      </c>
      <c r="U180" s="15">
        <f ca="1"/>
        <v>341.63627455708865</v>
      </c>
      <c r="V180" s="15">
        <f ca="1"/>
        <v>9</v>
      </c>
      <c r="W180" s="15" t="s">
        <v>122</v>
      </c>
    </row>
    <row r="181" spans="2:23" x14ac:dyDescent="0.3">
      <c r="B181" s="15">
        <f t="shared" si="7"/>
        <v>2019</v>
      </c>
      <c r="C181" s="15">
        <v>10</v>
      </c>
      <c r="D181" s="162"/>
      <c r="E181" s="162"/>
      <c r="T181" s="15" t="s">
        <v>123</v>
      </c>
      <c r="U181" s="15">
        <f ca="1"/>
        <v>0.3402267818609564</v>
      </c>
      <c r="V181" s="15">
        <f ca="1"/>
        <v>8.9628685967799056E-3</v>
      </c>
      <c r="W181" s="15" t="s">
        <v>124</v>
      </c>
    </row>
    <row r="182" spans="2:23" x14ac:dyDescent="0.3">
      <c r="B182" s="15">
        <f t="shared" si="7"/>
        <v>2020</v>
      </c>
      <c r="C182" s="15">
        <v>11</v>
      </c>
      <c r="D182" s="162"/>
      <c r="E182" s="162"/>
    </row>
    <row r="183" spans="2:23" x14ac:dyDescent="0.3">
      <c r="B183" s="15">
        <f t="shared" si="7"/>
        <v>2021</v>
      </c>
      <c r="C183" s="15">
        <v>12</v>
      </c>
      <c r="D183" s="162"/>
      <c r="E183" s="162"/>
    </row>
    <row r="184" spans="2:23" x14ac:dyDescent="0.3">
      <c r="B184" s="15">
        <f t="shared" si="7"/>
        <v>2022</v>
      </c>
      <c r="C184" s="15">
        <v>13</v>
      </c>
      <c r="D184" s="162"/>
      <c r="E184" s="162"/>
    </row>
    <row r="186" spans="2:23" x14ac:dyDescent="0.3">
      <c r="C186" s="35"/>
      <c r="D186" s="35"/>
    </row>
    <row r="189" spans="2:23" x14ac:dyDescent="0.3">
      <c r="B189" s="15" t="s">
        <v>2</v>
      </c>
      <c r="D189" s="52">
        <f ca="1">RATE(3,,-D177,D180)</f>
        <v>4.9798372930236229E-2</v>
      </c>
      <c r="E189" s="52"/>
    </row>
    <row r="190" spans="2:23" x14ac:dyDescent="0.3">
      <c r="B190" s="15" t="s">
        <v>3</v>
      </c>
      <c r="D190" s="52">
        <f ca="1">RATE(5,,-D175,D180)</f>
        <v>3.5661961340282759E-2</v>
      </c>
      <c r="E190" s="52"/>
    </row>
    <row r="191" spans="2:23" x14ac:dyDescent="0.3">
      <c r="B191" s="15" t="s">
        <v>4</v>
      </c>
      <c r="D191" s="52">
        <f ca="1">RATE(10,,-D170,D180)</f>
        <v>3.2257089108655747E-2</v>
      </c>
      <c r="E191" s="52"/>
    </row>
    <row r="192" spans="2:23" x14ac:dyDescent="0.3">
      <c r="B192" s="15" t="s">
        <v>5</v>
      </c>
      <c r="D192" s="52">
        <f ca="1">C216/D180</f>
        <v>2.9210044163676067E-2</v>
      </c>
      <c r="E192" s="52"/>
    </row>
    <row r="193" spans="2:14" x14ac:dyDescent="0.3">
      <c r="B193" s="15" t="s">
        <v>6</v>
      </c>
      <c r="D193" s="52">
        <f ca="1">C216/AVERAGE(D171:D180)</f>
        <v>3.410157059698566E-2</v>
      </c>
      <c r="E193" s="52"/>
    </row>
    <row r="194" spans="2:14" x14ac:dyDescent="0.3">
      <c r="B194" s="15" t="s">
        <v>7</v>
      </c>
      <c r="D194" s="52">
        <f ca="1">EXP(N216)-1</f>
        <v>3.0173455755267975E-2</v>
      </c>
    </row>
    <row r="196" spans="2:14" x14ac:dyDescent="0.3">
      <c r="D196" s="52"/>
    </row>
    <row r="199" spans="2:14" x14ac:dyDescent="0.3">
      <c r="B199" s="15" t="s">
        <v>125</v>
      </c>
      <c r="M199" s="15" t="s">
        <v>125</v>
      </c>
    </row>
    <row r="200" spans="2:14" ht="15" thickBot="1" x14ac:dyDescent="0.35"/>
    <row r="201" spans="2:14" x14ac:dyDescent="0.3">
      <c r="B201" s="2" t="s">
        <v>126</v>
      </c>
      <c r="C201" s="2"/>
      <c r="M201" s="2" t="s">
        <v>126</v>
      </c>
      <c r="N201" s="2"/>
    </row>
    <row r="202" spans="2:14" x14ac:dyDescent="0.3">
      <c r="B202" s="426" t="s">
        <v>127</v>
      </c>
      <c r="C202" s="7">
        <f ca="1">C203^0.5</f>
        <v>0.95891766894530772</v>
      </c>
      <c r="M202" s="426" t="s">
        <v>127</v>
      </c>
      <c r="N202" s="7">
        <f ca="1">N203^0.5</f>
        <v>0.98708276054238353</v>
      </c>
    </row>
    <row r="203" spans="2:14" x14ac:dyDescent="0.3">
      <c r="B203" s="426" t="s">
        <v>128</v>
      </c>
      <c r="C203" s="7">
        <f ca="1">U172</f>
        <v>0.91952309581550273</v>
      </c>
      <c r="M203" s="426" t="s">
        <v>128</v>
      </c>
      <c r="N203" s="7">
        <f ca="1">U179</f>
        <v>0.97433237615997237</v>
      </c>
    </row>
    <row r="204" spans="2:14" x14ac:dyDescent="0.3">
      <c r="B204" s="426" t="s">
        <v>129</v>
      </c>
      <c r="C204" s="7">
        <f ca="1">1-(1-C203)*(C206-1)/(C206-2)</f>
        <v>0.9094634827924406</v>
      </c>
      <c r="M204" s="426" t="s">
        <v>129</v>
      </c>
      <c r="N204" s="7">
        <f ca="1">1-(1-N203)*(N206-1)/(N206-2)</f>
        <v>0.97112392317996887</v>
      </c>
    </row>
    <row r="205" spans="2:14" x14ac:dyDescent="0.3">
      <c r="B205" s="426" t="s">
        <v>120</v>
      </c>
      <c r="C205" s="8">
        <f ca="1">V172</f>
        <v>3521707.767554983</v>
      </c>
      <c r="M205" s="426" t="s">
        <v>120</v>
      </c>
      <c r="N205" s="6">
        <f ca="1">V179</f>
        <v>3.1557475953109759E-2</v>
      </c>
    </row>
    <row r="206" spans="2:14" ht="15" thickBot="1" x14ac:dyDescent="0.35">
      <c r="B206" s="427" t="s">
        <v>130</v>
      </c>
      <c r="C206" s="9">
        <f ca="1">V173+2</f>
        <v>10</v>
      </c>
      <c r="M206" s="427" t="s">
        <v>130</v>
      </c>
      <c r="N206" s="9">
        <f ca="1">V180+1</f>
        <v>10</v>
      </c>
    </row>
    <row r="208" spans="2:14" ht="15" thickBot="1" x14ac:dyDescent="0.35">
      <c r="B208" s="15" t="s">
        <v>131</v>
      </c>
      <c r="M208" s="15" t="s">
        <v>131</v>
      </c>
    </row>
    <row r="209" spans="2:18" x14ac:dyDescent="0.3">
      <c r="B209" s="1"/>
      <c r="C209" s="1" t="s">
        <v>132</v>
      </c>
      <c r="D209" s="1" t="s">
        <v>133</v>
      </c>
      <c r="E209" s="1" t="s">
        <v>134</v>
      </c>
      <c r="F209" s="1" t="s">
        <v>135</v>
      </c>
      <c r="G209" s="1" t="s">
        <v>136</v>
      </c>
      <c r="M209" s="1"/>
      <c r="N209" s="1" t="s">
        <v>132</v>
      </c>
      <c r="O209" s="1" t="s">
        <v>133</v>
      </c>
      <c r="P209" s="1" t="s">
        <v>134</v>
      </c>
      <c r="Q209" s="1" t="s">
        <v>135</v>
      </c>
      <c r="R209" s="1" t="s">
        <v>136</v>
      </c>
    </row>
    <row r="210" spans="2:18" x14ac:dyDescent="0.3">
      <c r="B210" s="426" t="s">
        <v>137</v>
      </c>
      <c r="C210" s="60">
        <v>1</v>
      </c>
      <c r="D210" s="428">
        <f ca="1">U174</f>
        <v>1133673507841800.8</v>
      </c>
      <c r="E210" s="428">
        <f ca="1">D210/C210</f>
        <v>1133673507841800.8</v>
      </c>
      <c r="F210" s="6">
        <f ca="1">E210/E211</f>
        <v>91.407402422682651</v>
      </c>
      <c r="G210" s="426">
        <f ca="1">FDIST(F210,C210,C211)</f>
        <v>1.1858383124300362E-5</v>
      </c>
      <c r="M210" s="426" t="s">
        <v>137</v>
      </c>
      <c r="N210" s="60">
        <v>1</v>
      </c>
      <c r="O210" s="428">
        <f ca="1">U181</f>
        <v>0.3402267818609564</v>
      </c>
      <c r="P210" s="428">
        <f ca="1">O210/N210</f>
        <v>0.3402267818609564</v>
      </c>
      <c r="Q210" s="6">
        <f ca="1">P210/P211</f>
        <v>341.63627455708865</v>
      </c>
      <c r="R210" s="426">
        <f ca="1">FDIST(Q210,N210,N211)</f>
        <v>1.8181362113360436E-8</v>
      </c>
    </row>
    <row r="211" spans="2:18" x14ac:dyDescent="0.3">
      <c r="B211" s="426" t="s">
        <v>138</v>
      </c>
      <c r="C211" s="8">
        <f ca="1">C206-C210-1</f>
        <v>8</v>
      </c>
      <c r="D211" s="428">
        <f ca="1">V174</f>
        <v>99219404800456.813</v>
      </c>
      <c r="E211" s="428">
        <f ca="1">D211/C211</f>
        <v>12402425600057.102</v>
      </c>
      <c r="F211" s="426"/>
      <c r="G211" s="426"/>
      <c r="M211" s="426" t="s">
        <v>138</v>
      </c>
      <c r="N211" s="60">
        <f ca="1">N206-N210</f>
        <v>9</v>
      </c>
      <c r="O211" s="428">
        <f ca="1">V181</f>
        <v>8.9628685967799056E-3</v>
      </c>
      <c r="P211" s="428">
        <f ca="1">O211/N211</f>
        <v>9.958742885311006E-4</v>
      </c>
      <c r="Q211" s="426"/>
      <c r="R211" s="426"/>
    </row>
    <row r="212" spans="2:18" ht="15" thickBot="1" x14ac:dyDescent="0.35">
      <c r="B212" s="427" t="s">
        <v>0</v>
      </c>
      <c r="C212" s="9">
        <f ca="1">C210+C211</f>
        <v>9</v>
      </c>
      <c r="D212" s="429">
        <f ca="1">D210+D211</f>
        <v>1232892912642257.5</v>
      </c>
      <c r="E212" s="427"/>
      <c r="F212" s="427"/>
      <c r="G212" s="427"/>
      <c r="M212" s="427" t="s">
        <v>0</v>
      </c>
      <c r="N212" s="60">
        <f ca="1">N210+N211</f>
        <v>10</v>
      </c>
      <c r="O212" s="429">
        <f ca="1">O210+O211</f>
        <v>0.34918965045773631</v>
      </c>
      <c r="P212" s="428"/>
      <c r="Q212" s="427"/>
      <c r="R212" s="427"/>
    </row>
    <row r="213" spans="2:18" ht="15" thickBot="1" x14ac:dyDescent="0.35">
      <c r="C213" s="1"/>
      <c r="D213" s="1"/>
      <c r="E213" s="1"/>
      <c r="F213" s="1"/>
      <c r="N213" s="1"/>
      <c r="O213" s="1"/>
      <c r="P213" s="1"/>
      <c r="Q213" s="1"/>
    </row>
    <row r="214" spans="2:18" x14ac:dyDescent="0.3">
      <c r="B214" s="1"/>
      <c r="C214" s="1" t="s">
        <v>139</v>
      </c>
      <c r="D214" s="1" t="s">
        <v>120</v>
      </c>
      <c r="E214" s="1" t="s">
        <v>140</v>
      </c>
      <c r="F214" s="1" t="s">
        <v>141</v>
      </c>
      <c r="M214" s="1"/>
      <c r="N214" s="1" t="s">
        <v>139</v>
      </c>
      <c r="O214" s="1" t="s">
        <v>120</v>
      </c>
      <c r="P214" s="1" t="s">
        <v>140</v>
      </c>
      <c r="Q214" s="1" t="s">
        <v>141</v>
      </c>
    </row>
    <row r="215" spans="2:18" x14ac:dyDescent="0.3">
      <c r="B215" s="426" t="s">
        <v>116</v>
      </c>
      <c r="C215" s="8">
        <f ca="1">V170</f>
        <v>92021992.252472132</v>
      </c>
      <c r="D215" s="8">
        <f ca="1">V171</f>
        <v>2069897.1709245716</v>
      </c>
      <c r="E215" s="6">
        <f ca="1">C215/D215</f>
        <v>44.457277175449349</v>
      </c>
      <c r="F215" s="7">
        <f ca="1">TDIST(ABS(E215),C211,2)</f>
        <v>7.2336808038719819E-11</v>
      </c>
      <c r="M215" s="426" t="s">
        <v>116</v>
      </c>
      <c r="N215" s="8"/>
      <c r="O215" s="8"/>
      <c r="P215" s="6"/>
      <c r="Q215" s="7"/>
    </row>
    <row r="216" spans="2:18" ht="15" thickBot="1" x14ac:dyDescent="0.35">
      <c r="B216" s="427" t="s">
        <v>142</v>
      </c>
      <c r="C216" s="9">
        <f ca="1">U170</f>
        <v>3706952.5306846187</v>
      </c>
      <c r="D216" s="9">
        <f ca="1">U171</f>
        <v>387727.26434420847</v>
      </c>
      <c r="E216" s="427">
        <f ca="1">C216/D216</f>
        <v>9.5607218567785246</v>
      </c>
      <c r="F216" s="11">
        <f ca="1">TDIST(ABS(E216),C211,2)</f>
        <v>1.1858383124300382E-5</v>
      </c>
      <c r="M216" s="427" t="s">
        <v>114</v>
      </c>
      <c r="N216" s="10">
        <f ca="1">U177</f>
        <v>2.9727191709133498E-2</v>
      </c>
      <c r="O216" s="9">
        <f ca="1">U178</f>
        <v>1.6083178988362794E-3</v>
      </c>
      <c r="P216" s="430">
        <f ca="1">N216/O216</f>
        <v>18.483405383129181</v>
      </c>
      <c r="Q216" s="11">
        <f ca="1">TDIST(ABS(P216),N211,2)</f>
        <v>1.818136211336037E-8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3"/>
  <sheetViews>
    <sheetView zoomScale="70" zoomScaleNormal="70"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4.88671875" style="15" customWidth="1"/>
    <col min="4" max="4" width="17.88671875" style="15" bestFit="1" customWidth="1"/>
    <col min="5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5546875" style="15" bestFit="1" customWidth="1"/>
    <col min="15" max="18" width="12.109375" style="15" customWidth="1"/>
    <col min="19" max="20" width="9.109375" style="15"/>
    <col min="21" max="21" width="12" style="15" bestFit="1" customWidth="1"/>
    <col min="22" max="22" width="14" style="15" bestFit="1" customWidth="1"/>
    <col min="23" max="23" width="16.44140625" style="15" bestFit="1" customWidth="1"/>
    <col min="24" max="16384" width="9.109375" style="15"/>
  </cols>
  <sheetData>
    <row r="5" spans="2:23" ht="28.8" x14ac:dyDescent="0.3">
      <c r="B5" s="64" t="s">
        <v>112</v>
      </c>
      <c r="C5" s="119" t="s">
        <v>113</v>
      </c>
      <c r="D5" s="119" t="s">
        <v>173</v>
      </c>
      <c r="E5" s="119" t="str">
        <f>"ln("&amp;D5&amp;")"</f>
        <v>ln(Gross Intang. Plant)</v>
      </c>
      <c r="F5" s="119" t="s">
        <v>114</v>
      </c>
    </row>
    <row r="6" spans="2:23" x14ac:dyDescent="0.3">
      <c r="B6" s="15">
        <v>2008</v>
      </c>
      <c r="D6" s="162">
        <f ca="1">OFFSET(Electric_CBR!$C$134,0,Elect_IPlant!$B6-Electric_CBR!$C$7)</f>
        <v>98172140.838679269</v>
      </c>
      <c r="E6" s="162"/>
      <c r="T6" s="15" t="s">
        <v>115</v>
      </c>
      <c r="U6" s="60">
        <f t="array" aca="1" ref="U6:V10" ca="1">LINEST(D10:D16,C10:C16,,TRUE)</f>
        <v>26579682.577009626</v>
      </c>
      <c r="V6" s="60">
        <f ca="1"/>
        <v>185512852.15313816</v>
      </c>
      <c r="W6" s="15" t="s">
        <v>116</v>
      </c>
    </row>
    <row r="7" spans="2:23" x14ac:dyDescent="0.3">
      <c r="B7" s="15">
        <v>2009</v>
      </c>
      <c r="D7" s="162">
        <f ca="1">OFFSET(Electric_CBR!$C$134,0,Elect_IPlant!$B7-Electric_CBR!$C$7)</f>
        <v>184191012.39805716</v>
      </c>
      <c r="E7" s="425"/>
      <c r="T7" s="15" t="s">
        <v>117</v>
      </c>
      <c r="U7" s="60">
        <f ca="1"/>
        <v>4609124.866246881</v>
      </c>
      <c r="V7" s="60">
        <f ca="1"/>
        <v>16618436.040269231</v>
      </c>
      <c r="W7" s="15" t="s">
        <v>118</v>
      </c>
    </row>
    <row r="8" spans="2:23" x14ac:dyDescent="0.3">
      <c r="B8" s="15">
        <f>B7+1</f>
        <v>2010</v>
      </c>
      <c r="D8" s="162">
        <f ca="1">OFFSET(Electric_CBR!$C$134,0,Elect_IPlant!$B8-Electric_CBR!$C$7)</f>
        <v>170574253.65480018</v>
      </c>
      <c r="E8" s="425"/>
      <c r="T8" s="15" t="s">
        <v>119</v>
      </c>
      <c r="U8" s="95">
        <f ca="1"/>
        <v>0.8692996170842453</v>
      </c>
      <c r="V8" s="60">
        <f ca="1"/>
        <v>24389196.315466184</v>
      </c>
      <c r="W8" s="15" t="s">
        <v>120</v>
      </c>
    </row>
    <row r="9" spans="2:23" x14ac:dyDescent="0.3">
      <c r="B9" s="15">
        <f t="shared" ref="B9:B20" si="0">B8+1</f>
        <v>2011</v>
      </c>
      <c r="D9" s="162">
        <f ca="1">OFFSET(Electric_CBR!$C$134,0,Elect_IPlant!$B9-Electric_CBR!$C$7)</f>
        <v>163505118.72319424</v>
      </c>
      <c r="E9" s="425"/>
      <c r="T9" s="15" t="s">
        <v>121</v>
      </c>
      <c r="U9" s="95">
        <f ca="1"/>
        <v>33.255434976214573</v>
      </c>
      <c r="V9" s="15">
        <f ca="1"/>
        <v>5</v>
      </c>
      <c r="W9" s="15" t="s">
        <v>122</v>
      </c>
    </row>
    <row r="10" spans="2:23" x14ac:dyDescent="0.3">
      <c r="B10" s="15">
        <f t="shared" si="0"/>
        <v>2012</v>
      </c>
      <c r="C10" s="15">
        <v>0</v>
      </c>
      <c r="D10" s="162">
        <f ca="1">OFFSET(Electric_CBR!$C$134,0,Elect_IPlant!$B10-Electric_CBR!$C$7)</f>
        <v>156033543.69077629</v>
      </c>
      <c r="E10" s="425"/>
      <c r="T10" s="15" t="s">
        <v>123</v>
      </c>
      <c r="U10" s="15">
        <f ca="1"/>
        <v>1.9781426725048492E+16</v>
      </c>
      <c r="V10" s="15">
        <f ca="1"/>
        <v>2974164484571747</v>
      </c>
      <c r="W10" s="15" t="s">
        <v>124</v>
      </c>
    </row>
    <row r="11" spans="2:23" x14ac:dyDescent="0.3">
      <c r="B11" s="15">
        <f t="shared" si="0"/>
        <v>2013</v>
      </c>
      <c r="C11" s="15">
        <v>1</v>
      </c>
      <c r="D11" s="162">
        <f ca="1">OFFSET(Electric_CBR!$C$134,0,Elect_IPlant!$B11-Electric_CBR!$C$7)</f>
        <v>220596514.06650442</v>
      </c>
      <c r="E11" s="425">
        <f ca="1">LN(D11/$D$10)</f>
        <v>0.34626429684472548</v>
      </c>
      <c r="F11" s="15">
        <v>1</v>
      </c>
    </row>
    <row r="12" spans="2:23" x14ac:dyDescent="0.3">
      <c r="B12" s="15">
        <f t="shared" si="0"/>
        <v>2014</v>
      </c>
      <c r="C12" s="15">
        <v>2</v>
      </c>
      <c r="D12" s="162">
        <f ca="1">OFFSET(Electric_CBR!$C$134,0,Elect_IPlant!$B12-Electric_CBR!$C$7)</f>
        <v>277509795.84000057</v>
      </c>
      <c r="E12" s="425">
        <f t="shared" ref="E12:E16" ca="1" si="1">LN(D12/$D$10)</f>
        <v>0.5757852250936879</v>
      </c>
      <c r="F12" s="15">
        <v>2</v>
      </c>
    </row>
    <row r="13" spans="2:23" x14ac:dyDescent="0.3">
      <c r="B13" s="15">
        <f t="shared" si="0"/>
        <v>2015</v>
      </c>
      <c r="C13" s="15">
        <v>3</v>
      </c>
      <c r="D13" s="162">
        <f ca="1">OFFSET(Electric_CBR!$C$134,0,Elect_IPlant!$B13-Electric_CBR!$C$7)</f>
        <v>272808912.60467863</v>
      </c>
      <c r="E13" s="425">
        <f t="shared" ca="1" si="1"/>
        <v>0.55870058847980575</v>
      </c>
      <c r="F13" s="15">
        <v>3</v>
      </c>
      <c r="T13" s="15" t="s">
        <v>115</v>
      </c>
      <c r="U13" s="13">
        <f t="array" aca="1" ref="U13:V17" ca="1">LINEST(E11:E16,F11:F16,FALSE,TRUE)</f>
        <v>0.14977627787866182</v>
      </c>
      <c r="V13" s="13">
        <f ca="1"/>
        <v>0</v>
      </c>
      <c r="W13" s="15" t="s">
        <v>116</v>
      </c>
    </row>
    <row r="14" spans="2:23" x14ac:dyDescent="0.3">
      <c r="B14" s="15">
        <f t="shared" si="0"/>
        <v>2016</v>
      </c>
      <c r="C14" s="15">
        <v>4</v>
      </c>
      <c r="D14" s="162">
        <f ca="1">OFFSET(Electric_CBR!$C$134,0,Elect_IPlant!$B14-Electric_CBR!$C$7)</f>
        <v>278010584.33501303</v>
      </c>
      <c r="E14" s="425">
        <f t="shared" ca="1" si="1"/>
        <v>0.57758817831931619</v>
      </c>
      <c r="F14" s="15">
        <v>4</v>
      </c>
      <c r="T14" s="15" t="s">
        <v>117</v>
      </c>
      <c r="U14" s="13">
        <f ca="1"/>
        <v>1.7758957270454855E-2</v>
      </c>
      <c r="V14" s="13" t="e">
        <f ca="1"/>
        <v>#N/A</v>
      </c>
      <c r="W14" s="15" t="s">
        <v>118</v>
      </c>
    </row>
    <row r="15" spans="2:23" x14ac:dyDescent="0.3">
      <c r="B15" s="15">
        <f t="shared" si="0"/>
        <v>2017</v>
      </c>
      <c r="C15" s="15">
        <v>5</v>
      </c>
      <c r="D15" s="162">
        <f ca="1">OFFSET(Electric_CBR!$C$134,0,Elect_IPlant!$B15-Electric_CBR!$C$7)</f>
        <v>302387863.08999497</v>
      </c>
      <c r="E15" s="425">
        <f t="shared" ca="1" si="1"/>
        <v>0.66163950042144182</v>
      </c>
      <c r="F15" s="15">
        <v>5</v>
      </c>
      <c r="T15" s="15" t="s">
        <v>119</v>
      </c>
      <c r="U15" s="15">
        <f ca="1"/>
        <v>0.93432263338068788</v>
      </c>
      <c r="V15" s="15">
        <f ca="1"/>
        <v>0.16940965516575363</v>
      </c>
      <c r="W15" s="15" t="s">
        <v>120</v>
      </c>
    </row>
    <row r="16" spans="2:23" x14ac:dyDescent="0.3">
      <c r="B16" s="15">
        <f t="shared" si="0"/>
        <v>2018</v>
      </c>
      <c r="C16" s="15">
        <v>6</v>
      </c>
      <c r="D16" s="162">
        <f ca="1">OFFSET(Electric_CBR!$C$134,0,Elect_IPlant!$B16-Electric_CBR!$C$7)</f>
        <v>349416085.56220162</v>
      </c>
      <c r="E16" s="425">
        <f t="shared" ca="1" si="1"/>
        <v>0.80619242651703826</v>
      </c>
      <c r="F16" s="15">
        <v>6</v>
      </c>
      <c r="T16" s="15" t="s">
        <v>121</v>
      </c>
      <c r="U16" s="15">
        <f ca="1"/>
        <v>71.129727139969859</v>
      </c>
      <c r="V16" s="15">
        <f ca="1"/>
        <v>5</v>
      </c>
      <c r="W16" s="15" t="s">
        <v>122</v>
      </c>
    </row>
    <row r="17" spans="2:23" x14ac:dyDescent="0.3">
      <c r="B17" s="15">
        <f t="shared" si="0"/>
        <v>2019</v>
      </c>
      <c r="C17" s="15">
        <v>7</v>
      </c>
      <c r="D17" s="162"/>
      <c r="E17" s="162"/>
      <c r="T17" s="15" t="s">
        <v>123</v>
      </c>
      <c r="U17" s="15">
        <f ca="1"/>
        <v>2.0413969407819361</v>
      </c>
      <c r="V17" s="15">
        <f ca="1"/>
        <v>0.14349815631689777</v>
      </c>
      <c r="W17" s="15" t="s">
        <v>124</v>
      </c>
    </row>
    <row r="18" spans="2:23" x14ac:dyDescent="0.3">
      <c r="B18" s="15">
        <f t="shared" si="0"/>
        <v>2020</v>
      </c>
      <c r="C18" s="15">
        <v>8</v>
      </c>
      <c r="D18" s="162"/>
      <c r="E18" s="162"/>
    </row>
    <row r="19" spans="2:23" x14ac:dyDescent="0.3">
      <c r="B19" s="15">
        <f t="shared" si="0"/>
        <v>2021</v>
      </c>
      <c r="C19" s="15">
        <v>9</v>
      </c>
      <c r="D19" s="162"/>
      <c r="E19" s="162"/>
    </row>
    <row r="20" spans="2:23" x14ac:dyDescent="0.3">
      <c r="B20" s="15">
        <f t="shared" si="0"/>
        <v>2022</v>
      </c>
      <c r="C20" s="15">
        <v>10</v>
      </c>
      <c r="D20" s="162"/>
      <c r="E20" s="162"/>
    </row>
    <row r="22" spans="2:23" x14ac:dyDescent="0.3">
      <c r="D22" s="35"/>
    </row>
    <row r="25" spans="2:23" x14ac:dyDescent="0.3">
      <c r="B25" s="15" t="s">
        <v>2</v>
      </c>
      <c r="D25" s="52">
        <f ca="1">RATE(3,,-D13,D16)</f>
        <v>8.5995718816163164E-2</v>
      </c>
      <c r="E25" s="52"/>
    </row>
    <row r="26" spans="2:23" x14ac:dyDescent="0.3">
      <c r="B26" s="15" t="s">
        <v>3</v>
      </c>
      <c r="D26" s="52">
        <f ca="1">RATE(5,,-D11,D16)</f>
        <v>9.6349062974272828E-2</v>
      </c>
      <c r="E26" s="52"/>
    </row>
    <row r="27" spans="2:23" x14ac:dyDescent="0.3">
      <c r="B27" s="15" t="s">
        <v>4</v>
      </c>
      <c r="D27" s="52">
        <f ca="1">RATE(10,,-D6,D16)</f>
        <v>0.13536489849760583</v>
      </c>
      <c r="E27" s="52"/>
    </row>
    <row r="28" spans="2:23" x14ac:dyDescent="0.3">
      <c r="B28" s="15" t="s">
        <v>5</v>
      </c>
      <c r="D28" s="52">
        <f ca="1">$C$52/D16</f>
        <v>7.6068857946947663E-2</v>
      </c>
      <c r="E28" s="52"/>
    </row>
    <row r="29" spans="2:23" x14ac:dyDescent="0.3">
      <c r="B29" s="15" t="s">
        <v>6</v>
      </c>
      <c r="D29" s="52">
        <f ca="1">$C$52/AVERAGE(D10:D16)</f>
        <v>0.10020543712831734</v>
      </c>
      <c r="E29" s="52"/>
    </row>
    <row r="30" spans="2:23" x14ac:dyDescent="0.3">
      <c r="B30" s="15" t="s">
        <v>7</v>
      </c>
      <c r="D30" s="52">
        <f ca="1">EXP(N52)-1</f>
        <v>0.16157434378051261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0.9323623850650804</v>
      </c>
      <c r="M38" s="426" t="s">
        <v>127</v>
      </c>
      <c r="N38" s="7">
        <f ca="1">N39^0.5</f>
        <v>0.96660365889059607</v>
      </c>
    </row>
    <row r="39" spans="2:18" x14ac:dyDescent="0.3">
      <c r="B39" s="426" t="s">
        <v>128</v>
      </c>
      <c r="C39" s="7">
        <f ca="1">U8</f>
        <v>0.8692996170842453</v>
      </c>
      <c r="M39" s="426" t="s">
        <v>128</v>
      </c>
      <c r="N39" s="7">
        <f ca="1">U15</f>
        <v>0.93432263338068788</v>
      </c>
    </row>
    <row r="40" spans="2:18" x14ac:dyDescent="0.3">
      <c r="B40" s="426" t="s">
        <v>129</v>
      </c>
      <c r="C40" s="7">
        <f ca="1">1-(1-C39)*(C42-1)/(C42-2)</f>
        <v>0.84315954050109432</v>
      </c>
      <c r="M40" s="426" t="s">
        <v>129</v>
      </c>
      <c r="N40" s="7">
        <f ca="1">1-(1-N39)*(N42-1)/(N42-2)</f>
        <v>0.91790329172585983</v>
      </c>
    </row>
    <row r="41" spans="2:18" x14ac:dyDescent="0.3">
      <c r="B41" s="426" t="s">
        <v>120</v>
      </c>
      <c r="C41" s="8">
        <f ca="1">V8</f>
        <v>24389196.315466184</v>
      </c>
      <c r="M41" s="426" t="s">
        <v>120</v>
      </c>
      <c r="N41" s="6">
        <f ca="1">V15</f>
        <v>0.16940965516575363</v>
      </c>
    </row>
    <row r="42" spans="2:18" ht="15" thickBot="1" x14ac:dyDescent="0.35">
      <c r="B42" s="427" t="s">
        <v>130</v>
      </c>
      <c r="C42" s="9">
        <f ca="1">V9+2</f>
        <v>7</v>
      </c>
      <c r="M42" s="427" t="s">
        <v>130</v>
      </c>
      <c r="N42" s="9">
        <f ca="1">V16+1</f>
        <v>6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1.9781426725048492E+16</v>
      </c>
      <c r="E46" s="428">
        <f ca="1">D46/C46</f>
        <v>1.9781426725048492E+16</v>
      </c>
      <c r="F46" s="6">
        <f ca="1">E46/E47</f>
        <v>33.255434976214573</v>
      </c>
      <c r="G46" s="426">
        <f ca="1">FDIST(F46,C46,C47)</f>
        <v>2.2029458154438531E-3</v>
      </c>
      <c r="M46" s="426" t="s">
        <v>137</v>
      </c>
      <c r="N46" s="60">
        <v>1</v>
      </c>
      <c r="O46" s="428">
        <f ca="1">U17</f>
        <v>2.0413969407819361</v>
      </c>
      <c r="P46" s="428">
        <f ca="1">O46/N46</f>
        <v>2.0413969407819361</v>
      </c>
      <c r="Q46" s="6">
        <f ca="1">P46/P47</f>
        <v>71.129727139969859</v>
      </c>
      <c r="R46" s="426">
        <f ca="1">FDIST(Q46,N46,N47)</f>
        <v>3.8449132246246731E-4</v>
      </c>
    </row>
    <row r="47" spans="2:18" x14ac:dyDescent="0.3">
      <c r="B47" s="426" t="s">
        <v>138</v>
      </c>
      <c r="C47" s="8">
        <f ca="1">C42-C46-1</f>
        <v>5</v>
      </c>
      <c r="D47" s="428">
        <f ca="1">V10</f>
        <v>2974164484571747</v>
      </c>
      <c r="E47" s="428">
        <f ca="1">D47/C47</f>
        <v>594832896914349.38</v>
      </c>
      <c r="F47" s="426"/>
      <c r="G47" s="426"/>
      <c r="M47" s="426" t="s">
        <v>138</v>
      </c>
      <c r="N47" s="60">
        <f ca="1">N42-N46</f>
        <v>5</v>
      </c>
      <c r="O47" s="428">
        <f ca="1">V17</f>
        <v>0.14349815631689777</v>
      </c>
      <c r="P47" s="428">
        <f ca="1">O47/N47</f>
        <v>2.8699631263379554E-2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6</v>
      </c>
      <c r="D48" s="429">
        <f ca="1">D46+D47</f>
        <v>2.275559120962024E+16</v>
      </c>
      <c r="E48" s="427"/>
      <c r="F48" s="427"/>
      <c r="G48" s="427"/>
      <c r="M48" s="427" t="s">
        <v>0</v>
      </c>
      <c r="N48" s="60">
        <f ca="1">N46+N47</f>
        <v>6</v>
      </c>
      <c r="O48" s="429">
        <f ca="1">O46+O47</f>
        <v>2.1848950970988339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185512852.15313816</v>
      </c>
      <c r="D51" s="8">
        <f ca="1">V7</f>
        <v>16618436.040269231</v>
      </c>
      <c r="E51" s="6">
        <f ca="1">C51/D51</f>
        <v>11.16307525591516</v>
      </c>
      <c r="F51" s="7">
        <f ca="1">TDIST(ABS(E51),C47,2)</f>
        <v>1.0063542213952231E-4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26579682.577009626</v>
      </c>
      <c r="D52" s="9">
        <f ca="1">U7</f>
        <v>4609124.866246881</v>
      </c>
      <c r="E52" s="427">
        <f ca="1">C52/D52</f>
        <v>5.7667525502846564</v>
      </c>
      <c r="F52" s="11">
        <f ca="1">TDIST(ABS(E52),C47,2)</f>
        <v>2.2029458154438513E-3</v>
      </c>
      <c r="M52" s="427" t="s">
        <v>114</v>
      </c>
      <c r="N52" s="10">
        <f ca="1">U13</f>
        <v>0.14977627787866182</v>
      </c>
      <c r="O52" s="9">
        <f ca="1">U14</f>
        <v>1.7758957270454855E-2</v>
      </c>
      <c r="P52" s="430">
        <f ca="1">N52/O52</f>
        <v>8.4338441496135008</v>
      </c>
      <c r="Q52" s="11">
        <f ca="1">TDIST(ABS(P52),N47,2)</f>
        <v>3.8449132246246698E-4</v>
      </c>
    </row>
    <row r="53" spans="2:17" x14ac:dyDescent="0.3">
      <c r="D53" s="95"/>
      <c r="E53" s="95"/>
      <c r="N53" s="95"/>
      <c r="O53" s="95"/>
    </row>
  </sheetData>
  <pageMargins left="0.7" right="0.7" top="0.75" bottom="0.75" header="0.3" footer="0.3"/>
  <pageSetup orientation="portrait" horizontalDpi="1200" verticalDpi="1200" r:id="rId1"/>
  <ignoredErrors>
    <ignoredError sqref="D6:D16" unlocked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2"/>
  <sheetViews>
    <sheetView topLeftCell="A22"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4" style="15" customWidth="1"/>
    <col min="4" max="4" width="14.33203125" style="15" customWidth="1"/>
    <col min="5" max="5" width="18" style="15" bestFit="1" customWidth="1"/>
    <col min="6" max="6" width="12" style="15" customWidth="1"/>
    <col min="7" max="11" width="9.109375" style="15"/>
    <col min="12" max="12" width="18" style="15" bestFit="1" customWidth="1"/>
    <col min="13" max="13" width="12" style="15" bestFit="1" customWidth="1"/>
    <col min="14" max="14" width="14.5546875" style="15" bestFit="1" customWidth="1"/>
    <col min="15" max="16" width="12" style="15" bestFit="1" customWidth="1"/>
    <col min="17" max="17" width="13.44140625" style="15" bestFit="1" customWidth="1"/>
    <col min="18" max="18" width="12" style="15" bestFit="1" customWidth="1"/>
    <col min="19" max="19" width="12.6640625" style="15" bestFit="1" customWidth="1"/>
    <col min="20" max="20" width="12.5546875" style="15" bestFit="1" customWidth="1"/>
    <col min="21" max="21" width="11" style="15" bestFit="1" customWidth="1"/>
    <col min="22" max="22" width="12" style="15" bestFit="1" customWidth="1"/>
    <col min="23" max="16384" width="9.109375" style="15"/>
  </cols>
  <sheetData>
    <row r="5" spans="2:23" ht="28.8" x14ac:dyDescent="0.3">
      <c r="B5" s="64" t="s">
        <v>112</v>
      </c>
      <c r="C5" s="119" t="s">
        <v>142</v>
      </c>
      <c r="D5" s="119" t="s">
        <v>174</v>
      </c>
      <c r="E5" s="119" t="str">
        <f>"Ln("&amp;D5&amp;")"</f>
        <v>Ln(CBR TOTI)</v>
      </c>
      <c r="F5" s="119" t="s">
        <v>114</v>
      </c>
    </row>
    <row r="6" spans="2:23" x14ac:dyDescent="0.3">
      <c r="B6" s="15">
        <v>2008</v>
      </c>
      <c r="D6" s="162">
        <f ca="1">OFFSET(Electric_CBR!$C$116,0,$B6-$B$6)</f>
        <v>84536379.099999994</v>
      </c>
      <c r="E6" s="493"/>
      <c r="T6" s="15" t="s">
        <v>115</v>
      </c>
      <c r="U6" s="60">
        <f t="array" aca="1" ref="U6:V10" ca="1">LINEST(D7:D16,C7:C16,,TRUE)</f>
        <v>365529.70453140273</v>
      </c>
      <c r="V6" s="60">
        <f ca="1"/>
        <v>87652389.895018473</v>
      </c>
      <c r="W6" s="15" t="s">
        <v>116</v>
      </c>
    </row>
    <row r="7" spans="2:23" x14ac:dyDescent="0.3">
      <c r="B7" s="15">
        <v>2009</v>
      </c>
      <c r="C7" s="15">
        <v>0</v>
      </c>
      <c r="D7" s="162">
        <f ca="1">OFFSET(Electric_CBR!$C$116,0,$B7-$B$6)</f>
        <v>86314955.980000004</v>
      </c>
      <c r="E7" s="493">
        <f ca="1">LN(D7/D$6)</f>
        <v>2.0820921667253616E-2</v>
      </c>
      <c r="F7" s="15">
        <v>1</v>
      </c>
      <c r="T7" s="15" t="s">
        <v>117</v>
      </c>
      <c r="U7" s="60">
        <f ca="1"/>
        <v>286280.53459002427</v>
      </c>
      <c r="V7" s="60">
        <f ca="1"/>
        <v>1528319.8349255228</v>
      </c>
      <c r="W7" s="15" t="s">
        <v>118</v>
      </c>
    </row>
    <row r="8" spans="2:23" x14ac:dyDescent="0.3">
      <c r="B8" s="15">
        <f>B7+1</f>
        <v>2010</v>
      </c>
      <c r="C8" s="15">
        <v>1</v>
      </c>
      <c r="D8" s="162">
        <f ca="1">OFFSET(Electric_CBR!$C$116,0,$B8-$B$6)</f>
        <v>86278245.829999998</v>
      </c>
      <c r="E8" s="493">
        <f t="shared" ref="E8:E16" ca="1" si="0">LN(D8/D$6)</f>
        <v>2.0395526574415415E-2</v>
      </c>
      <c r="F8" s="15">
        <v>2</v>
      </c>
      <c r="T8" s="15" t="s">
        <v>119</v>
      </c>
      <c r="U8" s="95">
        <f ca="1"/>
        <v>0.16928671596790987</v>
      </c>
      <c r="V8" s="60">
        <f ca="1"/>
        <v>2600272.0857681185</v>
      </c>
      <c r="W8" s="15" t="s">
        <v>120</v>
      </c>
    </row>
    <row r="9" spans="2:23" x14ac:dyDescent="0.3">
      <c r="B9" s="15">
        <f t="shared" ref="B9:B20" si="1">B8+1</f>
        <v>2011</v>
      </c>
      <c r="C9" s="15">
        <v>2</v>
      </c>
      <c r="D9" s="162">
        <f ca="1">OFFSET(Electric_CBR!$C$116,0,$B9-$B$6)</f>
        <v>88986834.377533838</v>
      </c>
      <c r="E9" s="493">
        <f t="shared" ca="1" si="0"/>
        <v>5.130646683868792E-2</v>
      </c>
      <c r="F9" s="15">
        <v>3</v>
      </c>
      <c r="T9" s="15" t="s">
        <v>121</v>
      </c>
      <c r="U9" s="95">
        <f ca="1"/>
        <v>1.6302781642901514</v>
      </c>
      <c r="V9" s="15">
        <f ca="1"/>
        <v>8</v>
      </c>
      <c r="W9" s="15" t="s">
        <v>122</v>
      </c>
    </row>
    <row r="10" spans="2:23" x14ac:dyDescent="0.3">
      <c r="B10" s="15">
        <f t="shared" si="1"/>
        <v>2012</v>
      </c>
      <c r="C10" s="15">
        <v>3</v>
      </c>
      <c r="D10" s="162">
        <f ca="1">OFFSET(Electric_CBR!$C$116,0,$B10-$B$6)</f>
        <v>88117080.728554875</v>
      </c>
      <c r="E10" s="493">
        <f t="shared" ca="1" si="0"/>
        <v>4.1484429412619567E-2</v>
      </c>
      <c r="F10" s="15">
        <v>4</v>
      </c>
      <c r="T10" s="15" t="s">
        <v>123</v>
      </c>
      <c r="U10" s="15">
        <f ca="1"/>
        <v>11022987103822.203</v>
      </c>
      <c r="V10" s="15">
        <f ca="1"/>
        <v>54091319360199.047</v>
      </c>
      <c r="W10" s="15" t="s">
        <v>124</v>
      </c>
    </row>
    <row r="11" spans="2:23" x14ac:dyDescent="0.3">
      <c r="B11" s="15">
        <f t="shared" si="1"/>
        <v>2013</v>
      </c>
      <c r="C11" s="15">
        <v>4</v>
      </c>
      <c r="D11" s="162">
        <f ca="1">OFFSET(Electric_CBR!$C$116,0,$B11-$B$6)</f>
        <v>94709320.301760808</v>
      </c>
      <c r="E11" s="493">
        <f t="shared" ca="1" si="0"/>
        <v>0.11363045097769646</v>
      </c>
      <c r="F11" s="15">
        <v>5</v>
      </c>
    </row>
    <row r="12" spans="2:23" x14ac:dyDescent="0.3">
      <c r="B12" s="15">
        <f t="shared" si="1"/>
        <v>2014</v>
      </c>
      <c r="C12" s="15">
        <v>5</v>
      </c>
      <c r="D12" s="162">
        <f ca="1">OFFSET(Electric_CBR!$C$116,0,$B12-$B$6)</f>
        <v>88237765.505848348</v>
      </c>
      <c r="E12" s="493">
        <f t="shared" ca="1" si="0"/>
        <v>4.285308809946077E-2</v>
      </c>
      <c r="F12" s="15">
        <v>6</v>
      </c>
    </row>
    <row r="13" spans="2:23" x14ac:dyDescent="0.3">
      <c r="B13" s="15">
        <f t="shared" si="1"/>
        <v>2015</v>
      </c>
      <c r="C13" s="15">
        <v>6</v>
      </c>
      <c r="D13" s="162">
        <f ca="1">OFFSET(Electric_CBR!$C$116,0,$B13-$B$6)</f>
        <v>90218865.725536928</v>
      </c>
      <c r="E13" s="493">
        <f t="shared" ca="1" si="0"/>
        <v>6.5056595975299794E-2</v>
      </c>
      <c r="F13" s="15">
        <v>7</v>
      </c>
      <c r="T13" s="15" t="s">
        <v>115</v>
      </c>
      <c r="U13" s="13">
        <f t="array" aca="1" ref="U13:V17" ca="1">LINEST(E7:E16,F7:F16,FALSE,TRUE)</f>
        <v>8.6525569418216385E-3</v>
      </c>
      <c r="V13" s="13">
        <f ca="1"/>
        <v>0</v>
      </c>
      <c r="W13" s="15" t="s">
        <v>116</v>
      </c>
    </row>
    <row r="14" spans="2:23" x14ac:dyDescent="0.3">
      <c r="B14" s="15">
        <f t="shared" si="1"/>
        <v>2016</v>
      </c>
      <c r="C14" s="15">
        <v>7</v>
      </c>
      <c r="D14" s="162">
        <f ca="1">OFFSET(Electric_CBR!$C$116,0,$B14-$B$6)</f>
        <v>89882199.710175306</v>
      </c>
      <c r="E14" s="493">
        <f t="shared" ca="1" si="0"/>
        <v>6.1317957264967284E-2</v>
      </c>
      <c r="F14" s="15">
        <v>8</v>
      </c>
      <c r="T14" s="15" t="s">
        <v>117</v>
      </c>
      <c r="U14" s="13">
        <f ca="1"/>
        <v>1.5887691641524482E-3</v>
      </c>
      <c r="V14" s="13" t="e">
        <f ca="1"/>
        <v>#N/A</v>
      </c>
      <c r="W14" s="15" t="s">
        <v>118</v>
      </c>
    </row>
    <row r="15" spans="2:23" x14ac:dyDescent="0.3">
      <c r="B15" s="15">
        <f t="shared" si="1"/>
        <v>2017</v>
      </c>
      <c r="C15" s="15">
        <v>8</v>
      </c>
      <c r="D15" s="162">
        <f ca="1">OFFSET(Electric_CBR!$C$116,0,$B15-$B$6)</f>
        <v>92631554.216374725</v>
      </c>
      <c r="E15" s="493">
        <f t="shared" ca="1" si="0"/>
        <v>9.144787827474378E-2</v>
      </c>
      <c r="F15" s="15">
        <v>9</v>
      </c>
      <c r="T15" s="15" t="s">
        <v>119</v>
      </c>
      <c r="U15" s="15">
        <f ca="1"/>
        <v>0.76719967104358644</v>
      </c>
      <c r="V15" s="15">
        <f ca="1"/>
        <v>3.1173902080590468E-2</v>
      </c>
      <c r="W15" s="15" t="s">
        <v>120</v>
      </c>
    </row>
    <row r="16" spans="2:23" x14ac:dyDescent="0.3">
      <c r="B16" s="15">
        <f t="shared" si="1"/>
        <v>2018</v>
      </c>
      <c r="C16" s="15">
        <v>9</v>
      </c>
      <c r="D16" s="162">
        <f ca="1">OFFSET(Electric_CBR!$C$116,0,$B16-$B$6)</f>
        <v>87595913.278313041</v>
      </c>
      <c r="E16" s="493">
        <f t="shared" ca="1" si="0"/>
        <v>3.5552381171392561E-2</v>
      </c>
      <c r="F16" s="15">
        <v>10</v>
      </c>
      <c r="T16" s="15" t="s">
        <v>121</v>
      </c>
      <c r="U16" s="15">
        <f ca="1"/>
        <v>29.659739186558628</v>
      </c>
      <c r="V16" s="15">
        <f ca="1"/>
        <v>9</v>
      </c>
      <c r="W16" s="15" t="s">
        <v>122</v>
      </c>
    </row>
    <row r="17" spans="2:23" x14ac:dyDescent="0.3">
      <c r="B17" s="15">
        <f t="shared" si="1"/>
        <v>2019</v>
      </c>
      <c r="C17" s="15">
        <v>10</v>
      </c>
      <c r="D17" s="162"/>
      <c r="T17" s="15" t="s">
        <v>123</v>
      </c>
      <c r="U17" s="15">
        <f ca="1"/>
        <v>2.882369552811433E-2</v>
      </c>
      <c r="V17" s="15">
        <f ca="1"/>
        <v>8.7463095383721844E-3</v>
      </c>
      <c r="W17" s="15" t="s">
        <v>124</v>
      </c>
    </row>
    <row r="18" spans="2:23" x14ac:dyDescent="0.3">
      <c r="B18" s="15">
        <f t="shared" si="1"/>
        <v>2020</v>
      </c>
      <c r="C18" s="15">
        <v>11</v>
      </c>
      <c r="D18" s="162"/>
    </row>
    <row r="19" spans="2:23" x14ac:dyDescent="0.3">
      <c r="B19" s="15">
        <f t="shared" si="1"/>
        <v>2021</v>
      </c>
      <c r="C19" s="15">
        <v>12</v>
      </c>
      <c r="D19" s="162"/>
    </row>
    <row r="20" spans="2:23" x14ac:dyDescent="0.3">
      <c r="B20" s="15">
        <f t="shared" si="1"/>
        <v>2022</v>
      </c>
      <c r="C20" s="15">
        <v>13</v>
      </c>
      <c r="D20" s="162"/>
    </row>
    <row r="25" spans="2:23" x14ac:dyDescent="0.3">
      <c r="B25" s="15" t="s">
        <v>2</v>
      </c>
      <c r="D25" s="52">
        <f ca="1">RATE(3,,-D13,D16)</f>
        <v>-9.7865353799214318E-3</v>
      </c>
    </row>
    <row r="26" spans="2:23" x14ac:dyDescent="0.3">
      <c r="B26" s="15" t="s">
        <v>3</v>
      </c>
      <c r="D26" s="52">
        <f ca="1">RATE(5,,-D11,D16)</f>
        <v>-1.5494322429529176E-2</v>
      </c>
    </row>
    <row r="27" spans="2:23" x14ac:dyDescent="0.3">
      <c r="B27" s="15" t="s">
        <v>4</v>
      </c>
      <c r="D27" s="52">
        <f ca="1">RATE(10,,-D6,D16)</f>
        <v>3.5615654723701686E-3</v>
      </c>
    </row>
    <row r="28" spans="2:23" x14ac:dyDescent="0.3">
      <c r="B28" s="15" t="s">
        <v>5</v>
      </c>
      <c r="D28" s="52">
        <f ca="1">$C$52/D16</f>
        <v>4.1729081968701889E-3</v>
      </c>
    </row>
    <row r="29" spans="2:23" x14ac:dyDescent="0.3">
      <c r="B29" s="15" t="s">
        <v>6</v>
      </c>
      <c r="D29" s="52">
        <f ca="1">$C$52/AVERAGE(D7:D16)</f>
        <v>4.0934027427349633E-3</v>
      </c>
    </row>
    <row r="30" spans="2:23" x14ac:dyDescent="0.3">
      <c r="B30" s="15" t="s">
        <v>7</v>
      </c>
      <c r="D30" s="52">
        <f ca="1">EXP(N52)-1</f>
        <v>8.69009851137581E-3</v>
      </c>
    </row>
    <row r="31" spans="2:23" x14ac:dyDescent="0.3">
      <c r="D31" s="52"/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0.41144466938813273</v>
      </c>
      <c r="M38" s="426" t="s">
        <v>127</v>
      </c>
      <c r="N38" s="7">
        <f ca="1">N39^0.5</f>
        <v>0.87589934983626194</v>
      </c>
    </row>
    <row r="39" spans="2:18" x14ac:dyDescent="0.3">
      <c r="B39" s="426" t="s">
        <v>128</v>
      </c>
      <c r="C39" s="7">
        <f ca="1">U8</f>
        <v>0.16928671596790987</v>
      </c>
      <c r="M39" s="426" t="s">
        <v>128</v>
      </c>
      <c r="N39" s="7">
        <f ca="1">U15</f>
        <v>0.76719967104358644</v>
      </c>
    </row>
    <row r="40" spans="2:18" x14ac:dyDescent="0.3">
      <c r="B40" s="426" t="s">
        <v>129</v>
      </c>
      <c r="C40" s="7">
        <f ca="1">1-(1-C39)*(C42-1)/(C42-2)</f>
        <v>6.5447555463898688E-2</v>
      </c>
      <c r="M40" s="426" t="s">
        <v>129</v>
      </c>
      <c r="N40" s="7">
        <f ca="1">1-(1-N39)*(N42-1)/(N42-2)</f>
        <v>0.73809962992403477</v>
      </c>
    </row>
    <row r="41" spans="2:18" x14ac:dyDescent="0.3">
      <c r="B41" s="426" t="s">
        <v>120</v>
      </c>
      <c r="C41" s="8">
        <f ca="1">V8</f>
        <v>2600272.0857681185</v>
      </c>
      <c r="M41" s="426" t="s">
        <v>120</v>
      </c>
      <c r="N41" s="6">
        <f ca="1">V15</f>
        <v>3.1173902080590468E-2</v>
      </c>
    </row>
    <row r="42" spans="2:18" ht="15" thickBot="1" x14ac:dyDescent="0.35">
      <c r="B42" s="427" t="s">
        <v>130</v>
      </c>
      <c r="C42" s="9">
        <f ca="1">V9+2</f>
        <v>10</v>
      </c>
      <c r="M42" s="427" t="s">
        <v>130</v>
      </c>
      <c r="N42" s="9">
        <f ca="1">V16+1</f>
        <v>10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11022987103822.203</v>
      </c>
      <c r="E46" s="428">
        <f ca="1">D46/C46</f>
        <v>11022987103822.203</v>
      </c>
      <c r="F46" s="6">
        <f ca="1">E46/E47</f>
        <v>1.6302781642901514</v>
      </c>
      <c r="G46" s="426">
        <v>0.23747664817287961</v>
      </c>
      <c r="M46" s="426" t="s">
        <v>137</v>
      </c>
      <c r="N46" s="60">
        <v>1</v>
      </c>
      <c r="O46" s="428">
        <f ca="1">U17</f>
        <v>2.882369552811433E-2</v>
      </c>
      <c r="P46" s="428">
        <f ca="1">O46/N46</f>
        <v>2.882369552811433E-2</v>
      </c>
      <c r="Q46" s="6">
        <f ca="1">P46/P47</f>
        <v>29.659739186558628</v>
      </c>
      <c r="R46" s="426">
        <f ca="1">FDIST(Q46,N46,N47)</f>
        <v>4.077436103373106E-4</v>
      </c>
    </row>
    <row r="47" spans="2:18" x14ac:dyDescent="0.3">
      <c r="B47" s="426" t="s">
        <v>138</v>
      </c>
      <c r="C47" s="8">
        <f ca="1">C42-C46-1</f>
        <v>8</v>
      </c>
      <c r="D47" s="428">
        <f ca="1">V10</f>
        <v>54091319360199.047</v>
      </c>
      <c r="E47" s="428">
        <f ca="1">D47/C47</f>
        <v>6761414920024.8809</v>
      </c>
      <c r="F47" s="426"/>
      <c r="G47" s="426"/>
      <c r="M47" s="426" t="s">
        <v>138</v>
      </c>
      <c r="N47" s="60">
        <f ca="1">V16</f>
        <v>9</v>
      </c>
      <c r="O47" s="428">
        <f ca="1">V17</f>
        <v>8.7463095383721844E-3</v>
      </c>
      <c r="P47" s="428">
        <f ca="1">O47/N47</f>
        <v>9.7181217093024268E-4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9</v>
      </c>
      <c r="D48" s="429">
        <f ca="1">D46+D47</f>
        <v>65114306464021.25</v>
      </c>
      <c r="E48" s="427"/>
      <c r="F48" s="427"/>
      <c r="G48" s="427"/>
      <c r="M48" s="427" t="s">
        <v>0</v>
      </c>
      <c r="N48" s="60">
        <f ca="1">N46+N47</f>
        <v>10</v>
      </c>
      <c r="O48" s="429">
        <f ca="1">O46+O47</f>
        <v>3.7570005066486514E-2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87652389.895018473</v>
      </c>
      <c r="D51" s="8">
        <f ca="1">V7</f>
        <v>1528319.8349255228</v>
      </c>
      <c r="E51" s="6">
        <f ca="1">C51/D51</f>
        <v>57.352124792183893</v>
      </c>
      <c r="F51" s="7">
        <f ca="1">TDIST(ABS(E51),C47,2)</f>
        <v>9.4847063335882716E-12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365529.70453140273</v>
      </c>
      <c r="D52" s="9">
        <f ca="1">U7</f>
        <v>286280.53459002427</v>
      </c>
      <c r="E52" s="427">
        <f ca="1">C52/D52</f>
        <v>1.2768234663766762</v>
      </c>
      <c r="F52" s="11">
        <f ca="1">TDIST(ABS(E52),C47,2)</f>
        <v>0.23747664817287958</v>
      </c>
      <c r="M52" s="427" t="s">
        <v>114</v>
      </c>
      <c r="N52" s="10">
        <f ca="1">U13</f>
        <v>8.6525569418216385E-3</v>
      </c>
      <c r="O52" s="9">
        <f ca="1">U14</f>
        <v>1.5887691641524482E-3</v>
      </c>
      <c r="P52" s="430">
        <f ca="1">N52/O52</f>
        <v>5.446075576647706</v>
      </c>
      <c r="Q52" s="11">
        <f ca="1">TDIST(ABS(P52),N47,2)</f>
        <v>4.0774361033731028E-4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47"/>
  <sheetViews>
    <sheetView zoomScale="85" zoomScaleNormal="85" workbookViewId="0">
      <pane xSplit="2" ySplit="3" topLeftCell="AQ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3.2" x14ac:dyDescent="0.25"/>
  <cols>
    <col min="1" max="1" width="18.6640625" style="197" bestFit="1" customWidth="1"/>
    <col min="2" max="2" width="2.44140625" style="197" bestFit="1" customWidth="1"/>
    <col min="3" max="3" width="15" style="197" bestFit="1" customWidth="1"/>
    <col min="4" max="5" width="15.5546875" style="197" bestFit="1" customWidth="1"/>
    <col min="6" max="6" width="15" style="197" bestFit="1" customWidth="1"/>
    <col min="7" max="7" width="1.44140625" style="197" customWidth="1"/>
    <col min="8" max="8" width="15" style="197" bestFit="1" customWidth="1"/>
    <col min="9" max="9" width="15.5546875" style="197" bestFit="1" customWidth="1"/>
    <col min="10" max="10" width="14" style="197" bestFit="1" customWidth="1"/>
    <col min="11" max="11" width="15" style="197" bestFit="1" customWidth="1"/>
    <col min="12" max="12" width="1.44140625" style="197" customWidth="1"/>
    <col min="13" max="13" width="15" style="197" bestFit="1" customWidth="1"/>
    <col min="14" max="14" width="15.5546875" style="197" bestFit="1" customWidth="1"/>
    <col min="15" max="15" width="14" style="197" bestFit="1" customWidth="1"/>
    <col min="16" max="16" width="15" style="197" bestFit="1" customWidth="1"/>
    <col min="17" max="17" width="1.44140625" style="197" customWidth="1"/>
    <col min="18" max="18" width="15" style="197" bestFit="1" customWidth="1"/>
    <col min="19" max="19" width="15.5546875" style="197" bestFit="1" customWidth="1"/>
    <col min="20" max="20" width="14" style="197" bestFit="1" customWidth="1"/>
    <col min="21" max="21" width="15" style="197" bestFit="1" customWidth="1"/>
    <col min="22" max="22" width="1.44140625" style="197" customWidth="1"/>
    <col min="23" max="23" width="15" style="197" bestFit="1" customWidth="1"/>
    <col min="24" max="24" width="15.5546875" style="197" bestFit="1" customWidth="1"/>
    <col min="25" max="25" width="14" style="197" bestFit="1" customWidth="1"/>
    <col min="26" max="26" width="15" style="197" bestFit="1" customWidth="1"/>
    <col min="27" max="27" width="1.44140625" style="197" customWidth="1"/>
    <col min="28" max="31" width="15.6640625" style="197" customWidth="1"/>
    <col min="32" max="32" width="1.44140625" style="197" customWidth="1"/>
    <col min="33" max="33" width="15" style="197" bestFit="1" customWidth="1"/>
    <col min="34" max="35" width="15.5546875" style="197" bestFit="1" customWidth="1"/>
    <col min="36" max="36" width="15" style="197" bestFit="1" customWidth="1"/>
    <col min="37" max="37" width="1.44140625" style="197" customWidth="1"/>
    <col min="38" max="38" width="15" style="197" bestFit="1" customWidth="1"/>
    <col min="39" max="41" width="15.5546875" style="197" bestFit="1" customWidth="1"/>
    <col min="42" max="42" width="1.44140625" style="197" customWidth="1"/>
    <col min="43" max="43" width="16.109375" style="197" bestFit="1" customWidth="1"/>
    <col min="44" max="44" width="15.6640625" style="197" bestFit="1" customWidth="1"/>
    <col min="45" max="46" width="15.5546875" style="197" bestFit="1" customWidth="1"/>
    <col min="47" max="47" width="1.44140625" style="197" customWidth="1"/>
    <col min="48" max="48" width="16.109375" style="197" bestFit="1" customWidth="1"/>
    <col min="49" max="49" width="15.6640625" style="197" bestFit="1" customWidth="1"/>
    <col min="50" max="51" width="15.5546875" style="197" bestFit="1" customWidth="1"/>
    <col min="52" max="52" width="1.44140625" style="197" customWidth="1"/>
    <col min="53" max="53" width="16" style="197" bestFit="1" customWidth="1"/>
    <col min="54" max="54" width="15.5546875" style="197" bestFit="1" customWidth="1"/>
    <col min="55" max="55" width="15.5546875" style="197" customWidth="1"/>
    <col min="56" max="56" width="15" style="197" bestFit="1" customWidth="1"/>
    <col min="57" max="16384" width="9.109375" style="197"/>
  </cols>
  <sheetData>
    <row r="1" spans="1:61" ht="14.4" x14ac:dyDescent="0.3">
      <c r="C1" s="420">
        <v>2008</v>
      </c>
      <c r="D1" s="420"/>
      <c r="E1" s="420"/>
      <c r="F1" s="420"/>
      <c r="H1" s="420">
        <f>C1+1</f>
        <v>2009</v>
      </c>
      <c r="I1" s="420"/>
      <c r="J1" s="420"/>
      <c r="K1" s="420"/>
      <c r="M1" s="420">
        <f>H1+1</f>
        <v>2010</v>
      </c>
      <c r="N1" s="420"/>
      <c r="O1" s="420"/>
      <c r="P1" s="420"/>
      <c r="R1" s="420">
        <f>M1+1</f>
        <v>2011</v>
      </c>
      <c r="S1" s="420"/>
      <c r="T1" s="420"/>
      <c r="U1" s="420"/>
      <c r="W1" s="420">
        <f>R1+1</f>
        <v>2012</v>
      </c>
      <c r="X1" s="420"/>
      <c r="Y1" s="420"/>
      <c r="Z1" s="420"/>
      <c r="AB1" s="420">
        <f>W1+1</f>
        <v>2013</v>
      </c>
      <c r="AC1" s="420"/>
      <c r="AD1" s="420"/>
      <c r="AE1" s="420"/>
      <c r="AG1" s="420">
        <f>AB1+1</f>
        <v>2014</v>
      </c>
      <c r="AH1" s="420"/>
      <c r="AI1" s="420"/>
      <c r="AJ1" s="420"/>
      <c r="AL1" s="420">
        <f>AG1+1</f>
        <v>2015</v>
      </c>
      <c r="AM1" s="420"/>
      <c r="AN1" s="420"/>
      <c r="AO1" s="420"/>
      <c r="AQ1" s="420">
        <f>AL1+1</f>
        <v>2016</v>
      </c>
      <c r="AR1" s="420"/>
      <c r="AS1" s="420"/>
      <c r="AT1" s="420"/>
      <c r="AV1" s="420">
        <f>AQ1+1</f>
        <v>2017</v>
      </c>
      <c r="AW1" s="420"/>
      <c r="AX1" s="420"/>
      <c r="AY1" s="420"/>
      <c r="BA1" s="420">
        <f>AV1+1</f>
        <v>2018</v>
      </c>
      <c r="BB1" s="420"/>
      <c r="BC1" s="420"/>
      <c r="BD1" s="420"/>
      <c r="BF1" s="15"/>
    </row>
    <row r="2" spans="1:61" ht="14.4" x14ac:dyDescent="0.25">
      <c r="C2" s="337"/>
      <c r="D2" s="337" t="s">
        <v>287</v>
      </c>
      <c r="E2" s="337"/>
      <c r="F2" s="337" t="s">
        <v>288</v>
      </c>
      <c r="H2" s="337"/>
      <c r="I2" s="337" t="s">
        <v>287</v>
      </c>
      <c r="J2" s="337"/>
      <c r="K2" s="337" t="s">
        <v>288</v>
      </c>
      <c r="M2" s="337"/>
      <c r="N2" s="337" t="s">
        <v>287</v>
      </c>
      <c r="O2" s="337"/>
      <c r="P2" s="337" t="s">
        <v>288</v>
      </c>
      <c r="R2" s="337"/>
      <c r="S2" s="337" t="s">
        <v>287</v>
      </c>
      <c r="T2" s="337"/>
      <c r="U2" s="337" t="s">
        <v>288</v>
      </c>
      <c r="W2" s="337"/>
      <c r="X2" s="337" t="s">
        <v>287</v>
      </c>
      <c r="Y2" s="337"/>
      <c r="Z2" s="337" t="s">
        <v>288</v>
      </c>
      <c r="AB2" s="337"/>
      <c r="AC2" s="337" t="s">
        <v>287</v>
      </c>
      <c r="AD2" s="337"/>
      <c r="AE2" s="337" t="s">
        <v>288</v>
      </c>
      <c r="AG2" s="337"/>
      <c r="AH2" s="337" t="s">
        <v>287</v>
      </c>
      <c r="AI2" s="337"/>
      <c r="AJ2" s="337" t="s">
        <v>288</v>
      </c>
      <c r="AL2" s="337"/>
      <c r="AM2" s="337" t="s">
        <v>287</v>
      </c>
      <c r="AN2" s="337"/>
      <c r="AO2" s="337" t="s">
        <v>288</v>
      </c>
      <c r="AQ2" s="337"/>
      <c r="AR2" s="337" t="s">
        <v>287</v>
      </c>
      <c r="AS2" s="337"/>
      <c r="AT2" s="337" t="s">
        <v>288</v>
      </c>
      <c r="AV2" s="337"/>
      <c r="AW2" s="337" t="s">
        <v>287</v>
      </c>
      <c r="AX2" s="337"/>
      <c r="AY2" s="337" t="s">
        <v>288</v>
      </c>
      <c r="BA2" s="337"/>
      <c r="BB2" s="337" t="s">
        <v>287</v>
      </c>
      <c r="BC2" s="337"/>
      <c r="BD2" s="337" t="s">
        <v>288</v>
      </c>
      <c r="BF2" s="317"/>
    </row>
    <row r="3" spans="1:61" ht="14.4" x14ac:dyDescent="0.25">
      <c r="A3" s="342" t="s">
        <v>289</v>
      </c>
      <c r="C3" s="342" t="s">
        <v>63</v>
      </c>
      <c r="D3" s="342" t="s">
        <v>1</v>
      </c>
      <c r="E3" s="342" t="s">
        <v>245</v>
      </c>
      <c r="F3" s="342" t="s">
        <v>236</v>
      </c>
      <c r="H3" s="342" t="s">
        <v>63</v>
      </c>
      <c r="I3" s="342" t="s">
        <v>1</v>
      </c>
      <c r="J3" s="342" t="s">
        <v>245</v>
      </c>
      <c r="K3" s="342" t="s">
        <v>236</v>
      </c>
      <c r="M3" s="342" t="s">
        <v>63</v>
      </c>
      <c r="N3" s="342" t="s">
        <v>1</v>
      </c>
      <c r="O3" s="342" t="s">
        <v>245</v>
      </c>
      <c r="P3" s="342" t="s">
        <v>236</v>
      </c>
      <c r="R3" s="342" t="s">
        <v>63</v>
      </c>
      <c r="S3" s="342" t="s">
        <v>1</v>
      </c>
      <c r="T3" s="342" t="s">
        <v>245</v>
      </c>
      <c r="U3" s="342" t="s">
        <v>236</v>
      </c>
      <c r="W3" s="342" t="s">
        <v>63</v>
      </c>
      <c r="X3" s="342" t="s">
        <v>1</v>
      </c>
      <c r="Y3" s="342" t="s">
        <v>245</v>
      </c>
      <c r="Z3" s="342" t="s">
        <v>236</v>
      </c>
      <c r="AB3" s="342" t="s">
        <v>63</v>
      </c>
      <c r="AC3" s="342" t="s">
        <v>1</v>
      </c>
      <c r="AD3" s="342" t="s">
        <v>245</v>
      </c>
      <c r="AE3" s="342" t="s">
        <v>236</v>
      </c>
      <c r="AG3" s="342" t="s">
        <v>63</v>
      </c>
      <c r="AH3" s="342" t="s">
        <v>1</v>
      </c>
      <c r="AI3" s="342" t="s">
        <v>245</v>
      </c>
      <c r="AJ3" s="342" t="s">
        <v>236</v>
      </c>
      <c r="AL3" s="342" t="s">
        <v>63</v>
      </c>
      <c r="AM3" s="342" t="s">
        <v>1</v>
      </c>
      <c r="AN3" s="342" t="s">
        <v>245</v>
      </c>
      <c r="AO3" s="342" t="s">
        <v>236</v>
      </c>
      <c r="AQ3" s="342" t="s">
        <v>63</v>
      </c>
      <c r="AR3" s="342" t="s">
        <v>1</v>
      </c>
      <c r="AS3" s="342" t="s">
        <v>245</v>
      </c>
      <c r="AT3" s="342" t="s">
        <v>236</v>
      </c>
      <c r="AV3" s="342" t="s">
        <v>63</v>
      </c>
      <c r="AW3" s="342" t="s">
        <v>1</v>
      </c>
      <c r="AX3" s="342" t="s">
        <v>245</v>
      </c>
      <c r="AY3" s="342" t="s">
        <v>236</v>
      </c>
      <c r="BA3" s="342" t="s">
        <v>63</v>
      </c>
      <c r="BB3" s="342" t="s">
        <v>1</v>
      </c>
      <c r="BC3" s="342" t="s">
        <v>245</v>
      </c>
      <c r="BD3" s="342" t="s">
        <v>236</v>
      </c>
      <c r="BF3" s="317"/>
    </row>
    <row r="4" spans="1:61" ht="14.4" x14ac:dyDescent="0.25">
      <c r="BF4" s="317"/>
    </row>
    <row r="5" spans="1:61" ht="14.4" x14ac:dyDescent="0.25">
      <c r="A5" s="335" t="s">
        <v>290</v>
      </c>
      <c r="BF5" s="317"/>
    </row>
    <row r="6" spans="1:61" ht="14.4" x14ac:dyDescent="0.25">
      <c r="A6" s="197" t="s">
        <v>64</v>
      </c>
      <c r="B6" s="344" t="s">
        <v>291</v>
      </c>
      <c r="C6" s="352">
        <f>SUMIF('El Gross Plant Data'!$C$12:$C$68,$B6,'El Gross Plant Data'!$D$12:$D$68)</f>
        <v>2233728644.5330596</v>
      </c>
      <c r="D6" s="352">
        <f>SUMIF('El Accum Dep Data'!$C$12:$C$32,$B6,'El Accum Dep Data'!$D$12:$D$32)</f>
        <v>-1037704363.6809652</v>
      </c>
      <c r="E6" s="352">
        <f>Funct_Plant_Rel_DFIT_Detail!G90</f>
        <v>-184521198.94675717</v>
      </c>
      <c r="F6" s="352">
        <f>SUM(C6:E6)</f>
        <v>1011503081.9053372</v>
      </c>
      <c r="G6" s="352"/>
      <c r="H6" s="352">
        <f>SUMIF('El Gross Plant Data'!$C$12:$C$68,$B6,'El Gross Plant Data'!$E$12:$E$68)</f>
        <v>2628433532.5317345</v>
      </c>
      <c r="I6" s="352">
        <f>SUMIF('El Accum Dep Data'!$C$12:$C$32,$B6,'El Accum Dep Data'!$E$12:$E$32)</f>
        <v>-1158111114.436832</v>
      </c>
      <c r="J6" s="352">
        <f>Funct_Plant_Rel_DFIT_Detail!K90</f>
        <v>-222254968.03434882</v>
      </c>
      <c r="K6" s="352">
        <f>SUM(H6:J6)</f>
        <v>1248067450.0605538</v>
      </c>
      <c r="L6" s="352"/>
      <c r="M6" s="352">
        <f>SUMIF('El Gross Plant Data'!$C$12:$C$68,$B6,'El Gross Plant Data'!$F$12:$F$68)</f>
        <v>2809263100.7067275</v>
      </c>
      <c r="N6" s="352">
        <f>SUMIF('El Accum Dep Data'!$C$12:$C$32,$B6,'El Accum Dep Data'!$F$12:$F$32)</f>
        <v>-1224501626.8882952</v>
      </c>
      <c r="O6" s="352">
        <f>Funct_Plant_Rel_DFIT_Detail!O90</f>
        <v>-243930618.50945505</v>
      </c>
      <c r="P6" s="352">
        <f>SUM(M6:O6)</f>
        <v>1340830855.3089774</v>
      </c>
      <c r="Q6" s="352"/>
      <c r="R6" s="352">
        <f>SUMIF('El Gross Plant Data'!$C$12:$C$68,$B6,'El Gross Plant Data'!$G$12:$G$68)</f>
        <v>2839527507.1796851</v>
      </c>
      <c r="S6" s="352">
        <f>SUMIF('El Accum Dep Data'!$C$12:$C$32,$B6,'El Accum Dep Data'!$G$12:$G$32)</f>
        <v>-1268682002.4418714</v>
      </c>
      <c r="T6" s="352">
        <f>Funct_Plant_Rel_DFIT_Detail!S90</f>
        <v>-296236508.08794582</v>
      </c>
      <c r="U6" s="352">
        <f>SUM(R6:T6)</f>
        <v>1274608996.649868</v>
      </c>
      <c r="V6" s="352"/>
      <c r="W6" s="352">
        <f>SUMIF('El Gross Plant Data'!$C$12:$C$68,$B6,'El Gross Plant Data'!$H$12:$H$68)</f>
        <v>3491435792.9354258</v>
      </c>
      <c r="X6" s="352">
        <f>SUMIF('El Accum Dep Data'!$C$12:$C$32,$B6,'El Accum Dep Data'!$H$12:$H$32)</f>
        <v>-1348805199.3968384</v>
      </c>
      <c r="Y6" s="352">
        <f>Funct_Plant_Rel_DFIT_Detail!W90</f>
        <v>-361804820.14145899</v>
      </c>
      <c r="Z6" s="352">
        <f>SUM(W6:Y6)</f>
        <v>1780825773.3971283</v>
      </c>
      <c r="AA6" s="352"/>
      <c r="AB6" s="352">
        <f>SUMIF('El Gross Plant Data'!$C$12:$C$68,$B6,'El Gross Plant Data'!$I$12:$I$68)</f>
        <v>3986002970.7908983</v>
      </c>
      <c r="AC6" s="352">
        <f>SUMIF('El Accum Dep Data'!$C$12:$C$32,$B6,'El Accum Dep Data'!$I$12:$I$32)</f>
        <v>-1503092226.5965569</v>
      </c>
      <c r="AD6" s="352">
        <f>Funct_Plant_Rel_DFIT_Detail!AA90</f>
        <v>-457247763.57253456</v>
      </c>
      <c r="AE6" s="352">
        <f>SUM(AB6:AD6)</f>
        <v>2025662980.6218071</v>
      </c>
      <c r="AF6" s="352"/>
      <c r="AG6" s="352">
        <f>SUMIF('El Gross Plant Data'!$C$12:$C$68,$B6,'El Gross Plant Data'!$J$12:$J$68)</f>
        <v>4220159614.9222226</v>
      </c>
      <c r="AH6" s="352">
        <f>SUMIF('El Accum Dep Data'!$C$12:$C$32,$B6,'El Accum Dep Data'!$J$12:$J$32)</f>
        <v>-1599166508.2270181</v>
      </c>
      <c r="AI6" s="352">
        <f>Funct_Plant_Rel_DFIT_Detail!AE90</f>
        <v>-511556002.30459046</v>
      </c>
      <c r="AJ6" s="352">
        <f>SUM(AG6:AI6)</f>
        <v>2109437104.3906143</v>
      </c>
      <c r="AK6" s="352"/>
      <c r="AL6" s="352">
        <f>SUMIF('El Gross Plant Data'!$C$12:$C$68,$B6,'El Gross Plant Data'!$K$12:$K$68)</f>
        <v>4175750613.736814</v>
      </c>
      <c r="AM6" s="352">
        <f>SUMIF('El Accum Dep Data'!$C$12:$C$32,$B6,'El Accum Dep Data'!$K$12:$K$32)</f>
        <v>-1648166566.4994764</v>
      </c>
      <c r="AN6" s="352">
        <f>Funct_Plant_Rel_DFIT_Detail!AI90</f>
        <v>-515501599.79043144</v>
      </c>
      <c r="AO6" s="352">
        <f>SUM(AL6:AN6)</f>
        <v>2012082447.4469061</v>
      </c>
      <c r="AP6" s="352"/>
      <c r="AQ6" s="352">
        <f>SUMIF('El Gross Plant Data'!$C$12:$C$68,$B6,'El Gross Plant Data'!$L$12:$L$68)</f>
        <v>4187123263.2834702</v>
      </c>
      <c r="AR6" s="352">
        <f>SUMIF('El Accum Dep Data'!$C$12:$C$32,$B6,'El Accum Dep Data'!$L$12:$L$32)</f>
        <v>-1734250062.544507</v>
      </c>
      <c r="AS6" s="352">
        <f>Funct_Plant_Rel_DFIT_Detail!AM90</f>
        <v>-522533639.36369509</v>
      </c>
      <c r="AT6" s="352">
        <f>SUM(AQ6:AS6)</f>
        <v>1930339561.375268</v>
      </c>
      <c r="AU6" s="352"/>
      <c r="AV6" s="352">
        <f>SUMIF('El Gross Plant Data'!$C$12:$C$68,$B6,'El Gross Plant Data'!$M$12:$M$68)</f>
        <v>4213630971.3531342</v>
      </c>
      <c r="AW6" s="352">
        <f>SUMIF('El Accum Dep Data'!$C$12:$C$32,$B6,'El Accum Dep Data'!$M$12:$M$32)</f>
        <v>-1785832254.6891887</v>
      </c>
      <c r="AX6" s="352">
        <f>Funct_Plant_Rel_DFIT_Detail!AQ90</f>
        <v>-540365963.91277671</v>
      </c>
      <c r="AY6" s="352">
        <f>SUM(AV6:AX6)</f>
        <v>1887432752.7511685</v>
      </c>
      <c r="AZ6" s="352"/>
      <c r="BA6" s="352">
        <f>SUMIF('El Gross Plant Data'!$C$12:$C$68,$B6,'El Gross Plant Data'!$N$12:$N$68)</f>
        <v>4231147272.3040905</v>
      </c>
      <c r="BB6" s="352">
        <f>SUMIF('El Accum Dep Data'!$C$12:$C$32,$B6,'El Accum Dep Data'!$N$12:$N$32)</f>
        <v>-1969144799.695049</v>
      </c>
      <c r="BC6" s="352">
        <f>Funct_Plant_Rel_DFIT_Detail!AU90</f>
        <v>-533658872.08082068</v>
      </c>
      <c r="BD6" s="352">
        <f>SUM(BA6:BC6)</f>
        <v>1728343600.5282207</v>
      </c>
      <c r="BE6" s="352"/>
      <c r="BF6" s="317"/>
      <c r="BG6" s="352"/>
      <c r="BH6" s="352"/>
      <c r="BI6" s="352"/>
    </row>
    <row r="7" spans="1:61" x14ac:dyDescent="0.25">
      <c r="A7" s="197" t="s">
        <v>65</v>
      </c>
      <c r="B7" s="344" t="s">
        <v>292</v>
      </c>
      <c r="C7" s="258">
        <f>SUMIF('El Gross Plant Data'!$C$12:$C$68,$B7,'El Gross Plant Data'!$D$12:$D$68)</f>
        <v>338417194.91660476</v>
      </c>
      <c r="D7" s="258">
        <f>SUMIF('El Accum Dep Data'!$C$12:$C$32,$B7,'El Accum Dep Data'!$D$12:$D$32)</f>
        <v>-131458074.3355315</v>
      </c>
      <c r="E7" s="258">
        <f>Funct_Plant_Rel_DFIT_Detail!G91</f>
        <v>-51235380.414820731</v>
      </c>
      <c r="F7" s="258">
        <f t="shared" ref="F7:F10" si="0">SUM(C7:E7)</f>
        <v>155723740.16625252</v>
      </c>
      <c r="H7" s="258">
        <f>SUMIF('El Gross Plant Data'!$C$12:$C$68,$B7,'El Gross Plant Data'!$E$12:$E$68)</f>
        <v>372719303.50074959</v>
      </c>
      <c r="I7" s="258">
        <f>SUMIF('El Accum Dep Data'!$C$12:$C$32,$B7,'El Accum Dep Data'!$E$12:$E$32)</f>
        <v>-138931480.82639238</v>
      </c>
      <c r="J7" s="258">
        <f>Funct_Plant_Rel_DFIT_Detail!K91</f>
        <v>-61712789.106738038</v>
      </c>
      <c r="K7" s="258">
        <f t="shared" ref="K7:K10" si="1">SUM(H7:J7)</f>
        <v>172075033.56761917</v>
      </c>
      <c r="M7" s="258">
        <f>SUMIF('El Gross Plant Data'!$C$12:$C$68,$B7,'El Gross Plant Data'!$F$12:$F$68)</f>
        <v>420480632.14026618</v>
      </c>
      <c r="N7" s="258">
        <f>SUMIF('El Accum Dep Data'!$C$12:$C$32,$B7,'El Accum Dep Data'!$F$12:$F$32)</f>
        <v>-150831566.98018184</v>
      </c>
      <c r="O7" s="258">
        <f>Funct_Plant_Rel_DFIT_Detail!O91</f>
        <v>-67731394.037606746</v>
      </c>
      <c r="P7" s="258">
        <f t="shared" ref="P7:P10" si="2">SUM(M7:O7)</f>
        <v>201917671.12247762</v>
      </c>
      <c r="R7" s="258">
        <f>SUMIF('El Gross Plant Data'!$C$12:$C$68,$B7,'El Gross Plant Data'!$G$12:$G$68)</f>
        <v>483887591.0385617</v>
      </c>
      <c r="S7" s="258">
        <f>SUMIF('El Accum Dep Data'!$C$12:$C$32,$B7,'El Accum Dep Data'!$G$12:$G$32)</f>
        <v>-164068543.61224297</v>
      </c>
      <c r="T7" s="258">
        <f>Funct_Plant_Rel_DFIT_Detail!S91</f>
        <v>-82254994.392397732</v>
      </c>
      <c r="U7" s="258">
        <f t="shared" ref="U7:U10" si="3">SUM(R7:T7)</f>
        <v>237564053.03392103</v>
      </c>
      <c r="W7" s="258">
        <f>SUMIF('El Gross Plant Data'!$C$12:$C$68,$B7,'El Gross Plant Data'!$H$12:$H$68)</f>
        <v>1113473317.4041896</v>
      </c>
      <c r="X7" s="258">
        <f>SUMIF('El Accum Dep Data'!$C$12:$C$32,$B7,'El Accum Dep Data'!$H$12:$H$32)</f>
        <v>-349315233.71301728</v>
      </c>
      <c r="Y7" s="258">
        <f>Funct_Plant_Rel_DFIT_Detail!W91</f>
        <v>-89039232.135937035</v>
      </c>
      <c r="Z7" s="258">
        <f t="shared" ref="Z7:Z10" si="4">SUM(W7:Y7)</f>
        <v>675118851.55523539</v>
      </c>
      <c r="AB7" s="258">
        <f>SUMIF('El Gross Plant Data'!$C$12:$C$68,$B7,'El Gross Plant Data'!$I$12:$I$68)</f>
        <v>1161259969.917851</v>
      </c>
      <c r="AC7" s="258">
        <f>SUMIF('El Accum Dep Data'!$C$12:$C$32,$B7,'El Accum Dep Data'!$I$12:$I$32)</f>
        <v>-362963202.95776814</v>
      </c>
      <c r="AD7" s="258">
        <f>Funct_Plant_Rel_DFIT_Detail!AA91</f>
        <v>-96722431.366813108</v>
      </c>
      <c r="AE7" s="258">
        <f t="shared" ref="AE7:AE10" si="5">SUM(AB7:AD7)</f>
        <v>701574335.59326971</v>
      </c>
      <c r="AG7" s="258">
        <f>SUMIF('El Gross Plant Data'!$C$12:$C$68,$B7,'El Gross Plant Data'!$J$12:$J$68)</f>
        <v>1292205134.0415313</v>
      </c>
      <c r="AH7" s="258">
        <f>SUMIF('El Accum Dep Data'!$C$12:$C$32,$B7,'El Accum Dep Data'!$J$12:$J$32)</f>
        <v>-390901228.42057848</v>
      </c>
      <c r="AI7" s="258">
        <f>Funct_Plant_Rel_DFIT_Detail!AE91</f>
        <v>-112466694.69860387</v>
      </c>
      <c r="AJ7" s="258">
        <f t="shared" ref="AJ7:AJ10" si="6">SUM(AG7:AI7)</f>
        <v>788837210.92234898</v>
      </c>
      <c r="AL7" s="258">
        <f>SUMIF('El Gross Plant Data'!$C$12:$C$68,$B7,'El Gross Plant Data'!$K$12:$K$68)</f>
        <v>1339165223.7319965</v>
      </c>
      <c r="AM7" s="258">
        <f>SUMIF('El Accum Dep Data'!$C$12:$C$32,$B7,'El Accum Dep Data'!$K$12:$K$32)</f>
        <v>-409351469.77738446</v>
      </c>
      <c r="AN7" s="258">
        <f>Funct_Plant_Rel_DFIT_Detail!AI91</f>
        <v>-125349356.48039453</v>
      </c>
      <c r="AO7" s="258">
        <f t="shared" ref="AO7:AO10" si="7">SUM(AL7:AN7)</f>
        <v>804464397.47421753</v>
      </c>
      <c r="AQ7" s="258">
        <f>SUMIF('El Gross Plant Data'!$C$12:$C$68,$B7,'El Gross Plant Data'!$L$12:$L$68)</f>
        <v>1399259273.8470633</v>
      </c>
      <c r="AR7" s="258">
        <f>SUMIF('El Accum Dep Data'!$C$12:$C$32,$B7,'El Accum Dep Data'!$L$12:$L$32)</f>
        <v>-443978510.36944437</v>
      </c>
      <c r="AS7" s="258">
        <f>Funct_Plant_Rel_DFIT_Detail!AM91</f>
        <v>-132751256.53071146</v>
      </c>
      <c r="AT7" s="258">
        <f t="shared" ref="AT7:AT10" si="8">SUM(AQ7:AS7)</f>
        <v>822529506.94690752</v>
      </c>
      <c r="AV7" s="258">
        <f>SUMIF('El Gross Plant Data'!$C$12:$C$68,$B7,'El Gross Plant Data'!$M$12:$M$68)</f>
        <v>1462188428.0951748</v>
      </c>
      <c r="AW7" s="258">
        <f>SUMIF('El Accum Dep Data'!$C$12:$C$32,$B7,'El Accum Dep Data'!$M$12:$M$32)</f>
        <v>-478013032.11302686</v>
      </c>
      <c r="AX7" s="258">
        <f>Funct_Plant_Rel_DFIT_Detail!AQ91</f>
        <v>-145802118.20224053</v>
      </c>
      <c r="AY7" s="258">
        <f t="shared" ref="AY7:AY10" si="9">SUM(AV7:AX7)</f>
        <v>838373277.77990746</v>
      </c>
      <c r="BA7" s="258">
        <f>SUMIF('El Gross Plant Data'!$C$12:$C$68,$B7,'El Gross Plant Data'!$N$12:$N$68)</f>
        <v>1537389479.4362583</v>
      </c>
      <c r="BB7" s="258">
        <f>SUMIF('El Accum Dep Data'!$C$12:$C$32,$B7,'El Accum Dep Data'!$N$12:$N$32)</f>
        <v>-503717591.12299544</v>
      </c>
      <c r="BC7" s="258">
        <f>Funct_Plant_Rel_DFIT_Detail!AU91</f>
        <v>-153372259.11356083</v>
      </c>
      <c r="BD7" s="258">
        <f t="shared" ref="BD7:BD10" si="10">SUM(BA7:BC7)</f>
        <v>880299629.19970214</v>
      </c>
    </row>
    <row r="8" spans="1:61" x14ac:dyDescent="0.25">
      <c r="A8" s="197" t="s">
        <v>66</v>
      </c>
      <c r="B8" s="344" t="s">
        <v>214</v>
      </c>
      <c r="C8" s="258">
        <f>SUMIF('El Gross Plant Data'!$C$12:$C$68,$B8,'El Gross Plant Data'!$D$12:$D$68)</f>
        <v>3126647076.6941481</v>
      </c>
      <c r="D8" s="258">
        <f>SUMIF('El Accum Dep Data'!$C$12:$C$32,$B8,'El Accum Dep Data'!$D$12:$D$32)</f>
        <v>-1126451240.8545363</v>
      </c>
      <c r="E8" s="258">
        <f>Funct_Plant_Rel_DFIT_Detail!G92</f>
        <v>-333389318.1111179</v>
      </c>
      <c r="F8" s="258">
        <f t="shared" si="0"/>
        <v>1666806517.7284939</v>
      </c>
      <c r="H8" s="258">
        <f>SUMIF('El Gross Plant Data'!$C$12:$C$68,$B8,'El Gross Plant Data'!$E$12:$E$68)</f>
        <v>3282996397.8271761</v>
      </c>
      <c r="I8" s="258">
        <f>SUMIF('El Accum Dep Data'!$C$12:$C$32,$B8,'El Accum Dep Data'!$E$12:$E$32)</f>
        <v>-1170934912.8382633</v>
      </c>
      <c r="J8" s="258">
        <f>Funct_Plant_Rel_DFIT_Detail!K92</f>
        <v>-405668512.94884676</v>
      </c>
      <c r="K8" s="258">
        <f t="shared" si="1"/>
        <v>1706392972.040066</v>
      </c>
      <c r="M8" s="258">
        <f>SUMIF('El Gross Plant Data'!$C$12:$C$68,$B8,'El Gross Plant Data'!$F$12:$F$68)</f>
        <v>3447196696.1536126</v>
      </c>
      <c r="N8" s="258">
        <f>SUMIF('El Accum Dep Data'!$C$12:$C$32,$B8,'El Accum Dep Data'!$F$12:$F$32)</f>
        <v>-1211512274.3985515</v>
      </c>
      <c r="O8" s="258">
        <f>Funct_Plant_Rel_DFIT_Detail!O92</f>
        <v>-450040833.75913286</v>
      </c>
      <c r="P8" s="258">
        <f t="shared" si="2"/>
        <v>1785643587.9959283</v>
      </c>
      <c r="R8" s="258">
        <f>SUMIF('El Gross Plant Data'!$C$12:$C$68,$B8,'El Gross Plant Data'!$G$12:$G$68)</f>
        <v>3564292381.2229676</v>
      </c>
      <c r="S8" s="258">
        <f>SUMIF('El Accum Dep Data'!$C$12:$C$32,$B8,'El Accum Dep Data'!$G$12:$G$32)</f>
        <v>-1245640993.5782559</v>
      </c>
      <c r="T8" s="258">
        <f>Funct_Plant_Rel_DFIT_Detail!S92</f>
        <v>-514750585.7383607</v>
      </c>
      <c r="U8" s="258">
        <f t="shared" si="3"/>
        <v>1803900801.9063509</v>
      </c>
      <c r="W8" s="258">
        <f>SUMIF('El Gross Plant Data'!$C$12:$C$68,$B8,'El Gross Plant Data'!$H$12:$H$68)</f>
        <v>3165842291.7865334</v>
      </c>
      <c r="X8" s="258">
        <f>SUMIF('El Accum Dep Data'!$C$12:$C$32,$B8,'El Accum Dep Data'!$H$12:$H$32)</f>
        <v>-1127993916.4244936</v>
      </c>
      <c r="Y8" s="258">
        <f>Funct_Plant_Rel_DFIT_Detail!W92</f>
        <v>-515837424.30515641</v>
      </c>
      <c r="Z8" s="258">
        <f t="shared" si="4"/>
        <v>1522010951.0568833</v>
      </c>
      <c r="AB8" s="258">
        <f>SUMIF('El Gross Plant Data'!$C$12:$C$68,$B8,'El Gross Plant Data'!$I$12:$I$68)</f>
        <v>3232299791.6025748</v>
      </c>
      <c r="AC8" s="258">
        <f>SUMIF('El Accum Dep Data'!$C$12:$C$32,$B8,'El Accum Dep Data'!$I$12:$I$32)</f>
        <v>-1185442910.4983323</v>
      </c>
      <c r="AD8" s="258">
        <f>Funct_Plant_Rel_DFIT_Detail!AA92</f>
        <v>-539945937.41985226</v>
      </c>
      <c r="AE8" s="258">
        <f t="shared" si="5"/>
        <v>1506910943.6843903</v>
      </c>
      <c r="AG8" s="258">
        <f>SUMIF('El Gross Plant Data'!$C$12:$C$68,$B8,'El Gross Plant Data'!$J$12:$J$68)</f>
        <v>3269591083.0320902</v>
      </c>
      <c r="AH8" s="258">
        <f>SUMIF('El Accum Dep Data'!$C$12:$C$32,$B8,'El Accum Dep Data'!$J$12:$J$32)</f>
        <v>-1241566761.3589385</v>
      </c>
      <c r="AI8" s="258">
        <f>Funct_Plant_Rel_DFIT_Detail!AE92</f>
        <v>-557946172.50064421</v>
      </c>
      <c r="AJ8" s="258">
        <f t="shared" si="6"/>
        <v>1470078149.1725075</v>
      </c>
      <c r="AL8" s="258">
        <f>SUMIF('El Gross Plant Data'!$C$12:$C$68,$B8,'El Gross Plant Data'!$K$12:$K$68)</f>
        <v>3425792687.7435322</v>
      </c>
      <c r="AM8" s="258">
        <f>SUMIF('El Accum Dep Data'!$C$12:$C$32,$B8,'El Accum Dep Data'!$K$12:$K$32)</f>
        <v>-1303124886.2088988</v>
      </c>
      <c r="AN8" s="258">
        <f>Funct_Plant_Rel_DFIT_Detail!AI92</f>
        <v>-596847326.042835</v>
      </c>
      <c r="AO8" s="258">
        <f t="shared" si="7"/>
        <v>1525820475.4917984</v>
      </c>
      <c r="AQ8" s="258">
        <f>SUMIF('El Gross Plant Data'!$C$12:$C$68,$B8,'El Gross Plant Data'!$L$12:$L$68)</f>
        <v>3552927499.3939004</v>
      </c>
      <c r="AR8" s="258">
        <f>SUMIF('El Accum Dep Data'!$C$12:$C$32,$B8,'El Accum Dep Data'!$L$12:$L$32)</f>
        <v>-1341964000.7757533</v>
      </c>
      <c r="AS8" s="258">
        <f>Funct_Plant_Rel_DFIT_Detail!AM92</f>
        <v>-651251091.28535378</v>
      </c>
      <c r="AT8" s="258">
        <f t="shared" si="8"/>
        <v>1559712407.3327932</v>
      </c>
      <c r="AV8" s="258">
        <f>SUMIF('El Gross Plant Data'!$C$12:$C$68,$B8,'El Gross Plant Data'!$M$12:$M$68)</f>
        <v>3716330215.1224427</v>
      </c>
      <c r="AW8" s="258">
        <f>SUMIF('El Accum Dep Data'!$C$12:$C$32,$B8,'El Accum Dep Data'!$M$12:$M$32)</f>
        <v>-1389919942.1087778</v>
      </c>
      <c r="AX8" s="258">
        <f>Funct_Plant_Rel_DFIT_Detail!AQ92</f>
        <v>-692753314.09513831</v>
      </c>
      <c r="AY8" s="258">
        <f t="shared" si="9"/>
        <v>1633656958.9185269</v>
      </c>
      <c r="BA8" s="258">
        <f>SUMIF('El Gross Plant Data'!$C$12:$C$68,$B8,'El Gross Plant Data'!$N$12:$N$68)</f>
        <v>3906349563.9733167</v>
      </c>
      <c r="BB8" s="258">
        <f>SUMIF('El Accum Dep Data'!$C$12:$C$32,$B8,'El Accum Dep Data'!$N$12:$N$32)</f>
        <v>-1461014489.0522759</v>
      </c>
      <c r="BC8" s="258">
        <f>Funct_Plant_Rel_DFIT_Detail!AU92</f>
        <v>-712569681.90477419</v>
      </c>
      <c r="BD8" s="258">
        <f t="shared" si="10"/>
        <v>1732765393.0162663</v>
      </c>
    </row>
    <row r="9" spans="1:61" x14ac:dyDescent="0.25">
      <c r="A9" s="197" t="s">
        <v>67</v>
      </c>
      <c r="B9" s="344" t="s">
        <v>217</v>
      </c>
      <c r="C9" s="258">
        <f>SUMIF('El Gross Plant Data'!$C$12:$C$68,$B9,'El Gross Plant Data'!$D$12:$D$68)</f>
        <v>98172140.838679269</v>
      </c>
      <c r="D9" s="258">
        <f>SUMIF('El Accum Dep Data'!$C$12:$C$32,$B9,'El Accum Dep Data'!$D$12:$D$32)</f>
        <v>-34535425.44336056</v>
      </c>
      <c r="E9" s="258">
        <f>Funct_Plant_Rel_DFIT_Detail!G94*(C9/(SUM(C9:C10)))</f>
        <v>3612710.5615675878</v>
      </c>
      <c r="F9" s="258">
        <f t="shared" si="0"/>
        <v>67249425.956886292</v>
      </c>
      <c r="H9" s="258">
        <f>SUMIF('El Gross Plant Data'!$C$12:$C$68,$B9,'El Gross Plant Data'!$E$12:$E$68)</f>
        <v>184191012.39805716</v>
      </c>
      <c r="I9" s="258">
        <f>SUMIF('El Accum Dep Data'!$C$12:$C$32,$B9,'El Accum Dep Data'!$E$12:$E$32)</f>
        <v>-54093007.48339434</v>
      </c>
      <c r="J9" s="258">
        <f>Funct_Plant_Rel_DFIT_Detail!K94*(H9/(SUM(H9:H10)))</f>
        <v>8383927.1945951898</v>
      </c>
      <c r="K9" s="258">
        <f t="shared" si="1"/>
        <v>138481932.10925803</v>
      </c>
      <c r="M9" s="258">
        <f>SUMIF('El Gross Plant Data'!$C$12:$C$68,$B9,'El Gross Plant Data'!$F$12:$F$68)</f>
        <v>170574253.65480018</v>
      </c>
      <c r="N9" s="258">
        <f>SUMIF('El Accum Dep Data'!$C$12:$C$32,$B9,'El Accum Dep Data'!$F$12:$F$32)</f>
        <v>-53561588.048107862</v>
      </c>
      <c r="O9" s="258">
        <f>Funct_Plant_Rel_DFIT_Detail!O94*(M9/(SUM(M9:M10)))</f>
        <v>9451871.7224208005</v>
      </c>
      <c r="P9" s="258">
        <f t="shared" si="2"/>
        <v>126464537.32911311</v>
      </c>
      <c r="R9" s="258">
        <f>SUMIF('El Gross Plant Data'!$C$12:$C$68,$B9,'El Gross Plant Data'!$G$12:$G$68)</f>
        <v>163505118.72319424</v>
      </c>
      <c r="S9" s="258">
        <f>SUMIF('El Accum Dep Data'!$C$12:$C$32,$B9,'El Accum Dep Data'!$G$12:$G$32)</f>
        <v>-49133516.594404191</v>
      </c>
      <c r="T9" s="258">
        <f>Funct_Plant_Rel_DFIT_Detail!S94*(R9/(SUM(R9:R10)))</f>
        <v>8736976.9762761109</v>
      </c>
      <c r="U9" s="258">
        <f t="shared" si="3"/>
        <v>123108579.10506617</v>
      </c>
      <c r="W9" s="258">
        <f>SUMIF('El Gross Plant Data'!$C$12:$C$68,$B9,'El Gross Plant Data'!$H$12:$H$68)</f>
        <v>156033543.69077629</v>
      </c>
      <c r="X9" s="258">
        <f>SUMIF('El Accum Dep Data'!$C$12:$C$32,$B9,'El Accum Dep Data'!$H$12:$H$32)</f>
        <v>-54513095.90377479</v>
      </c>
      <c r="Y9" s="258">
        <f>Funct_Plant_Rel_DFIT_Detail!W94*(W9/(SUM(W9:W10)))</f>
        <v>6904159.2949769767</v>
      </c>
      <c r="Z9" s="258">
        <f t="shared" si="4"/>
        <v>108424607.08197847</v>
      </c>
      <c r="AB9" s="258">
        <f>SUMIF('El Gross Plant Data'!$C$12:$C$68,$B9,'El Gross Plant Data'!$I$12:$I$68)</f>
        <v>220596514.06650442</v>
      </c>
      <c r="AC9" s="258">
        <f>SUMIF('El Accum Dep Data'!$C$12:$C$32,$B9,'El Accum Dep Data'!$I$12:$I$32)</f>
        <v>-41066545.017626755</v>
      </c>
      <c r="AD9" s="258">
        <f>Funct_Plant_Rel_DFIT_Detail!AA94*(AB9/(SUM(AB9:AB10)))</f>
        <v>4208802.8816263387</v>
      </c>
      <c r="AE9" s="258">
        <f t="shared" si="5"/>
        <v>183738771.93050399</v>
      </c>
      <c r="AG9" s="258">
        <f>SUMIF('El Gross Plant Data'!$C$12:$C$68,$B9,'El Gross Plant Data'!$J$12:$J$68)</f>
        <v>277509795.84000057</v>
      </c>
      <c r="AH9" s="258">
        <f>SUMIF('El Accum Dep Data'!$C$12:$C$32,$B9,'El Accum Dep Data'!$J$12:$J$32)</f>
        <v>-59395158.73453705</v>
      </c>
      <c r="AI9" s="258">
        <f>Funct_Plant_Rel_DFIT_Detail!AE94*(AG9/(SUM(AG9:AG10)))</f>
        <v>-2202840.6715100263</v>
      </c>
      <c r="AJ9" s="258">
        <f t="shared" si="6"/>
        <v>215911796.43395346</v>
      </c>
      <c r="AL9" s="258">
        <f>SUMIF('El Gross Plant Data'!$C$12:$C$68,$B9,'El Gross Plant Data'!$K$12:$K$68)</f>
        <v>272808912.60467863</v>
      </c>
      <c r="AM9" s="258">
        <f>SUMIF('El Accum Dep Data'!$C$12:$C$32,$B9,'El Accum Dep Data'!$K$12:$K$32)</f>
        <v>-59380451.651331559</v>
      </c>
      <c r="AN9" s="258">
        <f>Funct_Plant_Rel_DFIT_Detail!AI94*(AL9/(SUM(AL9:AL10)))</f>
        <v>-3610951.3009541729</v>
      </c>
      <c r="AO9" s="258">
        <f t="shared" si="7"/>
        <v>209817509.65239292</v>
      </c>
      <c r="AQ9" s="258">
        <f>SUMIF('El Gross Plant Data'!$C$12:$C$68,$B9,'El Gross Plant Data'!$L$12:$L$68)</f>
        <v>278010584.33501303</v>
      </c>
      <c r="AR9" s="258">
        <f>SUMIF('El Accum Dep Data'!$C$12:$C$32,$B9,'El Accum Dep Data'!$L$12:$L$32)</f>
        <v>-67508919.094406307</v>
      </c>
      <c r="AS9" s="258">
        <f>Funct_Plant_Rel_DFIT_Detail!AM94*(AQ9/(SUM(AQ9:AQ10)))</f>
        <v>-2847053.5544821112</v>
      </c>
      <c r="AT9" s="258">
        <f t="shared" si="8"/>
        <v>207654611.68612462</v>
      </c>
      <c r="AV9" s="258">
        <f>SUMIF('El Gross Plant Data'!$C$12:$C$68,$B9,'El Gross Plant Data'!$M$12:$M$68)</f>
        <v>304691223.42869997</v>
      </c>
      <c r="AW9" s="258">
        <f>SUMIF('El Accum Dep Data'!$C$12:$C$32,$B9,'El Accum Dep Data'!$M$12:$M$32)</f>
        <v>-87004347.75706616</v>
      </c>
      <c r="AX9" s="258">
        <f>Funct_Plant_Rel_DFIT_Detail!AQ94*(AV9/(SUM(AV9:AV10)))</f>
        <v>-5899897.5015810858</v>
      </c>
      <c r="AY9" s="258">
        <f t="shared" si="9"/>
        <v>211786978.17005274</v>
      </c>
      <c r="BA9" s="258">
        <f>SUMIF('El Gross Plant Data'!$C$12:$C$68,$B9,'El Gross Plant Data'!$N$12:$N$68)</f>
        <v>381909676.27170002</v>
      </c>
      <c r="BB9" s="258">
        <f>SUMIF('El Accum Dep Data'!$C$12:$C$32,$B9,'El Accum Dep Data'!$N$12:$N$32)</f>
        <v>-128663487.36185595</v>
      </c>
      <c r="BC9" s="258">
        <f>Funct_Plant_Rel_DFIT_Detail!AU94*(BA9/(SUM(BA9:BA10)))</f>
        <v>-7768244.0124879377</v>
      </c>
      <c r="BD9" s="258">
        <f t="shared" si="10"/>
        <v>245477944.89735612</v>
      </c>
    </row>
    <row r="10" spans="1:61" x14ac:dyDescent="0.25">
      <c r="A10" s="197" t="s">
        <v>68</v>
      </c>
      <c r="B10" s="344" t="s">
        <v>216</v>
      </c>
      <c r="C10" s="258">
        <f>SUMIF('El Gross Plant Data'!$C$12:$C$68,$B10,'El Gross Plant Data'!$D$12:$D$68)</f>
        <v>386608928.43824172</v>
      </c>
      <c r="D10" s="258">
        <f>SUMIF('El Accum Dep Data'!$C$12:$C$32,$B10,'El Accum Dep Data'!$D$12:$D$32)</f>
        <v>-203621090.42240632</v>
      </c>
      <c r="E10" s="258">
        <f>Funct_Plant_Rel_DFIT_Detail!G94*(C10/(SUM(C9:C10)))</f>
        <v>14227113.18132801</v>
      </c>
      <c r="F10" s="258">
        <f t="shared" si="0"/>
        <v>197214951.1971634</v>
      </c>
      <c r="H10" s="258">
        <f>SUMIF('El Gross Plant Data'!$C$12:$C$68,$B10,'El Gross Plant Data'!$E$12:$E$68)</f>
        <v>358238111.68528235</v>
      </c>
      <c r="I10" s="258">
        <f>SUMIF('El Accum Dep Data'!$C$12:$C$32,$B10,'El Accum Dep Data'!$E$12:$E$32)</f>
        <v>-206194734.24211812</v>
      </c>
      <c r="J10" s="258">
        <f>Funct_Plant_Rel_DFIT_Detail!K94*(H10/(SUM(H9:H10)))</f>
        <v>16306128.119910087</v>
      </c>
      <c r="K10" s="258">
        <f t="shared" si="1"/>
        <v>168349505.56307432</v>
      </c>
      <c r="M10" s="258">
        <f>SUMIF('El Gross Plant Data'!$C$12:$C$68,$B10,'El Gross Plant Data'!$F$12:$F$68)</f>
        <v>310156608.38009387</v>
      </c>
      <c r="N10" s="258">
        <f>SUMIF('El Accum Dep Data'!$C$12:$C$32,$B10,'El Accum Dep Data'!$F$12:$F$32)</f>
        <v>-117774972.95626362</v>
      </c>
      <c r="O10" s="258">
        <f>Funct_Plant_Rel_DFIT_Detail!O94*(M10/(SUM(M9:M10)))</f>
        <v>17186418.310248043</v>
      </c>
      <c r="P10" s="258">
        <f t="shared" si="2"/>
        <v>209568053.73407832</v>
      </c>
      <c r="R10" s="258">
        <f>SUMIF('El Gross Plant Data'!$C$12:$C$68,$B10,'El Gross Plant Data'!$G$12:$G$68)</f>
        <v>316883943.20509148</v>
      </c>
      <c r="S10" s="258">
        <f>SUMIF('El Accum Dep Data'!$C$12:$C$32,$B10,'El Accum Dep Data'!$G$12:$G$32)</f>
        <v>-111534447.9502255</v>
      </c>
      <c r="T10" s="258">
        <f>Funct_Plant_Rel_DFIT_Detail!S94*(R10/(SUM(R9:R10)))</f>
        <v>16932850.40587372</v>
      </c>
      <c r="U10" s="258">
        <f t="shared" si="3"/>
        <v>222282345.66073969</v>
      </c>
      <c r="W10" s="258">
        <f>SUMIF('El Gross Plant Data'!$C$12:$C$68,$B10,'El Gross Plant Data'!$H$12:$H$68)</f>
        <v>360312995.12847489</v>
      </c>
      <c r="X10" s="258">
        <f>SUMIF('El Accum Dep Data'!$C$12:$C$32,$B10,'El Accum Dep Data'!$H$12:$H$32)</f>
        <v>-139965668.40564233</v>
      </c>
      <c r="Y10" s="258">
        <f>Funct_Plant_Rel_DFIT_Detail!W94*(W10/(SUM(W9:W10)))</f>
        <v>15943099.512930619</v>
      </c>
      <c r="Z10" s="258">
        <f t="shared" si="4"/>
        <v>236290426.23576319</v>
      </c>
      <c r="AB10" s="258">
        <f>SUMIF('El Gross Plant Data'!$C$12:$C$68,$B10,'El Gross Plant Data'!$I$12:$I$68)</f>
        <v>404519761.32717073</v>
      </c>
      <c r="AC10" s="258">
        <f>SUMIF('El Accum Dep Data'!$C$12:$C$32,$B10,'El Accum Dep Data'!$I$12:$I$32)</f>
        <v>-170575821.22581595</v>
      </c>
      <c r="AD10" s="258">
        <f>Funct_Plant_Rel_DFIT_Detail!AA94*(AB10/(SUM(AB9:AB10)))</f>
        <v>7717909.5252399137</v>
      </c>
      <c r="AE10" s="258">
        <f t="shared" si="5"/>
        <v>241661849.62659469</v>
      </c>
      <c r="AG10" s="258">
        <f>SUMIF('El Gross Plant Data'!$C$12:$C$68,$B10,'El Gross Plant Data'!$J$12:$J$68)</f>
        <v>393243430.31765521</v>
      </c>
      <c r="AH10" s="258">
        <f>SUMIF('El Accum Dep Data'!$C$12:$C$32,$B10,'El Accum Dep Data'!$J$12:$J$32)</f>
        <v>-160250226.21692789</v>
      </c>
      <c r="AI10" s="258">
        <f>Funct_Plant_Rel_DFIT_Detail!AE94*(AG10/(SUM(AG9:AG10)))</f>
        <v>-3121520.8799594641</v>
      </c>
      <c r="AJ10" s="258">
        <f t="shared" si="6"/>
        <v>229871683.22076786</v>
      </c>
      <c r="AL10" s="258">
        <f>SUMIF('El Gross Plant Data'!$C$12:$C$68,$B10,'El Gross Plant Data'!$K$12:$K$68)</f>
        <v>397055644.72152829</v>
      </c>
      <c r="AM10" s="258">
        <f>SUMIF('El Accum Dep Data'!$C$12:$C$32,$B10,'El Accum Dep Data'!$K$12:$K$32)</f>
        <v>-172362901.15620881</v>
      </c>
      <c r="AN10" s="258">
        <f>Funct_Plant_Rel_DFIT_Detail!AI94*(AL10/(SUM(AL9:AL10)))</f>
        <v>-5255504.9729479104</v>
      </c>
      <c r="AO10" s="258">
        <f t="shared" si="7"/>
        <v>219437238.59237158</v>
      </c>
      <c r="AQ10" s="258">
        <f>SUMIF('El Gross Plant Data'!$C$12:$C$68,$B10,'El Gross Plant Data'!$L$12:$L$68)</f>
        <v>414450417.02595299</v>
      </c>
      <c r="AR10" s="258">
        <f>SUMIF('El Accum Dep Data'!$C$12:$C$32,$B10,'El Accum Dep Data'!$L$12:$L$32)</f>
        <v>-198165989.41438901</v>
      </c>
      <c r="AS10" s="258">
        <f>Funct_Plant_Rel_DFIT_Detail!AM94*(AQ10/(SUM(AQ9:AQ10)))</f>
        <v>-4244307.9488241142</v>
      </c>
      <c r="AT10" s="258">
        <f t="shared" si="8"/>
        <v>212040119.66273987</v>
      </c>
      <c r="AV10" s="258">
        <f>SUMIF('El Gross Plant Data'!$C$12:$C$68,$B10,'El Gross Plant Data'!$M$12:$M$68)</f>
        <v>466330168.27784866</v>
      </c>
      <c r="AW10" s="258">
        <f>SUMIF('El Accum Dep Data'!$C$12:$C$32,$B10,'El Accum Dep Data'!$M$12:$M$32)</f>
        <v>-216722203.99094033</v>
      </c>
      <c r="AX10" s="258">
        <f>Funct_Plant_Rel_DFIT_Detail!AQ94*(AV10/(SUM(AV9:AV10)))</f>
        <v>-9029797.9829346519</v>
      </c>
      <c r="AY10" s="258">
        <f t="shared" si="9"/>
        <v>240578166.30397367</v>
      </c>
      <c r="BA10" s="258">
        <f>SUMIF('El Gross Plant Data'!$C$12:$C$68,$B10,'El Gross Plant Data'!$N$12:$N$68)</f>
        <v>515670958.80223441</v>
      </c>
      <c r="BB10" s="258">
        <f>SUMIF('El Accum Dep Data'!$C$12:$C$32,$B10,'El Accum Dep Data'!$N$12:$N$32)</f>
        <v>-182384891.16492367</v>
      </c>
      <c r="BC10" s="258">
        <f>Funct_Plant_Rel_DFIT_Detail!AU94*(BA10/(SUM(BA9:BA10)))</f>
        <v>-10489018.967090806</v>
      </c>
      <c r="BD10" s="258">
        <f t="shared" si="10"/>
        <v>322797048.67021996</v>
      </c>
    </row>
    <row r="11" spans="1:61" x14ac:dyDescent="0.25">
      <c r="C11" s="492"/>
      <c r="D11" s="492"/>
      <c r="E11" s="492"/>
      <c r="F11" s="492"/>
      <c r="H11" s="492"/>
      <c r="I11" s="492"/>
      <c r="J11" s="492"/>
      <c r="K11" s="492"/>
      <c r="M11" s="492"/>
      <c r="N11" s="492"/>
      <c r="O11" s="492"/>
      <c r="P11" s="492"/>
      <c r="R11" s="492"/>
      <c r="S11" s="492"/>
      <c r="T11" s="492"/>
      <c r="U11" s="492"/>
      <c r="W11" s="492"/>
      <c r="X11" s="492"/>
      <c r="Y11" s="492"/>
      <c r="Z11" s="492"/>
      <c r="AB11" s="492"/>
      <c r="AC11" s="492"/>
      <c r="AD11" s="492"/>
      <c r="AE11" s="492"/>
      <c r="AG11" s="492"/>
      <c r="AH11" s="492"/>
      <c r="AI11" s="492"/>
      <c r="AJ11" s="492"/>
      <c r="AL11" s="492"/>
      <c r="AM11" s="492"/>
      <c r="AN11" s="492"/>
      <c r="AO11" s="492"/>
      <c r="AQ11" s="492"/>
      <c r="AR11" s="492"/>
      <c r="AS11" s="492"/>
      <c r="AT11" s="492"/>
      <c r="AV11" s="492"/>
      <c r="AW11" s="492"/>
      <c r="AX11" s="492"/>
      <c r="AY11" s="492"/>
      <c r="BA11" s="492"/>
      <c r="BB11" s="492"/>
      <c r="BC11" s="492"/>
      <c r="BD11" s="492"/>
    </row>
    <row r="12" spans="1:61" ht="13.8" thickBot="1" x14ac:dyDescent="0.3">
      <c r="A12" s="197" t="s">
        <v>293</v>
      </c>
      <c r="C12" s="387">
        <f>SUM(C6:C11)</f>
        <v>6183573985.4207335</v>
      </c>
      <c r="D12" s="387">
        <f t="shared" ref="D12:F12" si="11">SUM(D6:D11)</f>
        <v>-2533770194.7367992</v>
      </c>
      <c r="E12" s="387">
        <f t="shared" si="11"/>
        <v>-551306073.72980022</v>
      </c>
      <c r="F12" s="387">
        <f t="shared" si="11"/>
        <v>3098497716.9541335</v>
      </c>
      <c r="G12" s="352"/>
      <c r="H12" s="387">
        <f>SUM(H6:H11)</f>
        <v>6826578357.9429998</v>
      </c>
      <c r="I12" s="387">
        <f t="shared" ref="I12" si="12">SUM(I6:I11)</f>
        <v>-2728265249.8269997</v>
      </c>
      <c r="J12" s="387">
        <f t="shared" ref="J12" si="13">SUM(J6:J11)</f>
        <v>-664946214.7754283</v>
      </c>
      <c r="K12" s="387">
        <f t="shared" ref="K12" si="14">SUM(K6:K11)</f>
        <v>3433366893.3405709</v>
      </c>
      <c r="L12" s="352"/>
      <c r="M12" s="387">
        <f>SUM(M6:M11)</f>
        <v>7157671291.0355005</v>
      </c>
      <c r="N12" s="387">
        <f t="shared" ref="N12" si="15">SUM(N6:N11)</f>
        <v>-2758182029.2714005</v>
      </c>
      <c r="O12" s="387">
        <f t="shared" ref="O12" si="16">SUM(O6:O11)</f>
        <v>-735064556.27352583</v>
      </c>
      <c r="P12" s="387">
        <f t="shared" ref="P12" si="17">SUM(P6:P11)</f>
        <v>3664424705.4905748</v>
      </c>
      <c r="Q12" s="352"/>
      <c r="R12" s="387">
        <f>SUM(R6:R11)</f>
        <v>7368096541.3695002</v>
      </c>
      <c r="S12" s="387">
        <f t="shared" ref="S12:T12" si="18">SUM(S6:S11)</f>
        <v>-2839059504.1769996</v>
      </c>
      <c r="T12" s="387">
        <f t="shared" si="18"/>
        <v>-867572260.83655429</v>
      </c>
      <c r="U12" s="387">
        <f t="shared" ref="U12" si="19">SUM(U6:U11)</f>
        <v>3661464776.3559461</v>
      </c>
      <c r="V12" s="352"/>
      <c r="W12" s="387">
        <f>SUM(W6:W11)</f>
        <v>8287097940.9453993</v>
      </c>
      <c r="X12" s="387">
        <f t="shared" ref="X12" si="20">SUM(X6:X11)</f>
        <v>-3020593113.8437667</v>
      </c>
      <c r="Y12" s="387">
        <f t="shared" ref="Y12" si="21">SUM(Y6:Y11)</f>
        <v>-943834217.77464485</v>
      </c>
      <c r="Z12" s="387">
        <f t="shared" ref="Z12" si="22">SUM(Z6:Z11)</f>
        <v>4322670609.3269892</v>
      </c>
      <c r="AA12" s="352"/>
      <c r="AB12" s="387">
        <f>SUM(AB6:AB11)</f>
        <v>9004679007.7049999</v>
      </c>
      <c r="AC12" s="387">
        <f t="shared" ref="AC12:AD12" si="23">SUM(AC6:AC11)</f>
        <v>-3263140706.2960997</v>
      </c>
      <c r="AD12" s="387">
        <f t="shared" si="23"/>
        <v>-1081989419.9523337</v>
      </c>
      <c r="AE12" s="387">
        <f t="shared" ref="AE12" si="24">SUM(AE6:AE11)</f>
        <v>4659548881.4565659</v>
      </c>
      <c r="AF12" s="352"/>
      <c r="AG12" s="387">
        <f>SUM(AG6:AG11)</f>
        <v>9452709058.1534996</v>
      </c>
      <c r="AH12" s="387">
        <f t="shared" ref="AH12:AI12" si="25">SUM(AH6:AH11)</f>
        <v>-3451279882.9580002</v>
      </c>
      <c r="AI12" s="387">
        <f t="shared" si="25"/>
        <v>-1187293231.0553079</v>
      </c>
      <c r="AJ12" s="387">
        <f t="shared" ref="AJ12" si="26">SUM(AJ6:AJ11)</f>
        <v>4814135944.140192</v>
      </c>
      <c r="AK12" s="352"/>
      <c r="AL12" s="387">
        <f>SUM(AL6:AL11)</f>
        <v>9610573082.5385513</v>
      </c>
      <c r="AM12" s="387">
        <f t="shared" ref="AM12:AN12" si="27">SUM(AM6:AM11)</f>
        <v>-3592386275.2933002</v>
      </c>
      <c r="AN12" s="387">
        <f t="shared" si="27"/>
        <v>-1246564738.587563</v>
      </c>
      <c r="AO12" s="387">
        <f t="shared" ref="AO12" si="28">SUM(AO6:AO11)</f>
        <v>4771622068.6576872</v>
      </c>
      <c r="AP12" s="352"/>
      <c r="AQ12" s="387">
        <f>SUM(AQ6:AQ11)</f>
        <v>9831771037.8853989</v>
      </c>
      <c r="AR12" s="387">
        <f t="shared" ref="AR12:AS12" si="29">SUM(AR6:AR11)</f>
        <v>-3785867482.1985002</v>
      </c>
      <c r="AS12" s="387">
        <f t="shared" si="29"/>
        <v>-1313627348.6830668</v>
      </c>
      <c r="AT12" s="387">
        <f t="shared" ref="AT12" si="30">SUM(AT6:AT11)</f>
        <v>4732276207.0038328</v>
      </c>
      <c r="AU12" s="352"/>
      <c r="AV12" s="387">
        <f>SUM(AV6:AV11)</f>
        <v>10163171006.2773</v>
      </c>
      <c r="AW12" s="387">
        <f t="shared" ref="AW12:AX12" si="31">SUM(AW6:AW11)</f>
        <v>-3957491780.6590004</v>
      </c>
      <c r="AX12" s="387">
        <f t="shared" si="31"/>
        <v>-1393851091.6946714</v>
      </c>
      <c r="AY12" s="387">
        <f t="shared" ref="AY12" si="32">SUM(AY6:AY11)</f>
        <v>4811828133.9236298</v>
      </c>
      <c r="AZ12" s="352"/>
      <c r="BA12" s="387">
        <f>SUM(BA6:BA11)</f>
        <v>10572466950.7876</v>
      </c>
      <c r="BB12" s="387">
        <f t="shared" ref="BB12:BC12" si="33">SUM(BB6:BB11)</f>
        <v>-4244925258.3971</v>
      </c>
      <c r="BC12" s="387">
        <f t="shared" si="33"/>
        <v>-1417858076.0787344</v>
      </c>
      <c r="BD12" s="387">
        <f t="shared" ref="BD12" si="34">SUM(BD6:BD11)</f>
        <v>4909683616.3117657</v>
      </c>
      <c r="BE12" s="352"/>
      <c r="BF12" s="352"/>
      <c r="BG12" s="352"/>
      <c r="BH12" s="352"/>
      <c r="BI12" s="352"/>
    </row>
    <row r="13" spans="1:61" ht="13.8" thickTop="1" x14ac:dyDescent="0.25">
      <c r="E13" s="258">
        <v>0</v>
      </c>
      <c r="J13" s="258">
        <v>0</v>
      </c>
      <c r="O13" s="258">
        <v>0</v>
      </c>
      <c r="T13" s="258">
        <v>0</v>
      </c>
      <c r="Y13" s="258">
        <v>0</v>
      </c>
      <c r="AD13" s="258">
        <v>0</v>
      </c>
      <c r="AI13" s="258">
        <v>0</v>
      </c>
      <c r="AN13" s="258">
        <v>0</v>
      </c>
      <c r="AS13" s="258">
        <v>0</v>
      </c>
      <c r="AW13" s="258"/>
      <c r="AX13" s="258">
        <v>0</v>
      </c>
      <c r="BB13" s="258"/>
      <c r="BC13" s="258">
        <v>0</v>
      </c>
    </row>
    <row r="15" spans="1:61" x14ac:dyDescent="0.25">
      <c r="E15" s="258"/>
      <c r="F15" s="258"/>
      <c r="J15" s="258"/>
      <c r="K15" s="258"/>
      <c r="O15" s="258"/>
      <c r="P15" s="258"/>
      <c r="T15" s="258"/>
      <c r="U15" s="258"/>
      <c r="Y15" s="258"/>
      <c r="Z15" s="258"/>
      <c r="AD15" s="258"/>
      <c r="AE15" s="258"/>
      <c r="AI15" s="258"/>
      <c r="AJ15" s="258"/>
      <c r="AN15" s="258"/>
      <c r="AO15" s="258"/>
      <c r="AS15" s="258"/>
      <c r="AT15" s="258"/>
      <c r="AW15" s="258"/>
      <c r="AX15" s="258"/>
      <c r="AY15" s="258"/>
      <c r="BB15" s="258"/>
      <c r="BC15" s="258"/>
      <c r="BD15" s="258"/>
    </row>
    <row r="16" spans="1:61" x14ac:dyDescent="0.25">
      <c r="E16" s="258"/>
      <c r="F16" s="258"/>
      <c r="J16" s="258"/>
      <c r="K16" s="258"/>
      <c r="O16" s="258"/>
      <c r="P16" s="258"/>
      <c r="T16" s="258"/>
      <c r="U16" s="258"/>
      <c r="Y16" s="258"/>
      <c r="Z16" s="258"/>
      <c r="AD16" s="258"/>
      <c r="AE16" s="258"/>
      <c r="AI16" s="258"/>
      <c r="AJ16" s="258"/>
      <c r="AN16" s="258"/>
      <c r="AO16" s="258"/>
      <c r="AS16" s="258"/>
      <c r="AT16" s="258"/>
      <c r="AW16" s="258"/>
      <c r="AX16" s="258"/>
      <c r="AY16" s="258"/>
      <c r="BB16" s="258"/>
      <c r="BC16" s="258"/>
      <c r="BD16" s="258"/>
    </row>
    <row r="17" spans="1:61" x14ac:dyDescent="0.25">
      <c r="A17" s="335" t="s">
        <v>294</v>
      </c>
      <c r="E17" s="258"/>
      <c r="F17" s="258"/>
      <c r="J17" s="258"/>
      <c r="K17" s="258"/>
      <c r="O17" s="258"/>
      <c r="P17" s="258"/>
      <c r="T17" s="258"/>
      <c r="U17" s="258"/>
      <c r="Y17" s="258"/>
      <c r="Z17" s="258"/>
      <c r="AD17" s="258"/>
      <c r="AE17" s="258"/>
      <c r="AI17" s="258"/>
      <c r="AJ17" s="258"/>
      <c r="AN17" s="258"/>
      <c r="AO17" s="258"/>
      <c r="AS17" s="258"/>
      <c r="AT17" s="258"/>
      <c r="AW17" s="258"/>
      <c r="AX17" s="258"/>
      <c r="AY17" s="258"/>
      <c r="BB17" s="258"/>
      <c r="BC17" s="258"/>
      <c r="BD17" s="258"/>
    </row>
    <row r="18" spans="1:61" x14ac:dyDescent="0.25">
      <c r="A18" s="197" t="s">
        <v>64</v>
      </c>
      <c r="B18" s="344" t="s">
        <v>291</v>
      </c>
      <c r="C18" s="352">
        <f>C6</f>
        <v>2233728644.5330596</v>
      </c>
      <c r="D18" s="352">
        <f>D6</f>
        <v>-1037704363.6809652</v>
      </c>
      <c r="E18" s="352">
        <f>Funct_Plant_Rel_DFIT_Detail!G98</f>
        <v>-161071194.27895033</v>
      </c>
      <c r="F18" s="352">
        <f>SUM(C18:E18)</f>
        <v>1034953086.5731441</v>
      </c>
      <c r="G18" s="352"/>
      <c r="H18" s="352">
        <f>H6</f>
        <v>2628433532.5317345</v>
      </c>
      <c r="I18" s="352">
        <f>I6</f>
        <v>-1158111114.436832</v>
      </c>
      <c r="J18" s="352">
        <f>Funct_Plant_Rel_DFIT_Detail!K98</f>
        <v>-189166258.62925437</v>
      </c>
      <c r="K18" s="352">
        <f>SUM(H18:J18)</f>
        <v>1281156159.4656482</v>
      </c>
      <c r="L18" s="352"/>
      <c r="M18" s="352">
        <f>M6</f>
        <v>2809263100.7067275</v>
      </c>
      <c r="N18" s="352">
        <f>N6</f>
        <v>-1224501626.8882952</v>
      </c>
      <c r="O18" s="352">
        <f>Funct_Plant_Rel_DFIT_Detail!O98</f>
        <v>-191219967.89909676</v>
      </c>
      <c r="P18" s="352">
        <f>SUM(M18:O18)</f>
        <v>1393541505.9193356</v>
      </c>
      <c r="Q18" s="352"/>
      <c r="R18" s="352">
        <f>R6</f>
        <v>2839527507.1796851</v>
      </c>
      <c r="S18" s="352">
        <f>S6</f>
        <v>-1268682002.4418714</v>
      </c>
      <c r="T18" s="352">
        <f>Funct_Plant_Rel_DFIT_Detail!S98</f>
        <v>-221855773.96555251</v>
      </c>
      <c r="U18" s="352">
        <f>SUM(R18:T18)</f>
        <v>1348989730.7722611</v>
      </c>
      <c r="V18" s="352"/>
      <c r="W18" s="352">
        <f>W6</f>
        <v>3491435792.9354258</v>
      </c>
      <c r="X18" s="352">
        <f>X6</f>
        <v>-1348805199.3968384</v>
      </c>
      <c r="Y18" s="352">
        <f>Funct_Plant_Rel_DFIT_Detail!W98</f>
        <v>-237470939.37621558</v>
      </c>
      <c r="Z18" s="352">
        <f>SUM(W18:Y18)</f>
        <v>1905159654.1623716</v>
      </c>
      <c r="AA18" s="352"/>
      <c r="AB18" s="352">
        <f>AB6</f>
        <v>3986002970.7908983</v>
      </c>
      <c r="AC18" s="352">
        <f>AC6</f>
        <v>-1503092226.5965569</v>
      </c>
      <c r="AD18" s="352">
        <f>Funct_Plant_Rel_DFIT_Detail!AA98</f>
        <v>-264867060.39793926</v>
      </c>
      <c r="AE18" s="352">
        <f>SUM(AB18:AD18)</f>
        <v>2218043683.7964025</v>
      </c>
      <c r="AF18" s="352"/>
      <c r="AG18" s="352">
        <f>AG6</f>
        <v>4220159614.9222226</v>
      </c>
      <c r="AH18" s="352">
        <f>AH6</f>
        <v>-1599166508.2270181</v>
      </c>
      <c r="AI18" s="352">
        <f>Funct_Plant_Rel_DFIT_Detail!AE98</f>
        <v>-285164515.93839604</v>
      </c>
      <c r="AJ18" s="352">
        <f>SUM(AG18:AI18)</f>
        <v>2335828590.7568088</v>
      </c>
      <c r="AK18" s="352"/>
      <c r="AL18" s="352">
        <f>AL6</f>
        <v>4175750613.736814</v>
      </c>
      <c r="AM18" s="352">
        <f>AM6</f>
        <v>-1648166566.4994764</v>
      </c>
      <c r="AN18" s="352">
        <f>Funct_Plant_Rel_DFIT_Detail!AI98</f>
        <v>-284897090.42589796</v>
      </c>
      <c r="AO18" s="352">
        <f>SUM(AL18:AN18)</f>
        <v>2242686956.8114395</v>
      </c>
      <c r="AP18" s="352"/>
      <c r="AQ18" s="352">
        <f>AQ6</f>
        <v>4187123263.2834702</v>
      </c>
      <c r="AR18" s="352">
        <f>AR6</f>
        <v>-1734250062.544507</v>
      </c>
      <c r="AS18" s="352">
        <f>Funct_Plant_Rel_DFIT_Detail!AM98</f>
        <v>-284554695.86502898</v>
      </c>
      <c r="AT18" s="352">
        <f>SUM(AQ18:AS18)</f>
        <v>2168318504.8739343</v>
      </c>
      <c r="AU18" s="352"/>
      <c r="AV18" s="352">
        <f>AV6</f>
        <v>4213630971.3531342</v>
      </c>
      <c r="AW18" s="352">
        <f>AW6</f>
        <v>-1785832254.6891887</v>
      </c>
      <c r="AX18" s="352">
        <f>Funct_Plant_Rel_DFIT_Detail!AQ98</f>
        <v>-283356621.46433973</v>
      </c>
      <c r="AY18" s="352">
        <f>SUM(AV18:AX18)</f>
        <v>2144442095.1996055</v>
      </c>
      <c r="AZ18" s="352"/>
      <c r="BA18" s="352">
        <f>BA6</f>
        <v>4231147272.3040905</v>
      </c>
      <c r="BB18" s="352">
        <f>BB6</f>
        <v>-1969144799.695049</v>
      </c>
      <c r="BC18" s="352">
        <f>Funct_Plant_Rel_DFIT_Detail!AU98</f>
        <v>-271042329.32207131</v>
      </c>
      <c r="BD18" s="352">
        <f>SUM(BA18:BC18)</f>
        <v>1990960143.2869699</v>
      </c>
      <c r="BE18" s="352"/>
      <c r="BF18" s="352"/>
      <c r="BG18" s="352"/>
      <c r="BH18" s="352"/>
      <c r="BI18" s="352"/>
    </row>
    <row r="19" spans="1:61" x14ac:dyDescent="0.25">
      <c r="A19" s="197" t="s">
        <v>65</v>
      </c>
      <c r="B19" s="344" t="s">
        <v>292</v>
      </c>
      <c r="C19" s="258">
        <f t="shared" ref="C19:D22" si="35">C7</f>
        <v>338417194.91660476</v>
      </c>
      <c r="D19" s="258">
        <f t="shared" si="35"/>
        <v>-131458074.3355315</v>
      </c>
      <c r="E19" s="258">
        <f>Funct_Plant_Rel_DFIT_Detail!G99</f>
        <v>-44724096.52580218</v>
      </c>
      <c r="F19" s="258">
        <f t="shared" ref="F19:F22" si="36">SUM(C19:E19)</f>
        <v>162235024.05527109</v>
      </c>
      <c r="H19" s="258">
        <f t="shared" ref="H19:I19" si="37">H7</f>
        <v>372719303.50074959</v>
      </c>
      <c r="I19" s="258">
        <f t="shared" si="37"/>
        <v>-138931480.82639238</v>
      </c>
      <c r="J19" s="258">
        <f>Funct_Plant_Rel_DFIT_Detail!K99</f>
        <v>-52525158.506664582</v>
      </c>
      <c r="K19" s="258">
        <f t="shared" ref="K19:K22" si="38">SUM(H19:J19)</f>
        <v>181262664.16769263</v>
      </c>
      <c r="M19" s="258">
        <f t="shared" ref="M19:N19" si="39">M7</f>
        <v>420480632.14026618</v>
      </c>
      <c r="N19" s="258">
        <f t="shared" si="39"/>
        <v>-150831566.98018184</v>
      </c>
      <c r="O19" s="258">
        <f>Funct_Plant_Rel_DFIT_Detail!O99</f>
        <v>-53095405.049080446</v>
      </c>
      <c r="P19" s="258">
        <f t="shared" ref="P19:P22" si="40">SUM(M19:O19)</f>
        <v>216553660.11100394</v>
      </c>
      <c r="R19" s="258">
        <f t="shared" ref="R19:S19" si="41">R7</f>
        <v>483887591.0385617</v>
      </c>
      <c r="S19" s="258">
        <f t="shared" si="41"/>
        <v>-164068543.61224297</v>
      </c>
      <c r="T19" s="258">
        <f>Funct_Plant_Rel_DFIT_Detail!S99</f>
        <v>-61601946.232906394</v>
      </c>
      <c r="U19" s="258">
        <f t="shared" ref="U19:U22" si="42">SUM(R19:T19)</f>
        <v>258217101.19341236</v>
      </c>
      <c r="W19" s="258">
        <f t="shared" ref="W19:X19" si="43">W7</f>
        <v>1113473317.4041896</v>
      </c>
      <c r="X19" s="258">
        <f t="shared" si="43"/>
        <v>-349315233.71301728</v>
      </c>
      <c r="Y19" s="258">
        <f>Funct_Plant_Rel_DFIT_Detail!W99</f>
        <v>-58440985.082484223</v>
      </c>
      <c r="Z19" s="258">
        <f t="shared" ref="Z19:Z22" si="44">SUM(W19:Y19)</f>
        <v>705717098.60868812</v>
      </c>
      <c r="AB19" s="258">
        <f t="shared" ref="AB19:AC19" si="45">AB7</f>
        <v>1161259969.917851</v>
      </c>
      <c r="AC19" s="258">
        <f t="shared" si="45"/>
        <v>-362963202.95776814</v>
      </c>
      <c r="AD19" s="258">
        <f>Funct_Plant_Rel_DFIT_Detail!AA99</f>
        <v>-56027799.612420127</v>
      </c>
      <c r="AE19" s="258">
        <f t="shared" ref="AE19:AE22" si="46">SUM(AB19:AD19)</f>
        <v>742268967.34766269</v>
      </c>
      <c r="AG19" s="258">
        <f t="shared" ref="AG19:AH19" si="47">AG7</f>
        <v>1292205134.0415313</v>
      </c>
      <c r="AH19" s="258">
        <f t="shared" si="47"/>
        <v>-390901228.42057848</v>
      </c>
      <c r="AI19" s="258">
        <f>Funct_Plant_Rel_DFIT_Detail!AE99</f>
        <v>-62694036.2510354</v>
      </c>
      <c r="AJ19" s="258">
        <f t="shared" ref="AJ19:AJ22" si="48">SUM(AG19:AI19)</f>
        <v>838609869.36991739</v>
      </c>
      <c r="AL19" s="258">
        <f t="shared" ref="AL19:AM19" si="49">AL7</f>
        <v>1339165223.7319965</v>
      </c>
      <c r="AM19" s="258">
        <f t="shared" si="49"/>
        <v>-409351469.77738446</v>
      </c>
      <c r="AN19" s="258">
        <f>Funct_Plant_Rel_DFIT_Detail!AI99</f>
        <v>-69275569.586090624</v>
      </c>
      <c r="AO19" s="258">
        <f t="shared" ref="AO19:AO22" si="50">SUM(AL19:AN19)</f>
        <v>860538184.36852145</v>
      </c>
      <c r="AQ19" s="258">
        <f t="shared" ref="AQ19:AR19" si="51">AQ7</f>
        <v>1399259273.8470633</v>
      </c>
      <c r="AR19" s="258">
        <f t="shared" si="51"/>
        <v>-443978510.36944437</v>
      </c>
      <c r="AS19" s="258">
        <f>Funct_Plant_Rel_DFIT_Detail!AM99</f>
        <v>-72291983.868821889</v>
      </c>
      <c r="AT19" s="258">
        <f t="shared" ref="AT19:AT22" si="52">SUM(AQ19:AS19)</f>
        <v>882988779.60879707</v>
      </c>
      <c r="AV19" s="258">
        <f t="shared" ref="AV19:AW19" si="53">AV7</f>
        <v>1462188428.0951748</v>
      </c>
      <c r="AW19" s="258">
        <f t="shared" si="53"/>
        <v>-478013032.11302686</v>
      </c>
      <c r="AX19" s="258">
        <f>Funct_Plant_Rel_DFIT_Detail!AQ99</f>
        <v>-76455584.502357557</v>
      </c>
      <c r="AY19" s="258">
        <f t="shared" ref="AY19:AY22" si="54">SUM(AV19:AX19)</f>
        <v>907719811.47979033</v>
      </c>
      <c r="BA19" s="258">
        <f t="shared" ref="BA19:BB19" si="55">BA7</f>
        <v>1537389479.4362583</v>
      </c>
      <c r="BB19" s="258">
        <f t="shared" si="55"/>
        <v>-503717591.12299544</v>
      </c>
      <c r="BC19" s="258">
        <f>Funct_Plant_Rel_DFIT_Detail!AU99</f>
        <v>-77896904.817563176</v>
      </c>
      <c r="BD19" s="258">
        <f t="shared" ref="BD19:BD22" si="56">SUM(BA19:BC19)</f>
        <v>955774983.49569976</v>
      </c>
    </row>
    <row r="20" spans="1:61" x14ac:dyDescent="0.25">
      <c r="A20" s="197" t="s">
        <v>66</v>
      </c>
      <c r="B20" s="344" t="s">
        <v>214</v>
      </c>
      <c r="C20" s="258">
        <f t="shared" si="35"/>
        <v>3126647076.6941481</v>
      </c>
      <c r="D20" s="258">
        <f t="shared" si="35"/>
        <v>-1126451240.8545363</v>
      </c>
      <c r="E20" s="258">
        <f>Funct_Plant_Rel_DFIT_Detail!G100</f>
        <v>-291020305.17099226</v>
      </c>
      <c r="F20" s="258">
        <f t="shared" si="36"/>
        <v>1709175530.6686196</v>
      </c>
      <c r="H20" s="258">
        <f t="shared" ref="H20:I20" si="57">H8</f>
        <v>3282996397.8271761</v>
      </c>
      <c r="I20" s="258">
        <f t="shared" si="57"/>
        <v>-1170934912.8382633</v>
      </c>
      <c r="J20" s="258">
        <f>Funct_Plant_Rel_DFIT_Detail!K100</f>
        <v>-345273698.56752461</v>
      </c>
      <c r="K20" s="258">
        <f t="shared" si="38"/>
        <v>1766787786.4213881</v>
      </c>
      <c r="M20" s="258">
        <f t="shared" ref="M20:N20" si="58">M8</f>
        <v>3447196696.1536126</v>
      </c>
      <c r="N20" s="258">
        <f t="shared" si="58"/>
        <v>-1211512274.3985515</v>
      </c>
      <c r="O20" s="258">
        <f>Funct_Plant_Rel_DFIT_Detail!O100</f>
        <v>-352792094.36911446</v>
      </c>
      <c r="P20" s="258">
        <f t="shared" si="40"/>
        <v>1882892327.3859468</v>
      </c>
      <c r="R20" s="258">
        <f t="shared" ref="R20:S20" si="59">R8</f>
        <v>3564292381.2229676</v>
      </c>
      <c r="S20" s="258">
        <f t="shared" si="59"/>
        <v>-1245640993.5782559</v>
      </c>
      <c r="T20" s="258">
        <f>Funct_Plant_Rel_DFIT_Detail!S100</f>
        <v>-385504103.91788042</v>
      </c>
      <c r="U20" s="258">
        <f t="shared" si="42"/>
        <v>1933147283.726831</v>
      </c>
      <c r="W20" s="258">
        <f t="shared" ref="W20:X20" si="60">W8</f>
        <v>3165842291.7865334</v>
      </c>
      <c r="X20" s="258">
        <f t="shared" si="60"/>
        <v>-1127993916.4244936</v>
      </c>
      <c r="Y20" s="258">
        <f>Funct_Plant_Rel_DFIT_Detail!W100</f>
        <v>-338570386.28523296</v>
      </c>
      <c r="Z20" s="258">
        <f t="shared" si="44"/>
        <v>1699277989.0768068</v>
      </c>
      <c r="AB20" s="258">
        <f t="shared" ref="AB20:AC20" si="61">AB8</f>
        <v>3232299791.6025748</v>
      </c>
      <c r="AC20" s="258">
        <f t="shared" si="61"/>
        <v>-1185442910.4983323</v>
      </c>
      <c r="AD20" s="258">
        <f>Funct_Plant_Rel_DFIT_Detail!AA100</f>
        <v>-312771115.81874192</v>
      </c>
      <c r="AE20" s="258">
        <f t="shared" si="46"/>
        <v>1734085765.2855005</v>
      </c>
      <c r="AG20" s="258">
        <f t="shared" ref="AG20:AH20" si="62">AG8</f>
        <v>3269591083.0320902</v>
      </c>
      <c r="AH20" s="258">
        <f t="shared" si="62"/>
        <v>-1241566761.3589385</v>
      </c>
      <c r="AI20" s="258">
        <f>Funct_Plant_Rel_DFIT_Detail!AE100</f>
        <v>-311024500.7077288</v>
      </c>
      <c r="AJ20" s="258">
        <f t="shared" si="48"/>
        <v>1716999820.9654229</v>
      </c>
      <c r="AL20" s="258">
        <f t="shared" ref="AL20:AM20" si="63">AL8</f>
        <v>3425792687.7435322</v>
      </c>
      <c r="AM20" s="258">
        <f t="shared" si="63"/>
        <v>-1303124886.2088988</v>
      </c>
      <c r="AN20" s="258">
        <f>Funct_Plant_Rel_DFIT_Detail!AI100</f>
        <v>-329853615.75445724</v>
      </c>
      <c r="AO20" s="258">
        <f t="shared" si="50"/>
        <v>1792814185.7801762</v>
      </c>
      <c r="AQ20" s="258">
        <f t="shared" ref="AQ20:AR20" si="64">AQ8</f>
        <v>3552927499.3939004</v>
      </c>
      <c r="AR20" s="258">
        <f t="shared" si="64"/>
        <v>-1341964000.7757533</v>
      </c>
      <c r="AS20" s="258">
        <f>Funct_Plant_Rel_DFIT_Detail!AM100</f>
        <v>-354650001.93698078</v>
      </c>
      <c r="AT20" s="258">
        <f t="shared" si="52"/>
        <v>1856313496.6811662</v>
      </c>
      <c r="AV20" s="258">
        <f t="shared" ref="AV20:AW20" si="65">AV8</f>
        <v>3716330215.1224427</v>
      </c>
      <c r="AW20" s="258">
        <f t="shared" si="65"/>
        <v>-1389919942.1087778</v>
      </c>
      <c r="AX20" s="258">
        <f>Funct_Plant_Rel_DFIT_Detail!AQ100</f>
        <v>-363265364.03004867</v>
      </c>
      <c r="AY20" s="258">
        <f t="shared" si="54"/>
        <v>1963144908.9836166</v>
      </c>
      <c r="BA20" s="258">
        <f t="shared" ref="BA20:BB20" si="66">BA8</f>
        <v>3906349563.9733167</v>
      </c>
      <c r="BB20" s="258">
        <f t="shared" si="66"/>
        <v>-1461014489.0522759</v>
      </c>
      <c r="BC20" s="258">
        <f>Funct_Plant_Rel_DFIT_Detail!AU100</f>
        <v>-361910119.91365826</v>
      </c>
      <c r="BD20" s="258">
        <f t="shared" si="56"/>
        <v>2083424955.0073824</v>
      </c>
    </row>
    <row r="21" spans="1:61" x14ac:dyDescent="0.25">
      <c r="A21" s="197" t="s">
        <v>67</v>
      </c>
      <c r="B21" s="344" t="s">
        <v>217</v>
      </c>
      <c r="C21" s="258">
        <f t="shared" si="35"/>
        <v>98172140.838679269</v>
      </c>
      <c r="D21" s="258">
        <f t="shared" si="35"/>
        <v>-34535425.44336056</v>
      </c>
      <c r="E21" s="258">
        <f>Funct_Plant_Rel_DFIT_Detail!G102*(C21/(SUM(C21:C22)))</f>
        <v>3153586.7354353922</v>
      </c>
      <c r="F21" s="258">
        <f t="shared" si="36"/>
        <v>66790302.130754098</v>
      </c>
      <c r="H21" s="258">
        <f t="shared" ref="H21:I21" si="67">H9</f>
        <v>184191012.39805716</v>
      </c>
      <c r="I21" s="258">
        <f t="shared" si="67"/>
        <v>-54093007.48339434</v>
      </c>
      <c r="J21" s="372">
        <f>Funct_Plant_Rel_DFIT_Detail!K102*(H21/(SUM(H21:H22)))</f>
        <v>7135751.1588958148</v>
      </c>
      <c r="K21" s="258">
        <f t="shared" si="38"/>
        <v>137233756.07355863</v>
      </c>
      <c r="M21" s="258">
        <f t="shared" ref="M21:N21" si="68">M9</f>
        <v>170574253.65480018</v>
      </c>
      <c r="N21" s="258">
        <f t="shared" si="68"/>
        <v>-53561588.048107862</v>
      </c>
      <c r="O21" s="372">
        <f>Funct_Plant_Rel_DFIT_Detail!O102*(M21/(SUM(M21:M22)))</f>
        <v>7409429.0619201446</v>
      </c>
      <c r="P21" s="258">
        <f t="shared" si="40"/>
        <v>124422094.66861247</v>
      </c>
      <c r="R21" s="258">
        <f t="shared" ref="R21:S21" si="69">R9</f>
        <v>163505118.72319424</v>
      </c>
      <c r="S21" s="258">
        <f t="shared" si="69"/>
        <v>-49133516.594404191</v>
      </c>
      <c r="T21" s="372">
        <f>Funct_Plant_Rel_DFIT_Detail!S102*(R21/(SUM(R21:R22)))</f>
        <v>6543247.5410113903</v>
      </c>
      <c r="U21" s="258">
        <f t="shared" si="42"/>
        <v>120914849.66980144</v>
      </c>
      <c r="W21" s="258">
        <f t="shared" ref="W21:X21" si="70">W9</f>
        <v>156033543.69077629</v>
      </c>
      <c r="X21" s="258">
        <f t="shared" si="70"/>
        <v>-54513095.90377479</v>
      </c>
      <c r="Y21" s="372">
        <f>Funct_Plant_Rel_DFIT_Detail!W102*(W21/(SUM(W21:W22)))</f>
        <v>4531551.6935714195</v>
      </c>
      <c r="Z21" s="258">
        <f t="shared" si="44"/>
        <v>106051999.48057291</v>
      </c>
      <c r="AB21" s="258">
        <f t="shared" ref="AB21:AC21" si="71">AB9</f>
        <v>220596514.06650442</v>
      </c>
      <c r="AC21" s="258">
        <f t="shared" si="71"/>
        <v>-41066545.017626755</v>
      </c>
      <c r="AD21" s="372">
        <f>Funct_Plant_Rel_DFIT_Detail!AA102*(AB21/(SUM(AB21:AB22)))</f>
        <v>2438007.0720844655</v>
      </c>
      <c r="AE21" s="258">
        <f t="shared" si="46"/>
        <v>181967976.12096211</v>
      </c>
      <c r="AG21" s="258">
        <f t="shared" ref="AG21:AH21" si="72">AG9</f>
        <v>277509795.84000057</v>
      </c>
      <c r="AH21" s="258">
        <f t="shared" si="72"/>
        <v>-59395158.73453705</v>
      </c>
      <c r="AI21" s="372">
        <f>Funct_Plant_Rel_DFIT_Detail!AE102*(AG21/(SUM(AG21:AG22)))</f>
        <v>-1227963.0893516347</v>
      </c>
      <c r="AJ21" s="258">
        <f t="shared" si="48"/>
        <v>216886674.01611188</v>
      </c>
      <c r="AL21" s="258">
        <f t="shared" ref="AL21:AM21" si="73">AL9</f>
        <v>272808912.60467863</v>
      </c>
      <c r="AM21" s="258">
        <f t="shared" si="73"/>
        <v>-59380451.651331559</v>
      </c>
      <c r="AN21" s="372">
        <f>Funct_Plant_Rel_DFIT_Detail!AI102*(AL21/(SUM(AL21:AL22)))</f>
        <v>-1995628.2097487154</v>
      </c>
      <c r="AO21" s="258">
        <f t="shared" si="50"/>
        <v>211432832.74359837</v>
      </c>
      <c r="AQ21" s="258">
        <f t="shared" ref="AQ21:AR21" si="74">AQ9</f>
        <v>278010584.33501303</v>
      </c>
      <c r="AR21" s="258">
        <f t="shared" si="74"/>
        <v>-67508919.094406307</v>
      </c>
      <c r="AS21" s="372">
        <f>Funct_Plant_Rel_DFIT_Detail!AM102*(AQ21/(SUM(AQ21:AQ22)))</f>
        <v>-1550412.3510436977</v>
      </c>
      <c r="AT21" s="258">
        <f t="shared" si="52"/>
        <v>208951252.88956302</v>
      </c>
      <c r="AV21" s="258">
        <f t="shared" ref="AV21:AW21" si="75">AV9</f>
        <v>304691223.42869997</v>
      </c>
      <c r="AW21" s="258">
        <f t="shared" si="75"/>
        <v>-87004347.75706616</v>
      </c>
      <c r="AX21" s="372">
        <f>Funct_Plant_Rel_DFIT_Detail!AQ102*(AV21/(SUM(AV21:AV22)))</f>
        <v>-3093782.7291687187</v>
      </c>
      <c r="AY21" s="258">
        <f t="shared" si="54"/>
        <v>214593092.9424651</v>
      </c>
      <c r="BA21" s="258">
        <f t="shared" ref="BA21:BB21" si="76">BA9</f>
        <v>381909676.27170002</v>
      </c>
      <c r="BB21" s="258">
        <f t="shared" si="76"/>
        <v>-128663487.36185595</v>
      </c>
      <c r="BC21" s="372">
        <f>Funct_Plant_Rel_DFIT_Detail!AU102*(BA21/(SUM(BA21:BA22)))</f>
        <v>-3945447.1849596915</v>
      </c>
      <c r="BD21" s="258">
        <f t="shared" si="56"/>
        <v>249300741.72488439</v>
      </c>
    </row>
    <row r="22" spans="1:61" x14ac:dyDescent="0.25">
      <c r="A22" s="197" t="s">
        <v>68</v>
      </c>
      <c r="B22" s="344" t="s">
        <v>216</v>
      </c>
      <c r="C22" s="258">
        <f t="shared" si="35"/>
        <v>386608928.43824172</v>
      </c>
      <c r="D22" s="258">
        <f t="shared" si="35"/>
        <v>-203621090.42240632</v>
      </c>
      <c r="E22" s="258">
        <f>Funct_Plant_Rel_DFIT_Detail!G102*(C22/(SUM(C21:C22)))</f>
        <v>12419050.64011164</v>
      </c>
      <c r="F22" s="258">
        <f t="shared" si="36"/>
        <v>195406888.65594703</v>
      </c>
      <c r="H22" s="258">
        <f t="shared" ref="H22:I22" si="77">H10</f>
        <v>358238111.68528235</v>
      </c>
      <c r="I22" s="258">
        <f t="shared" si="77"/>
        <v>-206194734.24211812</v>
      </c>
      <c r="J22" s="372">
        <f>Funct_Plant_Rel_DFIT_Detail!K102*(H22/(SUM(H21:H22)))</f>
        <v>13878516.58632756</v>
      </c>
      <c r="K22" s="258">
        <f t="shared" si="38"/>
        <v>165921894.02949178</v>
      </c>
      <c r="M22" s="258">
        <f t="shared" ref="M22:N22" si="78">M10</f>
        <v>310156608.38009387</v>
      </c>
      <c r="N22" s="258">
        <f t="shared" si="78"/>
        <v>-117774972.95626362</v>
      </c>
      <c r="O22" s="372">
        <f>Funct_Plant_Rel_DFIT_Detail!O102*(M22/(SUM(M21:M22)))</f>
        <v>13472627.542775601</v>
      </c>
      <c r="P22" s="258">
        <f t="shared" si="40"/>
        <v>205854262.96660587</v>
      </c>
      <c r="R22" s="258">
        <f t="shared" ref="R22:S22" si="79">R10</f>
        <v>316883943.20509148</v>
      </c>
      <c r="S22" s="258">
        <f t="shared" si="79"/>
        <v>-111534447.9502255</v>
      </c>
      <c r="T22" s="372">
        <f>Funct_Plant_Rel_DFIT_Detail!S102*(R22/(SUM(R21:R22)))</f>
        <v>12681254.864399396</v>
      </c>
      <c r="U22" s="258">
        <f t="shared" si="42"/>
        <v>218030750.11926538</v>
      </c>
      <c r="W22" s="258">
        <f t="shared" ref="W22:X22" si="80">W10</f>
        <v>360312995.12847489</v>
      </c>
      <c r="X22" s="258">
        <f t="shared" si="80"/>
        <v>-139965668.40564233</v>
      </c>
      <c r="Y22" s="372">
        <f>Funct_Plant_Rel_DFIT_Detail!W102*(W22/(SUM(W21:W22)))</f>
        <v>10464268.930057956</v>
      </c>
      <c r="Z22" s="258">
        <f t="shared" si="44"/>
        <v>230811595.6528905</v>
      </c>
      <c r="AB22" s="258">
        <f t="shared" ref="AB22:AC22" si="81">AB10</f>
        <v>404519761.32717073</v>
      </c>
      <c r="AC22" s="258">
        <f t="shared" si="81"/>
        <v>-170575821.22581595</v>
      </c>
      <c r="AD22" s="372">
        <f>Funct_Plant_Rel_DFIT_Detail!AA102*(AB22/(SUM(AB21:AB22)))</f>
        <v>4470705.4555551168</v>
      </c>
      <c r="AE22" s="258">
        <f t="shared" si="46"/>
        <v>238414645.55690989</v>
      </c>
      <c r="AG22" s="258">
        <f t="shared" ref="AG22:AH22" si="82">AG10</f>
        <v>393243430.31765521</v>
      </c>
      <c r="AH22" s="258">
        <f t="shared" si="82"/>
        <v>-160250226.21692789</v>
      </c>
      <c r="AI22" s="372">
        <f>Funct_Plant_Rel_DFIT_Detail!AE102*(AG22/(SUM(AG21:AG22)))</f>
        <v>-1740077.016374995</v>
      </c>
      <c r="AJ22" s="258">
        <f t="shared" si="48"/>
        <v>231253127.08435231</v>
      </c>
      <c r="AL22" s="258">
        <f t="shared" ref="AL22:AM22" si="83">AL10</f>
        <v>397055644.72152829</v>
      </c>
      <c r="AM22" s="258">
        <f t="shared" si="83"/>
        <v>-172362901.15620881</v>
      </c>
      <c r="AN22" s="372">
        <f>Funct_Plant_Rel_DFIT_Detail!AI102*(AL22/(SUM(AL21:AL22)))</f>
        <v>-2904507.1800658475</v>
      </c>
      <c r="AO22" s="258">
        <f t="shared" si="50"/>
        <v>221788236.38525364</v>
      </c>
      <c r="AQ22" s="258">
        <f t="shared" ref="AQ22:AR22" si="84">AQ10</f>
        <v>414450417.02595299</v>
      </c>
      <c r="AR22" s="258">
        <f t="shared" si="84"/>
        <v>-198165989.41438901</v>
      </c>
      <c r="AS22" s="372">
        <f>Funct_Plant_Rel_DFIT_Detail!AM102*(AQ22/(SUM(AQ21:AQ22)))</f>
        <v>-2311311.4451711997</v>
      </c>
      <c r="AT22" s="258">
        <f t="shared" si="52"/>
        <v>213973116.16639277</v>
      </c>
      <c r="AV22" s="258">
        <f t="shared" ref="AV22:AW22" si="85">AV10</f>
        <v>466330168.27784866</v>
      </c>
      <c r="AW22" s="258">
        <f t="shared" si="85"/>
        <v>-216722203.99094033</v>
      </c>
      <c r="AX22" s="372">
        <f>Funct_Plant_Rel_DFIT_Detail!AQ102*(AV22/(SUM(AV21:AV22)))</f>
        <v>-4735037.0137785031</v>
      </c>
      <c r="AY22" s="258">
        <f t="shared" si="54"/>
        <v>244872927.27312982</v>
      </c>
      <c r="BA22" s="258">
        <f t="shared" ref="BA22:BB22" si="86">BA10</f>
        <v>515670958.80223441</v>
      </c>
      <c r="BB22" s="258">
        <f t="shared" si="86"/>
        <v>-182384891.16492367</v>
      </c>
      <c r="BC22" s="372">
        <f>Funct_Plant_Rel_DFIT_Detail!AU102*(BA22/(SUM(BA21:BA22)))</f>
        <v>-5327313.3915682975</v>
      </c>
      <c r="BD22" s="258">
        <f t="shared" si="56"/>
        <v>327958754.24574244</v>
      </c>
    </row>
    <row r="23" spans="1:61" x14ac:dyDescent="0.25">
      <c r="C23" s="492"/>
      <c r="D23" s="492"/>
      <c r="E23" s="492"/>
      <c r="F23" s="492"/>
      <c r="H23" s="492"/>
      <c r="I23" s="492"/>
      <c r="J23" s="492"/>
      <c r="K23" s="492"/>
      <c r="M23" s="492"/>
      <c r="N23" s="492"/>
      <c r="O23" s="492"/>
      <c r="P23" s="492"/>
      <c r="R23" s="492"/>
      <c r="S23" s="492"/>
      <c r="T23" s="492"/>
      <c r="U23" s="492"/>
      <c r="W23" s="492"/>
      <c r="X23" s="492"/>
      <c r="Y23" s="492"/>
      <c r="Z23" s="492"/>
      <c r="AB23" s="492"/>
      <c r="AC23" s="492"/>
      <c r="AD23" s="492"/>
      <c r="AE23" s="492"/>
      <c r="AG23" s="492"/>
      <c r="AH23" s="492"/>
      <c r="AI23" s="492"/>
      <c r="AJ23" s="492"/>
      <c r="AL23" s="492"/>
      <c r="AM23" s="492"/>
      <c r="AN23" s="492"/>
      <c r="AO23" s="492"/>
      <c r="AQ23" s="492"/>
      <c r="AR23" s="492"/>
      <c r="AS23" s="492"/>
      <c r="AT23" s="492"/>
      <c r="AV23" s="492"/>
      <c r="AW23" s="492"/>
      <c r="AX23" s="492"/>
      <c r="AY23" s="492"/>
      <c r="BA23" s="492"/>
      <c r="BB23" s="492"/>
      <c r="BC23" s="492"/>
      <c r="BD23" s="492"/>
    </row>
    <row r="24" spans="1:61" ht="13.8" thickBot="1" x14ac:dyDescent="0.3">
      <c r="A24" s="197" t="s">
        <v>293</v>
      </c>
      <c r="C24" s="387">
        <f>SUM(C18:C23)</f>
        <v>6183573985.4207335</v>
      </c>
      <c r="D24" s="387">
        <f t="shared" ref="D24" si="87">SUM(D18:D23)</f>
        <v>-2533770194.7367992</v>
      </c>
      <c r="E24" s="387">
        <f t="shared" ref="E24" si="88">SUM(E18:E23)</f>
        <v>-481242958.60019779</v>
      </c>
      <c r="F24" s="387">
        <f t="shared" ref="F24" si="89">SUM(F18:F23)</f>
        <v>3168560832.0837359</v>
      </c>
      <c r="G24" s="352"/>
      <c r="H24" s="387">
        <f>SUM(H18:H23)</f>
        <v>6826578357.9429998</v>
      </c>
      <c r="I24" s="387">
        <f t="shared" ref="I24" si="90">SUM(I18:I23)</f>
        <v>-2728265249.8269997</v>
      </c>
      <c r="J24" s="387">
        <f t="shared" ref="J24" si="91">SUM(J18:J23)</f>
        <v>-565950847.95822012</v>
      </c>
      <c r="K24" s="387">
        <f t="shared" ref="K24" si="92">SUM(K18:K23)</f>
        <v>3532362260.1577797</v>
      </c>
      <c r="L24" s="352"/>
      <c r="M24" s="387">
        <f>SUM(M18:M23)</f>
        <v>7157671291.0355005</v>
      </c>
      <c r="N24" s="387">
        <f t="shared" ref="N24" si="93">SUM(N18:N23)</f>
        <v>-2758182029.2714005</v>
      </c>
      <c r="O24" s="387">
        <f t="shared" ref="O24" si="94">SUM(O18:O23)</f>
        <v>-576225410.71259594</v>
      </c>
      <c r="P24" s="387">
        <f t="shared" ref="P24" si="95">SUM(P18:P23)</f>
        <v>3823263851.0515046</v>
      </c>
      <c r="Q24" s="352"/>
      <c r="R24" s="387">
        <f>SUM(R18:R23)</f>
        <v>7368096541.3695002</v>
      </c>
      <c r="S24" s="387">
        <f t="shared" ref="S24" si="96">SUM(S18:S23)</f>
        <v>-2839059504.1769996</v>
      </c>
      <c r="T24" s="387">
        <f t="shared" ref="T24" si="97">SUM(T18:T23)</f>
        <v>-649737321.71092856</v>
      </c>
      <c r="U24" s="387">
        <f t="shared" ref="U24" si="98">SUM(U18:U23)</f>
        <v>3879299715.4815712</v>
      </c>
      <c r="V24" s="352"/>
      <c r="W24" s="387">
        <f>SUM(W18:W23)</f>
        <v>8287097940.9453993</v>
      </c>
      <c r="X24" s="387">
        <f t="shared" ref="X24" si="99">SUM(X18:X23)</f>
        <v>-3020593113.8437667</v>
      </c>
      <c r="Y24" s="387">
        <f t="shared" ref="Y24" si="100">SUM(Y18:Y23)</f>
        <v>-619486490.12030327</v>
      </c>
      <c r="Z24" s="387">
        <f t="shared" ref="Z24" si="101">SUM(Z18:Z23)</f>
        <v>4647018336.9813299</v>
      </c>
      <c r="AA24" s="352"/>
      <c r="AB24" s="387">
        <f>SUM(AB18:AB23)</f>
        <v>9004679007.7049999</v>
      </c>
      <c r="AC24" s="387">
        <f t="shared" ref="AC24:AD24" si="102">SUM(AC18:AC23)</f>
        <v>-3263140706.2960997</v>
      </c>
      <c r="AD24" s="387">
        <f t="shared" si="102"/>
        <v>-626757263.30146182</v>
      </c>
      <c r="AE24" s="387">
        <f t="shared" ref="AE24" si="103">SUM(AE18:AE23)</f>
        <v>5114781038.1074371</v>
      </c>
      <c r="AF24" s="352"/>
      <c r="AG24" s="387">
        <f>SUM(AG18:AG23)</f>
        <v>9452709058.1534996</v>
      </c>
      <c r="AH24" s="387">
        <f t="shared" ref="AH24:AI24" si="104">SUM(AH18:AH23)</f>
        <v>-3451279882.9580002</v>
      </c>
      <c r="AI24" s="387">
        <f t="shared" si="104"/>
        <v>-661851093.00288689</v>
      </c>
      <c r="AJ24" s="387">
        <f t="shared" ref="AJ24" si="105">SUM(AJ18:AJ23)</f>
        <v>5339578082.1926136</v>
      </c>
      <c r="AK24" s="352"/>
      <c r="AL24" s="387">
        <f>SUM(AL18:AL23)</f>
        <v>9610573082.5385513</v>
      </c>
      <c r="AM24" s="387">
        <f t="shared" ref="AM24:AN24" si="106">SUM(AM18:AM23)</f>
        <v>-3592386275.2933002</v>
      </c>
      <c r="AN24" s="387">
        <f t="shared" si="106"/>
        <v>-688926411.15626049</v>
      </c>
      <c r="AO24" s="387">
        <f t="shared" ref="AO24" si="107">SUM(AO18:AO23)</f>
        <v>5329260396.0889893</v>
      </c>
      <c r="AP24" s="352"/>
      <c r="AQ24" s="387">
        <f>SUM(AQ18:AQ23)</f>
        <v>9831771037.8853989</v>
      </c>
      <c r="AR24" s="387">
        <f t="shared" ref="AR24:AS24" si="108">SUM(AR18:AR23)</f>
        <v>-3785867482.1985002</v>
      </c>
      <c r="AS24" s="387">
        <f t="shared" si="108"/>
        <v>-715358405.46704662</v>
      </c>
      <c r="AT24" s="387">
        <f t="shared" ref="AT24" si="109">SUM(AT18:AT23)</f>
        <v>5330545150.2198524</v>
      </c>
      <c r="AU24" s="352"/>
      <c r="AV24" s="387">
        <f>SUM(AV18:AV23)</f>
        <v>10163171006.2773</v>
      </c>
      <c r="AW24" s="387">
        <f t="shared" ref="AW24:AX24" si="110">SUM(AW18:AW23)</f>
        <v>-3957491780.6590004</v>
      </c>
      <c r="AX24" s="387">
        <f t="shared" si="110"/>
        <v>-730906389.73969316</v>
      </c>
      <c r="AY24" s="387">
        <f t="shared" ref="AY24" si="111">SUM(AY18:AY23)</f>
        <v>5474772835.8786068</v>
      </c>
      <c r="AZ24" s="352"/>
      <c r="BA24" s="387">
        <f>SUM(BA18:BA23)</f>
        <v>10572466950.7876</v>
      </c>
      <c r="BB24" s="387">
        <f t="shared" ref="BB24:BC24" si="112">SUM(BB18:BB23)</f>
        <v>-4244925258.3971</v>
      </c>
      <c r="BC24" s="387">
        <f t="shared" si="112"/>
        <v>-720122114.6298207</v>
      </c>
      <c r="BD24" s="387">
        <f t="shared" ref="BD24" si="113">SUM(BD18:BD23)</f>
        <v>5607419577.7606792</v>
      </c>
      <c r="BE24" s="352"/>
      <c r="BF24" s="352"/>
      <c r="BG24" s="352"/>
      <c r="BH24" s="352"/>
      <c r="BI24" s="352"/>
    </row>
    <row r="25" spans="1:61" s="359" customFormat="1" ht="10.8" thickTop="1" x14ac:dyDescent="0.2">
      <c r="A25" s="423" t="s">
        <v>295</v>
      </c>
      <c r="C25" s="359">
        <v>0</v>
      </c>
      <c r="D25" s="359">
        <v>0</v>
      </c>
      <c r="E25" s="381">
        <v>0</v>
      </c>
      <c r="H25" s="359">
        <v>0</v>
      </c>
      <c r="I25" s="359">
        <v>0</v>
      </c>
      <c r="J25" s="381">
        <v>0</v>
      </c>
      <c r="M25" s="359">
        <v>0</v>
      </c>
      <c r="N25" s="359">
        <v>0</v>
      </c>
      <c r="O25" s="381">
        <v>0</v>
      </c>
      <c r="R25" s="359">
        <v>0</v>
      </c>
      <c r="S25" s="359">
        <v>0</v>
      </c>
      <c r="T25" s="381">
        <v>0</v>
      </c>
      <c r="W25" s="359">
        <v>0</v>
      </c>
      <c r="X25" s="359">
        <v>0</v>
      </c>
      <c r="Y25" s="381">
        <v>0</v>
      </c>
      <c r="AB25" s="359">
        <v>0</v>
      </c>
      <c r="AC25" s="359">
        <v>0</v>
      </c>
      <c r="AD25" s="381">
        <v>0</v>
      </c>
      <c r="AG25" s="359">
        <v>0</v>
      </c>
      <c r="AH25" s="359">
        <v>0</v>
      </c>
      <c r="AI25" s="381">
        <v>0</v>
      </c>
      <c r="AL25" s="359">
        <v>0</v>
      </c>
      <c r="AM25" s="359">
        <v>0</v>
      </c>
      <c r="AN25" s="381">
        <v>0</v>
      </c>
      <c r="AQ25" s="424">
        <v>0</v>
      </c>
      <c r="AR25" s="424">
        <v>0</v>
      </c>
      <c r="AS25" s="381">
        <v>0</v>
      </c>
      <c r="AV25" s="424">
        <v>0</v>
      </c>
      <c r="AW25" s="424">
        <v>0</v>
      </c>
      <c r="AX25" s="381">
        <v>0</v>
      </c>
      <c r="BA25" s="424">
        <v>0</v>
      </c>
      <c r="BB25" s="381">
        <v>0</v>
      </c>
      <c r="BC25" s="381">
        <v>0</v>
      </c>
    </row>
    <row r="26" spans="1:61" x14ac:dyDescent="0.25">
      <c r="BB26" s="258"/>
      <c r="BC26" s="258"/>
    </row>
    <row r="28" spans="1:61" ht="14.4" x14ac:dyDescent="0.25">
      <c r="B28" s="344"/>
      <c r="C28" s="352"/>
      <c r="D28" s="352"/>
      <c r="E28" s="352"/>
      <c r="F28" s="352"/>
      <c r="G28" s="352"/>
      <c r="H28" s="352"/>
      <c r="I28" s="352"/>
      <c r="J28" s="352"/>
      <c r="K28" s="352"/>
      <c r="L28" s="352"/>
      <c r="M28" s="352"/>
      <c r="N28" s="352"/>
      <c r="O28" s="367"/>
      <c r="P28" s="352"/>
      <c r="Q28" s="352"/>
      <c r="R28" s="352"/>
      <c r="S28" s="352"/>
      <c r="T28" s="367"/>
      <c r="U28" s="352"/>
      <c r="V28" s="352"/>
      <c r="W28" s="352"/>
      <c r="X28" s="352"/>
      <c r="Y28" s="367"/>
      <c r="Z28" s="352"/>
      <c r="AA28" s="352"/>
      <c r="AB28" s="352"/>
      <c r="AC28" s="352"/>
      <c r="AD28" s="367"/>
      <c r="AE28" s="352"/>
      <c r="AF28" s="352"/>
      <c r="AG28" s="352"/>
      <c r="AH28" s="352"/>
      <c r="AI28" s="367"/>
      <c r="AJ28" s="352"/>
      <c r="AK28" s="352"/>
      <c r="AL28" s="352"/>
      <c r="AM28" s="352"/>
      <c r="AN28" s="367"/>
      <c r="AO28" s="352"/>
      <c r="AP28" s="352"/>
      <c r="AQ28" s="352"/>
      <c r="AR28" s="352"/>
      <c r="AS28" s="367"/>
      <c r="AT28" s="367"/>
      <c r="AU28" s="367"/>
      <c r="AV28" s="367"/>
      <c r="AW28" s="367"/>
      <c r="AX28" s="367"/>
      <c r="AY28" s="352"/>
      <c r="AZ28" s="352"/>
      <c r="BA28" s="352"/>
      <c r="BB28" s="352"/>
      <c r="BC28" s="367"/>
      <c r="BD28" s="352"/>
      <c r="BE28" s="352"/>
      <c r="BF28" s="317"/>
      <c r="BG28" s="352"/>
      <c r="BH28" s="352"/>
      <c r="BI28" s="352"/>
    </row>
    <row r="29" spans="1:61" x14ac:dyDescent="0.25">
      <c r="B29" s="344"/>
      <c r="C29" s="258"/>
      <c r="D29" s="258"/>
      <c r="E29" s="258"/>
      <c r="F29" s="258"/>
      <c r="H29" s="258"/>
      <c r="I29" s="258"/>
      <c r="J29" s="258"/>
      <c r="K29" s="258"/>
      <c r="M29" s="258"/>
      <c r="N29" s="258"/>
      <c r="O29" s="355"/>
      <c r="P29" s="258"/>
      <c r="R29" s="258"/>
      <c r="S29" s="258"/>
      <c r="T29" s="355"/>
      <c r="U29" s="258"/>
      <c r="W29" s="258"/>
      <c r="X29" s="258"/>
      <c r="Y29" s="355"/>
      <c r="Z29" s="258"/>
      <c r="AB29" s="258"/>
      <c r="AC29" s="258"/>
      <c r="AD29" s="355"/>
      <c r="AE29" s="258"/>
      <c r="AG29" s="258"/>
      <c r="AH29" s="258"/>
      <c r="AI29" s="355"/>
      <c r="AJ29" s="258"/>
      <c r="AL29" s="258"/>
      <c r="AM29" s="258"/>
      <c r="AN29" s="355"/>
      <c r="AO29" s="258"/>
      <c r="AQ29" s="258"/>
      <c r="AR29" s="258"/>
      <c r="AS29" s="355"/>
      <c r="AT29" s="355"/>
      <c r="AU29" s="209"/>
      <c r="AV29" s="355"/>
      <c r="AW29" s="355"/>
      <c r="AX29" s="355"/>
      <c r="AY29" s="258"/>
      <c r="BA29" s="258"/>
      <c r="BB29" s="258"/>
      <c r="BC29" s="355"/>
      <c r="BD29" s="258"/>
    </row>
    <row r="30" spans="1:61" x14ac:dyDescent="0.25">
      <c r="B30" s="344"/>
      <c r="C30" s="258"/>
      <c r="D30" s="258"/>
      <c r="E30" s="258"/>
      <c r="F30" s="258"/>
      <c r="H30" s="258"/>
      <c r="I30" s="258"/>
      <c r="J30" s="258"/>
      <c r="K30" s="258"/>
      <c r="M30" s="258"/>
      <c r="N30" s="258"/>
      <c r="O30" s="355"/>
      <c r="P30" s="258"/>
      <c r="R30" s="258"/>
      <c r="S30" s="258"/>
      <c r="T30" s="355"/>
      <c r="U30" s="258"/>
      <c r="W30" s="258"/>
      <c r="X30" s="258"/>
      <c r="Y30" s="355"/>
      <c r="Z30" s="258"/>
      <c r="AB30" s="258"/>
      <c r="AC30" s="258"/>
      <c r="AD30" s="355"/>
      <c r="AE30" s="258"/>
      <c r="AG30" s="258"/>
      <c r="AH30" s="258"/>
      <c r="AI30" s="355"/>
      <c r="AJ30" s="258"/>
      <c r="AL30" s="258"/>
      <c r="AM30" s="258"/>
      <c r="AN30" s="355"/>
      <c r="AO30" s="258"/>
      <c r="AQ30" s="258"/>
      <c r="AR30" s="258"/>
      <c r="AS30" s="355"/>
      <c r="AT30" s="355"/>
      <c r="AU30" s="209"/>
      <c r="AV30" s="355"/>
      <c r="AW30" s="355"/>
      <c r="AX30" s="355"/>
      <c r="AY30" s="258"/>
      <c r="BA30" s="258"/>
      <c r="BB30" s="258"/>
      <c r="BC30" s="355"/>
      <c r="BD30" s="258"/>
    </row>
    <row r="31" spans="1:61" x14ac:dyDescent="0.25">
      <c r="B31" s="344"/>
      <c r="C31" s="258"/>
      <c r="D31" s="258"/>
      <c r="E31" s="258"/>
      <c r="F31" s="258"/>
      <c r="H31" s="258"/>
      <c r="I31" s="258"/>
      <c r="J31" s="258"/>
      <c r="K31" s="258"/>
      <c r="M31" s="258"/>
      <c r="N31" s="258"/>
      <c r="O31" s="355"/>
      <c r="P31" s="258"/>
      <c r="R31" s="258"/>
      <c r="S31" s="258"/>
      <c r="T31" s="355"/>
      <c r="U31" s="258"/>
      <c r="W31" s="258"/>
      <c r="X31" s="258"/>
      <c r="Y31" s="355"/>
      <c r="Z31" s="258"/>
      <c r="AB31" s="258"/>
      <c r="AC31" s="258"/>
      <c r="AD31" s="355"/>
      <c r="AE31" s="258"/>
      <c r="AG31" s="258"/>
      <c r="AH31" s="258"/>
      <c r="AI31" s="355"/>
      <c r="AJ31" s="258"/>
      <c r="AL31" s="258"/>
      <c r="AM31" s="258"/>
      <c r="AN31" s="355"/>
      <c r="AO31" s="258"/>
      <c r="AQ31" s="258"/>
      <c r="AR31" s="258"/>
      <c r="AS31" s="355"/>
      <c r="AT31" s="355"/>
      <c r="AU31" s="209"/>
      <c r="AV31" s="355"/>
      <c r="AW31" s="355"/>
      <c r="AX31" s="355"/>
      <c r="AY31" s="258"/>
      <c r="BA31" s="258"/>
      <c r="BB31" s="258"/>
      <c r="BC31" s="355"/>
      <c r="BD31" s="258"/>
    </row>
    <row r="32" spans="1:61" x14ac:dyDescent="0.25">
      <c r="B32" s="344"/>
      <c r="C32" s="258"/>
      <c r="D32" s="258"/>
      <c r="E32" s="258"/>
      <c r="F32" s="258"/>
      <c r="H32" s="258"/>
      <c r="I32" s="258"/>
      <c r="J32" s="258"/>
      <c r="K32" s="258"/>
      <c r="M32" s="258"/>
      <c r="N32" s="258"/>
      <c r="O32" s="355"/>
      <c r="P32" s="258"/>
      <c r="R32" s="258"/>
      <c r="S32" s="258"/>
      <c r="T32" s="355"/>
      <c r="U32" s="258"/>
      <c r="W32" s="258"/>
      <c r="X32" s="258"/>
      <c r="Y32" s="355"/>
      <c r="Z32" s="258"/>
      <c r="AB32" s="258"/>
      <c r="AC32" s="258"/>
      <c r="AD32" s="355"/>
      <c r="AE32" s="258"/>
      <c r="AG32" s="258"/>
      <c r="AH32" s="258"/>
      <c r="AI32" s="355"/>
      <c r="AJ32" s="258"/>
      <c r="AL32" s="258"/>
      <c r="AM32" s="258"/>
      <c r="AN32" s="355"/>
      <c r="AO32" s="258"/>
      <c r="AQ32" s="258"/>
      <c r="AR32" s="258"/>
      <c r="AS32" s="355"/>
      <c r="AT32" s="355"/>
      <c r="AU32" s="209"/>
      <c r="AV32" s="355"/>
      <c r="AW32" s="355"/>
      <c r="AX32" s="355"/>
      <c r="AY32" s="258"/>
      <c r="BA32" s="258"/>
      <c r="BB32" s="258"/>
      <c r="BC32" s="355"/>
      <c r="BD32" s="258"/>
    </row>
    <row r="33" spans="5:55" x14ac:dyDescent="0.25">
      <c r="E33" s="258"/>
      <c r="H33" s="258"/>
      <c r="I33" s="258"/>
      <c r="J33" s="352"/>
      <c r="O33" s="209"/>
      <c r="T33" s="209"/>
      <c r="Y33" s="209"/>
      <c r="AD33" s="209"/>
      <c r="AI33" s="209"/>
      <c r="AN33" s="209"/>
      <c r="AS33" s="209"/>
      <c r="AT33" s="209"/>
      <c r="AU33" s="209"/>
      <c r="AV33" s="209"/>
      <c r="AW33" s="209"/>
      <c r="AX33" s="209"/>
      <c r="BC33" s="209"/>
    </row>
    <row r="34" spans="5:55" x14ac:dyDescent="0.25">
      <c r="E34" s="372"/>
      <c r="J34" s="352"/>
      <c r="O34" s="367"/>
      <c r="T34" s="367"/>
      <c r="Y34" s="367"/>
      <c r="AD34" s="367"/>
      <c r="AI34" s="367"/>
      <c r="AN34" s="367"/>
      <c r="AS34" s="367"/>
      <c r="AT34" s="209"/>
      <c r="AU34" s="209"/>
      <c r="AV34" s="209"/>
      <c r="AW34" s="209"/>
      <c r="AX34" s="367"/>
      <c r="BC34" s="367"/>
    </row>
    <row r="35" spans="5:55" x14ac:dyDescent="0.25">
      <c r="O35" s="355"/>
      <c r="P35" s="355"/>
      <c r="Q35" s="355"/>
      <c r="R35" s="355"/>
      <c r="S35" s="355"/>
      <c r="T35" s="355"/>
      <c r="U35" s="355"/>
      <c r="V35" s="355"/>
      <c r="W35" s="355"/>
      <c r="X35" s="355"/>
      <c r="Y35" s="355"/>
      <c r="Z35" s="355"/>
      <c r="AA35" s="355"/>
      <c r="AB35" s="355"/>
      <c r="AC35" s="355"/>
      <c r="AD35" s="355"/>
      <c r="AE35" s="355"/>
      <c r="AF35" s="355"/>
      <c r="AG35" s="355"/>
      <c r="AH35" s="355"/>
      <c r="AI35" s="355"/>
      <c r="AJ35" s="355"/>
      <c r="AK35" s="355"/>
      <c r="AL35" s="355"/>
      <c r="AM35" s="355"/>
      <c r="AN35" s="355"/>
      <c r="AO35" s="355"/>
      <c r="AP35" s="355"/>
      <c r="AQ35" s="355"/>
      <c r="AR35" s="355"/>
      <c r="AS35" s="355"/>
      <c r="AT35" s="355"/>
      <c r="AU35" s="355"/>
      <c r="AV35" s="355"/>
      <c r="AW35" s="355"/>
      <c r="AX35" s="355"/>
      <c r="AY35" s="355"/>
      <c r="AZ35" s="355"/>
      <c r="BA35" s="355"/>
      <c r="BB35" s="355"/>
      <c r="BC35" s="355"/>
    </row>
    <row r="36" spans="5:55" x14ac:dyDescent="0.25">
      <c r="O36" s="209"/>
      <c r="T36" s="209"/>
      <c r="Y36" s="209"/>
      <c r="AD36" s="209"/>
      <c r="AI36" s="209"/>
      <c r="AN36" s="209"/>
      <c r="AS36" s="209"/>
      <c r="AT36" s="209"/>
      <c r="AU36" s="209"/>
      <c r="AV36" s="209"/>
      <c r="AW36" s="209"/>
      <c r="AX36" s="209"/>
      <c r="BC36" s="209"/>
    </row>
    <row r="37" spans="5:55" x14ac:dyDescent="0.25">
      <c r="J37" s="352"/>
      <c r="O37" s="355"/>
      <c r="T37" s="355"/>
      <c r="Y37" s="355"/>
      <c r="AD37" s="355"/>
      <c r="AI37" s="355"/>
      <c r="AN37" s="355"/>
      <c r="AS37" s="355"/>
      <c r="AT37" s="209"/>
      <c r="AU37" s="209"/>
      <c r="AV37" s="209"/>
      <c r="AW37" s="209"/>
      <c r="AX37" s="355"/>
      <c r="BC37" s="355"/>
    </row>
    <row r="38" spans="5:55" x14ac:dyDescent="0.25">
      <c r="J38" s="258"/>
      <c r="O38" s="355"/>
      <c r="T38" s="355"/>
      <c r="Y38" s="355"/>
      <c r="AD38" s="355"/>
      <c r="AI38" s="355"/>
      <c r="AN38" s="355"/>
      <c r="AS38" s="355"/>
      <c r="AT38" s="209"/>
      <c r="AU38" s="209"/>
      <c r="AV38" s="209"/>
      <c r="AW38" s="209"/>
      <c r="AX38" s="355"/>
      <c r="BC38" s="355"/>
    </row>
    <row r="39" spans="5:55" x14ac:dyDescent="0.25">
      <c r="J39" s="258"/>
      <c r="O39" s="355"/>
      <c r="T39" s="355"/>
      <c r="Y39" s="355"/>
      <c r="AD39" s="355"/>
      <c r="AI39" s="355"/>
      <c r="AN39" s="355"/>
      <c r="AS39" s="355"/>
      <c r="AT39" s="209"/>
      <c r="AU39" s="209"/>
      <c r="AV39" s="209"/>
      <c r="AW39" s="209"/>
      <c r="AX39" s="355"/>
      <c r="BC39" s="355"/>
    </row>
    <row r="40" spans="5:55" x14ac:dyDescent="0.25">
      <c r="J40" s="258"/>
      <c r="O40" s="367"/>
      <c r="T40" s="367"/>
      <c r="Y40" s="367"/>
      <c r="AD40" s="367"/>
      <c r="AI40" s="367"/>
      <c r="AN40" s="367"/>
      <c r="AS40" s="367"/>
      <c r="AT40" s="209"/>
      <c r="AU40" s="209"/>
      <c r="AV40" s="209"/>
      <c r="AW40" s="209"/>
      <c r="AX40" s="367"/>
      <c r="BC40" s="367"/>
    </row>
    <row r="41" spans="5:55" x14ac:dyDescent="0.25">
      <c r="J41" s="258"/>
      <c r="O41" s="355"/>
      <c r="T41" s="355"/>
      <c r="Y41" s="355"/>
      <c r="AD41" s="355"/>
      <c r="AI41" s="355"/>
      <c r="AN41" s="355"/>
      <c r="AS41" s="355"/>
      <c r="AT41" s="209"/>
      <c r="AU41" s="209"/>
      <c r="AV41" s="209"/>
      <c r="AW41" s="209"/>
      <c r="AX41" s="355"/>
      <c r="BC41" s="355"/>
    </row>
    <row r="42" spans="5:55" x14ac:dyDescent="0.25">
      <c r="J42" s="352"/>
      <c r="O42" s="355"/>
      <c r="T42" s="355"/>
      <c r="Y42" s="355"/>
      <c r="AD42" s="355"/>
      <c r="AI42" s="355"/>
      <c r="AN42" s="355"/>
      <c r="AS42" s="355"/>
      <c r="AT42" s="209"/>
      <c r="AU42" s="209"/>
      <c r="AV42" s="209"/>
      <c r="AW42" s="209"/>
      <c r="AX42" s="355"/>
      <c r="BC42" s="355"/>
    </row>
    <row r="43" spans="5:55" x14ac:dyDescent="0.25">
      <c r="J43" s="352"/>
      <c r="O43" s="378"/>
      <c r="T43" s="378"/>
      <c r="Y43" s="378"/>
      <c r="AD43" s="378"/>
      <c r="AI43" s="378"/>
      <c r="AN43" s="378"/>
      <c r="AS43" s="378"/>
      <c r="AT43" s="209"/>
      <c r="AU43" s="209"/>
      <c r="AV43" s="209"/>
      <c r="AW43" s="209"/>
      <c r="AX43" s="378"/>
      <c r="BC43" s="378"/>
    </row>
    <row r="44" spans="5:55" x14ac:dyDescent="0.25">
      <c r="O44" s="378"/>
      <c r="T44" s="378"/>
      <c r="Y44" s="378"/>
      <c r="AD44" s="378"/>
      <c r="AI44" s="378"/>
      <c r="AN44" s="378"/>
      <c r="AS44" s="378"/>
      <c r="AT44" s="209"/>
      <c r="AU44" s="209"/>
      <c r="AV44" s="209"/>
      <c r="AW44" s="209"/>
      <c r="AX44" s="378"/>
      <c r="BC44" s="378"/>
    </row>
    <row r="45" spans="5:55" x14ac:dyDescent="0.25">
      <c r="O45" s="209"/>
      <c r="T45" s="209"/>
      <c r="Y45" s="209"/>
      <c r="AD45" s="209"/>
      <c r="AI45" s="209"/>
      <c r="AN45" s="209"/>
      <c r="AS45" s="209"/>
      <c r="AT45" s="209"/>
      <c r="AU45" s="209"/>
      <c r="AV45" s="209"/>
      <c r="AW45" s="209"/>
      <c r="AX45" s="209"/>
      <c r="BC45" s="209"/>
    </row>
    <row r="46" spans="5:55" x14ac:dyDescent="0.25">
      <c r="O46" s="367"/>
      <c r="T46" s="367"/>
      <c r="Y46" s="367"/>
      <c r="AD46" s="367"/>
      <c r="AI46" s="367"/>
      <c r="AN46" s="367"/>
      <c r="AS46" s="367"/>
      <c r="AT46" s="209"/>
      <c r="AU46" s="209"/>
      <c r="AV46" s="209"/>
      <c r="AW46" s="209"/>
      <c r="AX46" s="367"/>
      <c r="BC46" s="367"/>
    </row>
    <row r="47" spans="5:55" x14ac:dyDescent="0.25">
      <c r="O47" s="355"/>
      <c r="T47" s="355"/>
      <c r="Y47" s="355"/>
      <c r="AD47" s="355"/>
      <c r="AI47" s="355"/>
      <c r="AN47" s="355"/>
      <c r="AS47" s="355"/>
      <c r="AX47" s="355"/>
      <c r="BC47" s="35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FD1048537"/>
  <sheetViews>
    <sheetView zoomScaleNormal="100" workbookViewId="0">
      <pane xSplit="2" ySplit="5" topLeftCell="C31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4.4" outlineLevelRow="1" outlineLevelCol="1" x14ac:dyDescent="0.3"/>
  <cols>
    <col min="1" max="1" width="9.109375" style="15"/>
    <col min="2" max="2" width="43.44140625" style="15" bestFit="1" customWidth="1"/>
    <col min="3" max="5" width="10" style="15" customWidth="1" outlineLevel="1"/>
    <col min="6" max="8" width="14.44140625" style="15" bestFit="1" customWidth="1"/>
    <col min="9" max="9" width="2.6640625" style="15" customWidth="1"/>
    <col min="10" max="12" width="14.44140625" style="15" bestFit="1" customWidth="1"/>
    <col min="13" max="13" width="2.6640625" style="15" customWidth="1"/>
    <col min="14" max="14" width="16" style="15" bestFit="1" customWidth="1"/>
    <col min="15" max="16" width="14.44140625" style="15" bestFit="1" customWidth="1"/>
    <col min="17" max="17" width="2.6640625" style="15" customWidth="1"/>
    <col min="18" max="18" width="16" style="15" bestFit="1" customWidth="1"/>
    <col min="19" max="20" width="14.44140625" style="15" bestFit="1" customWidth="1"/>
    <col min="21" max="21" width="2.6640625" style="281" customWidth="1"/>
    <col min="22" max="22" width="16" style="15" bestFit="1" customWidth="1"/>
    <col min="23" max="24" width="14.44140625" style="15" bestFit="1" customWidth="1"/>
    <col min="25" max="25" width="2.6640625" style="281" customWidth="1"/>
    <col min="26" max="27" width="16" style="15" bestFit="1" customWidth="1"/>
    <col min="28" max="28" width="14.44140625" style="15" bestFit="1" customWidth="1"/>
    <col min="29" max="29" width="2.6640625" style="281" customWidth="1"/>
    <col min="30" max="31" width="16" style="15" bestFit="1" customWidth="1"/>
    <col min="32" max="32" width="14.44140625" style="15" bestFit="1" customWidth="1"/>
    <col min="33" max="33" width="4.5546875" style="281" bestFit="1" customWidth="1"/>
    <col min="34" max="35" width="16" style="15" bestFit="1" customWidth="1"/>
    <col min="36" max="36" width="14.44140625" style="15" bestFit="1" customWidth="1"/>
    <col min="37" max="37" width="2.6640625" style="281" customWidth="1"/>
    <col min="38" max="39" width="16" style="15" bestFit="1" customWidth="1"/>
    <col min="40" max="40" width="14.44140625" style="15" bestFit="1" customWidth="1"/>
    <col min="41" max="41" width="2.6640625" style="281" customWidth="1"/>
    <col min="42" max="43" width="16" style="15" bestFit="1" customWidth="1"/>
    <col min="44" max="44" width="14.44140625" style="15" bestFit="1" customWidth="1"/>
    <col min="45" max="45" width="2.6640625" style="281" customWidth="1"/>
    <col min="46" max="46" width="16" style="15" bestFit="1" customWidth="1"/>
    <col min="47" max="47" width="17" style="15" bestFit="1" customWidth="1"/>
    <col min="48" max="48" width="14.44140625" style="15" bestFit="1" customWidth="1"/>
    <col min="49" max="49" width="2.6640625" style="281" customWidth="1"/>
    <col min="50" max="16384" width="9.109375" style="15"/>
  </cols>
  <sheetData>
    <row r="1" spans="1:16384" ht="15" thickBot="1" x14ac:dyDescent="0.35">
      <c r="A1" s="66" t="s">
        <v>393</v>
      </c>
    </row>
    <row r="2" spans="1:16384" x14ac:dyDescent="0.3">
      <c r="B2" s="34" t="s">
        <v>394</v>
      </c>
      <c r="E2" s="34"/>
      <c r="F2" s="109"/>
      <c r="G2" s="110"/>
      <c r="H2" s="111"/>
      <c r="I2" s="112"/>
      <c r="J2" s="109"/>
      <c r="K2" s="110"/>
      <c r="L2" s="111"/>
      <c r="M2" s="112"/>
      <c r="N2" s="109"/>
      <c r="O2" s="110"/>
      <c r="P2" s="111"/>
      <c r="Q2" s="112"/>
      <c r="R2" s="109"/>
      <c r="S2" s="110">
        <v>0.55665295497936829</v>
      </c>
      <c r="T2" s="111">
        <v>0.44334704502063171</v>
      </c>
      <c r="U2" s="72"/>
      <c r="V2" s="109"/>
      <c r="W2" s="110">
        <v>0.55665295497936829</v>
      </c>
      <c r="X2" s="111">
        <v>0.44334704502063171</v>
      </c>
      <c r="Y2" s="72"/>
      <c r="Z2" s="109"/>
      <c r="AA2" s="110">
        <v>0.7479308804633904</v>
      </c>
      <c r="AB2" s="111">
        <v>0.25206911953660954</v>
      </c>
      <c r="AC2" s="72"/>
      <c r="AD2" s="109"/>
      <c r="AE2" s="110">
        <v>0.77316608444316404</v>
      </c>
      <c r="AF2" s="111">
        <v>0.22683391555683602</v>
      </c>
      <c r="AG2" s="72"/>
      <c r="AH2" s="109"/>
      <c r="AI2" s="110">
        <v>0.77316608444316404</v>
      </c>
      <c r="AJ2" s="111">
        <v>0.22683391555683602</v>
      </c>
      <c r="AK2" s="72"/>
      <c r="AL2" s="109"/>
      <c r="AM2" s="110">
        <v>0.85422738957607447</v>
      </c>
      <c r="AN2" s="111">
        <v>0.14577261042392556</v>
      </c>
      <c r="AO2" s="72"/>
      <c r="AP2" s="109"/>
      <c r="AQ2" s="110">
        <v>0.85422738957607447</v>
      </c>
      <c r="AR2" s="111">
        <v>0.14577261042392556</v>
      </c>
      <c r="AS2" s="72"/>
      <c r="AT2" s="109"/>
      <c r="AU2" s="110">
        <v>0.85422738957607447</v>
      </c>
      <c r="AV2" s="111">
        <v>0.14577261042392556</v>
      </c>
      <c r="AW2" s="72"/>
    </row>
    <row r="3" spans="1:16384" x14ac:dyDescent="0.3">
      <c r="B3" s="34" t="s">
        <v>395</v>
      </c>
      <c r="E3" s="34"/>
      <c r="F3" s="33"/>
      <c r="G3" s="32">
        <v>0.6462</v>
      </c>
      <c r="H3" s="31">
        <v>0.3538</v>
      </c>
      <c r="I3" s="66"/>
      <c r="J3" s="33"/>
      <c r="K3" s="32">
        <v>0.64790000000000003</v>
      </c>
      <c r="L3" s="31">
        <v>0.35210000000000002</v>
      </c>
      <c r="M3" s="66"/>
      <c r="N3" s="33"/>
      <c r="O3" s="32">
        <v>0.66510000000000002</v>
      </c>
      <c r="P3" s="31">
        <v>0.33489999999999998</v>
      </c>
      <c r="Q3" s="66"/>
      <c r="R3" s="33"/>
      <c r="S3" s="32">
        <v>0.65949999999999998</v>
      </c>
      <c r="T3" s="31">
        <v>0.34050000000000002</v>
      </c>
      <c r="U3" s="72"/>
      <c r="V3" s="33"/>
      <c r="W3" s="32">
        <v>0.67110000000000003</v>
      </c>
      <c r="X3" s="31">
        <v>0.32890000000000003</v>
      </c>
      <c r="Y3" s="72"/>
      <c r="Z3" s="33"/>
      <c r="AA3" s="32">
        <v>0.67979999999999996</v>
      </c>
      <c r="AB3" s="31">
        <v>0.32019999999999998</v>
      </c>
      <c r="AC3" s="72"/>
      <c r="AD3" s="33"/>
      <c r="AE3" s="32">
        <v>0.6855</v>
      </c>
      <c r="AF3" s="31">
        <v>0.3145</v>
      </c>
      <c r="AG3" s="72"/>
      <c r="AH3" s="33"/>
      <c r="AI3" s="32">
        <v>0.68410000000000004</v>
      </c>
      <c r="AJ3" s="31">
        <v>0.31590000000000001</v>
      </c>
      <c r="AK3" s="72"/>
      <c r="AL3" s="33"/>
      <c r="AM3" s="32">
        <v>0.66769999999999996</v>
      </c>
      <c r="AN3" s="31">
        <v>0.33229999999999998</v>
      </c>
      <c r="AO3" s="72"/>
      <c r="AP3" s="33"/>
      <c r="AQ3" s="32">
        <v>0.65590000000000004</v>
      </c>
      <c r="AR3" s="31">
        <v>0.34410000000000002</v>
      </c>
      <c r="AS3" s="72"/>
      <c r="AT3" s="33"/>
      <c r="AU3" s="32">
        <v>0.66190000000000004</v>
      </c>
      <c r="AV3" s="31">
        <v>0.33810000000000001</v>
      </c>
      <c r="AW3" s="72"/>
    </row>
    <row r="4" spans="1:16384" x14ac:dyDescent="0.3">
      <c r="C4" s="64" t="s">
        <v>52</v>
      </c>
      <c r="D4" s="64" t="s">
        <v>236</v>
      </c>
      <c r="E4" s="64"/>
      <c r="F4" s="282" t="s">
        <v>396</v>
      </c>
      <c r="G4" s="22"/>
      <c r="H4" s="283"/>
      <c r="J4" s="282" t="s">
        <v>397</v>
      </c>
      <c r="K4" s="22"/>
      <c r="L4" s="283"/>
      <c r="N4" s="282" t="s">
        <v>398</v>
      </c>
      <c r="O4" s="22"/>
      <c r="P4" s="283"/>
      <c r="R4" s="282" t="s">
        <v>399</v>
      </c>
      <c r="S4" s="22"/>
      <c r="T4" s="283"/>
      <c r="V4" s="282" t="s">
        <v>400</v>
      </c>
      <c r="W4" s="22"/>
      <c r="X4" s="283"/>
      <c r="Z4" s="282" t="s">
        <v>401</v>
      </c>
      <c r="AA4" s="22"/>
      <c r="AB4" s="283"/>
      <c r="AD4" s="282" t="s">
        <v>402</v>
      </c>
      <c r="AE4" s="22"/>
      <c r="AF4" s="283"/>
      <c r="AH4" s="282" t="s">
        <v>403</v>
      </c>
      <c r="AI4" s="22"/>
      <c r="AJ4" s="283"/>
      <c r="AL4" s="282" t="s">
        <v>404</v>
      </c>
      <c r="AM4" s="22"/>
      <c r="AN4" s="283"/>
      <c r="AP4" s="282" t="s">
        <v>405</v>
      </c>
      <c r="AQ4" s="22"/>
      <c r="AR4" s="283"/>
      <c r="AT4" s="282" t="s">
        <v>406</v>
      </c>
      <c r="AU4" s="22"/>
      <c r="AV4" s="283"/>
    </row>
    <row r="5" spans="1:16384" x14ac:dyDescent="0.3">
      <c r="A5" s="44" t="s">
        <v>407</v>
      </c>
      <c r="B5" s="44" t="s">
        <v>408</v>
      </c>
      <c r="C5" s="44" t="s">
        <v>210</v>
      </c>
      <c r="D5" s="44" t="s">
        <v>409</v>
      </c>
      <c r="E5" s="44" t="s">
        <v>410</v>
      </c>
      <c r="F5" s="113" t="s">
        <v>0</v>
      </c>
      <c r="G5" s="44" t="s">
        <v>8</v>
      </c>
      <c r="H5" s="114" t="s">
        <v>10</v>
      </c>
      <c r="J5" s="113" t="s">
        <v>0</v>
      </c>
      <c r="K5" s="44" t="s">
        <v>8</v>
      </c>
      <c r="L5" s="114" t="s">
        <v>10</v>
      </c>
      <c r="N5" s="113" t="s">
        <v>0</v>
      </c>
      <c r="O5" s="44" t="s">
        <v>8</v>
      </c>
      <c r="P5" s="114" t="s">
        <v>10</v>
      </c>
      <c r="R5" s="113" t="s">
        <v>0</v>
      </c>
      <c r="S5" s="44" t="s">
        <v>8</v>
      </c>
      <c r="T5" s="114" t="s">
        <v>10</v>
      </c>
      <c r="V5" s="113" t="s">
        <v>0</v>
      </c>
      <c r="W5" s="44" t="s">
        <v>8</v>
      </c>
      <c r="X5" s="114" t="s">
        <v>10</v>
      </c>
      <c r="Z5" s="113" t="s">
        <v>0</v>
      </c>
      <c r="AA5" s="44" t="s">
        <v>8</v>
      </c>
      <c r="AB5" s="114" t="s">
        <v>10</v>
      </c>
      <c r="AD5" s="113" t="s">
        <v>0</v>
      </c>
      <c r="AE5" s="44" t="s">
        <v>8</v>
      </c>
      <c r="AF5" s="114" t="s">
        <v>10</v>
      </c>
      <c r="AH5" s="113" t="s">
        <v>0</v>
      </c>
      <c r="AI5" s="44" t="s">
        <v>8</v>
      </c>
      <c r="AJ5" s="114" t="s">
        <v>10</v>
      </c>
      <c r="AL5" s="113" t="s">
        <v>0</v>
      </c>
      <c r="AM5" s="44" t="s">
        <v>8</v>
      </c>
      <c r="AN5" s="114" t="s">
        <v>10</v>
      </c>
      <c r="AP5" s="113" t="s">
        <v>0</v>
      </c>
      <c r="AQ5" s="44" t="s">
        <v>8</v>
      </c>
      <c r="AR5" s="114" t="s">
        <v>10</v>
      </c>
      <c r="AT5" s="113" t="s">
        <v>0</v>
      </c>
      <c r="AU5" s="44" t="s">
        <v>8</v>
      </c>
      <c r="AV5" s="114" t="s">
        <v>10</v>
      </c>
    </row>
    <row r="6" spans="1:16384" hidden="1" outlineLevel="1" x14ac:dyDescent="0.3">
      <c r="A6" s="15">
        <v>18601052</v>
      </c>
      <c r="B6" s="15" t="s">
        <v>411</v>
      </c>
      <c r="C6" s="24">
        <v>10</v>
      </c>
      <c r="D6" s="24" t="s">
        <v>412</v>
      </c>
      <c r="E6" s="24" t="s">
        <v>216</v>
      </c>
      <c r="F6" s="115">
        <v>1822432.9166666667</v>
      </c>
      <c r="G6" s="29"/>
      <c r="H6" s="116">
        <f>F6</f>
        <v>1822432.9166666667</v>
      </c>
      <c r="I6" s="16"/>
      <c r="J6" s="115">
        <v>2909508.875</v>
      </c>
      <c r="K6" s="29"/>
      <c r="L6" s="116">
        <f>J6</f>
        <v>2909508.875</v>
      </c>
      <c r="M6" s="16"/>
      <c r="N6" s="115"/>
      <c r="O6" s="29"/>
      <c r="P6" s="116">
        <f>N6</f>
        <v>0</v>
      </c>
      <c r="Q6" s="16"/>
      <c r="R6" s="115"/>
      <c r="S6" s="29"/>
      <c r="T6" s="116">
        <f>R6</f>
        <v>0</v>
      </c>
      <c r="U6" s="174"/>
      <c r="V6" s="115"/>
      <c r="W6" s="29"/>
      <c r="X6" s="116">
        <f>V6</f>
        <v>0</v>
      </c>
      <c r="Y6" s="174"/>
      <c r="Z6" s="115"/>
      <c r="AA6" s="29"/>
      <c r="AB6" s="116">
        <f>Z6</f>
        <v>0</v>
      </c>
      <c r="AC6" s="174"/>
      <c r="AD6" s="115"/>
      <c r="AE6" s="29"/>
      <c r="AF6" s="116">
        <f>AD6</f>
        <v>0</v>
      </c>
      <c r="AG6" s="284"/>
      <c r="AH6" s="115"/>
      <c r="AI6" s="29"/>
      <c r="AJ6" s="116">
        <f>AH6</f>
        <v>0</v>
      </c>
      <c r="AK6" s="174"/>
      <c r="AL6" s="115"/>
      <c r="AM6" s="29"/>
      <c r="AN6" s="116">
        <f>AL6</f>
        <v>0</v>
      </c>
      <c r="AO6" s="174"/>
      <c r="AP6" s="115"/>
      <c r="AQ6" s="29"/>
      <c r="AR6" s="116">
        <f>AP6</f>
        <v>0</v>
      </c>
      <c r="AS6" s="174"/>
      <c r="AT6" s="115"/>
      <c r="AU6" s="29"/>
      <c r="AV6" s="116">
        <f>AT6</f>
        <v>0</v>
      </c>
      <c r="AW6" s="174"/>
    </row>
    <row r="7" spans="1:16384" hidden="1" outlineLevel="1" x14ac:dyDescent="0.3">
      <c r="A7" s="15">
        <v>19000012</v>
      </c>
      <c r="B7" s="15" t="s">
        <v>413</v>
      </c>
      <c r="C7" s="24">
        <v>10</v>
      </c>
      <c r="D7" s="24" t="s">
        <v>412</v>
      </c>
      <c r="E7" s="24" t="s">
        <v>216</v>
      </c>
      <c r="F7" s="117">
        <v>0</v>
      </c>
      <c r="G7" s="94"/>
      <c r="H7" s="118">
        <f>F7</f>
        <v>0</v>
      </c>
      <c r="I7" s="35"/>
      <c r="J7" s="117">
        <v>0</v>
      </c>
      <c r="K7" s="94"/>
      <c r="L7" s="118">
        <f>J7</f>
        <v>0</v>
      </c>
      <c r="M7" s="35"/>
      <c r="N7" s="117">
        <v>0</v>
      </c>
      <c r="O7" s="94"/>
      <c r="P7" s="118">
        <f>N7</f>
        <v>0</v>
      </c>
      <c r="Q7" s="35"/>
      <c r="R7" s="117"/>
      <c r="S7" s="94"/>
      <c r="T7" s="118">
        <f>R7</f>
        <v>0</v>
      </c>
      <c r="U7" s="284"/>
      <c r="V7" s="117"/>
      <c r="W7" s="94"/>
      <c r="X7" s="118">
        <f>V7</f>
        <v>0</v>
      </c>
      <c r="Y7" s="284"/>
      <c r="Z7" s="117"/>
      <c r="AA7" s="94"/>
      <c r="AB7" s="118">
        <f>Z7</f>
        <v>0</v>
      </c>
      <c r="AC7" s="284"/>
      <c r="AD7" s="117"/>
      <c r="AE7" s="94"/>
      <c r="AF7" s="118">
        <f>AD7</f>
        <v>0</v>
      </c>
      <c r="AG7" s="284"/>
      <c r="AH7" s="117"/>
      <c r="AI7" s="94"/>
      <c r="AJ7" s="118">
        <f>AH7</f>
        <v>0</v>
      </c>
      <c r="AK7" s="284"/>
      <c r="AL7" s="117"/>
      <c r="AM7" s="94"/>
      <c r="AN7" s="118">
        <f>AL7</f>
        <v>0</v>
      </c>
      <c r="AO7" s="284"/>
      <c r="AP7" s="117"/>
      <c r="AQ7" s="94"/>
      <c r="AR7" s="118">
        <f>AP7</f>
        <v>0</v>
      </c>
      <c r="AS7" s="284"/>
      <c r="AT7" s="117"/>
      <c r="AU7" s="94"/>
      <c r="AV7" s="118">
        <f>AT7</f>
        <v>0</v>
      </c>
      <c r="AW7" s="284"/>
    </row>
    <row r="8" spans="1:16384" hidden="1" outlineLevel="1" x14ac:dyDescent="0.3">
      <c r="A8" s="15">
        <v>19000021</v>
      </c>
      <c r="B8" s="15" t="s">
        <v>414</v>
      </c>
      <c r="C8" s="24" t="s">
        <v>415</v>
      </c>
      <c r="D8" s="24" t="s">
        <v>412</v>
      </c>
      <c r="E8" s="24" t="s">
        <v>215</v>
      </c>
      <c r="F8" s="117">
        <v>1911583.3333333333</v>
      </c>
      <c r="G8" s="94">
        <f>F8</f>
        <v>1911583.3333333333</v>
      </c>
      <c r="H8" s="118"/>
      <c r="I8" s="35"/>
      <c r="J8" s="117">
        <v>2424666.6666666665</v>
      </c>
      <c r="K8" s="94">
        <f>J8</f>
        <v>2424666.6666666665</v>
      </c>
      <c r="L8" s="118"/>
      <c r="M8" s="35"/>
      <c r="N8" s="117">
        <v>510416.66666666669</v>
      </c>
      <c r="O8" s="94">
        <f>N8</f>
        <v>510416.66666666669</v>
      </c>
      <c r="P8" s="118"/>
      <c r="Q8" s="35"/>
      <c r="R8" s="117">
        <v>0</v>
      </c>
      <c r="S8" s="94">
        <f>R8</f>
        <v>0</v>
      </c>
      <c r="T8" s="118"/>
      <c r="U8" s="284"/>
      <c r="V8" s="117">
        <v>0</v>
      </c>
      <c r="W8" s="94">
        <f>V8</f>
        <v>0</v>
      </c>
      <c r="X8" s="118"/>
      <c r="Y8" s="284"/>
      <c r="Z8" s="117">
        <v>0</v>
      </c>
      <c r="AA8" s="94">
        <f>Z8</f>
        <v>0</v>
      </c>
      <c r="AB8" s="118"/>
      <c r="AC8" s="284"/>
      <c r="AD8" s="117"/>
      <c r="AE8" s="94">
        <f>AD8</f>
        <v>0</v>
      </c>
      <c r="AF8" s="118"/>
      <c r="AG8" s="284"/>
      <c r="AH8" s="117"/>
      <c r="AI8" s="94">
        <f>AH8</f>
        <v>0</v>
      </c>
      <c r="AJ8" s="118"/>
      <c r="AK8" s="284"/>
      <c r="AL8" s="117"/>
      <c r="AM8" s="94">
        <f>AL8</f>
        <v>0</v>
      </c>
      <c r="AN8" s="118"/>
      <c r="AO8" s="284"/>
      <c r="AP8" s="117"/>
      <c r="AQ8" s="94">
        <f>AP8</f>
        <v>0</v>
      </c>
      <c r="AR8" s="118"/>
      <c r="AS8" s="284"/>
      <c r="AT8" s="117"/>
      <c r="AU8" s="94">
        <f>AT8</f>
        <v>0</v>
      </c>
      <c r="AV8" s="118"/>
      <c r="AW8" s="284"/>
    </row>
    <row r="9" spans="1:16384" hidden="1" outlineLevel="1" x14ac:dyDescent="0.3">
      <c r="A9" s="15">
        <v>19000041</v>
      </c>
      <c r="B9" s="15" t="s">
        <v>416</v>
      </c>
      <c r="C9" s="24">
        <v>23</v>
      </c>
      <c r="D9" s="24" t="s">
        <v>412</v>
      </c>
      <c r="E9" s="24" t="s">
        <v>215</v>
      </c>
      <c r="F9" s="117">
        <v>10957.58</v>
      </c>
      <c r="G9" s="94">
        <f>F9</f>
        <v>10957.58</v>
      </c>
      <c r="H9" s="118"/>
      <c r="I9" s="35"/>
      <c r="J9" s="117">
        <v>7761.6191666666664</v>
      </c>
      <c r="K9" s="94">
        <f>J9</f>
        <v>7761.6191666666664</v>
      </c>
      <c r="L9" s="118"/>
      <c r="M9" s="35"/>
      <c r="N9" s="117"/>
      <c r="O9" s="94">
        <f>N9</f>
        <v>0</v>
      </c>
      <c r="P9" s="118"/>
      <c r="Q9" s="35"/>
      <c r="R9" s="117"/>
      <c r="S9" s="94">
        <f>R9</f>
        <v>0</v>
      </c>
      <c r="T9" s="118"/>
      <c r="U9" s="284"/>
      <c r="V9" s="117"/>
      <c r="W9" s="94">
        <f>V9</f>
        <v>0</v>
      </c>
      <c r="X9" s="118"/>
      <c r="Y9" s="284"/>
      <c r="Z9" s="117"/>
      <c r="AA9" s="94">
        <f>Z9</f>
        <v>0</v>
      </c>
      <c r="AB9" s="118"/>
      <c r="AC9" s="284"/>
      <c r="AD9" s="117"/>
      <c r="AE9" s="94">
        <f>AD9</f>
        <v>0</v>
      </c>
      <c r="AF9" s="118"/>
      <c r="AG9" s="284"/>
      <c r="AH9" s="117"/>
      <c r="AI9" s="94">
        <f>AH9</f>
        <v>0</v>
      </c>
      <c r="AJ9" s="118"/>
      <c r="AK9" s="284"/>
      <c r="AL9" s="117"/>
      <c r="AM9" s="94">
        <f>AL9</f>
        <v>0</v>
      </c>
      <c r="AN9" s="118"/>
      <c r="AO9" s="284"/>
      <c r="AP9" s="117"/>
      <c r="AQ9" s="94">
        <f>AP9</f>
        <v>0</v>
      </c>
      <c r="AR9" s="118"/>
      <c r="AS9" s="284"/>
      <c r="AT9" s="117"/>
      <c r="AU9" s="94">
        <f>AT9</f>
        <v>0</v>
      </c>
      <c r="AV9" s="118"/>
      <c r="AW9" s="284"/>
    </row>
    <row r="10" spans="1:16384" hidden="1" outlineLevel="1" x14ac:dyDescent="0.3">
      <c r="A10" s="15">
        <v>19000051</v>
      </c>
      <c r="B10" s="15" t="s">
        <v>417</v>
      </c>
      <c r="C10" s="24">
        <v>24</v>
      </c>
      <c r="D10" s="24" t="s">
        <v>412</v>
      </c>
      <c r="E10" s="24" t="s">
        <v>215</v>
      </c>
      <c r="F10" s="117">
        <v>0</v>
      </c>
      <c r="G10" s="94">
        <f>F10</f>
        <v>0</v>
      </c>
      <c r="H10" s="118"/>
      <c r="I10" s="35"/>
      <c r="J10" s="117">
        <v>0</v>
      </c>
      <c r="K10" s="94">
        <f>J10</f>
        <v>0</v>
      </c>
      <c r="L10" s="118"/>
      <c r="M10" s="35"/>
      <c r="N10" s="117"/>
      <c r="O10" s="94">
        <f>N10</f>
        <v>0</v>
      </c>
      <c r="P10" s="118"/>
      <c r="Q10" s="35"/>
      <c r="R10" s="117"/>
      <c r="S10" s="94">
        <f>R10</f>
        <v>0</v>
      </c>
      <c r="T10" s="118"/>
      <c r="U10" s="284"/>
      <c r="V10" s="117"/>
      <c r="W10" s="94">
        <f>V10</f>
        <v>0</v>
      </c>
      <c r="X10" s="118"/>
      <c r="Y10" s="284"/>
      <c r="Z10" s="117"/>
      <c r="AA10" s="94">
        <f>Z10</f>
        <v>0</v>
      </c>
      <c r="AB10" s="118"/>
      <c r="AC10" s="284"/>
      <c r="AD10" s="117"/>
      <c r="AE10" s="94">
        <f>AD10</f>
        <v>0</v>
      </c>
      <c r="AF10" s="118"/>
      <c r="AG10" s="284"/>
      <c r="AH10" s="117"/>
      <c r="AI10" s="94">
        <f>AH10</f>
        <v>0</v>
      </c>
      <c r="AJ10" s="118"/>
      <c r="AK10" s="284"/>
      <c r="AL10" s="117"/>
      <c r="AM10" s="94">
        <f>AL10</f>
        <v>0</v>
      </c>
      <c r="AN10" s="118"/>
      <c r="AO10" s="284"/>
      <c r="AP10" s="117"/>
      <c r="AQ10" s="94">
        <f>AP10</f>
        <v>0</v>
      </c>
      <c r="AR10" s="118"/>
      <c r="AS10" s="284"/>
      <c r="AT10" s="117"/>
      <c r="AU10" s="94">
        <f>AT10</f>
        <v>0</v>
      </c>
      <c r="AV10" s="118"/>
      <c r="AW10" s="284"/>
    </row>
    <row r="11" spans="1:16384" hidden="1" outlineLevel="1" x14ac:dyDescent="0.3">
      <c r="A11" s="15">
        <v>19000061</v>
      </c>
      <c r="B11" s="15" t="s">
        <v>418</v>
      </c>
      <c r="C11" s="24">
        <v>25</v>
      </c>
      <c r="D11" s="24" t="s">
        <v>412</v>
      </c>
      <c r="E11" s="24" t="s">
        <v>215</v>
      </c>
      <c r="F11" s="117">
        <v>78708748.666666672</v>
      </c>
      <c r="G11" s="94">
        <f>F11</f>
        <v>78708748.666666672</v>
      </c>
      <c r="H11" s="118"/>
      <c r="I11" s="35"/>
      <c r="J11" s="117">
        <v>87313528.375</v>
      </c>
      <c r="K11" s="94">
        <f>J11</f>
        <v>87313528.375</v>
      </c>
      <c r="L11" s="118"/>
      <c r="M11" s="35"/>
      <c r="N11" s="117">
        <v>91760556.375</v>
      </c>
      <c r="O11" s="94">
        <f>N11</f>
        <v>91760556.375</v>
      </c>
      <c r="P11" s="118"/>
      <c r="Q11" s="35"/>
      <c r="R11" s="117">
        <v>92974494.583333328</v>
      </c>
      <c r="S11" s="94">
        <f>R11</f>
        <v>92974494.583333328</v>
      </c>
      <c r="T11" s="118"/>
      <c r="U11" s="284"/>
      <c r="V11" s="117">
        <v>56268.333333333336</v>
      </c>
      <c r="W11" s="94">
        <f>V11</f>
        <v>56268.333333333336</v>
      </c>
      <c r="X11" s="118"/>
      <c r="Y11" s="284"/>
      <c r="Z11" s="117"/>
      <c r="AA11" s="94">
        <f>Z11</f>
        <v>0</v>
      </c>
      <c r="AB11" s="118"/>
      <c r="AC11" s="284"/>
      <c r="AD11" s="117"/>
      <c r="AE11" s="94">
        <f>AD11</f>
        <v>0</v>
      </c>
      <c r="AF11" s="118"/>
      <c r="AG11" s="284"/>
      <c r="AH11" s="117"/>
      <c r="AI11" s="94">
        <f>AH11</f>
        <v>0</v>
      </c>
      <c r="AJ11" s="118"/>
      <c r="AK11" s="284"/>
      <c r="AL11" s="117"/>
      <c r="AM11" s="94">
        <f>AL11</f>
        <v>0</v>
      </c>
      <c r="AN11" s="118"/>
      <c r="AO11" s="284"/>
      <c r="AP11" s="117"/>
      <c r="AQ11" s="94">
        <f>AP11</f>
        <v>0</v>
      </c>
      <c r="AR11" s="118"/>
      <c r="AS11" s="284"/>
      <c r="AT11" s="117"/>
      <c r="AU11" s="94">
        <f>AT11</f>
        <v>0</v>
      </c>
      <c r="AV11" s="118"/>
      <c r="AW11" s="284"/>
    </row>
    <row r="12" spans="1:16384" hidden="1" outlineLevel="1" x14ac:dyDescent="0.3">
      <c r="A12" s="15">
        <v>19000112</v>
      </c>
      <c r="B12" s="15" t="s">
        <v>419</v>
      </c>
      <c r="C12" s="24">
        <v>10</v>
      </c>
      <c r="D12" s="24" t="s">
        <v>412</v>
      </c>
      <c r="E12" s="24" t="s">
        <v>216</v>
      </c>
      <c r="F12" s="117">
        <v>0</v>
      </c>
      <c r="G12" s="94"/>
      <c r="H12" s="118">
        <f>F12</f>
        <v>0</v>
      </c>
      <c r="I12" s="35"/>
      <c r="J12" s="117">
        <v>0</v>
      </c>
      <c r="K12" s="94"/>
      <c r="L12" s="118">
        <f>J12</f>
        <v>0</v>
      </c>
      <c r="M12" s="35"/>
      <c r="N12" s="117">
        <v>81463.791666666672</v>
      </c>
      <c r="O12" s="94"/>
      <c r="P12" s="118">
        <f>N12</f>
        <v>81463.791666666672</v>
      </c>
      <c r="Q12" s="35"/>
      <c r="R12" s="117">
        <v>91211.208333333328</v>
      </c>
      <c r="S12" s="94"/>
      <c r="T12" s="118">
        <f>R12</f>
        <v>91211.208333333328</v>
      </c>
      <c r="U12" s="284"/>
      <c r="V12" s="117">
        <v>78978.735416666663</v>
      </c>
      <c r="W12" s="94"/>
      <c r="X12" s="118">
        <f>V12</f>
        <v>78978.735416666663</v>
      </c>
      <c r="Y12" s="284"/>
      <c r="Z12" s="117">
        <v>66121.41750000001</v>
      </c>
      <c r="AA12" s="94"/>
      <c r="AB12" s="118">
        <f>Z12</f>
        <v>66121.41750000001</v>
      </c>
      <c r="AC12" s="284"/>
      <c r="AD12" s="117">
        <v>53526.877500000002</v>
      </c>
      <c r="AE12" s="94"/>
      <c r="AF12" s="118">
        <f>AD12</f>
        <v>53526.877500000002</v>
      </c>
      <c r="AG12" s="284"/>
      <c r="AH12" s="117">
        <v>40932.337499999994</v>
      </c>
      <c r="AI12" s="94"/>
      <c r="AJ12" s="118">
        <f>AH12</f>
        <v>40932.337499999994</v>
      </c>
      <c r="AK12" s="284"/>
      <c r="AL12" s="117">
        <v>28337.797499999997</v>
      </c>
      <c r="AM12" s="94"/>
      <c r="AN12" s="118">
        <f>AL12</f>
        <v>28337.797499999997</v>
      </c>
      <c r="AO12" s="284"/>
      <c r="AP12" s="117">
        <v>15743.2575</v>
      </c>
      <c r="AQ12" s="94"/>
      <c r="AR12" s="118">
        <f>AP12</f>
        <v>15743.2575</v>
      </c>
      <c r="AS12" s="284"/>
      <c r="AT12" s="117">
        <v>-148796.21916666671</v>
      </c>
      <c r="AU12" s="94"/>
      <c r="AV12" s="118">
        <f>AT12</f>
        <v>-148796.21916666671</v>
      </c>
      <c r="AW12" s="284"/>
    </row>
    <row r="13" spans="1:16384" hidden="1" outlineLevel="1" x14ac:dyDescent="0.3">
      <c r="A13" s="15">
        <v>19000113</v>
      </c>
      <c r="B13" s="15" t="s">
        <v>420</v>
      </c>
      <c r="C13" s="24" t="s">
        <v>421</v>
      </c>
      <c r="D13" s="24" t="s">
        <v>412</v>
      </c>
      <c r="E13" s="24" t="s">
        <v>422</v>
      </c>
      <c r="F13" s="117"/>
      <c r="G13" s="94"/>
      <c r="H13" s="118"/>
      <c r="I13" s="35"/>
      <c r="J13" s="117"/>
      <c r="K13" s="94"/>
      <c r="L13" s="118"/>
      <c r="M13" s="35"/>
      <c r="N13" s="117"/>
      <c r="O13" s="94"/>
      <c r="P13" s="118"/>
      <c r="Q13" s="35"/>
      <c r="R13" s="117"/>
      <c r="S13" s="94"/>
      <c r="T13" s="118"/>
      <c r="U13" s="284"/>
      <c r="V13" s="117"/>
      <c r="W13" s="94"/>
      <c r="X13" s="118"/>
      <c r="Y13" s="284"/>
      <c r="Z13" s="117"/>
      <c r="AA13" s="94"/>
      <c r="AB13" s="118"/>
      <c r="AC13" s="284"/>
      <c r="AD13" s="117"/>
      <c r="AE13" s="94"/>
      <c r="AF13" s="118"/>
      <c r="AG13" s="284"/>
      <c r="AH13" s="117"/>
      <c r="AI13" s="94"/>
      <c r="AJ13" s="118"/>
      <c r="AK13" s="284"/>
      <c r="AL13" s="117"/>
      <c r="AM13" s="94"/>
      <c r="AN13" s="118"/>
      <c r="AO13" s="284"/>
      <c r="AP13" s="117"/>
      <c r="AQ13" s="94"/>
      <c r="AR13" s="118"/>
      <c r="AS13" s="284"/>
      <c r="AT13" s="117">
        <v>81732.585416666669</v>
      </c>
      <c r="AU13" s="94">
        <f>AT13*$AU$3</f>
        <v>54098.798287291669</v>
      </c>
      <c r="AV13" s="118">
        <f>AT13*$AV$3</f>
        <v>27633.787129375003</v>
      </c>
      <c r="AW13" s="284"/>
    </row>
    <row r="14" spans="1:16384" hidden="1" outlineLevel="1" x14ac:dyDescent="0.3">
      <c r="A14" s="15">
        <v>19000121</v>
      </c>
      <c r="B14" s="15" t="s">
        <v>423</v>
      </c>
      <c r="C14" s="24" t="s">
        <v>424</v>
      </c>
      <c r="D14" s="24" t="s">
        <v>412</v>
      </c>
      <c r="E14" s="24" t="s">
        <v>215</v>
      </c>
      <c r="F14" s="117">
        <v>120250</v>
      </c>
      <c r="G14" s="94">
        <f>F14</f>
        <v>120250</v>
      </c>
      <c r="H14" s="118"/>
      <c r="I14" s="35"/>
      <c r="J14" s="117">
        <v>0</v>
      </c>
      <c r="K14" s="94">
        <f>J14</f>
        <v>0</v>
      </c>
      <c r="L14" s="118"/>
      <c r="M14" s="35"/>
      <c r="N14" s="117"/>
      <c r="O14" s="94">
        <f>N14</f>
        <v>0</v>
      </c>
      <c r="P14" s="118"/>
      <c r="Q14" s="35"/>
      <c r="R14" s="117"/>
      <c r="S14" s="94">
        <f>R14</f>
        <v>0</v>
      </c>
      <c r="T14" s="118"/>
      <c r="U14" s="284"/>
      <c r="V14" s="117"/>
      <c r="W14" s="94">
        <f>V14</f>
        <v>0</v>
      </c>
      <c r="X14" s="118"/>
      <c r="Y14" s="284"/>
      <c r="Z14" s="117"/>
      <c r="AA14" s="94">
        <f>Z14</f>
        <v>0</v>
      </c>
      <c r="AB14" s="118"/>
      <c r="AC14" s="284"/>
      <c r="AD14" s="117"/>
      <c r="AE14" s="94">
        <f>AD14</f>
        <v>0</v>
      </c>
      <c r="AF14" s="118"/>
      <c r="AG14" s="284"/>
      <c r="AH14" s="117"/>
      <c r="AI14" s="94">
        <f>AH14</f>
        <v>0</v>
      </c>
      <c r="AJ14" s="118"/>
      <c r="AK14" s="284"/>
      <c r="AL14" s="117"/>
      <c r="AM14" s="94">
        <f>AL14</f>
        <v>0</v>
      </c>
      <c r="AN14" s="118"/>
      <c r="AO14" s="284"/>
      <c r="AP14" s="117"/>
      <c r="AQ14" s="94">
        <f>AP14</f>
        <v>0</v>
      </c>
      <c r="AR14" s="118"/>
      <c r="AS14" s="284"/>
      <c r="AT14" s="117"/>
      <c r="AU14" s="94">
        <f>AT14</f>
        <v>0</v>
      </c>
      <c r="AV14" s="118"/>
      <c r="AW14" s="284"/>
    </row>
    <row r="15" spans="1:16384" hidden="1" outlineLevel="1" x14ac:dyDescent="0.3">
      <c r="A15" s="15">
        <v>19000151</v>
      </c>
      <c r="B15" s="15" t="s">
        <v>425</v>
      </c>
      <c r="C15" s="24" t="s">
        <v>426</v>
      </c>
      <c r="D15" s="24" t="s">
        <v>412</v>
      </c>
      <c r="E15" s="24" t="s">
        <v>215</v>
      </c>
      <c r="F15" s="117">
        <v>51458.333333333336</v>
      </c>
      <c r="G15" s="94">
        <f>F15</f>
        <v>51458.333333333336</v>
      </c>
      <c r="H15" s="118"/>
      <c r="I15" s="35"/>
      <c r="J15" s="117">
        <v>1235000</v>
      </c>
      <c r="K15" s="94">
        <f>J15</f>
        <v>1235000</v>
      </c>
      <c r="L15" s="118"/>
      <c r="M15" s="35"/>
      <c r="N15" s="117">
        <v>1168262.9166666667</v>
      </c>
      <c r="O15" s="94">
        <f>N15</f>
        <v>1168262.9166666667</v>
      </c>
      <c r="P15" s="118"/>
      <c r="Q15" s="35"/>
      <c r="R15" s="117">
        <v>1006249.7916666666</v>
      </c>
      <c r="S15" s="94">
        <f>R15</f>
        <v>1006249.7916666666</v>
      </c>
      <c r="T15" s="118"/>
      <c r="U15" s="284"/>
      <c r="V15" s="117">
        <v>869310.60166666668</v>
      </c>
      <c r="W15" s="94">
        <f>V15</f>
        <v>869310.60166666668</v>
      </c>
      <c r="X15" s="118"/>
      <c r="Y15" s="284"/>
      <c r="Z15" s="117">
        <v>732050.11916666664</v>
      </c>
      <c r="AA15" s="94">
        <f>Z15</f>
        <v>732050.11916666664</v>
      </c>
      <c r="AB15" s="118"/>
      <c r="AC15" s="284"/>
      <c r="AD15" s="117">
        <v>594790.71916666662</v>
      </c>
      <c r="AE15" s="94">
        <f>AD15</f>
        <v>594790.71916666662</v>
      </c>
      <c r="AF15" s="118"/>
      <c r="AG15" s="284"/>
      <c r="AH15" s="117">
        <v>457531.31916666665</v>
      </c>
      <c r="AI15" s="94">
        <f>AH15</f>
        <v>457531.31916666665</v>
      </c>
      <c r="AJ15" s="118"/>
      <c r="AK15" s="284"/>
      <c r="AL15" s="117">
        <v>320271.91916666669</v>
      </c>
      <c r="AM15" s="94">
        <f>AL15</f>
        <v>320271.91916666669</v>
      </c>
      <c r="AN15" s="118"/>
      <c r="AO15" s="284"/>
      <c r="AP15" s="117">
        <v>183012.51916666667</v>
      </c>
      <c r="AQ15" s="94">
        <f>AP15</f>
        <v>183012.51916666667</v>
      </c>
      <c r="AR15" s="118"/>
      <c r="AS15" s="284"/>
      <c r="AT15" s="117">
        <v>74348.820000000007</v>
      </c>
      <c r="AU15" s="94">
        <f>AT15</f>
        <v>74348.820000000007</v>
      </c>
      <c r="AV15" s="118"/>
      <c r="AW15" s="284"/>
    </row>
    <row r="16" spans="1:16384" hidden="1" outlineLevel="1" x14ac:dyDescent="0.3">
      <c r="A16" s="15">
        <v>19000433</v>
      </c>
      <c r="B16" s="15" t="s">
        <v>427</v>
      </c>
      <c r="C16" s="24" t="s">
        <v>428</v>
      </c>
      <c r="D16" s="24" t="s">
        <v>412</v>
      </c>
      <c r="E16" s="24" t="s">
        <v>422</v>
      </c>
      <c r="F16" s="285"/>
      <c r="G16" s="286"/>
      <c r="H16" s="287"/>
      <c r="I16" s="288"/>
      <c r="J16" s="285"/>
      <c r="K16" s="286"/>
      <c r="L16" s="287"/>
      <c r="M16" s="288"/>
      <c r="N16" s="285">
        <v>41602054.46652054</v>
      </c>
      <c r="O16" s="286">
        <f>N16*$O$3</f>
        <v>27669526.425682813</v>
      </c>
      <c r="P16" s="287">
        <f>N16*$P$3</f>
        <v>13932528.040837727</v>
      </c>
      <c r="Q16" s="288"/>
      <c r="R16" s="285">
        <v>82713256.571666658</v>
      </c>
      <c r="S16" s="286">
        <v>45845192.142382838</v>
      </c>
      <c r="T16" s="287">
        <v>36513468.898720346</v>
      </c>
      <c r="U16" s="288"/>
      <c r="V16" s="285">
        <v>121874468.64</v>
      </c>
      <c r="W16" s="286">
        <v>69137519.683717743</v>
      </c>
      <c r="X16" s="287">
        <f>V16-W16</f>
        <v>52736948.956282258</v>
      </c>
      <c r="Y16" s="288"/>
      <c r="Z16" s="285">
        <v>131974893.15416665</v>
      </c>
      <c r="AA16" s="286">
        <v>103528813.64462931</v>
      </c>
      <c r="AB16" s="287">
        <f>Z16-AA16</f>
        <v>28446079.509537339</v>
      </c>
      <c r="AC16" s="288"/>
      <c r="AD16" s="285">
        <v>4462408.649166666</v>
      </c>
      <c r="AE16" s="286">
        <v>3361129.3642200809</v>
      </c>
      <c r="AF16" s="287">
        <f>AD16-AE16</f>
        <v>1101279.2849465851</v>
      </c>
      <c r="AG16" s="284"/>
      <c r="AH16" s="285">
        <v>-1180342.42875</v>
      </c>
      <c r="AI16" s="286">
        <v>-912600.73393877223</v>
      </c>
      <c r="AJ16" s="287">
        <f>AH16-AI16</f>
        <v>-267741.69481122773</v>
      </c>
      <c r="AK16" s="288"/>
      <c r="AL16" s="285"/>
      <c r="AM16" s="286"/>
      <c r="AN16" s="287">
        <f>AL16-AM16</f>
        <v>0</v>
      </c>
      <c r="AO16" s="288"/>
      <c r="AP16" s="285"/>
      <c r="AQ16" s="286"/>
      <c r="AR16" s="287"/>
      <c r="AS16" s="288"/>
      <c r="AT16" s="285"/>
      <c r="AU16" s="286"/>
      <c r="AV16" s="287"/>
      <c r="AW16" s="288"/>
      <c r="AX16" s="289"/>
      <c r="AY16" s="289"/>
      <c r="AZ16" s="289"/>
      <c r="BA16" s="289"/>
      <c r="BB16" s="289"/>
      <c r="BC16" s="289"/>
      <c r="BD16" s="289"/>
      <c r="BE16" s="289"/>
      <c r="BF16" s="289"/>
      <c r="BG16" s="289"/>
      <c r="BH16" s="289"/>
      <c r="BI16" s="289"/>
      <c r="BJ16" s="289"/>
      <c r="BK16" s="289"/>
      <c r="BL16" s="289"/>
      <c r="BM16" s="289"/>
      <c r="BN16" s="289"/>
      <c r="BO16" s="289"/>
      <c r="BP16" s="289"/>
      <c r="BQ16" s="289"/>
      <c r="BR16" s="289"/>
      <c r="BS16" s="289"/>
      <c r="BT16" s="289"/>
      <c r="BU16" s="289"/>
      <c r="BV16" s="289"/>
      <c r="BW16" s="289"/>
      <c r="BX16" s="289"/>
      <c r="BY16" s="289"/>
      <c r="BZ16" s="289"/>
      <c r="CA16" s="289"/>
      <c r="CB16" s="289"/>
      <c r="CC16" s="289"/>
      <c r="CD16" s="289"/>
      <c r="CE16" s="289"/>
      <c r="CF16" s="289"/>
      <c r="CG16" s="289"/>
      <c r="CH16" s="289"/>
      <c r="CI16" s="289"/>
      <c r="CJ16" s="289"/>
      <c r="CK16" s="289"/>
      <c r="CL16" s="289"/>
      <c r="CM16" s="289"/>
      <c r="CN16" s="289"/>
      <c r="CO16" s="289"/>
      <c r="CP16" s="289"/>
      <c r="CQ16" s="289"/>
      <c r="CR16" s="289"/>
      <c r="CS16" s="289"/>
      <c r="CT16" s="289"/>
      <c r="CU16" s="289"/>
      <c r="CV16" s="289"/>
      <c r="CW16" s="289"/>
      <c r="CX16" s="289"/>
      <c r="CY16" s="289"/>
      <c r="CZ16" s="289"/>
      <c r="DA16" s="289"/>
      <c r="DB16" s="289"/>
      <c r="DC16" s="289"/>
      <c r="DD16" s="289"/>
      <c r="DE16" s="289"/>
      <c r="DF16" s="289"/>
      <c r="DG16" s="289"/>
      <c r="DH16" s="289"/>
      <c r="DI16" s="289"/>
      <c r="DJ16" s="289"/>
      <c r="DK16" s="289"/>
      <c r="DL16" s="289"/>
      <c r="DM16" s="289"/>
      <c r="DN16" s="289"/>
      <c r="DO16" s="289"/>
      <c r="DP16" s="289"/>
      <c r="DQ16" s="289"/>
      <c r="DR16" s="289"/>
      <c r="DS16" s="289"/>
      <c r="DT16" s="289"/>
      <c r="DU16" s="289"/>
      <c r="DV16" s="289"/>
      <c r="DW16" s="289"/>
      <c r="DX16" s="289"/>
      <c r="DY16" s="289"/>
      <c r="DZ16" s="289"/>
      <c r="EA16" s="289"/>
      <c r="EB16" s="289"/>
      <c r="EC16" s="289"/>
      <c r="ED16" s="289"/>
      <c r="EE16" s="289"/>
      <c r="EF16" s="289"/>
      <c r="EG16" s="289"/>
      <c r="EH16" s="289"/>
      <c r="EI16" s="289"/>
      <c r="EJ16" s="289"/>
      <c r="EK16" s="289"/>
      <c r="EL16" s="289"/>
      <c r="EM16" s="289"/>
      <c r="EN16" s="289"/>
      <c r="EO16" s="289"/>
      <c r="EP16" s="289"/>
      <c r="EQ16" s="289"/>
      <c r="ER16" s="289"/>
      <c r="ES16" s="289"/>
      <c r="ET16" s="289"/>
      <c r="EU16" s="289"/>
      <c r="EV16" s="289"/>
      <c r="EW16" s="289"/>
      <c r="EX16" s="289"/>
      <c r="EY16" s="289"/>
      <c r="EZ16" s="289"/>
      <c r="FA16" s="289"/>
      <c r="FB16" s="289"/>
      <c r="FC16" s="289"/>
      <c r="FD16" s="289"/>
      <c r="FE16" s="289"/>
      <c r="FF16" s="289"/>
      <c r="FG16" s="289"/>
      <c r="FH16" s="289"/>
      <c r="FI16" s="289"/>
      <c r="FJ16" s="289"/>
      <c r="FK16" s="289"/>
      <c r="FL16" s="289"/>
      <c r="FM16" s="289"/>
      <c r="FN16" s="289"/>
      <c r="FO16" s="289"/>
      <c r="FP16" s="289"/>
      <c r="FQ16" s="289"/>
      <c r="FR16" s="289"/>
      <c r="FS16" s="289"/>
      <c r="FT16" s="289"/>
      <c r="FU16" s="289"/>
      <c r="FV16" s="289"/>
      <c r="FW16" s="289"/>
      <c r="FX16" s="289"/>
      <c r="FY16" s="289"/>
      <c r="FZ16" s="289"/>
      <c r="GA16" s="289"/>
      <c r="GB16" s="289"/>
      <c r="GC16" s="289"/>
      <c r="GD16" s="289"/>
      <c r="GE16" s="289"/>
      <c r="GF16" s="289"/>
      <c r="GG16" s="289"/>
      <c r="GH16" s="289"/>
      <c r="GI16" s="289"/>
      <c r="GJ16" s="289"/>
      <c r="GK16" s="289"/>
      <c r="GL16" s="289"/>
      <c r="GM16" s="289"/>
      <c r="GN16" s="289"/>
      <c r="GO16" s="289"/>
      <c r="GP16" s="289"/>
      <c r="GQ16" s="289"/>
      <c r="GR16" s="289"/>
      <c r="GS16" s="289"/>
      <c r="GT16" s="289"/>
      <c r="GU16" s="289"/>
      <c r="GV16" s="289"/>
      <c r="GW16" s="289"/>
      <c r="GX16" s="289"/>
      <c r="GY16" s="289"/>
      <c r="GZ16" s="289"/>
      <c r="HA16" s="289"/>
      <c r="HB16" s="289"/>
      <c r="HC16" s="289"/>
      <c r="HD16" s="289"/>
      <c r="HE16" s="289"/>
      <c r="HF16" s="289"/>
      <c r="HG16" s="289"/>
      <c r="HH16" s="289"/>
      <c r="HI16" s="289"/>
      <c r="HJ16" s="289"/>
      <c r="HK16" s="289"/>
      <c r="HL16" s="289"/>
      <c r="HM16" s="289"/>
      <c r="HN16" s="289"/>
      <c r="HO16" s="289"/>
      <c r="HP16" s="289"/>
      <c r="HQ16" s="289"/>
      <c r="HR16" s="289"/>
      <c r="HS16" s="289"/>
      <c r="HT16" s="289"/>
      <c r="HU16" s="289"/>
      <c r="HV16" s="289"/>
      <c r="HW16" s="289"/>
      <c r="HX16" s="289"/>
      <c r="HY16" s="289"/>
      <c r="HZ16" s="289"/>
      <c r="IA16" s="289"/>
      <c r="IB16" s="289"/>
      <c r="IC16" s="289"/>
      <c r="ID16" s="289"/>
      <c r="IE16" s="289"/>
      <c r="IF16" s="289"/>
      <c r="IG16" s="289"/>
      <c r="IH16" s="289"/>
      <c r="II16" s="289"/>
      <c r="IJ16" s="289"/>
      <c r="IK16" s="289"/>
      <c r="IL16" s="289"/>
      <c r="IM16" s="289"/>
      <c r="IN16" s="289"/>
      <c r="IO16" s="289"/>
      <c r="IP16" s="289"/>
      <c r="IQ16" s="289"/>
      <c r="IR16" s="289"/>
      <c r="IS16" s="289"/>
      <c r="IT16" s="289"/>
      <c r="IU16" s="289"/>
      <c r="IV16" s="289"/>
      <c r="IW16" s="289"/>
      <c r="IX16" s="289"/>
      <c r="IY16" s="289"/>
      <c r="IZ16" s="289"/>
      <c r="JA16" s="289"/>
      <c r="JB16" s="289"/>
      <c r="JC16" s="289"/>
      <c r="JD16" s="289"/>
      <c r="JE16" s="289"/>
      <c r="JF16" s="289"/>
      <c r="JG16" s="289"/>
      <c r="JH16" s="289"/>
      <c r="JI16" s="289"/>
      <c r="JJ16" s="289"/>
      <c r="JK16" s="289"/>
      <c r="JL16" s="289"/>
      <c r="JM16" s="289"/>
      <c r="JN16" s="289"/>
      <c r="JO16" s="289"/>
      <c r="JP16" s="289"/>
      <c r="JQ16" s="289"/>
      <c r="JR16" s="289"/>
      <c r="JS16" s="289"/>
      <c r="JT16" s="289"/>
      <c r="JU16" s="289"/>
      <c r="JV16" s="289"/>
      <c r="JW16" s="289"/>
      <c r="JX16" s="289"/>
      <c r="JY16" s="289"/>
      <c r="JZ16" s="289"/>
      <c r="KA16" s="289"/>
      <c r="KB16" s="289"/>
      <c r="KC16" s="289"/>
      <c r="KD16" s="289"/>
      <c r="KE16" s="289"/>
      <c r="KF16" s="289"/>
      <c r="KG16" s="289"/>
      <c r="KH16" s="289"/>
      <c r="KI16" s="289"/>
      <c r="KJ16" s="289"/>
      <c r="KK16" s="289"/>
      <c r="KL16" s="289"/>
      <c r="KM16" s="289"/>
      <c r="KN16" s="289"/>
      <c r="KO16" s="289"/>
      <c r="KP16" s="289"/>
      <c r="KQ16" s="289"/>
      <c r="KR16" s="289"/>
      <c r="KS16" s="289"/>
      <c r="KT16" s="289"/>
      <c r="KU16" s="289"/>
      <c r="KV16" s="289"/>
      <c r="KW16" s="289"/>
      <c r="KX16" s="289"/>
      <c r="KY16" s="289"/>
      <c r="KZ16" s="289"/>
      <c r="LA16" s="289"/>
      <c r="LB16" s="289"/>
      <c r="LC16" s="289"/>
      <c r="LD16" s="289"/>
      <c r="LE16" s="289"/>
      <c r="LF16" s="289"/>
      <c r="LG16" s="289"/>
      <c r="LH16" s="289"/>
      <c r="LI16" s="289"/>
      <c r="LJ16" s="289"/>
      <c r="LK16" s="289"/>
      <c r="LL16" s="289"/>
      <c r="LM16" s="289"/>
      <c r="LN16" s="289"/>
      <c r="LO16" s="289"/>
      <c r="LP16" s="289"/>
      <c r="LQ16" s="289"/>
      <c r="LR16" s="289"/>
      <c r="LS16" s="289"/>
      <c r="LT16" s="289"/>
      <c r="LU16" s="289"/>
      <c r="LV16" s="289"/>
      <c r="LW16" s="289"/>
      <c r="LX16" s="289"/>
      <c r="LY16" s="289"/>
      <c r="LZ16" s="289"/>
      <c r="MA16" s="289"/>
      <c r="MB16" s="289"/>
      <c r="MC16" s="289"/>
      <c r="MD16" s="289"/>
      <c r="ME16" s="289"/>
      <c r="MF16" s="289"/>
      <c r="MG16" s="289"/>
      <c r="MH16" s="289"/>
      <c r="MI16" s="289"/>
      <c r="MJ16" s="289"/>
      <c r="MK16" s="289"/>
      <c r="ML16" s="289"/>
      <c r="MM16" s="289"/>
      <c r="MN16" s="289"/>
      <c r="MO16" s="289"/>
      <c r="MP16" s="289"/>
      <c r="MQ16" s="289"/>
      <c r="MR16" s="289"/>
      <c r="MS16" s="289"/>
      <c r="MT16" s="289"/>
      <c r="MU16" s="289"/>
      <c r="MV16" s="289"/>
      <c r="MW16" s="289"/>
      <c r="MX16" s="289"/>
      <c r="MY16" s="289"/>
      <c r="MZ16" s="289"/>
      <c r="NA16" s="289"/>
      <c r="NB16" s="289"/>
      <c r="NC16" s="289"/>
      <c r="ND16" s="289"/>
      <c r="NE16" s="289"/>
      <c r="NF16" s="289"/>
      <c r="NG16" s="289"/>
      <c r="NH16" s="289"/>
      <c r="NI16" s="289"/>
      <c r="NJ16" s="289"/>
      <c r="NK16" s="289"/>
      <c r="NL16" s="289"/>
      <c r="NM16" s="289"/>
      <c r="NN16" s="289"/>
      <c r="NO16" s="289"/>
      <c r="NP16" s="289"/>
      <c r="NQ16" s="289"/>
      <c r="NR16" s="289"/>
      <c r="NS16" s="289"/>
      <c r="NT16" s="289"/>
      <c r="NU16" s="289"/>
      <c r="NV16" s="289"/>
      <c r="NW16" s="289"/>
      <c r="NX16" s="289"/>
      <c r="NY16" s="289"/>
      <c r="NZ16" s="289"/>
      <c r="OA16" s="289"/>
      <c r="OB16" s="289"/>
      <c r="OC16" s="289"/>
      <c r="OD16" s="289"/>
      <c r="OE16" s="289"/>
      <c r="OF16" s="289"/>
      <c r="OG16" s="289"/>
      <c r="OH16" s="289"/>
      <c r="OI16" s="289"/>
      <c r="OJ16" s="289"/>
      <c r="OK16" s="289"/>
      <c r="OL16" s="289"/>
      <c r="OM16" s="289"/>
      <c r="ON16" s="289"/>
      <c r="OO16" s="289"/>
      <c r="OP16" s="289"/>
      <c r="OQ16" s="289"/>
      <c r="OR16" s="289"/>
      <c r="OS16" s="289"/>
      <c r="OT16" s="289"/>
      <c r="OU16" s="289"/>
      <c r="OV16" s="289"/>
      <c r="OW16" s="289"/>
      <c r="OX16" s="289"/>
      <c r="OY16" s="289"/>
      <c r="OZ16" s="289"/>
      <c r="PA16" s="289"/>
      <c r="PB16" s="289"/>
      <c r="PC16" s="289"/>
      <c r="PD16" s="289"/>
      <c r="PE16" s="289"/>
      <c r="PF16" s="289"/>
      <c r="PG16" s="289"/>
      <c r="PH16" s="289"/>
      <c r="PI16" s="289"/>
      <c r="PJ16" s="289"/>
      <c r="PK16" s="289"/>
      <c r="PL16" s="289"/>
      <c r="PM16" s="289"/>
      <c r="PN16" s="289"/>
      <c r="PO16" s="289"/>
      <c r="PP16" s="289"/>
      <c r="PQ16" s="289"/>
      <c r="PR16" s="289"/>
      <c r="PS16" s="289"/>
      <c r="PT16" s="289"/>
      <c r="PU16" s="289"/>
      <c r="PV16" s="289"/>
      <c r="PW16" s="289"/>
      <c r="PX16" s="289"/>
      <c r="PY16" s="289"/>
      <c r="PZ16" s="289"/>
      <c r="QA16" s="289"/>
      <c r="QB16" s="289"/>
      <c r="QC16" s="289"/>
      <c r="QD16" s="289"/>
      <c r="QE16" s="289"/>
      <c r="QF16" s="289"/>
      <c r="QG16" s="289"/>
      <c r="QH16" s="289"/>
      <c r="QI16" s="289"/>
      <c r="QJ16" s="289"/>
      <c r="QK16" s="289"/>
      <c r="QL16" s="289"/>
      <c r="QM16" s="289"/>
      <c r="QN16" s="289"/>
      <c r="QO16" s="289"/>
      <c r="QP16" s="289"/>
      <c r="QQ16" s="289"/>
      <c r="QR16" s="289"/>
      <c r="QS16" s="289"/>
      <c r="QT16" s="289"/>
      <c r="QU16" s="289"/>
      <c r="QV16" s="289"/>
      <c r="QW16" s="289"/>
      <c r="QX16" s="289"/>
      <c r="QY16" s="289"/>
      <c r="QZ16" s="289"/>
      <c r="RA16" s="289"/>
      <c r="RB16" s="289"/>
      <c r="RC16" s="289"/>
      <c r="RD16" s="289"/>
      <c r="RE16" s="289"/>
      <c r="RF16" s="289"/>
      <c r="RG16" s="289"/>
      <c r="RH16" s="289"/>
      <c r="RI16" s="289"/>
      <c r="RJ16" s="289"/>
      <c r="RK16" s="289"/>
      <c r="RL16" s="289"/>
      <c r="RM16" s="289"/>
      <c r="RN16" s="289"/>
      <c r="RO16" s="289"/>
      <c r="RP16" s="289"/>
      <c r="RQ16" s="289"/>
      <c r="RR16" s="289"/>
      <c r="RS16" s="289"/>
      <c r="RT16" s="289"/>
      <c r="RU16" s="289"/>
      <c r="RV16" s="289"/>
      <c r="RW16" s="289"/>
      <c r="RX16" s="289"/>
      <c r="RY16" s="289"/>
      <c r="RZ16" s="289"/>
      <c r="SA16" s="289"/>
      <c r="SB16" s="289"/>
      <c r="SC16" s="289"/>
      <c r="SD16" s="289"/>
      <c r="SE16" s="289"/>
      <c r="SF16" s="289"/>
      <c r="SG16" s="289"/>
      <c r="SH16" s="289"/>
      <c r="SI16" s="289"/>
      <c r="SJ16" s="289"/>
      <c r="SK16" s="289"/>
      <c r="SL16" s="289"/>
      <c r="SM16" s="289"/>
      <c r="SN16" s="289"/>
      <c r="SO16" s="289"/>
      <c r="SP16" s="289"/>
      <c r="SQ16" s="289"/>
      <c r="SR16" s="289"/>
      <c r="SS16" s="289"/>
      <c r="ST16" s="289"/>
      <c r="SU16" s="289"/>
      <c r="SV16" s="289"/>
      <c r="SW16" s="289"/>
      <c r="SX16" s="289"/>
      <c r="SY16" s="289"/>
      <c r="SZ16" s="289"/>
      <c r="TA16" s="289"/>
      <c r="TB16" s="289"/>
      <c r="TC16" s="289"/>
      <c r="TD16" s="289"/>
      <c r="TE16" s="289"/>
      <c r="TF16" s="289"/>
      <c r="TG16" s="289"/>
      <c r="TH16" s="289"/>
      <c r="TI16" s="289"/>
      <c r="TJ16" s="289"/>
      <c r="TK16" s="289"/>
      <c r="TL16" s="289"/>
      <c r="TM16" s="289"/>
      <c r="TN16" s="289"/>
      <c r="TO16" s="289"/>
      <c r="TP16" s="289"/>
      <c r="TQ16" s="289"/>
      <c r="TR16" s="289"/>
      <c r="TS16" s="289"/>
      <c r="TT16" s="289"/>
      <c r="TU16" s="289"/>
      <c r="TV16" s="289"/>
      <c r="TW16" s="289"/>
      <c r="TX16" s="289"/>
      <c r="TY16" s="289"/>
      <c r="TZ16" s="289"/>
      <c r="UA16" s="289"/>
      <c r="UB16" s="289"/>
      <c r="UC16" s="289"/>
      <c r="UD16" s="289"/>
      <c r="UE16" s="289"/>
      <c r="UF16" s="289"/>
      <c r="UG16" s="289"/>
      <c r="UH16" s="289"/>
      <c r="UI16" s="289"/>
      <c r="UJ16" s="289"/>
      <c r="UK16" s="289"/>
      <c r="UL16" s="289"/>
      <c r="UM16" s="289"/>
      <c r="UN16" s="289"/>
      <c r="UO16" s="289"/>
      <c r="UP16" s="289"/>
      <c r="UQ16" s="289"/>
      <c r="UR16" s="289"/>
      <c r="US16" s="289"/>
      <c r="UT16" s="289"/>
      <c r="UU16" s="289"/>
      <c r="UV16" s="289"/>
      <c r="UW16" s="289"/>
      <c r="UX16" s="289"/>
      <c r="UY16" s="289"/>
      <c r="UZ16" s="289"/>
      <c r="VA16" s="289"/>
      <c r="VB16" s="289"/>
      <c r="VC16" s="289"/>
      <c r="VD16" s="289"/>
      <c r="VE16" s="289"/>
      <c r="VF16" s="289"/>
      <c r="VG16" s="289"/>
      <c r="VH16" s="289"/>
      <c r="VI16" s="289"/>
      <c r="VJ16" s="289"/>
      <c r="VK16" s="289"/>
      <c r="VL16" s="289"/>
      <c r="VM16" s="289"/>
      <c r="VN16" s="289"/>
      <c r="VO16" s="289"/>
      <c r="VP16" s="289"/>
      <c r="VQ16" s="289"/>
      <c r="VR16" s="289"/>
      <c r="VS16" s="289"/>
      <c r="VT16" s="289"/>
      <c r="VU16" s="289"/>
      <c r="VV16" s="289"/>
      <c r="VW16" s="289"/>
      <c r="VX16" s="289"/>
      <c r="VY16" s="289"/>
      <c r="VZ16" s="289"/>
      <c r="WA16" s="289"/>
      <c r="WB16" s="289"/>
      <c r="WC16" s="289"/>
      <c r="WD16" s="289"/>
      <c r="WE16" s="289"/>
      <c r="WF16" s="289"/>
      <c r="WG16" s="289"/>
      <c r="WH16" s="289"/>
      <c r="WI16" s="289"/>
      <c r="WJ16" s="289"/>
      <c r="WK16" s="289"/>
      <c r="WL16" s="289"/>
      <c r="WM16" s="289"/>
      <c r="WN16" s="289"/>
      <c r="WO16" s="289"/>
      <c r="WP16" s="289"/>
      <c r="WQ16" s="289"/>
      <c r="WR16" s="289"/>
      <c r="WS16" s="289"/>
      <c r="WT16" s="289"/>
      <c r="WU16" s="289"/>
      <c r="WV16" s="289"/>
      <c r="WW16" s="289"/>
      <c r="WX16" s="289"/>
      <c r="WY16" s="289"/>
      <c r="WZ16" s="289"/>
      <c r="XA16" s="289"/>
      <c r="XB16" s="289"/>
      <c r="XC16" s="289"/>
      <c r="XD16" s="289"/>
      <c r="XE16" s="289"/>
      <c r="XF16" s="289"/>
      <c r="XG16" s="289"/>
      <c r="XH16" s="289"/>
      <c r="XI16" s="289"/>
      <c r="XJ16" s="289"/>
      <c r="XK16" s="289"/>
      <c r="XL16" s="289"/>
      <c r="XM16" s="289"/>
      <c r="XN16" s="289"/>
      <c r="XO16" s="289"/>
      <c r="XP16" s="289"/>
      <c r="XQ16" s="289"/>
      <c r="XR16" s="289"/>
      <c r="XS16" s="289"/>
      <c r="XT16" s="289"/>
      <c r="XU16" s="289"/>
      <c r="XV16" s="289"/>
      <c r="XW16" s="289"/>
      <c r="XX16" s="289"/>
      <c r="XY16" s="289"/>
      <c r="XZ16" s="289"/>
      <c r="YA16" s="289"/>
      <c r="YB16" s="289"/>
      <c r="YC16" s="289"/>
      <c r="YD16" s="289"/>
      <c r="YE16" s="289"/>
      <c r="YF16" s="289"/>
      <c r="YG16" s="289"/>
      <c r="YH16" s="289"/>
      <c r="YI16" s="289"/>
      <c r="YJ16" s="289"/>
      <c r="YK16" s="289"/>
      <c r="YL16" s="289"/>
      <c r="YM16" s="289"/>
      <c r="YN16" s="289"/>
      <c r="YO16" s="289"/>
      <c r="YP16" s="289"/>
      <c r="YQ16" s="289"/>
      <c r="YR16" s="289"/>
      <c r="YS16" s="289"/>
      <c r="YT16" s="289"/>
      <c r="YU16" s="289"/>
      <c r="YV16" s="289"/>
      <c r="YW16" s="289"/>
      <c r="YX16" s="289"/>
      <c r="YY16" s="289"/>
      <c r="YZ16" s="289"/>
      <c r="ZA16" s="289"/>
      <c r="ZB16" s="289"/>
      <c r="ZC16" s="289"/>
      <c r="ZD16" s="289"/>
      <c r="ZE16" s="289"/>
      <c r="ZF16" s="289"/>
      <c r="ZG16" s="289"/>
      <c r="ZH16" s="289"/>
      <c r="ZI16" s="289"/>
      <c r="ZJ16" s="289"/>
      <c r="ZK16" s="289"/>
      <c r="ZL16" s="289"/>
      <c r="ZM16" s="289"/>
      <c r="ZN16" s="289"/>
      <c r="ZO16" s="289"/>
      <c r="ZP16" s="289"/>
      <c r="ZQ16" s="289"/>
      <c r="ZR16" s="289"/>
      <c r="ZS16" s="289"/>
      <c r="ZT16" s="289"/>
      <c r="ZU16" s="289"/>
      <c r="ZV16" s="289"/>
      <c r="ZW16" s="289"/>
      <c r="ZX16" s="289"/>
      <c r="ZY16" s="289"/>
      <c r="ZZ16" s="289"/>
      <c r="AAA16" s="289"/>
      <c r="AAB16" s="289"/>
      <c r="AAC16" s="289"/>
      <c r="AAD16" s="289"/>
      <c r="AAE16" s="289"/>
      <c r="AAF16" s="289"/>
      <c r="AAG16" s="289"/>
      <c r="AAH16" s="289"/>
      <c r="AAI16" s="289"/>
      <c r="AAJ16" s="289"/>
      <c r="AAK16" s="289"/>
      <c r="AAL16" s="289"/>
      <c r="AAM16" s="289"/>
      <c r="AAN16" s="289"/>
      <c r="AAO16" s="289"/>
      <c r="AAP16" s="289"/>
      <c r="AAQ16" s="289"/>
      <c r="AAR16" s="289"/>
      <c r="AAS16" s="289"/>
      <c r="AAT16" s="289"/>
      <c r="AAU16" s="289"/>
      <c r="AAV16" s="289"/>
      <c r="AAW16" s="289"/>
      <c r="AAX16" s="289"/>
      <c r="AAY16" s="289"/>
      <c r="AAZ16" s="289"/>
      <c r="ABA16" s="289"/>
      <c r="ABB16" s="289"/>
      <c r="ABC16" s="289"/>
      <c r="ABD16" s="289"/>
      <c r="ABE16" s="289"/>
      <c r="ABF16" s="289"/>
      <c r="ABG16" s="289"/>
      <c r="ABH16" s="289"/>
      <c r="ABI16" s="289"/>
      <c r="ABJ16" s="289"/>
      <c r="ABK16" s="289"/>
      <c r="ABL16" s="289"/>
      <c r="ABM16" s="289"/>
      <c r="ABN16" s="289"/>
      <c r="ABO16" s="289"/>
      <c r="ABP16" s="289"/>
      <c r="ABQ16" s="289"/>
      <c r="ABR16" s="289"/>
      <c r="ABS16" s="289"/>
      <c r="ABT16" s="289"/>
      <c r="ABU16" s="289"/>
      <c r="ABV16" s="289"/>
      <c r="ABW16" s="289"/>
      <c r="ABX16" s="289"/>
      <c r="ABY16" s="289"/>
      <c r="ABZ16" s="289"/>
      <c r="ACA16" s="289"/>
      <c r="ACB16" s="289"/>
      <c r="ACC16" s="289"/>
      <c r="ACD16" s="289"/>
      <c r="ACE16" s="289"/>
      <c r="ACF16" s="289"/>
      <c r="ACG16" s="289"/>
      <c r="ACH16" s="289"/>
      <c r="ACI16" s="289"/>
      <c r="ACJ16" s="289"/>
      <c r="ACK16" s="289"/>
      <c r="ACL16" s="289"/>
      <c r="ACM16" s="289"/>
      <c r="ACN16" s="289"/>
      <c r="ACO16" s="289"/>
      <c r="ACP16" s="289"/>
      <c r="ACQ16" s="289"/>
      <c r="ACR16" s="289"/>
      <c r="ACS16" s="289"/>
      <c r="ACT16" s="289"/>
      <c r="ACU16" s="289"/>
      <c r="ACV16" s="289"/>
      <c r="ACW16" s="289"/>
      <c r="ACX16" s="289"/>
      <c r="ACY16" s="289"/>
      <c r="ACZ16" s="289"/>
      <c r="ADA16" s="289"/>
      <c r="ADB16" s="289"/>
      <c r="ADC16" s="289"/>
      <c r="ADD16" s="289"/>
      <c r="ADE16" s="289"/>
      <c r="ADF16" s="289"/>
      <c r="ADG16" s="289"/>
      <c r="ADH16" s="289"/>
      <c r="ADI16" s="289"/>
      <c r="ADJ16" s="289"/>
      <c r="ADK16" s="289"/>
      <c r="ADL16" s="289"/>
      <c r="ADM16" s="289"/>
      <c r="ADN16" s="289"/>
      <c r="ADO16" s="289"/>
      <c r="ADP16" s="289"/>
      <c r="ADQ16" s="289"/>
      <c r="ADR16" s="289"/>
      <c r="ADS16" s="289"/>
      <c r="ADT16" s="289"/>
      <c r="ADU16" s="289"/>
      <c r="ADV16" s="289"/>
      <c r="ADW16" s="289"/>
      <c r="ADX16" s="289"/>
      <c r="ADY16" s="289"/>
      <c r="ADZ16" s="289"/>
      <c r="AEA16" s="289"/>
      <c r="AEB16" s="289"/>
      <c r="AEC16" s="289"/>
      <c r="AED16" s="289"/>
      <c r="AEE16" s="289"/>
      <c r="AEF16" s="289"/>
      <c r="AEG16" s="289"/>
      <c r="AEH16" s="289"/>
      <c r="AEI16" s="289"/>
      <c r="AEJ16" s="289"/>
      <c r="AEK16" s="289"/>
      <c r="AEL16" s="289"/>
      <c r="AEM16" s="289"/>
      <c r="AEN16" s="289"/>
      <c r="AEO16" s="289"/>
      <c r="AEP16" s="289"/>
      <c r="AEQ16" s="289"/>
      <c r="AER16" s="289"/>
      <c r="AES16" s="289"/>
      <c r="AET16" s="289"/>
      <c r="AEU16" s="289"/>
      <c r="AEV16" s="289"/>
      <c r="AEW16" s="289"/>
      <c r="AEX16" s="289"/>
      <c r="AEY16" s="289"/>
      <c r="AEZ16" s="289"/>
      <c r="AFA16" s="289"/>
      <c r="AFB16" s="289"/>
      <c r="AFC16" s="289"/>
      <c r="AFD16" s="289"/>
      <c r="AFE16" s="289"/>
      <c r="AFF16" s="289"/>
      <c r="AFG16" s="289"/>
      <c r="AFH16" s="289"/>
      <c r="AFI16" s="289"/>
      <c r="AFJ16" s="289"/>
      <c r="AFK16" s="289"/>
      <c r="AFL16" s="289"/>
      <c r="AFM16" s="289"/>
      <c r="AFN16" s="289"/>
      <c r="AFO16" s="289"/>
      <c r="AFP16" s="289"/>
      <c r="AFQ16" s="289"/>
      <c r="AFR16" s="289"/>
      <c r="AFS16" s="289"/>
      <c r="AFT16" s="289"/>
      <c r="AFU16" s="289"/>
      <c r="AFV16" s="289"/>
      <c r="AFW16" s="289"/>
      <c r="AFX16" s="289"/>
      <c r="AFY16" s="289"/>
      <c r="AFZ16" s="289"/>
      <c r="AGA16" s="289"/>
      <c r="AGB16" s="289"/>
      <c r="AGC16" s="289"/>
      <c r="AGD16" s="289"/>
      <c r="AGE16" s="289"/>
      <c r="AGF16" s="289"/>
      <c r="AGG16" s="289"/>
      <c r="AGH16" s="289"/>
      <c r="AGI16" s="289"/>
      <c r="AGJ16" s="289"/>
      <c r="AGK16" s="289"/>
      <c r="AGL16" s="289"/>
      <c r="AGM16" s="289"/>
      <c r="AGN16" s="289"/>
      <c r="AGO16" s="289"/>
      <c r="AGP16" s="289"/>
      <c r="AGQ16" s="289"/>
      <c r="AGR16" s="289"/>
      <c r="AGS16" s="289"/>
      <c r="AGT16" s="289"/>
      <c r="AGU16" s="289"/>
      <c r="AGV16" s="289"/>
      <c r="AGW16" s="289"/>
      <c r="AGX16" s="289"/>
      <c r="AGY16" s="289"/>
      <c r="AGZ16" s="289"/>
      <c r="AHA16" s="289"/>
      <c r="AHB16" s="289"/>
      <c r="AHC16" s="289"/>
      <c r="AHD16" s="289"/>
      <c r="AHE16" s="289"/>
      <c r="AHF16" s="289"/>
      <c r="AHG16" s="289"/>
      <c r="AHH16" s="289"/>
      <c r="AHI16" s="289"/>
      <c r="AHJ16" s="289"/>
      <c r="AHK16" s="289"/>
      <c r="AHL16" s="289"/>
      <c r="AHM16" s="289"/>
      <c r="AHN16" s="289"/>
      <c r="AHO16" s="289"/>
      <c r="AHP16" s="289"/>
      <c r="AHQ16" s="289"/>
      <c r="AHR16" s="289"/>
      <c r="AHS16" s="289"/>
      <c r="AHT16" s="289"/>
      <c r="AHU16" s="289"/>
      <c r="AHV16" s="289"/>
      <c r="AHW16" s="289"/>
      <c r="AHX16" s="289"/>
      <c r="AHY16" s="289"/>
      <c r="AHZ16" s="289"/>
      <c r="AIA16" s="289"/>
      <c r="AIB16" s="289"/>
      <c r="AIC16" s="289"/>
      <c r="AID16" s="289"/>
      <c r="AIE16" s="289"/>
      <c r="AIF16" s="289"/>
      <c r="AIG16" s="289"/>
      <c r="AIH16" s="289"/>
      <c r="AII16" s="289"/>
      <c r="AIJ16" s="289"/>
      <c r="AIK16" s="289"/>
      <c r="AIL16" s="289"/>
      <c r="AIM16" s="289"/>
      <c r="AIN16" s="289"/>
      <c r="AIO16" s="289"/>
      <c r="AIP16" s="289"/>
      <c r="AIQ16" s="289"/>
      <c r="AIR16" s="289"/>
      <c r="AIS16" s="289"/>
      <c r="AIT16" s="289"/>
      <c r="AIU16" s="289"/>
      <c r="AIV16" s="289"/>
      <c r="AIW16" s="289"/>
      <c r="AIX16" s="289"/>
      <c r="AIY16" s="289"/>
      <c r="AIZ16" s="289"/>
      <c r="AJA16" s="289"/>
      <c r="AJB16" s="289"/>
      <c r="AJC16" s="289"/>
      <c r="AJD16" s="289"/>
      <c r="AJE16" s="289"/>
      <c r="AJF16" s="289"/>
      <c r="AJG16" s="289"/>
      <c r="AJH16" s="289"/>
      <c r="AJI16" s="289"/>
      <c r="AJJ16" s="289"/>
      <c r="AJK16" s="289"/>
      <c r="AJL16" s="289"/>
      <c r="AJM16" s="289"/>
      <c r="AJN16" s="289"/>
      <c r="AJO16" s="289"/>
      <c r="AJP16" s="289"/>
      <c r="AJQ16" s="289"/>
      <c r="AJR16" s="289"/>
      <c r="AJS16" s="289"/>
      <c r="AJT16" s="289"/>
      <c r="AJU16" s="289"/>
      <c r="AJV16" s="289"/>
      <c r="AJW16" s="289"/>
      <c r="AJX16" s="289"/>
      <c r="AJY16" s="289"/>
      <c r="AJZ16" s="289"/>
      <c r="AKA16" s="289"/>
      <c r="AKB16" s="289"/>
      <c r="AKC16" s="289"/>
      <c r="AKD16" s="289"/>
      <c r="AKE16" s="289"/>
      <c r="AKF16" s="289"/>
      <c r="AKG16" s="289"/>
      <c r="AKH16" s="289"/>
      <c r="AKI16" s="289"/>
      <c r="AKJ16" s="289"/>
      <c r="AKK16" s="289"/>
      <c r="AKL16" s="289"/>
      <c r="AKM16" s="289"/>
      <c r="AKN16" s="289"/>
      <c r="AKO16" s="289"/>
      <c r="AKP16" s="289"/>
      <c r="AKQ16" s="289"/>
      <c r="AKR16" s="289"/>
      <c r="AKS16" s="289"/>
      <c r="AKT16" s="289"/>
      <c r="AKU16" s="289"/>
      <c r="AKV16" s="289"/>
      <c r="AKW16" s="289"/>
      <c r="AKX16" s="289"/>
      <c r="AKY16" s="289"/>
      <c r="AKZ16" s="289"/>
      <c r="ALA16" s="289"/>
      <c r="ALB16" s="289"/>
      <c r="ALC16" s="289"/>
      <c r="ALD16" s="289"/>
      <c r="ALE16" s="289"/>
      <c r="ALF16" s="289"/>
      <c r="ALG16" s="289"/>
      <c r="ALH16" s="289"/>
      <c r="ALI16" s="289"/>
      <c r="ALJ16" s="289"/>
      <c r="ALK16" s="289"/>
      <c r="ALL16" s="289"/>
      <c r="ALM16" s="289"/>
      <c r="ALN16" s="289"/>
      <c r="ALO16" s="289"/>
      <c r="ALP16" s="289"/>
      <c r="ALQ16" s="289"/>
      <c r="ALR16" s="289"/>
      <c r="ALS16" s="289"/>
      <c r="ALT16" s="289"/>
      <c r="ALU16" s="289"/>
      <c r="ALV16" s="289"/>
      <c r="ALW16" s="289"/>
      <c r="ALX16" s="289"/>
      <c r="ALY16" s="289"/>
      <c r="ALZ16" s="289"/>
      <c r="AMA16" s="289"/>
      <c r="AMB16" s="289"/>
      <c r="AMC16" s="289"/>
      <c r="AMD16" s="289"/>
      <c r="AME16" s="289"/>
      <c r="AMF16" s="289"/>
      <c r="AMG16" s="289"/>
      <c r="AMH16" s="289"/>
      <c r="AMI16" s="289"/>
      <c r="AMJ16" s="289"/>
      <c r="AMK16" s="289"/>
      <c r="AML16" s="289"/>
      <c r="AMM16" s="289"/>
      <c r="AMN16" s="289"/>
      <c r="AMO16" s="289"/>
      <c r="AMP16" s="289"/>
      <c r="AMQ16" s="289"/>
      <c r="AMR16" s="289"/>
      <c r="AMS16" s="289"/>
      <c r="AMT16" s="289"/>
      <c r="AMU16" s="289"/>
      <c r="AMV16" s="289"/>
      <c r="AMW16" s="289"/>
      <c r="AMX16" s="289"/>
      <c r="AMY16" s="289"/>
      <c r="AMZ16" s="289"/>
      <c r="ANA16" s="289"/>
      <c r="ANB16" s="289"/>
      <c r="ANC16" s="289"/>
      <c r="AND16" s="289"/>
      <c r="ANE16" s="289"/>
      <c r="ANF16" s="289"/>
      <c r="ANG16" s="289"/>
      <c r="ANH16" s="289"/>
      <c r="ANI16" s="289"/>
      <c r="ANJ16" s="289"/>
      <c r="ANK16" s="289"/>
      <c r="ANL16" s="289"/>
      <c r="ANM16" s="289"/>
      <c r="ANN16" s="289"/>
      <c r="ANO16" s="289"/>
      <c r="ANP16" s="289"/>
      <c r="ANQ16" s="289"/>
      <c r="ANR16" s="289"/>
      <c r="ANS16" s="289"/>
      <c r="ANT16" s="289"/>
      <c r="ANU16" s="289"/>
      <c r="ANV16" s="289"/>
      <c r="ANW16" s="289"/>
      <c r="ANX16" s="289"/>
      <c r="ANY16" s="289"/>
      <c r="ANZ16" s="289"/>
      <c r="AOA16" s="289"/>
      <c r="AOB16" s="289"/>
      <c r="AOC16" s="289"/>
      <c r="AOD16" s="289"/>
      <c r="AOE16" s="289"/>
      <c r="AOF16" s="289"/>
      <c r="AOG16" s="289"/>
      <c r="AOH16" s="289"/>
      <c r="AOI16" s="289"/>
      <c r="AOJ16" s="289"/>
      <c r="AOK16" s="289"/>
      <c r="AOL16" s="289"/>
      <c r="AOM16" s="289"/>
      <c r="AON16" s="289"/>
      <c r="AOO16" s="289"/>
      <c r="AOP16" s="289"/>
      <c r="AOQ16" s="289"/>
      <c r="AOR16" s="289"/>
      <c r="AOS16" s="289"/>
      <c r="AOT16" s="289"/>
      <c r="AOU16" s="289"/>
      <c r="AOV16" s="289"/>
      <c r="AOW16" s="289"/>
      <c r="AOX16" s="289"/>
      <c r="AOY16" s="289"/>
      <c r="AOZ16" s="289"/>
      <c r="APA16" s="289"/>
      <c r="APB16" s="289"/>
      <c r="APC16" s="289"/>
      <c r="APD16" s="289"/>
      <c r="APE16" s="289"/>
      <c r="APF16" s="289"/>
      <c r="APG16" s="289"/>
      <c r="APH16" s="289"/>
      <c r="API16" s="289"/>
      <c r="APJ16" s="289"/>
      <c r="APK16" s="289"/>
      <c r="APL16" s="289"/>
      <c r="APM16" s="289"/>
      <c r="APN16" s="289"/>
      <c r="APO16" s="289"/>
      <c r="APP16" s="289"/>
      <c r="APQ16" s="289"/>
      <c r="APR16" s="289"/>
      <c r="APS16" s="289"/>
      <c r="APT16" s="289"/>
      <c r="APU16" s="289"/>
      <c r="APV16" s="289"/>
      <c r="APW16" s="289"/>
      <c r="APX16" s="289"/>
      <c r="APY16" s="289"/>
      <c r="APZ16" s="289"/>
      <c r="AQA16" s="289"/>
      <c r="AQB16" s="289"/>
      <c r="AQC16" s="289"/>
      <c r="AQD16" s="289"/>
      <c r="AQE16" s="289"/>
      <c r="AQF16" s="289"/>
      <c r="AQG16" s="289"/>
      <c r="AQH16" s="289"/>
      <c r="AQI16" s="289"/>
      <c r="AQJ16" s="289"/>
      <c r="AQK16" s="289"/>
      <c r="AQL16" s="289"/>
      <c r="AQM16" s="289"/>
      <c r="AQN16" s="289"/>
      <c r="AQO16" s="289"/>
      <c r="AQP16" s="289"/>
      <c r="AQQ16" s="289"/>
      <c r="AQR16" s="289"/>
      <c r="AQS16" s="289"/>
      <c r="AQT16" s="289"/>
      <c r="AQU16" s="289"/>
      <c r="AQV16" s="289"/>
      <c r="AQW16" s="289"/>
      <c r="AQX16" s="289"/>
      <c r="AQY16" s="289"/>
      <c r="AQZ16" s="289"/>
      <c r="ARA16" s="289"/>
      <c r="ARB16" s="289"/>
      <c r="ARC16" s="289"/>
      <c r="ARD16" s="289"/>
      <c r="ARE16" s="289"/>
      <c r="ARF16" s="289"/>
      <c r="ARG16" s="289"/>
      <c r="ARH16" s="289"/>
      <c r="ARI16" s="289"/>
      <c r="ARJ16" s="289"/>
      <c r="ARK16" s="289"/>
      <c r="ARL16" s="289"/>
      <c r="ARM16" s="289"/>
      <c r="ARN16" s="289"/>
      <c r="ARO16" s="289"/>
      <c r="ARP16" s="289"/>
      <c r="ARQ16" s="289"/>
      <c r="ARR16" s="289"/>
      <c r="ARS16" s="289"/>
      <c r="ART16" s="289"/>
      <c r="ARU16" s="289"/>
      <c r="ARV16" s="289"/>
      <c r="ARW16" s="289"/>
      <c r="ARX16" s="289"/>
      <c r="ARY16" s="289"/>
      <c r="ARZ16" s="289"/>
      <c r="ASA16" s="289"/>
      <c r="ASB16" s="289"/>
      <c r="ASC16" s="289"/>
      <c r="ASD16" s="289"/>
      <c r="ASE16" s="289"/>
      <c r="ASF16" s="289"/>
      <c r="ASG16" s="289"/>
      <c r="ASH16" s="289"/>
      <c r="ASI16" s="289"/>
      <c r="ASJ16" s="289"/>
      <c r="ASK16" s="289"/>
      <c r="ASL16" s="289"/>
      <c r="ASM16" s="289"/>
      <c r="ASN16" s="289"/>
      <c r="ASO16" s="289"/>
      <c r="ASP16" s="289"/>
      <c r="ASQ16" s="289"/>
      <c r="ASR16" s="289"/>
      <c r="ASS16" s="289"/>
      <c r="AST16" s="289"/>
      <c r="ASU16" s="289"/>
      <c r="ASV16" s="289"/>
      <c r="ASW16" s="289"/>
      <c r="ASX16" s="289"/>
      <c r="ASY16" s="289"/>
      <c r="ASZ16" s="289"/>
      <c r="ATA16" s="289"/>
      <c r="ATB16" s="289"/>
      <c r="ATC16" s="289"/>
      <c r="ATD16" s="289"/>
      <c r="ATE16" s="289"/>
      <c r="ATF16" s="289"/>
      <c r="ATG16" s="289"/>
      <c r="ATH16" s="289"/>
      <c r="ATI16" s="289"/>
      <c r="ATJ16" s="289"/>
      <c r="ATK16" s="289"/>
      <c r="ATL16" s="289"/>
      <c r="ATM16" s="289"/>
      <c r="ATN16" s="289"/>
      <c r="ATO16" s="289"/>
      <c r="ATP16" s="289"/>
      <c r="ATQ16" s="289"/>
      <c r="ATR16" s="289"/>
      <c r="ATS16" s="289"/>
      <c r="ATT16" s="289"/>
      <c r="ATU16" s="289"/>
      <c r="ATV16" s="289"/>
      <c r="ATW16" s="289"/>
      <c r="ATX16" s="289"/>
      <c r="ATY16" s="289"/>
      <c r="ATZ16" s="289"/>
      <c r="AUA16" s="289"/>
      <c r="AUB16" s="289"/>
      <c r="AUC16" s="289"/>
      <c r="AUD16" s="289"/>
      <c r="AUE16" s="289"/>
      <c r="AUF16" s="289"/>
      <c r="AUG16" s="289"/>
      <c r="AUH16" s="289"/>
      <c r="AUI16" s="289"/>
      <c r="AUJ16" s="289"/>
      <c r="AUK16" s="289"/>
      <c r="AUL16" s="289"/>
      <c r="AUM16" s="289"/>
      <c r="AUN16" s="289"/>
      <c r="AUO16" s="289"/>
      <c r="AUP16" s="289"/>
      <c r="AUQ16" s="289"/>
      <c r="AUR16" s="289"/>
      <c r="AUS16" s="289"/>
      <c r="AUT16" s="289"/>
      <c r="AUU16" s="289"/>
      <c r="AUV16" s="289"/>
      <c r="AUW16" s="289"/>
      <c r="AUX16" s="289"/>
      <c r="AUY16" s="289"/>
      <c r="AUZ16" s="289"/>
      <c r="AVA16" s="289"/>
      <c r="AVB16" s="289"/>
      <c r="AVC16" s="289"/>
      <c r="AVD16" s="289"/>
      <c r="AVE16" s="289"/>
      <c r="AVF16" s="289"/>
      <c r="AVG16" s="289"/>
      <c r="AVH16" s="289"/>
      <c r="AVI16" s="289"/>
      <c r="AVJ16" s="289"/>
      <c r="AVK16" s="289"/>
      <c r="AVL16" s="289"/>
      <c r="AVM16" s="289"/>
      <c r="AVN16" s="289"/>
      <c r="AVO16" s="289"/>
      <c r="AVP16" s="289"/>
      <c r="AVQ16" s="289"/>
      <c r="AVR16" s="289"/>
      <c r="AVS16" s="289"/>
      <c r="AVT16" s="289"/>
      <c r="AVU16" s="289"/>
      <c r="AVV16" s="289"/>
      <c r="AVW16" s="289"/>
      <c r="AVX16" s="289"/>
      <c r="AVY16" s="289"/>
      <c r="AVZ16" s="289"/>
      <c r="AWA16" s="289"/>
      <c r="AWB16" s="289"/>
      <c r="AWC16" s="289"/>
      <c r="AWD16" s="289"/>
      <c r="AWE16" s="289"/>
      <c r="AWF16" s="289"/>
      <c r="AWG16" s="289"/>
      <c r="AWH16" s="289"/>
      <c r="AWI16" s="289"/>
      <c r="AWJ16" s="289"/>
      <c r="AWK16" s="289"/>
      <c r="AWL16" s="289"/>
      <c r="AWM16" s="289"/>
      <c r="AWN16" s="289"/>
      <c r="AWO16" s="289"/>
      <c r="AWP16" s="289"/>
      <c r="AWQ16" s="289"/>
      <c r="AWR16" s="289"/>
      <c r="AWS16" s="289"/>
      <c r="AWT16" s="289"/>
      <c r="AWU16" s="289"/>
      <c r="AWV16" s="289"/>
      <c r="AWW16" s="289"/>
      <c r="AWX16" s="289"/>
      <c r="AWY16" s="289"/>
      <c r="AWZ16" s="289"/>
      <c r="AXA16" s="289"/>
      <c r="AXB16" s="289"/>
      <c r="AXC16" s="289"/>
      <c r="AXD16" s="289"/>
      <c r="AXE16" s="289"/>
      <c r="AXF16" s="289"/>
      <c r="AXG16" s="289"/>
      <c r="AXH16" s="289"/>
      <c r="AXI16" s="289"/>
      <c r="AXJ16" s="289"/>
      <c r="AXK16" s="289"/>
      <c r="AXL16" s="289"/>
      <c r="AXM16" s="289"/>
      <c r="AXN16" s="289"/>
      <c r="AXO16" s="289"/>
      <c r="AXP16" s="289"/>
      <c r="AXQ16" s="289"/>
      <c r="AXR16" s="289"/>
      <c r="AXS16" s="289"/>
      <c r="AXT16" s="289"/>
      <c r="AXU16" s="289"/>
      <c r="AXV16" s="289"/>
      <c r="AXW16" s="289"/>
      <c r="AXX16" s="289"/>
      <c r="AXY16" s="289"/>
      <c r="AXZ16" s="289"/>
      <c r="AYA16" s="289"/>
      <c r="AYB16" s="289"/>
      <c r="AYC16" s="289"/>
      <c r="AYD16" s="289"/>
      <c r="AYE16" s="289"/>
      <c r="AYF16" s="289"/>
      <c r="AYG16" s="289"/>
      <c r="AYH16" s="289"/>
      <c r="AYI16" s="289"/>
      <c r="AYJ16" s="289"/>
      <c r="AYK16" s="289"/>
      <c r="AYL16" s="289"/>
      <c r="AYM16" s="289"/>
      <c r="AYN16" s="289"/>
      <c r="AYO16" s="289"/>
      <c r="AYP16" s="289"/>
      <c r="AYQ16" s="289"/>
      <c r="AYR16" s="289"/>
      <c r="AYS16" s="289"/>
      <c r="AYT16" s="289"/>
      <c r="AYU16" s="289"/>
      <c r="AYV16" s="289"/>
      <c r="AYW16" s="289"/>
      <c r="AYX16" s="289"/>
      <c r="AYY16" s="289"/>
      <c r="AYZ16" s="289"/>
      <c r="AZA16" s="289"/>
      <c r="AZB16" s="289"/>
      <c r="AZC16" s="289"/>
      <c r="AZD16" s="289"/>
      <c r="AZE16" s="289"/>
      <c r="AZF16" s="289"/>
      <c r="AZG16" s="289"/>
      <c r="AZH16" s="289"/>
      <c r="AZI16" s="289"/>
      <c r="AZJ16" s="289"/>
      <c r="AZK16" s="289"/>
      <c r="AZL16" s="289"/>
      <c r="AZM16" s="289"/>
      <c r="AZN16" s="289"/>
      <c r="AZO16" s="289"/>
      <c r="AZP16" s="289"/>
      <c r="AZQ16" s="289"/>
      <c r="AZR16" s="289"/>
      <c r="AZS16" s="289"/>
      <c r="AZT16" s="289"/>
      <c r="AZU16" s="289"/>
      <c r="AZV16" s="289"/>
      <c r="AZW16" s="289"/>
      <c r="AZX16" s="289"/>
      <c r="AZY16" s="289"/>
      <c r="AZZ16" s="289"/>
      <c r="BAA16" s="289"/>
      <c r="BAB16" s="289"/>
      <c r="BAC16" s="289"/>
      <c r="BAD16" s="289"/>
      <c r="BAE16" s="289"/>
      <c r="BAF16" s="289"/>
      <c r="BAG16" s="289"/>
      <c r="BAH16" s="289"/>
      <c r="BAI16" s="289"/>
      <c r="BAJ16" s="289"/>
      <c r="BAK16" s="289"/>
      <c r="BAL16" s="289"/>
      <c r="BAM16" s="289"/>
      <c r="BAN16" s="289"/>
      <c r="BAO16" s="289"/>
      <c r="BAP16" s="289"/>
      <c r="BAQ16" s="289"/>
      <c r="BAR16" s="289"/>
      <c r="BAS16" s="289"/>
      <c r="BAT16" s="289"/>
      <c r="BAU16" s="289"/>
      <c r="BAV16" s="289"/>
      <c r="BAW16" s="289"/>
      <c r="BAX16" s="289"/>
      <c r="BAY16" s="289"/>
      <c r="BAZ16" s="289"/>
      <c r="BBA16" s="289"/>
      <c r="BBB16" s="289"/>
      <c r="BBC16" s="289"/>
      <c r="BBD16" s="289"/>
      <c r="BBE16" s="289"/>
      <c r="BBF16" s="289"/>
      <c r="BBG16" s="289"/>
      <c r="BBH16" s="289"/>
      <c r="BBI16" s="289"/>
      <c r="BBJ16" s="289"/>
      <c r="BBK16" s="289"/>
      <c r="BBL16" s="289"/>
      <c r="BBM16" s="289"/>
      <c r="BBN16" s="289"/>
      <c r="BBO16" s="289"/>
      <c r="BBP16" s="289"/>
      <c r="BBQ16" s="289"/>
      <c r="BBR16" s="289"/>
      <c r="BBS16" s="289"/>
      <c r="BBT16" s="289"/>
      <c r="BBU16" s="289"/>
      <c r="BBV16" s="289"/>
      <c r="BBW16" s="289"/>
      <c r="BBX16" s="289"/>
      <c r="BBY16" s="289"/>
      <c r="BBZ16" s="289"/>
      <c r="BCA16" s="289"/>
      <c r="BCB16" s="289"/>
      <c r="BCC16" s="289"/>
      <c r="BCD16" s="289"/>
      <c r="BCE16" s="289"/>
      <c r="BCF16" s="289"/>
      <c r="BCG16" s="289"/>
      <c r="BCH16" s="289"/>
      <c r="BCI16" s="289"/>
      <c r="BCJ16" s="289"/>
      <c r="BCK16" s="289"/>
      <c r="BCL16" s="289"/>
      <c r="BCM16" s="289"/>
      <c r="BCN16" s="289"/>
      <c r="BCO16" s="289"/>
      <c r="BCP16" s="289"/>
      <c r="BCQ16" s="289"/>
      <c r="BCR16" s="289"/>
      <c r="BCS16" s="289"/>
      <c r="BCT16" s="289"/>
      <c r="BCU16" s="289"/>
      <c r="BCV16" s="289"/>
      <c r="BCW16" s="289"/>
      <c r="BCX16" s="289"/>
      <c r="BCY16" s="289"/>
      <c r="BCZ16" s="289"/>
      <c r="BDA16" s="289"/>
      <c r="BDB16" s="289"/>
      <c r="BDC16" s="289"/>
      <c r="BDD16" s="289"/>
      <c r="BDE16" s="289"/>
      <c r="BDF16" s="289"/>
      <c r="BDG16" s="289"/>
      <c r="BDH16" s="289"/>
      <c r="BDI16" s="289"/>
      <c r="BDJ16" s="289"/>
      <c r="BDK16" s="289"/>
      <c r="BDL16" s="289"/>
      <c r="BDM16" s="289"/>
      <c r="BDN16" s="289"/>
      <c r="BDO16" s="289"/>
      <c r="BDP16" s="289"/>
      <c r="BDQ16" s="289"/>
      <c r="BDR16" s="289"/>
      <c r="BDS16" s="289"/>
      <c r="BDT16" s="289"/>
      <c r="BDU16" s="289"/>
      <c r="BDV16" s="289"/>
      <c r="BDW16" s="289"/>
      <c r="BDX16" s="289"/>
      <c r="BDY16" s="289"/>
      <c r="BDZ16" s="289"/>
      <c r="BEA16" s="289"/>
      <c r="BEB16" s="289"/>
      <c r="BEC16" s="289"/>
      <c r="BED16" s="289"/>
      <c r="BEE16" s="289"/>
      <c r="BEF16" s="289"/>
      <c r="BEG16" s="289"/>
      <c r="BEH16" s="289"/>
      <c r="BEI16" s="289"/>
      <c r="BEJ16" s="289"/>
      <c r="BEK16" s="289"/>
      <c r="BEL16" s="289"/>
      <c r="BEM16" s="289"/>
      <c r="BEN16" s="289"/>
      <c r="BEO16" s="289"/>
      <c r="BEP16" s="289"/>
      <c r="BEQ16" s="289"/>
      <c r="BER16" s="289"/>
      <c r="BES16" s="289"/>
      <c r="BET16" s="289"/>
      <c r="BEU16" s="289"/>
      <c r="BEV16" s="289"/>
      <c r="BEW16" s="289"/>
      <c r="BEX16" s="289"/>
      <c r="BEY16" s="289"/>
      <c r="BEZ16" s="289"/>
      <c r="BFA16" s="289"/>
      <c r="BFB16" s="289"/>
      <c r="BFC16" s="289"/>
      <c r="BFD16" s="289"/>
      <c r="BFE16" s="289"/>
      <c r="BFF16" s="289"/>
      <c r="BFG16" s="289"/>
      <c r="BFH16" s="289"/>
      <c r="BFI16" s="289"/>
      <c r="BFJ16" s="289"/>
      <c r="BFK16" s="289"/>
      <c r="BFL16" s="289"/>
      <c r="BFM16" s="289"/>
      <c r="BFN16" s="289"/>
      <c r="BFO16" s="289"/>
      <c r="BFP16" s="289"/>
      <c r="BFQ16" s="289"/>
      <c r="BFR16" s="289"/>
      <c r="BFS16" s="289"/>
      <c r="BFT16" s="289"/>
      <c r="BFU16" s="289"/>
      <c r="BFV16" s="289"/>
      <c r="BFW16" s="289"/>
      <c r="BFX16" s="289"/>
      <c r="BFY16" s="289"/>
      <c r="BFZ16" s="289"/>
      <c r="BGA16" s="289"/>
      <c r="BGB16" s="289"/>
      <c r="BGC16" s="289"/>
      <c r="BGD16" s="289"/>
      <c r="BGE16" s="289"/>
      <c r="BGF16" s="289"/>
      <c r="BGG16" s="289"/>
      <c r="BGH16" s="289"/>
      <c r="BGI16" s="289"/>
      <c r="BGJ16" s="289"/>
      <c r="BGK16" s="289"/>
      <c r="BGL16" s="289"/>
      <c r="BGM16" s="289"/>
      <c r="BGN16" s="289"/>
      <c r="BGO16" s="289"/>
      <c r="BGP16" s="289"/>
      <c r="BGQ16" s="289"/>
      <c r="BGR16" s="289"/>
      <c r="BGS16" s="289"/>
      <c r="BGT16" s="289"/>
      <c r="BGU16" s="289"/>
      <c r="BGV16" s="289"/>
      <c r="BGW16" s="289"/>
      <c r="BGX16" s="289"/>
      <c r="BGY16" s="289"/>
      <c r="BGZ16" s="289"/>
      <c r="BHA16" s="289"/>
      <c r="BHB16" s="289"/>
      <c r="BHC16" s="289"/>
      <c r="BHD16" s="289"/>
      <c r="BHE16" s="289"/>
      <c r="BHF16" s="289"/>
      <c r="BHG16" s="289"/>
      <c r="BHH16" s="289"/>
      <c r="BHI16" s="289"/>
      <c r="BHJ16" s="289"/>
      <c r="BHK16" s="289"/>
      <c r="BHL16" s="289"/>
      <c r="BHM16" s="289"/>
      <c r="BHN16" s="289"/>
      <c r="BHO16" s="289"/>
      <c r="BHP16" s="289"/>
      <c r="BHQ16" s="289"/>
      <c r="BHR16" s="289"/>
      <c r="BHS16" s="289"/>
      <c r="BHT16" s="289"/>
      <c r="BHU16" s="289"/>
      <c r="BHV16" s="289"/>
      <c r="BHW16" s="289"/>
      <c r="BHX16" s="289"/>
      <c r="BHY16" s="289"/>
      <c r="BHZ16" s="289"/>
      <c r="BIA16" s="289"/>
      <c r="BIB16" s="289"/>
      <c r="BIC16" s="289"/>
      <c r="BID16" s="289"/>
      <c r="BIE16" s="289"/>
      <c r="BIF16" s="289"/>
      <c r="BIG16" s="289"/>
      <c r="BIH16" s="289"/>
      <c r="BII16" s="289"/>
      <c r="BIJ16" s="289"/>
      <c r="BIK16" s="289"/>
      <c r="BIL16" s="289"/>
      <c r="BIM16" s="289"/>
      <c r="BIN16" s="289"/>
      <c r="BIO16" s="289"/>
      <c r="BIP16" s="289"/>
      <c r="BIQ16" s="289"/>
      <c r="BIR16" s="289"/>
      <c r="BIS16" s="289"/>
      <c r="BIT16" s="289"/>
      <c r="BIU16" s="289"/>
      <c r="BIV16" s="289"/>
      <c r="BIW16" s="289"/>
      <c r="BIX16" s="289"/>
      <c r="BIY16" s="289"/>
      <c r="BIZ16" s="289"/>
      <c r="BJA16" s="289"/>
      <c r="BJB16" s="289"/>
      <c r="BJC16" s="289"/>
      <c r="BJD16" s="289"/>
      <c r="BJE16" s="289"/>
      <c r="BJF16" s="289"/>
      <c r="BJG16" s="289"/>
      <c r="BJH16" s="289"/>
      <c r="BJI16" s="289"/>
      <c r="BJJ16" s="289"/>
      <c r="BJK16" s="289"/>
      <c r="BJL16" s="289"/>
      <c r="BJM16" s="289"/>
      <c r="BJN16" s="289"/>
      <c r="BJO16" s="289"/>
      <c r="BJP16" s="289"/>
      <c r="BJQ16" s="289"/>
      <c r="BJR16" s="289"/>
      <c r="BJS16" s="289"/>
      <c r="BJT16" s="289"/>
      <c r="BJU16" s="289"/>
      <c r="BJV16" s="289"/>
      <c r="BJW16" s="289"/>
      <c r="BJX16" s="289"/>
      <c r="BJY16" s="289"/>
      <c r="BJZ16" s="289"/>
      <c r="BKA16" s="289"/>
      <c r="BKB16" s="289"/>
      <c r="BKC16" s="289"/>
      <c r="BKD16" s="289"/>
      <c r="BKE16" s="289"/>
      <c r="BKF16" s="289"/>
      <c r="BKG16" s="289"/>
      <c r="BKH16" s="289"/>
      <c r="BKI16" s="289"/>
      <c r="BKJ16" s="289"/>
      <c r="BKK16" s="289"/>
      <c r="BKL16" s="289"/>
      <c r="BKM16" s="289"/>
      <c r="BKN16" s="289"/>
      <c r="BKO16" s="289"/>
      <c r="BKP16" s="289"/>
      <c r="BKQ16" s="289"/>
      <c r="BKR16" s="289"/>
      <c r="BKS16" s="289"/>
      <c r="BKT16" s="289"/>
      <c r="BKU16" s="289"/>
      <c r="BKV16" s="289"/>
      <c r="BKW16" s="289"/>
      <c r="BKX16" s="289"/>
      <c r="BKY16" s="289"/>
      <c r="BKZ16" s="289"/>
      <c r="BLA16" s="289"/>
      <c r="BLB16" s="289"/>
      <c r="BLC16" s="289"/>
      <c r="BLD16" s="289"/>
      <c r="BLE16" s="289"/>
      <c r="BLF16" s="289"/>
      <c r="BLG16" s="289"/>
      <c r="BLH16" s="289"/>
      <c r="BLI16" s="289"/>
      <c r="BLJ16" s="289"/>
      <c r="BLK16" s="289"/>
      <c r="BLL16" s="289"/>
      <c r="BLM16" s="289"/>
      <c r="BLN16" s="289"/>
      <c r="BLO16" s="289"/>
      <c r="BLP16" s="289"/>
      <c r="BLQ16" s="289"/>
      <c r="BLR16" s="289"/>
      <c r="BLS16" s="289"/>
      <c r="BLT16" s="289"/>
      <c r="BLU16" s="289"/>
      <c r="BLV16" s="289"/>
      <c r="BLW16" s="289"/>
      <c r="BLX16" s="289"/>
      <c r="BLY16" s="289"/>
      <c r="BLZ16" s="289"/>
      <c r="BMA16" s="289"/>
      <c r="BMB16" s="289"/>
      <c r="BMC16" s="289"/>
      <c r="BMD16" s="289"/>
      <c r="BME16" s="289"/>
      <c r="BMF16" s="289"/>
      <c r="BMG16" s="289"/>
      <c r="BMH16" s="289"/>
      <c r="BMI16" s="289"/>
      <c r="BMJ16" s="289"/>
      <c r="BMK16" s="289"/>
      <c r="BML16" s="289"/>
      <c r="BMM16" s="289"/>
      <c r="BMN16" s="289"/>
      <c r="BMO16" s="289"/>
      <c r="BMP16" s="289"/>
      <c r="BMQ16" s="289"/>
      <c r="BMR16" s="289"/>
      <c r="BMS16" s="289"/>
      <c r="BMT16" s="289"/>
      <c r="BMU16" s="289"/>
      <c r="BMV16" s="289"/>
      <c r="BMW16" s="289"/>
      <c r="BMX16" s="289"/>
      <c r="BMY16" s="289"/>
      <c r="BMZ16" s="289"/>
      <c r="BNA16" s="289"/>
      <c r="BNB16" s="289"/>
      <c r="BNC16" s="289"/>
      <c r="BND16" s="289"/>
      <c r="BNE16" s="289"/>
      <c r="BNF16" s="289"/>
      <c r="BNG16" s="289"/>
      <c r="BNH16" s="289"/>
      <c r="BNI16" s="289"/>
      <c r="BNJ16" s="289"/>
      <c r="BNK16" s="289"/>
      <c r="BNL16" s="289"/>
      <c r="BNM16" s="289"/>
      <c r="BNN16" s="289"/>
      <c r="BNO16" s="289"/>
      <c r="BNP16" s="289"/>
      <c r="BNQ16" s="289"/>
      <c r="BNR16" s="289"/>
      <c r="BNS16" s="289"/>
      <c r="BNT16" s="289"/>
      <c r="BNU16" s="289"/>
      <c r="BNV16" s="289"/>
      <c r="BNW16" s="289"/>
      <c r="BNX16" s="289"/>
      <c r="BNY16" s="289"/>
      <c r="BNZ16" s="289"/>
      <c r="BOA16" s="289"/>
      <c r="BOB16" s="289"/>
      <c r="BOC16" s="289"/>
      <c r="BOD16" s="289"/>
      <c r="BOE16" s="289"/>
      <c r="BOF16" s="289"/>
      <c r="BOG16" s="289"/>
      <c r="BOH16" s="289"/>
      <c r="BOI16" s="289"/>
      <c r="BOJ16" s="289"/>
      <c r="BOK16" s="289"/>
      <c r="BOL16" s="289"/>
      <c r="BOM16" s="289"/>
      <c r="BON16" s="289"/>
      <c r="BOO16" s="289"/>
      <c r="BOP16" s="289"/>
      <c r="BOQ16" s="289"/>
      <c r="BOR16" s="289"/>
      <c r="BOS16" s="289"/>
      <c r="BOT16" s="289"/>
      <c r="BOU16" s="289"/>
      <c r="BOV16" s="289"/>
      <c r="BOW16" s="289"/>
      <c r="BOX16" s="289"/>
      <c r="BOY16" s="289"/>
      <c r="BOZ16" s="289"/>
      <c r="BPA16" s="289"/>
      <c r="BPB16" s="289"/>
      <c r="BPC16" s="289"/>
      <c r="BPD16" s="289"/>
      <c r="BPE16" s="289"/>
      <c r="BPF16" s="289"/>
      <c r="BPG16" s="289"/>
      <c r="BPH16" s="289"/>
      <c r="BPI16" s="289"/>
      <c r="BPJ16" s="289"/>
      <c r="BPK16" s="289"/>
      <c r="BPL16" s="289"/>
      <c r="BPM16" s="289"/>
      <c r="BPN16" s="289"/>
      <c r="BPO16" s="289"/>
      <c r="BPP16" s="289"/>
      <c r="BPQ16" s="289"/>
      <c r="BPR16" s="289"/>
      <c r="BPS16" s="289"/>
      <c r="BPT16" s="289"/>
      <c r="BPU16" s="289"/>
      <c r="BPV16" s="289"/>
      <c r="BPW16" s="289"/>
      <c r="BPX16" s="289"/>
      <c r="BPY16" s="289"/>
      <c r="BPZ16" s="289"/>
      <c r="BQA16" s="289"/>
      <c r="BQB16" s="289"/>
      <c r="BQC16" s="289"/>
      <c r="BQD16" s="289"/>
      <c r="BQE16" s="289"/>
      <c r="BQF16" s="289"/>
      <c r="BQG16" s="289"/>
      <c r="BQH16" s="289"/>
      <c r="BQI16" s="289"/>
      <c r="BQJ16" s="289"/>
      <c r="BQK16" s="289"/>
      <c r="BQL16" s="289"/>
      <c r="BQM16" s="289"/>
      <c r="BQN16" s="289"/>
      <c r="BQO16" s="289"/>
      <c r="BQP16" s="289"/>
      <c r="BQQ16" s="289"/>
      <c r="BQR16" s="289"/>
      <c r="BQS16" s="289"/>
      <c r="BQT16" s="289"/>
      <c r="BQU16" s="289"/>
      <c r="BQV16" s="289"/>
      <c r="BQW16" s="289"/>
      <c r="BQX16" s="289"/>
      <c r="BQY16" s="289"/>
      <c r="BQZ16" s="289"/>
      <c r="BRA16" s="289"/>
      <c r="BRB16" s="289"/>
      <c r="BRC16" s="289"/>
      <c r="BRD16" s="289"/>
      <c r="BRE16" s="289"/>
      <c r="BRF16" s="289"/>
      <c r="BRG16" s="289"/>
      <c r="BRH16" s="289"/>
      <c r="BRI16" s="289"/>
      <c r="BRJ16" s="289"/>
      <c r="BRK16" s="289"/>
      <c r="BRL16" s="289"/>
      <c r="BRM16" s="289"/>
      <c r="BRN16" s="289"/>
      <c r="BRO16" s="289"/>
      <c r="BRP16" s="289"/>
      <c r="BRQ16" s="289"/>
      <c r="BRR16" s="289"/>
      <c r="BRS16" s="289"/>
      <c r="BRT16" s="289"/>
      <c r="BRU16" s="289"/>
      <c r="BRV16" s="289"/>
      <c r="BRW16" s="289"/>
      <c r="BRX16" s="289"/>
      <c r="BRY16" s="289"/>
      <c r="BRZ16" s="289"/>
      <c r="BSA16" s="289"/>
      <c r="BSB16" s="289"/>
      <c r="BSC16" s="289"/>
      <c r="BSD16" s="289"/>
      <c r="BSE16" s="289"/>
      <c r="BSF16" s="289"/>
      <c r="BSG16" s="289"/>
      <c r="BSH16" s="289"/>
      <c r="BSI16" s="289"/>
      <c r="BSJ16" s="289"/>
      <c r="BSK16" s="289"/>
      <c r="BSL16" s="289"/>
      <c r="BSM16" s="289"/>
      <c r="BSN16" s="289"/>
      <c r="BSO16" s="289"/>
      <c r="BSP16" s="289"/>
      <c r="BSQ16" s="289"/>
      <c r="BSR16" s="289"/>
      <c r="BSS16" s="289"/>
      <c r="BST16" s="289"/>
      <c r="BSU16" s="289"/>
      <c r="BSV16" s="289"/>
      <c r="BSW16" s="289"/>
      <c r="BSX16" s="289"/>
      <c r="BSY16" s="289"/>
      <c r="BSZ16" s="289"/>
      <c r="BTA16" s="289"/>
      <c r="BTB16" s="289"/>
      <c r="BTC16" s="289"/>
      <c r="BTD16" s="289"/>
      <c r="BTE16" s="289"/>
      <c r="BTF16" s="289"/>
      <c r="BTG16" s="289"/>
      <c r="BTH16" s="289"/>
      <c r="BTI16" s="289"/>
      <c r="BTJ16" s="289"/>
      <c r="BTK16" s="289"/>
      <c r="BTL16" s="289"/>
      <c r="BTM16" s="289"/>
      <c r="BTN16" s="289"/>
      <c r="BTO16" s="289"/>
      <c r="BTP16" s="289"/>
      <c r="BTQ16" s="289"/>
      <c r="BTR16" s="289"/>
      <c r="BTS16" s="289"/>
      <c r="BTT16" s="289"/>
      <c r="BTU16" s="289"/>
      <c r="BTV16" s="289"/>
      <c r="BTW16" s="289"/>
      <c r="BTX16" s="289"/>
      <c r="BTY16" s="289"/>
      <c r="BTZ16" s="289"/>
      <c r="BUA16" s="289"/>
      <c r="BUB16" s="289"/>
      <c r="BUC16" s="289"/>
      <c r="BUD16" s="289"/>
      <c r="BUE16" s="289"/>
      <c r="BUF16" s="289"/>
      <c r="BUG16" s="289"/>
      <c r="BUH16" s="289"/>
      <c r="BUI16" s="289"/>
      <c r="BUJ16" s="289"/>
      <c r="BUK16" s="289"/>
      <c r="BUL16" s="289"/>
      <c r="BUM16" s="289"/>
      <c r="BUN16" s="289"/>
      <c r="BUO16" s="289"/>
      <c r="BUP16" s="289"/>
      <c r="BUQ16" s="289"/>
      <c r="BUR16" s="289"/>
      <c r="BUS16" s="289"/>
      <c r="BUT16" s="289"/>
      <c r="BUU16" s="289"/>
      <c r="BUV16" s="289"/>
      <c r="BUW16" s="289"/>
      <c r="BUX16" s="289"/>
      <c r="BUY16" s="289"/>
      <c r="BUZ16" s="289"/>
      <c r="BVA16" s="289"/>
      <c r="BVB16" s="289"/>
      <c r="BVC16" s="289"/>
      <c r="BVD16" s="289"/>
      <c r="BVE16" s="289"/>
      <c r="BVF16" s="289"/>
      <c r="BVG16" s="289"/>
      <c r="BVH16" s="289"/>
      <c r="BVI16" s="289"/>
      <c r="BVJ16" s="289"/>
      <c r="BVK16" s="289"/>
      <c r="BVL16" s="289"/>
      <c r="BVM16" s="289"/>
      <c r="BVN16" s="289"/>
      <c r="BVO16" s="289"/>
      <c r="BVP16" s="289"/>
      <c r="BVQ16" s="289"/>
      <c r="BVR16" s="289"/>
      <c r="BVS16" s="289"/>
      <c r="BVT16" s="289"/>
      <c r="BVU16" s="289"/>
      <c r="BVV16" s="289"/>
      <c r="BVW16" s="289"/>
      <c r="BVX16" s="289"/>
      <c r="BVY16" s="289"/>
      <c r="BVZ16" s="289"/>
      <c r="BWA16" s="289"/>
      <c r="BWB16" s="289"/>
      <c r="BWC16" s="289"/>
      <c r="BWD16" s="289"/>
      <c r="BWE16" s="289"/>
      <c r="BWF16" s="289"/>
      <c r="BWG16" s="289"/>
      <c r="BWH16" s="289"/>
      <c r="BWI16" s="289"/>
      <c r="BWJ16" s="289"/>
      <c r="BWK16" s="289"/>
      <c r="BWL16" s="289"/>
      <c r="BWM16" s="289"/>
      <c r="BWN16" s="289"/>
      <c r="BWO16" s="289"/>
      <c r="BWP16" s="289"/>
      <c r="BWQ16" s="289"/>
      <c r="BWR16" s="289"/>
      <c r="BWS16" s="289"/>
      <c r="BWT16" s="289"/>
      <c r="BWU16" s="289"/>
      <c r="BWV16" s="289"/>
      <c r="BWW16" s="289"/>
      <c r="BWX16" s="289"/>
      <c r="BWY16" s="289"/>
      <c r="BWZ16" s="289"/>
      <c r="BXA16" s="289"/>
      <c r="BXB16" s="289"/>
      <c r="BXC16" s="289"/>
      <c r="BXD16" s="289"/>
      <c r="BXE16" s="289"/>
      <c r="BXF16" s="289"/>
      <c r="BXG16" s="289"/>
      <c r="BXH16" s="289"/>
      <c r="BXI16" s="289"/>
      <c r="BXJ16" s="289"/>
      <c r="BXK16" s="289"/>
      <c r="BXL16" s="289"/>
      <c r="BXM16" s="289"/>
      <c r="BXN16" s="289"/>
      <c r="BXO16" s="289"/>
      <c r="BXP16" s="289"/>
      <c r="BXQ16" s="289"/>
      <c r="BXR16" s="289"/>
      <c r="BXS16" s="289"/>
      <c r="BXT16" s="289"/>
      <c r="BXU16" s="289"/>
      <c r="BXV16" s="289"/>
      <c r="BXW16" s="289"/>
      <c r="BXX16" s="289"/>
      <c r="BXY16" s="289"/>
      <c r="BXZ16" s="289"/>
      <c r="BYA16" s="289"/>
      <c r="BYB16" s="289"/>
      <c r="BYC16" s="289"/>
      <c r="BYD16" s="289"/>
      <c r="BYE16" s="289"/>
      <c r="BYF16" s="289"/>
      <c r="BYG16" s="289"/>
      <c r="BYH16" s="289"/>
      <c r="BYI16" s="289"/>
      <c r="BYJ16" s="289"/>
      <c r="BYK16" s="289"/>
      <c r="BYL16" s="289"/>
      <c r="BYM16" s="289"/>
      <c r="BYN16" s="289"/>
      <c r="BYO16" s="289"/>
      <c r="BYP16" s="289"/>
      <c r="BYQ16" s="289"/>
      <c r="BYR16" s="289"/>
      <c r="BYS16" s="289"/>
      <c r="BYT16" s="289"/>
      <c r="BYU16" s="289"/>
      <c r="BYV16" s="289"/>
      <c r="BYW16" s="289"/>
      <c r="BYX16" s="289"/>
      <c r="BYY16" s="289"/>
      <c r="BYZ16" s="289"/>
      <c r="BZA16" s="289"/>
      <c r="BZB16" s="289"/>
      <c r="BZC16" s="289"/>
      <c r="BZD16" s="289"/>
      <c r="BZE16" s="289"/>
      <c r="BZF16" s="289"/>
      <c r="BZG16" s="289"/>
      <c r="BZH16" s="289"/>
      <c r="BZI16" s="289"/>
      <c r="BZJ16" s="289"/>
      <c r="BZK16" s="289"/>
      <c r="BZL16" s="289"/>
      <c r="BZM16" s="289"/>
      <c r="BZN16" s="289"/>
      <c r="BZO16" s="289"/>
      <c r="BZP16" s="289"/>
      <c r="BZQ16" s="289"/>
      <c r="BZR16" s="289"/>
      <c r="BZS16" s="289"/>
      <c r="BZT16" s="289"/>
      <c r="BZU16" s="289"/>
      <c r="BZV16" s="289"/>
      <c r="BZW16" s="289"/>
      <c r="BZX16" s="289"/>
      <c r="BZY16" s="289"/>
      <c r="BZZ16" s="289"/>
      <c r="CAA16" s="289"/>
      <c r="CAB16" s="289"/>
      <c r="CAC16" s="289"/>
      <c r="CAD16" s="289"/>
      <c r="CAE16" s="289"/>
      <c r="CAF16" s="289"/>
      <c r="CAG16" s="289"/>
      <c r="CAH16" s="289"/>
      <c r="CAI16" s="289"/>
      <c r="CAJ16" s="289"/>
      <c r="CAK16" s="289"/>
      <c r="CAL16" s="289"/>
      <c r="CAM16" s="289"/>
      <c r="CAN16" s="289"/>
      <c r="CAO16" s="289"/>
      <c r="CAP16" s="289"/>
      <c r="CAQ16" s="289"/>
      <c r="CAR16" s="289"/>
      <c r="CAS16" s="289"/>
      <c r="CAT16" s="289"/>
      <c r="CAU16" s="289"/>
      <c r="CAV16" s="289"/>
      <c r="CAW16" s="289"/>
      <c r="CAX16" s="289"/>
      <c r="CAY16" s="289"/>
      <c r="CAZ16" s="289"/>
      <c r="CBA16" s="289"/>
      <c r="CBB16" s="289"/>
      <c r="CBC16" s="289"/>
      <c r="CBD16" s="289"/>
      <c r="CBE16" s="289"/>
      <c r="CBF16" s="289"/>
      <c r="CBG16" s="289"/>
      <c r="CBH16" s="289"/>
      <c r="CBI16" s="289"/>
      <c r="CBJ16" s="289"/>
      <c r="CBK16" s="289"/>
      <c r="CBL16" s="289"/>
      <c r="CBM16" s="289"/>
      <c r="CBN16" s="289"/>
      <c r="CBO16" s="289"/>
      <c r="CBP16" s="289"/>
      <c r="CBQ16" s="289"/>
      <c r="CBR16" s="289"/>
      <c r="CBS16" s="289"/>
      <c r="CBT16" s="289"/>
      <c r="CBU16" s="289"/>
      <c r="CBV16" s="289"/>
      <c r="CBW16" s="289"/>
      <c r="CBX16" s="289"/>
      <c r="CBY16" s="289"/>
      <c r="CBZ16" s="289"/>
      <c r="CCA16" s="289"/>
      <c r="CCB16" s="289"/>
      <c r="CCC16" s="289"/>
      <c r="CCD16" s="289"/>
      <c r="CCE16" s="289"/>
      <c r="CCF16" s="289"/>
      <c r="CCG16" s="289"/>
      <c r="CCH16" s="289"/>
      <c r="CCI16" s="289"/>
      <c r="CCJ16" s="289"/>
      <c r="CCK16" s="289"/>
      <c r="CCL16" s="289"/>
      <c r="CCM16" s="289"/>
      <c r="CCN16" s="289"/>
      <c r="CCO16" s="289"/>
      <c r="CCP16" s="289"/>
      <c r="CCQ16" s="289"/>
      <c r="CCR16" s="289"/>
      <c r="CCS16" s="289"/>
      <c r="CCT16" s="289"/>
      <c r="CCU16" s="289"/>
      <c r="CCV16" s="289"/>
      <c r="CCW16" s="289"/>
      <c r="CCX16" s="289"/>
      <c r="CCY16" s="289"/>
      <c r="CCZ16" s="289"/>
      <c r="CDA16" s="289"/>
      <c r="CDB16" s="289"/>
      <c r="CDC16" s="289"/>
      <c r="CDD16" s="289"/>
      <c r="CDE16" s="289"/>
      <c r="CDF16" s="289"/>
      <c r="CDG16" s="289"/>
      <c r="CDH16" s="289"/>
      <c r="CDI16" s="289"/>
      <c r="CDJ16" s="289"/>
      <c r="CDK16" s="289"/>
      <c r="CDL16" s="289"/>
      <c r="CDM16" s="289"/>
      <c r="CDN16" s="289"/>
      <c r="CDO16" s="289"/>
      <c r="CDP16" s="289"/>
      <c r="CDQ16" s="289"/>
      <c r="CDR16" s="289"/>
      <c r="CDS16" s="289"/>
      <c r="CDT16" s="289"/>
      <c r="CDU16" s="289"/>
      <c r="CDV16" s="289"/>
      <c r="CDW16" s="289"/>
      <c r="CDX16" s="289"/>
      <c r="CDY16" s="289"/>
      <c r="CDZ16" s="289"/>
      <c r="CEA16" s="289"/>
      <c r="CEB16" s="289"/>
      <c r="CEC16" s="289"/>
      <c r="CED16" s="289"/>
      <c r="CEE16" s="289"/>
      <c r="CEF16" s="289"/>
      <c r="CEG16" s="289"/>
      <c r="CEH16" s="289"/>
      <c r="CEI16" s="289"/>
      <c r="CEJ16" s="289"/>
      <c r="CEK16" s="289"/>
      <c r="CEL16" s="289"/>
      <c r="CEM16" s="289"/>
      <c r="CEN16" s="289"/>
      <c r="CEO16" s="289"/>
      <c r="CEP16" s="289"/>
      <c r="CEQ16" s="289"/>
      <c r="CER16" s="289"/>
      <c r="CES16" s="289"/>
      <c r="CET16" s="289"/>
      <c r="CEU16" s="289"/>
      <c r="CEV16" s="289"/>
      <c r="CEW16" s="289"/>
      <c r="CEX16" s="289"/>
      <c r="CEY16" s="289"/>
      <c r="CEZ16" s="289"/>
      <c r="CFA16" s="289"/>
      <c r="CFB16" s="289"/>
      <c r="CFC16" s="289"/>
      <c r="CFD16" s="289"/>
      <c r="CFE16" s="289"/>
      <c r="CFF16" s="289"/>
      <c r="CFG16" s="289"/>
      <c r="CFH16" s="289"/>
      <c r="CFI16" s="289"/>
      <c r="CFJ16" s="289"/>
      <c r="CFK16" s="289"/>
      <c r="CFL16" s="289"/>
      <c r="CFM16" s="289"/>
      <c r="CFN16" s="289"/>
      <c r="CFO16" s="289"/>
      <c r="CFP16" s="289"/>
      <c r="CFQ16" s="289"/>
      <c r="CFR16" s="289"/>
      <c r="CFS16" s="289"/>
      <c r="CFT16" s="289"/>
      <c r="CFU16" s="289"/>
      <c r="CFV16" s="289"/>
      <c r="CFW16" s="289"/>
      <c r="CFX16" s="289"/>
      <c r="CFY16" s="289"/>
      <c r="CFZ16" s="289"/>
      <c r="CGA16" s="289"/>
      <c r="CGB16" s="289"/>
      <c r="CGC16" s="289"/>
      <c r="CGD16" s="289"/>
      <c r="CGE16" s="289"/>
      <c r="CGF16" s="289"/>
      <c r="CGG16" s="289"/>
      <c r="CGH16" s="289"/>
      <c r="CGI16" s="289"/>
      <c r="CGJ16" s="289"/>
      <c r="CGK16" s="289"/>
      <c r="CGL16" s="289"/>
      <c r="CGM16" s="289"/>
      <c r="CGN16" s="289"/>
      <c r="CGO16" s="289"/>
      <c r="CGP16" s="289"/>
      <c r="CGQ16" s="289"/>
      <c r="CGR16" s="289"/>
      <c r="CGS16" s="289"/>
      <c r="CGT16" s="289"/>
      <c r="CGU16" s="289"/>
      <c r="CGV16" s="289"/>
      <c r="CGW16" s="289"/>
      <c r="CGX16" s="289"/>
      <c r="CGY16" s="289"/>
      <c r="CGZ16" s="289"/>
      <c r="CHA16" s="289"/>
      <c r="CHB16" s="289"/>
      <c r="CHC16" s="289"/>
      <c r="CHD16" s="289"/>
      <c r="CHE16" s="289"/>
      <c r="CHF16" s="289"/>
      <c r="CHG16" s="289"/>
      <c r="CHH16" s="289"/>
      <c r="CHI16" s="289"/>
      <c r="CHJ16" s="289"/>
      <c r="CHK16" s="289"/>
      <c r="CHL16" s="289"/>
      <c r="CHM16" s="289"/>
      <c r="CHN16" s="289"/>
      <c r="CHO16" s="289"/>
      <c r="CHP16" s="289"/>
      <c r="CHQ16" s="289"/>
      <c r="CHR16" s="289"/>
      <c r="CHS16" s="289"/>
      <c r="CHT16" s="289"/>
      <c r="CHU16" s="289"/>
      <c r="CHV16" s="289"/>
      <c r="CHW16" s="289"/>
      <c r="CHX16" s="289"/>
      <c r="CHY16" s="289"/>
      <c r="CHZ16" s="289"/>
      <c r="CIA16" s="289"/>
      <c r="CIB16" s="289"/>
      <c r="CIC16" s="289"/>
      <c r="CID16" s="289"/>
      <c r="CIE16" s="289"/>
      <c r="CIF16" s="289"/>
      <c r="CIG16" s="289"/>
      <c r="CIH16" s="289"/>
      <c r="CII16" s="289"/>
      <c r="CIJ16" s="289"/>
      <c r="CIK16" s="289"/>
      <c r="CIL16" s="289"/>
      <c r="CIM16" s="289"/>
      <c r="CIN16" s="289"/>
      <c r="CIO16" s="289"/>
      <c r="CIP16" s="289"/>
      <c r="CIQ16" s="289"/>
      <c r="CIR16" s="289"/>
      <c r="CIS16" s="289"/>
      <c r="CIT16" s="289"/>
      <c r="CIU16" s="289"/>
      <c r="CIV16" s="289"/>
      <c r="CIW16" s="289"/>
      <c r="CIX16" s="289"/>
      <c r="CIY16" s="289"/>
      <c r="CIZ16" s="289"/>
      <c r="CJA16" s="289"/>
      <c r="CJB16" s="289"/>
      <c r="CJC16" s="289"/>
      <c r="CJD16" s="289"/>
      <c r="CJE16" s="289"/>
      <c r="CJF16" s="289"/>
      <c r="CJG16" s="289"/>
      <c r="CJH16" s="289"/>
      <c r="CJI16" s="289"/>
      <c r="CJJ16" s="289"/>
      <c r="CJK16" s="289"/>
      <c r="CJL16" s="289"/>
      <c r="CJM16" s="289"/>
      <c r="CJN16" s="289"/>
      <c r="CJO16" s="289"/>
      <c r="CJP16" s="289"/>
      <c r="CJQ16" s="289"/>
      <c r="CJR16" s="289"/>
      <c r="CJS16" s="289"/>
      <c r="CJT16" s="289"/>
      <c r="CJU16" s="289"/>
      <c r="CJV16" s="289"/>
      <c r="CJW16" s="289"/>
      <c r="CJX16" s="289"/>
      <c r="CJY16" s="289"/>
      <c r="CJZ16" s="289"/>
      <c r="CKA16" s="289"/>
      <c r="CKB16" s="289"/>
      <c r="CKC16" s="289"/>
      <c r="CKD16" s="289"/>
      <c r="CKE16" s="289"/>
      <c r="CKF16" s="289"/>
      <c r="CKG16" s="289"/>
      <c r="CKH16" s="289"/>
      <c r="CKI16" s="289"/>
      <c r="CKJ16" s="289"/>
      <c r="CKK16" s="289"/>
      <c r="CKL16" s="289"/>
      <c r="CKM16" s="289"/>
      <c r="CKN16" s="289"/>
      <c r="CKO16" s="289"/>
      <c r="CKP16" s="289"/>
      <c r="CKQ16" s="289"/>
      <c r="CKR16" s="289"/>
      <c r="CKS16" s="289"/>
      <c r="CKT16" s="289"/>
      <c r="CKU16" s="289"/>
      <c r="CKV16" s="289"/>
      <c r="CKW16" s="289"/>
      <c r="CKX16" s="289"/>
      <c r="CKY16" s="289"/>
      <c r="CKZ16" s="289"/>
      <c r="CLA16" s="289"/>
      <c r="CLB16" s="289"/>
      <c r="CLC16" s="289"/>
      <c r="CLD16" s="289"/>
      <c r="CLE16" s="289"/>
      <c r="CLF16" s="289"/>
      <c r="CLG16" s="289"/>
      <c r="CLH16" s="289"/>
      <c r="CLI16" s="289"/>
      <c r="CLJ16" s="289"/>
      <c r="CLK16" s="289"/>
      <c r="CLL16" s="289"/>
      <c r="CLM16" s="289"/>
      <c r="CLN16" s="289"/>
      <c r="CLO16" s="289"/>
      <c r="CLP16" s="289"/>
      <c r="CLQ16" s="289"/>
      <c r="CLR16" s="289"/>
      <c r="CLS16" s="289"/>
      <c r="CLT16" s="289"/>
      <c r="CLU16" s="289"/>
      <c r="CLV16" s="289"/>
      <c r="CLW16" s="289"/>
      <c r="CLX16" s="289"/>
      <c r="CLY16" s="289"/>
      <c r="CLZ16" s="289"/>
      <c r="CMA16" s="289"/>
      <c r="CMB16" s="289"/>
      <c r="CMC16" s="289"/>
      <c r="CMD16" s="289"/>
      <c r="CME16" s="289"/>
      <c r="CMF16" s="289"/>
      <c r="CMG16" s="289"/>
      <c r="CMH16" s="289"/>
      <c r="CMI16" s="289"/>
      <c r="CMJ16" s="289"/>
      <c r="CMK16" s="289"/>
      <c r="CML16" s="289"/>
      <c r="CMM16" s="289"/>
      <c r="CMN16" s="289"/>
      <c r="CMO16" s="289"/>
      <c r="CMP16" s="289"/>
      <c r="CMQ16" s="289"/>
      <c r="CMR16" s="289"/>
      <c r="CMS16" s="289"/>
      <c r="CMT16" s="289"/>
      <c r="CMU16" s="289"/>
      <c r="CMV16" s="289"/>
      <c r="CMW16" s="289"/>
      <c r="CMX16" s="289"/>
      <c r="CMY16" s="289"/>
      <c r="CMZ16" s="289"/>
      <c r="CNA16" s="289"/>
      <c r="CNB16" s="289"/>
      <c r="CNC16" s="289"/>
      <c r="CND16" s="289"/>
      <c r="CNE16" s="289"/>
      <c r="CNF16" s="289"/>
      <c r="CNG16" s="289"/>
      <c r="CNH16" s="289"/>
      <c r="CNI16" s="289"/>
      <c r="CNJ16" s="289"/>
      <c r="CNK16" s="289"/>
      <c r="CNL16" s="289"/>
      <c r="CNM16" s="289"/>
      <c r="CNN16" s="289"/>
      <c r="CNO16" s="289"/>
      <c r="CNP16" s="289"/>
      <c r="CNQ16" s="289"/>
      <c r="CNR16" s="289"/>
      <c r="CNS16" s="289"/>
      <c r="CNT16" s="289"/>
      <c r="CNU16" s="289"/>
      <c r="CNV16" s="289"/>
      <c r="CNW16" s="289"/>
      <c r="CNX16" s="289"/>
      <c r="CNY16" s="289"/>
      <c r="CNZ16" s="289"/>
      <c r="COA16" s="289"/>
      <c r="COB16" s="289"/>
      <c r="COC16" s="289"/>
      <c r="COD16" s="289"/>
      <c r="COE16" s="289"/>
      <c r="COF16" s="289"/>
      <c r="COG16" s="289"/>
      <c r="COH16" s="289"/>
      <c r="COI16" s="289"/>
      <c r="COJ16" s="289"/>
      <c r="COK16" s="289"/>
      <c r="COL16" s="289"/>
      <c r="COM16" s="289"/>
      <c r="CON16" s="289"/>
      <c r="COO16" s="289"/>
      <c r="COP16" s="289"/>
      <c r="COQ16" s="289"/>
      <c r="COR16" s="289"/>
      <c r="COS16" s="289"/>
      <c r="COT16" s="289"/>
      <c r="COU16" s="289"/>
      <c r="COV16" s="289"/>
      <c r="COW16" s="289"/>
      <c r="COX16" s="289"/>
      <c r="COY16" s="289"/>
      <c r="COZ16" s="289"/>
      <c r="CPA16" s="289"/>
      <c r="CPB16" s="289"/>
      <c r="CPC16" s="289"/>
      <c r="CPD16" s="289"/>
      <c r="CPE16" s="289"/>
      <c r="CPF16" s="289"/>
      <c r="CPG16" s="289"/>
      <c r="CPH16" s="289"/>
      <c r="CPI16" s="289"/>
      <c r="CPJ16" s="289"/>
      <c r="CPK16" s="289"/>
      <c r="CPL16" s="289"/>
      <c r="CPM16" s="289"/>
      <c r="CPN16" s="289"/>
      <c r="CPO16" s="289"/>
      <c r="CPP16" s="289"/>
      <c r="CPQ16" s="289"/>
      <c r="CPR16" s="289"/>
      <c r="CPS16" s="289"/>
      <c r="CPT16" s="289"/>
      <c r="CPU16" s="289"/>
      <c r="CPV16" s="289"/>
      <c r="CPW16" s="289"/>
      <c r="CPX16" s="289"/>
      <c r="CPY16" s="289"/>
      <c r="CPZ16" s="289"/>
      <c r="CQA16" s="289"/>
      <c r="CQB16" s="289"/>
      <c r="CQC16" s="289"/>
      <c r="CQD16" s="289"/>
      <c r="CQE16" s="289"/>
      <c r="CQF16" s="289"/>
      <c r="CQG16" s="289"/>
      <c r="CQH16" s="289"/>
      <c r="CQI16" s="289"/>
      <c r="CQJ16" s="289"/>
      <c r="CQK16" s="289"/>
      <c r="CQL16" s="289"/>
      <c r="CQM16" s="289"/>
      <c r="CQN16" s="289"/>
      <c r="CQO16" s="289"/>
      <c r="CQP16" s="289"/>
      <c r="CQQ16" s="289"/>
      <c r="CQR16" s="289"/>
      <c r="CQS16" s="289"/>
      <c r="CQT16" s="289"/>
      <c r="CQU16" s="289"/>
      <c r="CQV16" s="289"/>
      <c r="CQW16" s="289"/>
      <c r="CQX16" s="289"/>
      <c r="CQY16" s="289"/>
      <c r="CQZ16" s="289"/>
      <c r="CRA16" s="289"/>
      <c r="CRB16" s="289"/>
      <c r="CRC16" s="289"/>
      <c r="CRD16" s="289"/>
      <c r="CRE16" s="289"/>
      <c r="CRF16" s="289"/>
      <c r="CRG16" s="289"/>
      <c r="CRH16" s="289"/>
      <c r="CRI16" s="289"/>
      <c r="CRJ16" s="289"/>
      <c r="CRK16" s="289"/>
      <c r="CRL16" s="289"/>
      <c r="CRM16" s="289"/>
      <c r="CRN16" s="289"/>
      <c r="CRO16" s="289"/>
      <c r="CRP16" s="289"/>
      <c r="CRQ16" s="289"/>
      <c r="CRR16" s="289"/>
      <c r="CRS16" s="289"/>
      <c r="CRT16" s="289"/>
      <c r="CRU16" s="289"/>
      <c r="CRV16" s="289"/>
      <c r="CRW16" s="289"/>
      <c r="CRX16" s="289"/>
      <c r="CRY16" s="289"/>
      <c r="CRZ16" s="289"/>
      <c r="CSA16" s="289"/>
      <c r="CSB16" s="289"/>
      <c r="CSC16" s="289"/>
      <c r="CSD16" s="289"/>
      <c r="CSE16" s="289"/>
      <c r="CSF16" s="289"/>
      <c r="CSG16" s="289"/>
      <c r="CSH16" s="289"/>
      <c r="CSI16" s="289"/>
      <c r="CSJ16" s="289"/>
      <c r="CSK16" s="289"/>
      <c r="CSL16" s="289"/>
      <c r="CSM16" s="289"/>
      <c r="CSN16" s="289"/>
      <c r="CSO16" s="289"/>
      <c r="CSP16" s="289"/>
      <c r="CSQ16" s="289"/>
      <c r="CSR16" s="289"/>
      <c r="CSS16" s="289"/>
      <c r="CST16" s="289"/>
      <c r="CSU16" s="289"/>
      <c r="CSV16" s="289"/>
      <c r="CSW16" s="289"/>
      <c r="CSX16" s="289"/>
      <c r="CSY16" s="289"/>
      <c r="CSZ16" s="289"/>
      <c r="CTA16" s="289"/>
      <c r="CTB16" s="289"/>
      <c r="CTC16" s="289"/>
      <c r="CTD16" s="289"/>
      <c r="CTE16" s="289"/>
      <c r="CTF16" s="289"/>
      <c r="CTG16" s="289"/>
      <c r="CTH16" s="289"/>
      <c r="CTI16" s="289"/>
      <c r="CTJ16" s="289"/>
      <c r="CTK16" s="289"/>
      <c r="CTL16" s="289"/>
      <c r="CTM16" s="289"/>
      <c r="CTN16" s="289"/>
      <c r="CTO16" s="289"/>
      <c r="CTP16" s="289"/>
      <c r="CTQ16" s="289"/>
      <c r="CTR16" s="289"/>
      <c r="CTS16" s="289"/>
      <c r="CTT16" s="289"/>
      <c r="CTU16" s="289"/>
      <c r="CTV16" s="289"/>
      <c r="CTW16" s="289"/>
      <c r="CTX16" s="289"/>
      <c r="CTY16" s="289"/>
      <c r="CTZ16" s="289"/>
      <c r="CUA16" s="289"/>
      <c r="CUB16" s="289"/>
      <c r="CUC16" s="289"/>
      <c r="CUD16" s="289"/>
      <c r="CUE16" s="289"/>
      <c r="CUF16" s="289"/>
      <c r="CUG16" s="289"/>
      <c r="CUH16" s="289"/>
      <c r="CUI16" s="289"/>
      <c r="CUJ16" s="289"/>
      <c r="CUK16" s="289"/>
      <c r="CUL16" s="289"/>
      <c r="CUM16" s="289"/>
      <c r="CUN16" s="289"/>
      <c r="CUO16" s="289"/>
      <c r="CUP16" s="289"/>
      <c r="CUQ16" s="289"/>
      <c r="CUR16" s="289"/>
      <c r="CUS16" s="289"/>
      <c r="CUT16" s="289"/>
      <c r="CUU16" s="289"/>
      <c r="CUV16" s="289"/>
      <c r="CUW16" s="289"/>
      <c r="CUX16" s="289"/>
      <c r="CUY16" s="289"/>
      <c r="CUZ16" s="289"/>
      <c r="CVA16" s="289"/>
      <c r="CVB16" s="289"/>
      <c r="CVC16" s="289"/>
      <c r="CVD16" s="289"/>
      <c r="CVE16" s="289"/>
      <c r="CVF16" s="289"/>
      <c r="CVG16" s="289"/>
      <c r="CVH16" s="289"/>
      <c r="CVI16" s="289"/>
      <c r="CVJ16" s="289"/>
      <c r="CVK16" s="289"/>
      <c r="CVL16" s="289"/>
      <c r="CVM16" s="289"/>
      <c r="CVN16" s="289"/>
      <c r="CVO16" s="289"/>
      <c r="CVP16" s="289"/>
      <c r="CVQ16" s="289"/>
      <c r="CVR16" s="289"/>
      <c r="CVS16" s="289"/>
      <c r="CVT16" s="289"/>
      <c r="CVU16" s="289"/>
      <c r="CVV16" s="289"/>
      <c r="CVW16" s="289"/>
      <c r="CVX16" s="289"/>
      <c r="CVY16" s="289"/>
      <c r="CVZ16" s="289"/>
      <c r="CWA16" s="289"/>
      <c r="CWB16" s="289"/>
      <c r="CWC16" s="289"/>
      <c r="CWD16" s="289"/>
      <c r="CWE16" s="289"/>
      <c r="CWF16" s="289"/>
      <c r="CWG16" s="289"/>
      <c r="CWH16" s="289"/>
      <c r="CWI16" s="289"/>
      <c r="CWJ16" s="289"/>
      <c r="CWK16" s="289"/>
      <c r="CWL16" s="289"/>
      <c r="CWM16" s="289"/>
      <c r="CWN16" s="289"/>
      <c r="CWO16" s="289"/>
      <c r="CWP16" s="289"/>
      <c r="CWQ16" s="289"/>
      <c r="CWR16" s="289"/>
      <c r="CWS16" s="289"/>
      <c r="CWT16" s="289"/>
      <c r="CWU16" s="289"/>
      <c r="CWV16" s="289"/>
      <c r="CWW16" s="289"/>
      <c r="CWX16" s="289"/>
      <c r="CWY16" s="289"/>
      <c r="CWZ16" s="289"/>
      <c r="CXA16" s="289"/>
      <c r="CXB16" s="289"/>
      <c r="CXC16" s="289"/>
      <c r="CXD16" s="289"/>
      <c r="CXE16" s="289"/>
      <c r="CXF16" s="289"/>
      <c r="CXG16" s="289"/>
      <c r="CXH16" s="289"/>
      <c r="CXI16" s="289"/>
      <c r="CXJ16" s="289"/>
      <c r="CXK16" s="289"/>
      <c r="CXL16" s="289"/>
      <c r="CXM16" s="289"/>
      <c r="CXN16" s="289"/>
      <c r="CXO16" s="289"/>
      <c r="CXP16" s="289"/>
      <c r="CXQ16" s="289"/>
      <c r="CXR16" s="289"/>
      <c r="CXS16" s="289"/>
      <c r="CXT16" s="289"/>
      <c r="CXU16" s="289"/>
      <c r="CXV16" s="289"/>
      <c r="CXW16" s="289"/>
      <c r="CXX16" s="289"/>
      <c r="CXY16" s="289"/>
      <c r="CXZ16" s="289"/>
      <c r="CYA16" s="289"/>
      <c r="CYB16" s="289"/>
      <c r="CYC16" s="289"/>
      <c r="CYD16" s="289"/>
      <c r="CYE16" s="289"/>
      <c r="CYF16" s="289"/>
      <c r="CYG16" s="289"/>
      <c r="CYH16" s="289"/>
      <c r="CYI16" s="289"/>
      <c r="CYJ16" s="289"/>
      <c r="CYK16" s="289"/>
      <c r="CYL16" s="289"/>
      <c r="CYM16" s="289"/>
      <c r="CYN16" s="289"/>
      <c r="CYO16" s="289"/>
      <c r="CYP16" s="289"/>
      <c r="CYQ16" s="289"/>
      <c r="CYR16" s="289"/>
      <c r="CYS16" s="289"/>
      <c r="CYT16" s="289"/>
      <c r="CYU16" s="289"/>
      <c r="CYV16" s="289"/>
      <c r="CYW16" s="289"/>
      <c r="CYX16" s="289"/>
      <c r="CYY16" s="289"/>
      <c r="CYZ16" s="289"/>
      <c r="CZA16" s="289"/>
      <c r="CZB16" s="289"/>
      <c r="CZC16" s="289"/>
      <c r="CZD16" s="289"/>
      <c r="CZE16" s="289"/>
      <c r="CZF16" s="289"/>
      <c r="CZG16" s="289"/>
      <c r="CZH16" s="289"/>
      <c r="CZI16" s="289"/>
      <c r="CZJ16" s="289"/>
      <c r="CZK16" s="289"/>
      <c r="CZL16" s="289"/>
      <c r="CZM16" s="289"/>
      <c r="CZN16" s="289"/>
      <c r="CZO16" s="289"/>
      <c r="CZP16" s="289"/>
      <c r="CZQ16" s="289"/>
      <c r="CZR16" s="289"/>
      <c r="CZS16" s="289"/>
      <c r="CZT16" s="289"/>
      <c r="CZU16" s="289"/>
      <c r="CZV16" s="289"/>
      <c r="CZW16" s="289"/>
      <c r="CZX16" s="289"/>
      <c r="CZY16" s="289"/>
      <c r="CZZ16" s="289"/>
      <c r="DAA16" s="289"/>
      <c r="DAB16" s="289"/>
      <c r="DAC16" s="289"/>
      <c r="DAD16" s="289"/>
      <c r="DAE16" s="289"/>
      <c r="DAF16" s="289"/>
      <c r="DAG16" s="289"/>
      <c r="DAH16" s="289"/>
      <c r="DAI16" s="289"/>
      <c r="DAJ16" s="289"/>
      <c r="DAK16" s="289"/>
      <c r="DAL16" s="289"/>
      <c r="DAM16" s="289"/>
      <c r="DAN16" s="289"/>
      <c r="DAO16" s="289"/>
      <c r="DAP16" s="289"/>
      <c r="DAQ16" s="289"/>
      <c r="DAR16" s="289"/>
      <c r="DAS16" s="289"/>
      <c r="DAT16" s="289"/>
      <c r="DAU16" s="289"/>
      <c r="DAV16" s="289"/>
      <c r="DAW16" s="289"/>
      <c r="DAX16" s="289"/>
      <c r="DAY16" s="289"/>
      <c r="DAZ16" s="289"/>
      <c r="DBA16" s="289"/>
      <c r="DBB16" s="289"/>
      <c r="DBC16" s="289"/>
      <c r="DBD16" s="289"/>
      <c r="DBE16" s="289"/>
      <c r="DBF16" s="289"/>
      <c r="DBG16" s="289"/>
      <c r="DBH16" s="289"/>
      <c r="DBI16" s="289"/>
      <c r="DBJ16" s="289"/>
      <c r="DBK16" s="289"/>
      <c r="DBL16" s="289"/>
      <c r="DBM16" s="289"/>
      <c r="DBN16" s="289"/>
      <c r="DBO16" s="289"/>
      <c r="DBP16" s="289"/>
      <c r="DBQ16" s="289"/>
      <c r="DBR16" s="289"/>
      <c r="DBS16" s="289"/>
      <c r="DBT16" s="289"/>
      <c r="DBU16" s="289"/>
      <c r="DBV16" s="289"/>
      <c r="DBW16" s="289"/>
      <c r="DBX16" s="289"/>
      <c r="DBY16" s="289"/>
      <c r="DBZ16" s="289"/>
      <c r="DCA16" s="289"/>
      <c r="DCB16" s="289"/>
      <c r="DCC16" s="289"/>
      <c r="DCD16" s="289"/>
      <c r="DCE16" s="289"/>
      <c r="DCF16" s="289"/>
      <c r="DCG16" s="289"/>
      <c r="DCH16" s="289"/>
      <c r="DCI16" s="289"/>
      <c r="DCJ16" s="289"/>
      <c r="DCK16" s="289"/>
      <c r="DCL16" s="289"/>
      <c r="DCM16" s="289"/>
      <c r="DCN16" s="289"/>
      <c r="DCO16" s="289"/>
      <c r="DCP16" s="289"/>
      <c r="DCQ16" s="289"/>
      <c r="DCR16" s="289"/>
      <c r="DCS16" s="289"/>
      <c r="DCT16" s="289"/>
      <c r="DCU16" s="289"/>
      <c r="DCV16" s="289"/>
      <c r="DCW16" s="289"/>
      <c r="DCX16" s="289"/>
      <c r="DCY16" s="289"/>
      <c r="DCZ16" s="289"/>
      <c r="DDA16" s="289"/>
      <c r="DDB16" s="289"/>
      <c r="DDC16" s="289"/>
      <c r="DDD16" s="289"/>
      <c r="DDE16" s="289"/>
      <c r="DDF16" s="289"/>
      <c r="DDG16" s="289"/>
      <c r="DDH16" s="289"/>
      <c r="DDI16" s="289"/>
      <c r="DDJ16" s="289"/>
      <c r="DDK16" s="289"/>
      <c r="DDL16" s="289"/>
      <c r="DDM16" s="289"/>
      <c r="DDN16" s="289"/>
      <c r="DDO16" s="289"/>
      <c r="DDP16" s="289"/>
      <c r="DDQ16" s="289"/>
      <c r="DDR16" s="289"/>
      <c r="DDS16" s="289"/>
      <c r="DDT16" s="289"/>
      <c r="DDU16" s="289"/>
      <c r="DDV16" s="289"/>
      <c r="DDW16" s="289"/>
      <c r="DDX16" s="289"/>
      <c r="DDY16" s="289"/>
      <c r="DDZ16" s="289"/>
      <c r="DEA16" s="289"/>
      <c r="DEB16" s="289"/>
      <c r="DEC16" s="289"/>
      <c r="DED16" s="289"/>
      <c r="DEE16" s="289"/>
      <c r="DEF16" s="289"/>
      <c r="DEG16" s="289"/>
      <c r="DEH16" s="289"/>
      <c r="DEI16" s="289"/>
      <c r="DEJ16" s="289"/>
      <c r="DEK16" s="289"/>
      <c r="DEL16" s="289"/>
      <c r="DEM16" s="289"/>
      <c r="DEN16" s="289"/>
      <c r="DEO16" s="289"/>
      <c r="DEP16" s="289"/>
      <c r="DEQ16" s="289"/>
      <c r="DER16" s="289"/>
      <c r="DES16" s="289"/>
      <c r="DET16" s="289"/>
      <c r="DEU16" s="289"/>
      <c r="DEV16" s="289"/>
      <c r="DEW16" s="289"/>
      <c r="DEX16" s="289"/>
      <c r="DEY16" s="289"/>
      <c r="DEZ16" s="289"/>
      <c r="DFA16" s="289"/>
      <c r="DFB16" s="289"/>
      <c r="DFC16" s="289"/>
      <c r="DFD16" s="289"/>
      <c r="DFE16" s="289"/>
      <c r="DFF16" s="289"/>
      <c r="DFG16" s="289"/>
      <c r="DFH16" s="289"/>
      <c r="DFI16" s="289"/>
      <c r="DFJ16" s="289"/>
      <c r="DFK16" s="289"/>
      <c r="DFL16" s="289"/>
      <c r="DFM16" s="289"/>
      <c r="DFN16" s="289"/>
      <c r="DFO16" s="289"/>
      <c r="DFP16" s="289"/>
      <c r="DFQ16" s="289"/>
      <c r="DFR16" s="289"/>
      <c r="DFS16" s="289"/>
      <c r="DFT16" s="289"/>
      <c r="DFU16" s="289"/>
      <c r="DFV16" s="289"/>
      <c r="DFW16" s="289"/>
      <c r="DFX16" s="289"/>
      <c r="DFY16" s="289"/>
      <c r="DFZ16" s="289"/>
      <c r="DGA16" s="289"/>
      <c r="DGB16" s="289"/>
      <c r="DGC16" s="289"/>
      <c r="DGD16" s="289"/>
      <c r="DGE16" s="289"/>
      <c r="DGF16" s="289"/>
      <c r="DGG16" s="289"/>
      <c r="DGH16" s="289"/>
      <c r="DGI16" s="289"/>
      <c r="DGJ16" s="289"/>
      <c r="DGK16" s="289"/>
      <c r="DGL16" s="289"/>
      <c r="DGM16" s="289"/>
      <c r="DGN16" s="289"/>
      <c r="DGO16" s="289"/>
      <c r="DGP16" s="289"/>
      <c r="DGQ16" s="289"/>
      <c r="DGR16" s="289"/>
      <c r="DGS16" s="289"/>
      <c r="DGT16" s="289"/>
      <c r="DGU16" s="289"/>
      <c r="DGV16" s="289"/>
      <c r="DGW16" s="289"/>
      <c r="DGX16" s="289"/>
      <c r="DGY16" s="289"/>
      <c r="DGZ16" s="289"/>
      <c r="DHA16" s="289"/>
      <c r="DHB16" s="289"/>
      <c r="DHC16" s="289"/>
      <c r="DHD16" s="289"/>
      <c r="DHE16" s="289"/>
      <c r="DHF16" s="289"/>
      <c r="DHG16" s="289"/>
      <c r="DHH16" s="289"/>
      <c r="DHI16" s="289"/>
      <c r="DHJ16" s="289"/>
      <c r="DHK16" s="289"/>
      <c r="DHL16" s="289"/>
      <c r="DHM16" s="289"/>
      <c r="DHN16" s="289"/>
      <c r="DHO16" s="289"/>
      <c r="DHP16" s="289"/>
      <c r="DHQ16" s="289"/>
      <c r="DHR16" s="289"/>
      <c r="DHS16" s="289"/>
      <c r="DHT16" s="289"/>
      <c r="DHU16" s="289"/>
      <c r="DHV16" s="289"/>
      <c r="DHW16" s="289"/>
      <c r="DHX16" s="289"/>
      <c r="DHY16" s="289"/>
      <c r="DHZ16" s="289"/>
      <c r="DIA16" s="289"/>
      <c r="DIB16" s="289"/>
      <c r="DIC16" s="289"/>
      <c r="DID16" s="289"/>
      <c r="DIE16" s="289"/>
      <c r="DIF16" s="289"/>
      <c r="DIG16" s="289"/>
      <c r="DIH16" s="289"/>
      <c r="DII16" s="289"/>
      <c r="DIJ16" s="289"/>
      <c r="DIK16" s="289"/>
      <c r="DIL16" s="289"/>
      <c r="DIM16" s="289"/>
      <c r="DIN16" s="289"/>
      <c r="DIO16" s="289"/>
      <c r="DIP16" s="289"/>
      <c r="DIQ16" s="289"/>
      <c r="DIR16" s="289"/>
      <c r="DIS16" s="289"/>
      <c r="DIT16" s="289"/>
      <c r="DIU16" s="289"/>
      <c r="DIV16" s="289"/>
      <c r="DIW16" s="289"/>
      <c r="DIX16" s="289"/>
      <c r="DIY16" s="289"/>
      <c r="DIZ16" s="289"/>
      <c r="DJA16" s="289"/>
      <c r="DJB16" s="289"/>
      <c r="DJC16" s="289"/>
      <c r="DJD16" s="289"/>
      <c r="DJE16" s="289"/>
      <c r="DJF16" s="289"/>
      <c r="DJG16" s="289"/>
      <c r="DJH16" s="289"/>
      <c r="DJI16" s="289"/>
      <c r="DJJ16" s="289"/>
      <c r="DJK16" s="289"/>
      <c r="DJL16" s="289"/>
      <c r="DJM16" s="289"/>
      <c r="DJN16" s="289"/>
      <c r="DJO16" s="289"/>
      <c r="DJP16" s="289"/>
      <c r="DJQ16" s="289"/>
      <c r="DJR16" s="289"/>
      <c r="DJS16" s="289"/>
      <c r="DJT16" s="289"/>
      <c r="DJU16" s="289"/>
      <c r="DJV16" s="289"/>
      <c r="DJW16" s="289"/>
      <c r="DJX16" s="289"/>
      <c r="DJY16" s="289"/>
      <c r="DJZ16" s="289"/>
      <c r="DKA16" s="289"/>
      <c r="DKB16" s="289"/>
      <c r="DKC16" s="289"/>
      <c r="DKD16" s="289"/>
      <c r="DKE16" s="289"/>
      <c r="DKF16" s="289"/>
      <c r="DKG16" s="289"/>
      <c r="DKH16" s="289"/>
      <c r="DKI16" s="289"/>
      <c r="DKJ16" s="289"/>
      <c r="DKK16" s="289"/>
      <c r="DKL16" s="289"/>
      <c r="DKM16" s="289"/>
      <c r="DKN16" s="289"/>
      <c r="DKO16" s="289"/>
      <c r="DKP16" s="289"/>
      <c r="DKQ16" s="289"/>
      <c r="DKR16" s="289"/>
      <c r="DKS16" s="289"/>
      <c r="DKT16" s="289"/>
      <c r="DKU16" s="289"/>
      <c r="DKV16" s="289"/>
      <c r="DKW16" s="289"/>
      <c r="DKX16" s="289"/>
      <c r="DKY16" s="289"/>
      <c r="DKZ16" s="289"/>
      <c r="DLA16" s="289"/>
      <c r="DLB16" s="289"/>
      <c r="DLC16" s="289"/>
      <c r="DLD16" s="289"/>
      <c r="DLE16" s="289"/>
      <c r="DLF16" s="289"/>
      <c r="DLG16" s="289"/>
      <c r="DLH16" s="289"/>
      <c r="DLI16" s="289"/>
      <c r="DLJ16" s="289"/>
      <c r="DLK16" s="289"/>
      <c r="DLL16" s="289"/>
      <c r="DLM16" s="289"/>
      <c r="DLN16" s="289"/>
      <c r="DLO16" s="289"/>
      <c r="DLP16" s="289"/>
      <c r="DLQ16" s="289"/>
      <c r="DLR16" s="289"/>
      <c r="DLS16" s="289"/>
      <c r="DLT16" s="289"/>
      <c r="DLU16" s="289"/>
      <c r="DLV16" s="289"/>
      <c r="DLW16" s="289"/>
      <c r="DLX16" s="289"/>
      <c r="DLY16" s="289"/>
      <c r="DLZ16" s="289"/>
      <c r="DMA16" s="289"/>
      <c r="DMB16" s="289"/>
      <c r="DMC16" s="289"/>
      <c r="DMD16" s="289"/>
      <c r="DME16" s="289"/>
      <c r="DMF16" s="289"/>
      <c r="DMG16" s="289"/>
      <c r="DMH16" s="289"/>
      <c r="DMI16" s="289"/>
      <c r="DMJ16" s="289"/>
      <c r="DMK16" s="289"/>
      <c r="DML16" s="289"/>
      <c r="DMM16" s="289"/>
      <c r="DMN16" s="289"/>
      <c r="DMO16" s="289"/>
      <c r="DMP16" s="289"/>
      <c r="DMQ16" s="289"/>
      <c r="DMR16" s="289"/>
      <c r="DMS16" s="289"/>
      <c r="DMT16" s="289"/>
      <c r="DMU16" s="289"/>
      <c r="DMV16" s="289"/>
      <c r="DMW16" s="289"/>
      <c r="DMX16" s="289"/>
      <c r="DMY16" s="289"/>
      <c r="DMZ16" s="289"/>
      <c r="DNA16" s="289"/>
      <c r="DNB16" s="289"/>
      <c r="DNC16" s="289"/>
      <c r="DND16" s="289"/>
      <c r="DNE16" s="289"/>
      <c r="DNF16" s="289"/>
      <c r="DNG16" s="289"/>
      <c r="DNH16" s="289"/>
      <c r="DNI16" s="289"/>
      <c r="DNJ16" s="289"/>
      <c r="DNK16" s="289"/>
      <c r="DNL16" s="289"/>
      <c r="DNM16" s="289"/>
      <c r="DNN16" s="289"/>
      <c r="DNO16" s="289"/>
      <c r="DNP16" s="289"/>
      <c r="DNQ16" s="289"/>
      <c r="DNR16" s="289"/>
      <c r="DNS16" s="289"/>
      <c r="DNT16" s="289"/>
      <c r="DNU16" s="289"/>
      <c r="DNV16" s="289"/>
      <c r="DNW16" s="289"/>
      <c r="DNX16" s="289"/>
      <c r="DNY16" s="289"/>
      <c r="DNZ16" s="289"/>
      <c r="DOA16" s="289"/>
      <c r="DOB16" s="289"/>
      <c r="DOC16" s="289"/>
      <c r="DOD16" s="289"/>
      <c r="DOE16" s="289"/>
      <c r="DOF16" s="289"/>
      <c r="DOG16" s="289"/>
      <c r="DOH16" s="289"/>
      <c r="DOI16" s="289"/>
      <c r="DOJ16" s="289"/>
      <c r="DOK16" s="289"/>
      <c r="DOL16" s="289"/>
      <c r="DOM16" s="289"/>
      <c r="DON16" s="289"/>
      <c r="DOO16" s="289"/>
      <c r="DOP16" s="289"/>
      <c r="DOQ16" s="289"/>
      <c r="DOR16" s="289"/>
      <c r="DOS16" s="289"/>
      <c r="DOT16" s="289"/>
      <c r="DOU16" s="289"/>
      <c r="DOV16" s="289"/>
      <c r="DOW16" s="289"/>
      <c r="DOX16" s="289"/>
      <c r="DOY16" s="289"/>
      <c r="DOZ16" s="289"/>
      <c r="DPA16" s="289"/>
      <c r="DPB16" s="289"/>
      <c r="DPC16" s="289"/>
      <c r="DPD16" s="289"/>
      <c r="DPE16" s="289"/>
      <c r="DPF16" s="289"/>
      <c r="DPG16" s="289"/>
      <c r="DPH16" s="289"/>
      <c r="DPI16" s="289"/>
      <c r="DPJ16" s="289"/>
      <c r="DPK16" s="289"/>
      <c r="DPL16" s="289"/>
      <c r="DPM16" s="289"/>
      <c r="DPN16" s="289"/>
      <c r="DPO16" s="289"/>
      <c r="DPP16" s="289"/>
      <c r="DPQ16" s="289"/>
      <c r="DPR16" s="289"/>
      <c r="DPS16" s="289"/>
      <c r="DPT16" s="289"/>
      <c r="DPU16" s="289"/>
      <c r="DPV16" s="289"/>
      <c r="DPW16" s="289"/>
      <c r="DPX16" s="289"/>
      <c r="DPY16" s="289"/>
      <c r="DPZ16" s="289"/>
      <c r="DQA16" s="289"/>
      <c r="DQB16" s="289"/>
      <c r="DQC16" s="289"/>
      <c r="DQD16" s="289"/>
      <c r="DQE16" s="289"/>
      <c r="DQF16" s="289"/>
      <c r="DQG16" s="289"/>
      <c r="DQH16" s="289"/>
      <c r="DQI16" s="289"/>
      <c r="DQJ16" s="289"/>
      <c r="DQK16" s="289"/>
      <c r="DQL16" s="289"/>
      <c r="DQM16" s="289"/>
      <c r="DQN16" s="289"/>
      <c r="DQO16" s="289"/>
      <c r="DQP16" s="289"/>
      <c r="DQQ16" s="289"/>
      <c r="DQR16" s="289"/>
      <c r="DQS16" s="289"/>
      <c r="DQT16" s="289"/>
      <c r="DQU16" s="289"/>
      <c r="DQV16" s="289"/>
      <c r="DQW16" s="289"/>
      <c r="DQX16" s="289"/>
      <c r="DQY16" s="289"/>
      <c r="DQZ16" s="289"/>
      <c r="DRA16" s="289"/>
      <c r="DRB16" s="289"/>
      <c r="DRC16" s="289"/>
      <c r="DRD16" s="289"/>
      <c r="DRE16" s="289"/>
      <c r="DRF16" s="289"/>
      <c r="DRG16" s="289"/>
      <c r="DRH16" s="289"/>
      <c r="DRI16" s="289"/>
      <c r="DRJ16" s="289"/>
      <c r="DRK16" s="289"/>
      <c r="DRL16" s="289"/>
      <c r="DRM16" s="289"/>
      <c r="DRN16" s="289"/>
      <c r="DRO16" s="289"/>
      <c r="DRP16" s="289"/>
      <c r="DRQ16" s="289"/>
      <c r="DRR16" s="289"/>
      <c r="DRS16" s="289"/>
      <c r="DRT16" s="289"/>
      <c r="DRU16" s="289"/>
      <c r="DRV16" s="289"/>
      <c r="DRW16" s="289"/>
      <c r="DRX16" s="289"/>
      <c r="DRY16" s="289"/>
      <c r="DRZ16" s="289"/>
      <c r="DSA16" s="289"/>
      <c r="DSB16" s="289"/>
      <c r="DSC16" s="289"/>
      <c r="DSD16" s="289"/>
      <c r="DSE16" s="289"/>
      <c r="DSF16" s="289"/>
      <c r="DSG16" s="289"/>
      <c r="DSH16" s="289"/>
      <c r="DSI16" s="289"/>
      <c r="DSJ16" s="289"/>
      <c r="DSK16" s="289"/>
      <c r="DSL16" s="289"/>
      <c r="DSM16" s="289"/>
      <c r="DSN16" s="289"/>
      <c r="DSO16" s="289"/>
      <c r="DSP16" s="289"/>
      <c r="DSQ16" s="289"/>
      <c r="DSR16" s="289"/>
      <c r="DSS16" s="289"/>
      <c r="DST16" s="289"/>
      <c r="DSU16" s="289"/>
      <c r="DSV16" s="289"/>
      <c r="DSW16" s="289"/>
      <c r="DSX16" s="289"/>
      <c r="DSY16" s="289"/>
      <c r="DSZ16" s="289"/>
      <c r="DTA16" s="289"/>
      <c r="DTB16" s="289"/>
      <c r="DTC16" s="289"/>
      <c r="DTD16" s="289"/>
      <c r="DTE16" s="289"/>
      <c r="DTF16" s="289"/>
      <c r="DTG16" s="289"/>
      <c r="DTH16" s="289"/>
      <c r="DTI16" s="289"/>
      <c r="DTJ16" s="289"/>
      <c r="DTK16" s="289"/>
      <c r="DTL16" s="289"/>
      <c r="DTM16" s="289"/>
      <c r="DTN16" s="289"/>
      <c r="DTO16" s="289"/>
      <c r="DTP16" s="289"/>
      <c r="DTQ16" s="289"/>
      <c r="DTR16" s="289"/>
      <c r="DTS16" s="289"/>
      <c r="DTT16" s="289"/>
      <c r="DTU16" s="289"/>
      <c r="DTV16" s="289"/>
      <c r="DTW16" s="289"/>
      <c r="DTX16" s="289"/>
      <c r="DTY16" s="289"/>
      <c r="DTZ16" s="289"/>
      <c r="DUA16" s="289"/>
      <c r="DUB16" s="289"/>
      <c r="DUC16" s="289"/>
      <c r="DUD16" s="289"/>
      <c r="DUE16" s="289"/>
      <c r="DUF16" s="289"/>
      <c r="DUG16" s="289"/>
      <c r="DUH16" s="289"/>
      <c r="DUI16" s="289"/>
      <c r="DUJ16" s="289"/>
      <c r="DUK16" s="289"/>
      <c r="DUL16" s="289"/>
      <c r="DUM16" s="289"/>
      <c r="DUN16" s="289"/>
      <c r="DUO16" s="289"/>
      <c r="DUP16" s="289"/>
      <c r="DUQ16" s="289"/>
      <c r="DUR16" s="289"/>
      <c r="DUS16" s="289"/>
      <c r="DUT16" s="289"/>
      <c r="DUU16" s="289"/>
      <c r="DUV16" s="289"/>
      <c r="DUW16" s="289"/>
      <c r="DUX16" s="289"/>
      <c r="DUY16" s="289"/>
      <c r="DUZ16" s="289"/>
      <c r="DVA16" s="289"/>
      <c r="DVB16" s="289"/>
      <c r="DVC16" s="289"/>
      <c r="DVD16" s="289"/>
      <c r="DVE16" s="289"/>
      <c r="DVF16" s="289"/>
      <c r="DVG16" s="289"/>
      <c r="DVH16" s="289"/>
      <c r="DVI16" s="289"/>
      <c r="DVJ16" s="289"/>
      <c r="DVK16" s="289"/>
      <c r="DVL16" s="289"/>
      <c r="DVM16" s="289"/>
      <c r="DVN16" s="289"/>
      <c r="DVO16" s="289"/>
      <c r="DVP16" s="289"/>
      <c r="DVQ16" s="289"/>
      <c r="DVR16" s="289"/>
      <c r="DVS16" s="289"/>
      <c r="DVT16" s="289"/>
      <c r="DVU16" s="289"/>
      <c r="DVV16" s="289"/>
      <c r="DVW16" s="289"/>
      <c r="DVX16" s="289"/>
      <c r="DVY16" s="289"/>
      <c r="DVZ16" s="289"/>
      <c r="DWA16" s="289"/>
      <c r="DWB16" s="289"/>
      <c r="DWC16" s="289"/>
      <c r="DWD16" s="289"/>
      <c r="DWE16" s="289"/>
      <c r="DWF16" s="289"/>
      <c r="DWG16" s="289"/>
      <c r="DWH16" s="289"/>
      <c r="DWI16" s="289"/>
      <c r="DWJ16" s="289"/>
      <c r="DWK16" s="289"/>
      <c r="DWL16" s="289"/>
      <c r="DWM16" s="289"/>
      <c r="DWN16" s="289"/>
      <c r="DWO16" s="289"/>
      <c r="DWP16" s="289"/>
      <c r="DWQ16" s="289"/>
      <c r="DWR16" s="289"/>
      <c r="DWS16" s="289"/>
      <c r="DWT16" s="289"/>
      <c r="DWU16" s="289"/>
      <c r="DWV16" s="289"/>
      <c r="DWW16" s="289"/>
      <c r="DWX16" s="289"/>
      <c r="DWY16" s="289"/>
      <c r="DWZ16" s="289"/>
      <c r="DXA16" s="289"/>
      <c r="DXB16" s="289"/>
      <c r="DXC16" s="289"/>
      <c r="DXD16" s="289"/>
      <c r="DXE16" s="289"/>
      <c r="DXF16" s="289"/>
      <c r="DXG16" s="289"/>
      <c r="DXH16" s="289"/>
      <c r="DXI16" s="289"/>
      <c r="DXJ16" s="289"/>
      <c r="DXK16" s="289"/>
      <c r="DXL16" s="289"/>
      <c r="DXM16" s="289"/>
      <c r="DXN16" s="289"/>
      <c r="DXO16" s="289"/>
      <c r="DXP16" s="289"/>
      <c r="DXQ16" s="289"/>
      <c r="DXR16" s="289"/>
      <c r="DXS16" s="289"/>
      <c r="DXT16" s="289"/>
      <c r="DXU16" s="289"/>
      <c r="DXV16" s="289"/>
      <c r="DXW16" s="289"/>
      <c r="DXX16" s="289"/>
      <c r="DXY16" s="289"/>
      <c r="DXZ16" s="289"/>
      <c r="DYA16" s="289"/>
      <c r="DYB16" s="289"/>
      <c r="DYC16" s="289"/>
      <c r="DYD16" s="289"/>
      <c r="DYE16" s="289"/>
      <c r="DYF16" s="289"/>
      <c r="DYG16" s="289"/>
      <c r="DYH16" s="289"/>
      <c r="DYI16" s="289"/>
      <c r="DYJ16" s="289"/>
      <c r="DYK16" s="289"/>
      <c r="DYL16" s="289"/>
      <c r="DYM16" s="289"/>
      <c r="DYN16" s="289"/>
      <c r="DYO16" s="289"/>
      <c r="DYP16" s="289"/>
      <c r="DYQ16" s="289"/>
      <c r="DYR16" s="289"/>
      <c r="DYS16" s="289"/>
      <c r="DYT16" s="289"/>
      <c r="DYU16" s="289"/>
      <c r="DYV16" s="289"/>
      <c r="DYW16" s="289"/>
      <c r="DYX16" s="289"/>
      <c r="DYY16" s="289"/>
      <c r="DYZ16" s="289"/>
      <c r="DZA16" s="289"/>
      <c r="DZB16" s="289"/>
      <c r="DZC16" s="289"/>
      <c r="DZD16" s="289"/>
      <c r="DZE16" s="289"/>
      <c r="DZF16" s="289"/>
      <c r="DZG16" s="289"/>
      <c r="DZH16" s="289"/>
      <c r="DZI16" s="289"/>
      <c r="DZJ16" s="289"/>
      <c r="DZK16" s="289"/>
      <c r="DZL16" s="289"/>
      <c r="DZM16" s="289"/>
      <c r="DZN16" s="289"/>
      <c r="DZO16" s="289"/>
      <c r="DZP16" s="289"/>
      <c r="DZQ16" s="289"/>
      <c r="DZR16" s="289"/>
      <c r="DZS16" s="289"/>
      <c r="DZT16" s="289"/>
      <c r="DZU16" s="289"/>
      <c r="DZV16" s="289"/>
      <c r="DZW16" s="289"/>
      <c r="DZX16" s="289"/>
      <c r="DZY16" s="289"/>
      <c r="DZZ16" s="289"/>
      <c r="EAA16" s="289"/>
      <c r="EAB16" s="289"/>
      <c r="EAC16" s="289"/>
      <c r="EAD16" s="289"/>
      <c r="EAE16" s="289"/>
      <c r="EAF16" s="289"/>
      <c r="EAG16" s="289"/>
      <c r="EAH16" s="289"/>
      <c r="EAI16" s="289"/>
      <c r="EAJ16" s="289"/>
      <c r="EAK16" s="289"/>
      <c r="EAL16" s="289"/>
      <c r="EAM16" s="289"/>
      <c r="EAN16" s="289"/>
      <c r="EAO16" s="289"/>
      <c r="EAP16" s="289"/>
      <c r="EAQ16" s="289"/>
      <c r="EAR16" s="289"/>
      <c r="EAS16" s="289"/>
      <c r="EAT16" s="289"/>
      <c r="EAU16" s="289"/>
      <c r="EAV16" s="289"/>
      <c r="EAW16" s="289"/>
      <c r="EAX16" s="289"/>
      <c r="EAY16" s="289"/>
      <c r="EAZ16" s="289"/>
      <c r="EBA16" s="289"/>
      <c r="EBB16" s="289"/>
      <c r="EBC16" s="289"/>
      <c r="EBD16" s="289"/>
      <c r="EBE16" s="289"/>
      <c r="EBF16" s="289"/>
      <c r="EBG16" s="289"/>
      <c r="EBH16" s="289"/>
      <c r="EBI16" s="289"/>
      <c r="EBJ16" s="289"/>
      <c r="EBK16" s="289"/>
      <c r="EBL16" s="289"/>
      <c r="EBM16" s="289"/>
      <c r="EBN16" s="289"/>
      <c r="EBO16" s="289"/>
      <c r="EBP16" s="289"/>
      <c r="EBQ16" s="289"/>
      <c r="EBR16" s="289"/>
      <c r="EBS16" s="289"/>
      <c r="EBT16" s="289"/>
      <c r="EBU16" s="289"/>
      <c r="EBV16" s="289"/>
      <c r="EBW16" s="289"/>
      <c r="EBX16" s="289"/>
      <c r="EBY16" s="289"/>
      <c r="EBZ16" s="289"/>
      <c r="ECA16" s="289"/>
      <c r="ECB16" s="289"/>
      <c r="ECC16" s="289"/>
      <c r="ECD16" s="289"/>
      <c r="ECE16" s="289"/>
      <c r="ECF16" s="289"/>
      <c r="ECG16" s="289"/>
      <c r="ECH16" s="289"/>
      <c r="ECI16" s="289"/>
      <c r="ECJ16" s="289"/>
      <c r="ECK16" s="289"/>
      <c r="ECL16" s="289"/>
      <c r="ECM16" s="289"/>
      <c r="ECN16" s="289"/>
      <c r="ECO16" s="289"/>
      <c r="ECP16" s="289"/>
      <c r="ECQ16" s="289"/>
      <c r="ECR16" s="289"/>
      <c r="ECS16" s="289"/>
      <c r="ECT16" s="289"/>
      <c r="ECU16" s="289"/>
      <c r="ECV16" s="289"/>
      <c r="ECW16" s="289"/>
      <c r="ECX16" s="289"/>
      <c r="ECY16" s="289"/>
      <c r="ECZ16" s="289"/>
      <c r="EDA16" s="289"/>
      <c r="EDB16" s="289"/>
      <c r="EDC16" s="289"/>
      <c r="EDD16" s="289"/>
      <c r="EDE16" s="289"/>
      <c r="EDF16" s="289"/>
      <c r="EDG16" s="289"/>
      <c r="EDH16" s="289"/>
      <c r="EDI16" s="289"/>
      <c r="EDJ16" s="289"/>
      <c r="EDK16" s="289"/>
      <c r="EDL16" s="289"/>
      <c r="EDM16" s="289"/>
      <c r="EDN16" s="289"/>
      <c r="EDO16" s="289"/>
      <c r="EDP16" s="289"/>
      <c r="EDQ16" s="289"/>
      <c r="EDR16" s="289"/>
      <c r="EDS16" s="289"/>
      <c r="EDT16" s="289"/>
      <c r="EDU16" s="289"/>
      <c r="EDV16" s="289"/>
      <c r="EDW16" s="289"/>
      <c r="EDX16" s="289"/>
      <c r="EDY16" s="289"/>
      <c r="EDZ16" s="289"/>
      <c r="EEA16" s="289"/>
      <c r="EEB16" s="289"/>
      <c r="EEC16" s="289"/>
      <c r="EED16" s="289"/>
      <c r="EEE16" s="289"/>
      <c r="EEF16" s="289"/>
      <c r="EEG16" s="289"/>
      <c r="EEH16" s="289"/>
      <c r="EEI16" s="289"/>
      <c r="EEJ16" s="289"/>
      <c r="EEK16" s="289"/>
      <c r="EEL16" s="289"/>
      <c r="EEM16" s="289"/>
      <c r="EEN16" s="289"/>
      <c r="EEO16" s="289"/>
      <c r="EEP16" s="289"/>
      <c r="EEQ16" s="289"/>
      <c r="EER16" s="289"/>
      <c r="EES16" s="289"/>
      <c r="EET16" s="289"/>
      <c r="EEU16" s="289"/>
      <c r="EEV16" s="289"/>
      <c r="EEW16" s="289"/>
      <c r="EEX16" s="289"/>
      <c r="EEY16" s="289"/>
      <c r="EEZ16" s="289"/>
      <c r="EFA16" s="289"/>
      <c r="EFB16" s="289"/>
      <c r="EFC16" s="289"/>
      <c r="EFD16" s="289"/>
      <c r="EFE16" s="289"/>
      <c r="EFF16" s="289"/>
      <c r="EFG16" s="289"/>
      <c r="EFH16" s="289"/>
      <c r="EFI16" s="289"/>
      <c r="EFJ16" s="289"/>
      <c r="EFK16" s="289"/>
      <c r="EFL16" s="289"/>
      <c r="EFM16" s="289"/>
      <c r="EFN16" s="289"/>
      <c r="EFO16" s="289"/>
      <c r="EFP16" s="289"/>
      <c r="EFQ16" s="289"/>
      <c r="EFR16" s="289"/>
      <c r="EFS16" s="289"/>
      <c r="EFT16" s="289"/>
      <c r="EFU16" s="289"/>
      <c r="EFV16" s="289"/>
      <c r="EFW16" s="289"/>
      <c r="EFX16" s="289"/>
      <c r="EFY16" s="289"/>
      <c r="EFZ16" s="289"/>
      <c r="EGA16" s="289"/>
      <c r="EGB16" s="289"/>
      <c r="EGC16" s="289"/>
      <c r="EGD16" s="289"/>
      <c r="EGE16" s="289"/>
      <c r="EGF16" s="289"/>
      <c r="EGG16" s="289"/>
      <c r="EGH16" s="289"/>
      <c r="EGI16" s="289"/>
      <c r="EGJ16" s="289"/>
      <c r="EGK16" s="289"/>
      <c r="EGL16" s="289"/>
      <c r="EGM16" s="289"/>
      <c r="EGN16" s="289"/>
      <c r="EGO16" s="289"/>
      <c r="EGP16" s="289"/>
      <c r="EGQ16" s="289"/>
      <c r="EGR16" s="289"/>
      <c r="EGS16" s="289"/>
      <c r="EGT16" s="289"/>
      <c r="EGU16" s="289"/>
      <c r="EGV16" s="289"/>
      <c r="EGW16" s="289"/>
      <c r="EGX16" s="289"/>
      <c r="EGY16" s="289"/>
      <c r="EGZ16" s="289"/>
      <c r="EHA16" s="289"/>
      <c r="EHB16" s="289"/>
      <c r="EHC16" s="289"/>
      <c r="EHD16" s="289"/>
      <c r="EHE16" s="289"/>
      <c r="EHF16" s="289"/>
      <c r="EHG16" s="289"/>
      <c r="EHH16" s="289"/>
      <c r="EHI16" s="289"/>
      <c r="EHJ16" s="289"/>
      <c r="EHK16" s="289"/>
      <c r="EHL16" s="289"/>
      <c r="EHM16" s="289"/>
      <c r="EHN16" s="289"/>
      <c r="EHO16" s="289"/>
      <c r="EHP16" s="289"/>
      <c r="EHQ16" s="289"/>
      <c r="EHR16" s="289"/>
      <c r="EHS16" s="289"/>
      <c r="EHT16" s="289"/>
      <c r="EHU16" s="289"/>
      <c r="EHV16" s="289"/>
      <c r="EHW16" s="289"/>
      <c r="EHX16" s="289"/>
      <c r="EHY16" s="289"/>
      <c r="EHZ16" s="289"/>
      <c r="EIA16" s="289"/>
      <c r="EIB16" s="289"/>
      <c r="EIC16" s="289"/>
      <c r="EID16" s="289"/>
      <c r="EIE16" s="289"/>
      <c r="EIF16" s="289"/>
      <c r="EIG16" s="289"/>
      <c r="EIH16" s="289"/>
      <c r="EII16" s="289"/>
      <c r="EIJ16" s="289"/>
      <c r="EIK16" s="289"/>
      <c r="EIL16" s="289"/>
      <c r="EIM16" s="289"/>
      <c r="EIN16" s="289"/>
      <c r="EIO16" s="289"/>
      <c r="EIP16" s="289"/>
      <c r="EIQ16" s="289"/>
      <c r="EIR16" s="289"/>
      <c r="EIS16" s="289"/>
      <c r="EIT16" s="289"/>
      <c r="EIU16" s="289"/>
      <c r="EIV16" s="289"/>
      <c r="EIW16" s="289"/>
      <c r="EIX16" s="289"/>
      <c r="EIY16" s="289"/>
      <c r="EIZ16" s="289"/>
      <c r="EJA16" s="289"/>
      <c r="EJB16" s="289"/>
      <c r="EJC16" s="289"/>
      <c r="EJD16" s="289"/>
      <c r="EJE16" s="289"/>
      <c r="EJF16" s="289"/>
      <c r="EJG16" s="289"/>
      <c r="EJH16" s="289"/>
      <c r="EJI16" s="289"/>
      <c r="EJJ16" s="289"/>
      <c r="EJK16" s="289"/>
      <c r="EJL16" s="289"/>
      <c r="EJM16" s="289"/>
      <c r="EJN16" s="289"/>
      <c r="EJO16" s="289"/>
      <c r="EJP16" s="289"/>
      <c r="EJQ16" s="289"/>
      <c r="EJR16" s="289"/>
      <c r="EJS16" s="289"/>
      <c r="EJT16" s="289"/>
      <c r="EJU16" s="289"/>
      <c r="EJV16" s="289"/>
      <c r="EJW16" s="289"/>
      <c r="EJX16" s="289"/>
      <c r="EJY16" s="289"/>
      <c r="EJZ16" s="289"/>
      <c r="EKA16" s="289"/>
      <c r="EKB16" s="289"/>
      <c r="EKC16" s="289"/>
      <c r="EKD16" s="289"/>
      <c r="EKE16" s="289"/>
      <c r="EKF16" s="289"/>
      <c r="EKG16" s="289"/>
      <c r="EKH16" s="289"/>
      <c r="EKI16" s="289"/>
      <c r="EKJ16" s="289"/>
      <c r="EKK16" s="289"/>
      <c r="EKL16" s="289"/>
      <c r="EKM16" s="289"/>
      <c r="EKN16" s="289"/>
      <c r="EKO16" s="289"/>
      <c r="EKP16" s="289"/>
      <c r="EKQ16" s="289"/>
      <c r="EKR16" s="289"/>
      <c r="EKS16" s="289"/>
      <c r="EKT16" s="289"/>
      <c r="EKU16" s="289"/>
      <c r="EKV16" s="289"/>
      <c r="EKW16" s="289"/>
      <c r="EKX16" s="289"/>
      <c r="EKY16" s="289"/>
      <c r="EKZ16" s="289"/>
      <c r="ELA16" s="289"/>
      <c r="ELB16" s="289"/>
      <c r="ELC16" s="289"/>
      <c r="ELD16" s="289"/>
      <c r="ELE16" s="289"/>
      <c r="ELF16" s="289"/>
      <c r="ELG16" s="289"/>
      <c r="ELH16" s="289"/>
      <c r="ELI16" s="289"/>
      <c r="ELJ16" s="289"/>
      <c r="ELK16" s="289"/>
      <c r="ELL16" s="289"/>
      <c r="ELM16" s="289"/>
      <c r="ELN16" s="289"/>
      <c r="ELO16" s="289"/>
      <c r="ELP16" s="289"/>
      <c r="ELQ16" s="289"/>
      <c r="ELR16" s="289"/>
      <c r="ELS16" s="289"/>
      <c r="ELT16" s="289"/>
      <c r="ELU16" s="289"/>
      <c r="ELV16" s="289"/>
      <c r="ELW16" s="289"/>
      <c r="ELX16" s="289"/>
      <c r="ELY16" s="289"/>
      <c r="ELZ16" s="289"/>
      <c r="EMA16" s="289"/>
      <c r="EMB16" s="289"/>
      <c r="EMC16" s="289"/>
      <c r="EMD16" s="289"/>
      <c r="EME16" s="289"/>
      <c r="EMF16" s="289"/>
      <c r="EMG16" s="289"/>
      <c r="EMH16" s="289"/>
      <c r="EMI16" s="289"/>
      <c r="EMJ16" s="289"/>
      <c r="EMK16" s="289"/>
      <c r="EML16" s="289"/>
      <c r="EMM16" s="289"/>
      <c r="EMN16" s="289"/>
      <c r="EMO16" s="289"/>
      <c r="EMP16" s="289"/>
      <c r="EMQ16" s="289"/>
      <c r="EMR16" s="289"/>
      <c r="EMS16" s="289"/>
      <c r="EMT16" s="289"/>
      <c r="EMU16" s="289"/>
      <c r="EMV16" s="289"/>
      <c r="EMW16" s="289"/>
      <c r="EMX16" s="289"/>
      <c r="EMY16" s="289"/>
      <c r="EMZ16" s="289"/>
      <c r="ENA16" s="289"/>
      <c r="ENB16" s="289"/>
      <c r="ENC16" s="289"/>
      <c r="END16" s="289"/>
      <c r="ENE16" s="289"/>
      <c r="ENF16" s="289"/>
      <c r="ENG16" s="289"/>
      <c r="ENH16" s="289"/>
      <c r="ENI16" s="289"/>
      <c r="ENJ16" s="289"/>
      <c r="ENK16" s="289"/>
      <c r="ENL16" s="289"/>
      <c r="ENM16" s="289"/>
      <c r="ENN16" s="289"/>
      <c r="ENO16" s="289"/>
      <c r="ENP16" s="289"/>
      <c r="ENQ16" s="289"/>
      <c r="ENR16" s="289"/>
      <c r="ENS16" s="289"/>
      <c r="ENT16" s="289"/>
      <c r="ENU16" s="289"/>
      <c r="ENV16" s="289"/>
      <c r="ENW16" s="289"/>
      <c r="ENX16" s="289"/>
      <c r="ENY16" s="289"/>
      <c r="ENZ16" s="289"/>
      <c r="EOA16" s="289"/>
      <c r="EOB16" s="289"/>
      <c r="EOC16" s="289"/>
      <c r="EOD16" s="289"/>
      <c r="EOE16" s="289"/>
      <c r="EOF16" s="289"/>
      <c r="EOG16" s="289"/>
      <c r="EOH16" s="289"/>
      <c r="EOI16" s="289"/>
      <c r="EOJ16" s="289"/>
      <c r="EOK16" s="289"/>
      <c r="EOL16" s="289"/>
      <c r="EOM16" s="289"/>
      <c r="EON16" s="289"/>
      <c r="EOO16" s="289"/>
      <c r="EOP16" s="289"/>
      <c r="EOQ16" s="289"/>
      <c r="EOR16" s="289"/>
      <c r="EOS16" s="289"/>
      <c r="EOT16" s="289"/>
      <c r="EOU16" s="289"/>
      <c r="EOV16" s="289"/>
      <c r="EOW16" s="289"/>
      <c r="EOX16" s="289"/>
      <c r="EOY16" s="289"/>
      <c r="EOZ16" s="289"/>
      <c r="EPA16" s="289"/>
      <c r="EPB16" s="289"/>
      <c r="EPC16" s="289"/>
      <c r="EPD16" s="289"/>
      <c r="EPE16" s="289"/>
      <c r="EPF16" s="289"/>
      <c r="EPG16" s="289"/>
      <c r="EPH16" s="289"/>
      <c r="EPI16" s="289"/>
      <c r="EPJ16" s="289"/>
      <c r="EPK16" s="289"/>
      <c r="EPL16" s="289"/>
      <c r="EPM16" s="289"/>
      <c r="EPN16" s="289"/>
      <c r="EPO16" s="289"/>
      <c r="EPP16" s="289"/>
      <c r="EPQ16" s="289"/>
      <c r="EPR16" s="289"/>
      <c r="EPS16" s="289"/>
      <c r="EPT16" s="289"/>
      <c r="EPU16" s="289"/>
      <c r="EPV16" s="289"/>
      <c r="EPW16" s="289"/>
      <c r="EPX16" s="289"/>
      <c r="EPY16" s="289"/>
      <c r="EPZ16" s="289"/>
      <c r="EQA16" s="289"/>
      <c r="EQB16" s="289"/>
      <c r="EQC16" s="289"/>
      <c r="EQD16" s="289"/>
      <c r="EQE16" s="289"/>
      <c r="EQF16" s="289"/>
      <c r="EQG16" s="289"/>
      <c r="EQH16" s="289"/>
      <c r="EQI16" s="289"/>
      <c r="EQJ16" s="289"/>
      <c r="EQK16" s="289"/>
      <c r="EQL16" s="289"/>
      <c r="EQM16" s="289"/>
      <c r="EQN16" s="289"/>
      <c r="EQO16" s="289"/>
      <c r="EQP16" s="289"/>
      <c r="EQQ16" s="289"/>
      <c r="EQR16" s="289"/>
      <c r="EQS16" s="289"/>
      <c r="EQT16" s="289"/>
      <c r="EQU16" s="289"/>
      <c r="EQV16" s="289"/>
      <c r="EQW16" s="289"/>
      <c r="EQX16" s="289"/>
      <c r="EQY16" s="289"/>
      <c r="EQZ16" s="289"/>
      <c r="ERA16" s="289"/>
      <c r="ERB16" s="289"/>
      <c r="ERC16" s="289"/>
      <c r="ERD16" s="289"/>
      <c r="ERE16" s="289"/>
      <c r="ERF16" s="289"/>
      <c r="ERG16" s="289"/>
      <c r="ERH16" s="289"/>
      <c r="ERI16" s="289"/>
      <c r="ERJ16" s="289"/>
      <c r="ERK16" s="289"/>
      <c r="ERL16" s="289"/>
      <c r="ERM16" s="289"/>
      <c r="ERN16" s="289"/>
      <c r="ERO16" s="289"/>
      <c r="ERP16" s="289"/>
      <c r="ERQ16" s="289"/>
      <c r="ERR16" s="289"/>
      <c r="ERS16" s="289"/>
      <c r="ERT16" s="289"/>
      <c r="ERU16" s="289"/>
      <c r="ERV16" s="289"/>
      <c r="ERW16" s="289"/>
      <c r="ERX16" s="289"/>
      <c r="ERY16" s="289"/>
      <c r="ERZ16" s="289"/>
      <c r="ESA16" s="289"/>
      <c r="ESB16" s="289"/>
      <c r="ESC16" s="289"/>
      <c r="ESD16" s="289"/>
      <c r="ESE16" s="289"/>
      <c r="ESF16" s="289"/>
      <c r="ESG16" s="289"/>
      <c r="ESH16" s="289"/>
      <c r="ESI16" s="289"/>
      <c r="ESJ16" s="289"/>
      <c r="ESK16" s="289"/>
      <c r="ESL16" s="289"/>
      <c r="ESM16" s="289"/>
      <c r="ESN16" s="289"/>
      <c r="ESO16" s="289"/>
      <c r="ESP16" s="289"/>
      <c r="ESQ16" s="289"/>
      <c r="ESR16" s="289"/>
      <c r="ESS16" s="289"/>
      <c r="EST16" s="289"/>
      <c r="ESU16" s="289"/>
      <c r="ESV16" s="289"/>
      <c r="ESW16" s="289"/>
      <c r="ESX16" s="289"/>
      <c r="ESY16" s="289"/>
      <c r="ESZ16" s="289"/>
      <c r="ETA16" s="289"/>
      <c r="ETB16" s="289"/>
      <c r="ETC16" s="289"/>
      <c r="ETD16" s="289"/>
      <c r="ETE16" s="289"/>
      <c r="ETF16" s="289"/>
      <c r="ETG16" s="289"/>
      <c r="ETH16" s="289"/>
      <c r="ETI16" s="289"/>
      <c r="ETJ16" s="289"/>
      <c r="ETK16" s="289"/>
      <c r="ETL16" s="289"/>
      <c r="ETM16" s="289"/>
      <c r="ETN16" s="289"/>
      <c r="ETO16" s="289"/>
      <c r="ETP16" s="289"/>
      <c r="ETQ16" s="289"/>
      <c r="ETR16" s="289"/>
      <c r="ETS16" s="289"/>
      <c r="ETT16" s="289"/>
      <c r="ETU16" s="289"/>
      <c r="ETV16" s="289"/>
      <c r="ETW16" s="289"/>
      <c r="ETX16" s="289"/>
      <c r="ETY16" s="289"/>
      <c r="ETZ16" s="289"/>
      <c r="EUA16" s="289"/>
      <c r="EUB16" s="289"/>
      <c r="EUC16" s="289"/>
      <c r="EUD16" s="289"/>
      <c r="EUE16" s="289"/>
      <c r="EUF16" s="289"/>
      <c r="EUG16" s="289"/>
      <c r="EUH16" s="289"/>
      <c r="EUI16" s="289"/>
      <c r="EUJ16" s="289"/>
      <c r="EUK16" s="289"/>
      <c r="EUL16" s="289"/>
      <c r="EUM16" s="289"/>
      <c r="EUN16" s="289"/>
      <c r="EUO16" s="289"/>
      <c r="EUP16" s="289"/>
      <c r="EUQ16" s="289"/>
      <c r="EUR16" s="289"/>
      <c r="EUS16" s="289"/>
      <c r="EUT16" s="289"/>
      <c r="EUU16" s="289"/>
      <c r="EUV16" s="289"/>
      <c r="EUW16" s="289"/>
      <c r="EUX16" s="289"/>
      <c r="EUY16" s="289"/>
      <c r="EUZ16" s="289"/>
      <c r="EVA16" s="289"/>
      <c r="EVB16" s="289"/>
      <c r="EVC16" s="289"/>
      <c r="EVD16" s="289"/>
      <c r="EVE16" s="289"/>
      <c r="EVF16" s="289"/>
      <c r="EVG16" s="289"/>
      <c r="EVH16" s="289"/>
      <c r="EVI16" s="289"/>
      <c r="EVJ16" s="289"/>
      <c r="EVK16" s="289"/>
      <c r="EVL16" s="289"/>
      <c r="EVM16" s="289"/>
      <c r="EVN16" s="289"/>
      <c r="EVO16" s="289"/>
      <c r="EVP16" s="289"/>
      <c r="EVQ16" s="289"/>
      <c r="EVR16" s="289"/>
      <c r="EVS16" s="289"/>
      <c r="EVT16" s="289"/>
      <c r="EVU16" s="289"/>
      <c r="EVV16" s="289"/>
      <c r="EVW16" s="289"/>
      <c r="EVX16" s="289"/>
      <c r="EVY16" s="289"/>
      <c r="EVZ16" s="289"/>
      <c r="EWA16" s="289"/>
      <c r="EWB16" s="289"/>
      <c r="EWC16" s="289"/>
      <c r="EWD16" s="289"/>
      <c r="EWE16" s="289"/>
      <c r="EWF16" s="289"/>
      <c r="EWG16" s="289"/>
      <c r="EWH16" s="289"/>
      <c r="EWI16" s="289"/>
      <c r="EWJ16" s="289"/>
      <c r="EWK16" s="289"/>
      <c r="EWL16" s="289"/>
      <c r="EWM16" s="289"/>
      <c r="EWN16" s="289"/>
      <c r="EWO16" s="289"/>
      <c r="EWP16" s="289"/>
      <c r="EWQ16" s="289"/>
      <c r="EWR16" s="289"/>
      <c r="EWS16" s="289"/>
      <c r="EWT16" s="289"/>
      <c r="EWU16" s="289"/>
      <c r="EWV16" s="289"/>
      <c r="EWW16" s="289"/>
      <c r="EWX16" s="289"/>
      <c r="EWY16" s="289"/>
      <c r="EWZ16" s="289"/>
      <c r="EXA16" s="289"/>
      <c r="EXB16" s="289"/>
      <c r="EXC16" s="289"/>
      <c r="EXD16" s="289"/>
      <c r="EXE16" s="289"/>
      <c r="EXF16" s="289"/>
      <c r="EXG16" s="289"/>
      <c r="EXH16" s="289"/>
      <c r="EXI16" s="289"/>
      <c r="EXJ16" s="289"/>
      <c r="EXK16" s="289"/>
      <c r="EXL16" s="289"/>
      <c r="EXM16" s="289"/>
      <c r="EXN16" s="289"/>
      <c r="EXO16" s="289"/>
      <c r="EXP16" s="289"/>
      <c r="EXQ16" s="289"/>
      <c r="EXR16" s="289"/>
      <c r="EXS16" s="289"/>
      <c r="EXT16" s="289"/>
      <c r="EXU16" s="289"/>
      <c r="EXV16" s="289"/>
      <c r="EXW16" s="289"/>
      <c r="EXX16" s="289"/>
      <c r="EXY16" s="289"/>
      <c r="EXZ16" s="289"/>
      <c r="EYA16" s="289"/>
      <c r="EYB16" s="289"/>
      <c r="EYC16" s="289"/>
      <c r="EYD16" s="289"/>
      <c r="EYE16" s="289"/>
      <c r="EYF16" s="289"/>
      <c r="EYG16" s="289"/>
      <c r="EYH16" s="289"/>
      <c r="EYI16" s="289"/>
      <c r="EYJ16" s="289"/>
      <c r="EYK16" s="289"/>
      <c r="EYL16" s="289"/>
      <c r="EYM16" s="289"/>
      <c r="EYN16" s="289"/>
      <c r="EYO16" s="289"/>
      <c r="EYP16" s="289"/>
      <c r="EYQ16" s="289"/>
      <c r="EYR16" s="289"/>
      <c r="EYS16" s="289"/>
      <c r="EYT16" s="289"/>
      <c r="EYU16" s="289"/>
      <c r="EYV16" s="289"/>
      <c r="EYW16" s="289"/>
      <c r="EYX16" s="289"/>
      <c r="EYY16" s="289"/>
      <c r="EYZ16" s="289"/>
      <c r="EZA16" s="289"/>
      <c r="EZB16" s="289"/>
      <c r="EZC16" s="289"/>
      <c r="EZD16" s="289"/>
      <c r="EZE16" s="289"/>
      <c r="EZF16" s="289"/>
      <c r="EZG16" s="289"/>
      <c r="EZH16" s="289"/>
      <c r="EZI16" s="289"/>
      <c r="EZJ16" s="289"/>
      <c r="EZK16" s="289"/>
      <c r="EZL16" s="289"/>
      <c r="EZM16" s="289"/>
      <c r="EZN16" s="289"/>
      <c r="EZO16" s="289"/>
      <c r="EZP16" s="289"/>
      <c r="EZQ16" s="289"/>
      <c r="EZR16" s="289"/>
      <c r="EZS16" s="289"/>
      <c r="EZT16" s="289"/>
      <c r="EZU16" s="289"/>
      <c r="EZV16" s="289"/>
      <c r="EZW16" s="289"/>
      <c r="EZX16" s="289"/>
      <c r="EZY16" s="289"/>
      <c r="EZZ16" s="289"/>
      <c r="FAA16" s="289"/>
      <c r="FAB16" s="289"/>
      <c r="FAC16" s="289"/>
      <c r="FAD16" s="289"/>
      <c r="FAE16" s="289"/>
      <c r="FAF16" s="289"/>
      <c r="FAG16" s="289"/>
      <c r="FAH16" s="289"/>
      <c r="FAI16" s="289"/>
      <c r="FAJ16" s="289"/>
      <c r="FAK16" s="289"/>
      <c r="FAL16" s="289"/>
      <c r="FAM16" s="289"/>
      <c r="FAN16" s="289"/>
      <c r="FAO16" s="289"/>
      <c r="FAP16" s="289"/>
      <c r="FAQ16" s="289"/>
      <c r="FAR16" s="289"/>
      <c r="FAS16" s="289"/>
      <c r="FAT16" s="289"/>
      <c r="FAU16" s="289"/>
      <c r="FAV16" s="289"/>
      <c r="FAW16" s="289"/>
      <c r="FAX16" s="289"/>
      <c r="FAY16" s="289"/>
      <c r="FAZ16" s="289"/>
      <c r="FBA16" s="289"/>
      <c r="FBB16" s="289"/>
      <c r="FBC16" s="289"/>
      <c r="FBD16" s="289"/>
      <c r="FBE16" s="289"/>
      <c r="FBF16" s="289"/>
      <c r="FBG16" s="289"/>
      <c r="FBH16" s="289"/>
      <c r="FBI16" s="289"/>
      <c r="FBJ16" s="289"/>
      <c r="FBK16" s="289"/>
      <c r="FBL16" s="289"/>
      <c r="FBM16" s="289"/>
      <c r="FBN16" s="289"/>
      <c r="FBO16" s="289"/>
      <c r="FBP16" s="289"/>
      <c r="FBQ16" s="289"/>
      <c r="FBR16" s="289"/>
      <c r="FBS16" s="289"/>
      <c r="FBT16" s="289"/>
      <c r="FBU16" s="289"/>
      <c r="FBV16" s="289"/>
      <c r="FBW16" s="289"/>
      <c r="FBX16" s="289"/>
      <c r="FBY16" s="289"/>
      <c r="FBZ16" s="289"/>
      <c r="FCA16" s="289"/>
      <c r="FCB16" s="289"/>
      <c r="FCC16" s="289"/>
      <c r="FCD16" s="289"/>
      <c r="FCE16" s="289"/>
      <c r="FCF16" s="289"/>
      <c r="FCG16" s="289"/>
      <c r="FCH16" s="289"/>
      <c r="FCI16" s="289"/>
      <c r="FCJ16" s="289"/>
      <c r="FCK16" s="289"/>
      <c r="FCL16" s="289"/>
      <c r="FCM16" s="289"/>
      <c r="FCN16" s="289"/>
      <c r="FCO16" s="289"/>
      <c r="FCP16" s="289"/>
      <c r="FCQ16" s="289"/>
      <c r="FCR16" s="289"/>
      <c r="FCS16" s="289"/>
      <c r="FCT16" s="289"/>
      <c r="FCU16" s="289"/>
      <c r="FCV16" s="289"/>
      <c r="FCW16" s="289"/>
      <c r="FCX16" s="289"/>
      <c r="FCY16" s="289"/>
      <c r="FCZ16" s="289"/>
      <c r="FDA16" s="289"/>
      <c r="FDB16" s="289"/>
      <c r="FDC16" s="289"/>
      <c r="FDD16" s="289"/>
      <c r="FDE16" s="289"/>
      <c r="FDF16" s="289"/>
      <c r="FDG16" s="289"/>
      <c r="FDH16" s="289"/>
      <c r="FDI16" s="289"/>
      <c r="FDJ16" s="289"/>
      <c r="FDK16" s="289"/>
      <c r="FDL16" s="289"/>
      <c r="FDM16" s="289"/>
      <c r="FDN16" s="289"/>
      <c r="FDO16" s="289"/>
      <c r="FDP16" s="289"/>
      <c r="FDQ16" s="289"/>
      <c r="FDR16" s="289"/>
      <c r="FDS16" s="289"/>
      <c r="FDT16" s="289"/>
      <c r="FDU16" s="289"/>
      <c r="FDV16" s="289"/>
      <c r="FDW16" s="289"/>
      <c r="FDX16" s="289"/>
      <c r="FDY16" s="289"/>
      <c r="FDZ16" s="289"/>
      <c r="FEA16" s="289"/>
      <c r="FEB16" s="289"/>
      <c r="FEC16" s="289"/>
      <c r="FED16" s="289"/>
      <c r="FEE16" s="289"/>
      <c r="FEF16" s="289"/>
      <c r="FEG16" s="289"/>
      <c r="FEH16" s="289"/>
      <c r="FEI16" s="289"/>
      <c r="FEJ16" s="289"/>
      <c r="FEK16" s="289"/>
      <c r="FEL16" s="289"/>
      <c r="FEM16" s="289"/>
      <c r="FEN16" s="289"/>
      <c r="FEO16" s="289"/>
      <c r="FEP16" s="289"/>
      <c r="FEQ16" s="289"/>
      <c r="FER16" s="289"/>
      <c r="FES16" s="289"/>
      <c r="FET16" s="289"/>
      <c r="FEU16" s="289"/>
      <c r="FEV16" s="289"/>
      <c r="FEW16" s="289"/>
      <c r="FEX16" s="289"/>
      <c r="FEY16" s="289"/>
      <c r="FEZ16" s="289"/>
      <c r="FFA16" s="289"/>
      <c r="FFB16" s="289"/>
      <c r="FFC16" s="289"/>
      <c r="FFD16" s="289"/>
      <c r="FFE16" s="289"/>
      <c r="FFF16" s="289"/>
      <c r="FFG16" s="289"/>
      <c r="FFH16" s="289"/>
      <c r="FFI16" s="289"/>
      <c r="FFJ16" s="289"/>
      <c r="FFK16" s="289"/>
      <c r="FFL16" s="289"/>
      <c r="FFM16" s="289"/>
      <c r="FFN16" s="289"/>
      <c r="FFO16" s="289"/>
      <c r="FFP16" s="289"/>
      <c r="FFQ16" s="289"/>
      <c r="FFR16" s="289"/>
      <c r="FFS16" s="289"/>
      <c r="FFT16" s="289"/>
      <c r="FFU16" s="289"/>
      <c r="FFV16" s="289"/>
      <c r="FFW16" s="289"/>
      <c r="FFX16" s="289"/>
      <c r="FFY16" s="289"/>
      <c r="FFZ16" s="289"/>
      <c r="FGA16" s="289"/>
      <c r="FGB16" s="289"/>
      <c r="FGC16" s="289"/>
      <c r="FGD16" s="289"/>
      <c r="FGE16" s="289"/>
      <c r="FGF16" s="289"/>
      <c r="FGG16" s="289"/>
      <c r="FGH16" s="289"/>
      <c r="FGI16" s="289"/>
      <c r="FGJ16" s="289"/>
      <c r="FGK16" s="289"/>
      <c r="FGL16" s="289"/>
      <c r="FGM16" s="289"/>
      <c r="FGN16" s="289"/>
      <c r="FGO16" s="289"/>
      <c r="FGP16" s="289"/>
      <c r="FGQ16" s="289"/>
      <c r="FGR16" s="289"/>
      <c r="FGS16" s="289"/>
      <c r="FGT16" s="289"/>
      <c r="FGU16" s="289"/>
      <c r="FGV16" s="289"/>
      <c r="FGW16" s="289"/>
      <c r="FGX16" s="289"/>
      <c r="FGY16" s="289"/>
      <c r="FGZ16" s="289"/>
      <c r="FHA16" s="289"/>
      <c r="FHB16" s="289"/>
      <c r="FHC16" s="289"/>
      <c r="FHD16" s="289"/>
      <c r="FHE16" s="289"/>
      <c r="FHF16" s="289"/>
      <c r="FHG16" s="289"/>
      <c r="FHH16" s="289"/>
      <c r="FHI16" s="289"/>
      <c r="FHJ16" s="289"/>
      <c r="FHK16" s="289"/>
      <c r="FHL16" s="289"/>
      <c r="FHM16" s="289"/>
      <c r="FHN16" s="289"/>
      <c r="FHO16" s="289"/>
      <c r="FHP16" s="289"/>
      <c r="FHQ16" s="289"/>
      <c r="FHR16" s="289"/>
      <c r="FHS16" s="289"/>
      <c r="FHT16" s="289"/>
      <c r="FHU16" s="289"/>
      <c r="FHV16" s="289"/>
      <c r="FHW16" s="289"/>
      <c r="FHX16" s="289"/>
      <c r="FHY16" s="289"/>
      <c r="FHZ16" s="289"/>
      <c r="FIA16" s="289"/>
      <c r="FIB16" s="289"/>
      <c r="FIC16" s="289"/>
      <c r="FID16" s="289"/>
      <c r="FIE16" s="289"/>
      <c r="FIF16" s="289"/>
      <c r="FIG16" s="289"/>
      <c r="FIH16" s="289"/>
      <c r="FII16" s="289"/>
      <c r="FIJ16" s="289"/>
      <c r="FIK16" s="289"/>
      <c r="FIL16" s="289"/>
      <c r="FIM16" s="289"/>
      <c r="FIN16" s="289"/>
      <c r="FIO16" s="289"/>
      <c r="FIP16" s="289"/>
      <c r="FIQ16" s="289"/>
      <c r="FIR16" s="289"/>
      <c r="FIS16" s="289"/>
      <c r="FIT16" s="289"/>
      <c r="FIU16" s="289"/>
      <c r="FIV16" s="289"/>
      <c r="FIW16" s="289"/>
      <c r="FIX16" s="289"/>
      <c r="FIY16" s="289"/>
      <c r="FIZ16" s="289"/>
      <c r="FJA16" s="289"/>
      <c r="FJB16" s="289"/>
      <c r="FJC16" s="289"/>
      <c r="FJD16" s="289"/>
      <c r="FJE16" s="289"/>
      <c r="FJF16" s="289"/>
      <c r="FJG16" s="289"/>
      <c r="FJH16" s="289"/>
      <c r="FJI16" s="289"/>
      <c r="FJJ16" s="289"/>
      <c r="FJK16" s="289"/>
      <c r="FJL16" s="289"/>
      <c r="FJM16" s="289"/>
      <c r="FJN16" s="289"/>
      <c r="FJO16" s="289"/>
      <c r="FJP16" s="289"/>
      <c r="FJQ16" s="289"/>
      <c r="FJR16" s="289"/>
      <c r="FJS16" s="289"/>
      <c r="FJT16" s="289"/>
      <c r="FJU16" s="289"/>
      <c r="FJV16" s="289"/>
      <c r="FJW16" s="289"/>
      <c r="FJX16" s="289"/>
      <c r="FJY16" s="289"/>
      <c r="FJZ16" s="289"/>
      <c r="FKA16" s="289"/>
      <c r="FKB16" s="289"/>
      <c r="FKC16" s="289"/>
      <c r="FKD16" s="289"/>
      <c r="FKE16" s="289"/>
      <c r="FKF16" s="289"/>
      <c r="FKG16" s="289"/>
      <c r="FKH16" s="289"/>
      <c r="FKI16" s="289"/>
      <c r="FKJ16" s="289"/>
      <c r="FKK16" s="289"/>
      <c r="FKL16" s="289"/>
      <c r="FKM16" s="289"/>
      <c r="FKN16" s="289"/>
      <c r="FKO16" s="289"/>
      <c r="FKP16" s="289"/>
      <c r="FKQ16" s="289"/>
      <c r="FKR16" s="289"/>
      <c r="FKS16" s="289"/>
      <c r="FKT16" s="289"/>
      <c r="FKU16" s="289"/>
      <c r="FKV16" s="289"/>
      <c r="FKW16" s="289"/>
      <c r="FKX16" s="289"/>
      <c r="FKY16" s="289"/>
      <c r="FKZ16" s="289"/>
      <c r="FLA16" s="289"/>
      <c r="FLB16" s="289"/>
      <c r="FLC16" s="289"/>
      <c r="FLD16" s="289"/>
      <c r="FLE16" s="289"/>
      <c r="FLF16" s="289"/>
      <c r="FLG16" s="289"/>
      <c r="FLH16" s="289"/>
      <c r="FLI16" s="289"/>
      <c r="FLJ16" s="289"/>
      <c r="FLK16" s="289"/>
      <c r="FLL16" s="289"/>
      <c r="FLM16" s="289"/>
      <c r="FLN16" s="289"/>
      <c r="FLO16" s="289"/>
      <c r="FLP16" s="289"/>
      <c r="FLQ16" s="289"/>
      <c r="FLR16" s="289"/>
      <c r="FLS16" s="289"/>
      <c r="FLT16" s="289"/>
      <c r="FLU16" s="289"/>
      <c r="FLV16" s="289"/>
      <c r="FLW16" s="289"/>
      <c r="FLX16" s="289"/>
      <c r="FLY16" s="289"/>
      <c r="FLZ16" s="289"/>
      <c r="FMA16" s="289"/>
      <c r="FMB16" s="289"/>
      <c r="FMC16" s="289"/>
      <c r="FMD16" s="289"/>
      <c r="FME16" s="289"/>
      <c r="FMF16" s="289"/>
      <c r="FMG16" s="289"/>
      <c r="FMH16" s="289"/>
      <c r="FMI16" s="289"/>
      <c r="FMJ16" s="289"/>
      <c r="FMK16" s="289"/>
      <c r="FML16" s="289"/>
      <c r="FMM16" s="289"/>
      <c r="FMN16" s="289"/>
      <c r="FMO16" s="289"/>
      <c r="FMP16" s="289"/>
      <c r="FMQ16" s="289"/>
      <c r="FMR16" s="289"/>
      <c r="FMS16" s="289"/>
      <c r="FMT16" s="289"/>
      <c r="FMU16" s="289"/>
      <c r="FMV16" s="289"/>
      <c r="FMW16" s="289"/>
      <c r="FMX16" s="289"/>
      <c r="FMY16" s="289"/>
      <c r="FMZ16" s="289"/>
      <c r="FNA16" s="289"/>
      <c r="FNB16" s="289"/>
      <c r="FNC16" s="289"/>
      <c r="FND16" s="289"/>
      <c r="FNE16" s="289"/>
      <c r="FNF16" s="289"/>
      <c r="FNG16" s="289"/>
      <c r="FNH16" s="289"/>
      <c r="FNI16" s="289"/>
      <c r="FNJ16" s="289"/>
      <c r="FNK16" s="289"/>
      <c r="FNL16" s="289"/>
      <c r="FNM16" s="289"/>
      <c r="FNN16" s="289"/>
      <c r="FNO16" s="289"/>
      <c r="FNP16" s="289"/>
      <c r="FNQ16" s="289"/>
      <c r="FNR16" s="289"/>
      <c r="FNS16" s="289"/>
      <c r="FNT16" s="289"/>
      <c r="FNU16" s="289"/>
      <c r="FNV16" s="289"/>
      <c r="FNW16" s="289"/>
      <c r="FNX16" s="289"/>
      <c r="FNY16" s="289"/>
      <c r="FNZ16" s="289"/>
      <c r="FOA16" s="289"/>
      <c r="FOB16" s="289"/>
      <c r="FOC16" s="289"/>
      <c r="FOD16" s="289"/>
      <c r="FOE16" s="289"/>
      <c r="FOF16" s="289"/>
      <c r="FOG16" s="289"/>
      <c r="FOH16" s="289"/>
      <c r="FOI16" s="289"/>
      <c r="FOJ16" s="289"/>
      <c r="FOK16" s="289"/>
      <c r="FOL16" s="289"/>
      <c r="FOM16" s="289"/>
      <c r="FON16" s="289"/>
      <c r="FOO16" s="289"/>
      <c r="FOP16" s="289"/>
      <c r="FOQ16" s="289"/>
      <c r="FOR16" s="289"/>
      <c r="FOS16" s="289"/>
      <c r="FOT16" s="289"/>
      <c r="FOU16" s="289"/>
      <c r="FOV16" s="289"/>
      <c r="FOW16" s="289"/>
      <c r="FOX16" s="289"/>
      <c r="FOY16" s="289"/>
      <c r="FOZ16" s="289"/>
      <c r="FPA16" s="289"/>
      <c r="FPB16" s="289"/>
      <c r="FPC16" s="289"/>
      <c r="FPD16" s="289"/>
      <c r="FPE16" s="289"/>
      <c r="FPF16" s="289"/>
      <c r="FPG16" s="289"/>
      <c r="FPH16" s="289"/>
      <c r="FPI16" s="289"/>
      <c r="FPJ16" s="289"/>
      <c r="FPK16" s="289"/>
      <c r="FPL16" s="289"/>
      <c r="FPM16" s="289"/>
      <c r="FPN16" s="289"/>
      <c r="FPO16" s="289"/>
      <c r="FPP16" s="289"/>
      <c r="FPQ16" s="289"/>
      <c r="FPR16" s="289"/>
      <c r="FPS16" s="289"/>
      <c r="FPT16" s="289"/>
      <c r="FPU16" s="289"/>
      <c r="FPV16" s="289"/>
      <c r="FPW16" s="289"/>
      <c r="FPX16" s="289"/>
      <c r="FPY16" s="289"/>
      <c r="FPZ16" s="289"/>
      <c r="FQA16" s="289"/>
      <c r="FQB16" s="289"/>
      <c r="FQC16" s="289"/>
      <c r="FQD16" s="289"/>
      <c r="FQE16" s="289"/>
      <c r="FQF16" s="289"/>
      <c r="FQG16" s="289"/>
      <c r="FQH16" s="289"/>
      <c r="FQI16" s="289"/>
      <c r="FQJ16" s="289"/>
      <c r="FQK16" s="289"/>
      <c r="FQL16" s="289"/>
      <c r="FQM16" s="289"/>
      <c r="FQN16" s="289"/>
      <c r="FQO16" s="289"/>
      <c r="FQP16" s="289"/>
      <c r="FQQ16" s="289"/>
      <c r="FQR16" s="289"/>
      <c r="FQS16" s="289"/>
      <c r="FQT16" s="289"/>
      <c r="FQU16" s="289"/>
      <c r="FQV16" s="289"/>
      <c r="FQW16" s="289"/>
      <c r="FQX16" s="289"/>
      <c r="FQY16" s="289"/>
      <c r="FQZ16" s="289"/>
      <c r="FRA16" s="289"/>
      <c r="FRB16" s="289"/>
      <c r="FRC16" s="289"/>
      <c r="FRD16" s="289"/>
      <c r="FRE16" s="289"/>
      <c r="FRF16" s="289"/>
      <c r="FRG16" s="289"/>
      <c r="FRH16" s="289"/>
      <c r="FRI16" s="289"/>
      <c r="FRJ16" s="289"/>
      <c r="FRK16" s="289"/>
      <c r="FRL16" s="289"/>
      <c r="FRM16" s="289"/>
      <c r="FRN16" s="289"/>
      <c r="FRO16" s="289"/>
      <c r="FRP16" s="289"/>
      <c r="FRQ16" s="289"/>
      <c r="FRR16" s="289"/>
      <c r="FRS16" s="289"/>
      <c r="FRT16" s="289"/>
      <c r="FRU16" s="289"/>
      <c r="FRV16" s="289"/>
      <c r="FRW16" s="289"/>
      <c r="FRX16" s="289"/>
      <c r="FRY16" s="289"/>
      <c r="FRZ16" s="289"/>
      <c r="FSA16" s="289"/>
      <c r="FSB16" s="289"/>
      <c r="FSC16" s="289"/>
      <c r="FSD16" s="289"/>
      <c r="FSE16" s="289"/>
      <c r="FSF16" s="289"/>
      <c r="FSG16" s="289"/>
      <c r="FSH16" s="289"/>
      <c r="FSI16" s="289"/>
      <c r="FSJ16" s="289"/>
      <c r="FSK16" s="289"/>
      <c r="FSL16" s="289"/>
      <c r="FSM16" s="289"/>
      <c r="FSN16" s="289"/>
      <c r="FSO16" s="289"/>
      <c r="FSP16" s="289"/>
      <c r="FSQ16" s="289"/>
      <c r="FSR16" s="289"/>
      <c r="FSS16" s="289"/>
      <c r="FST16" s="289"/>
      <c r="FSU16" s="289"/>
      <c r="FSV16" s="289"/>
      <c r="FSW16" s="289"/>
      <c r="FSX16" s="289"/>
      <c r="FSY16" s="289"/>
      <c r="FSZ16" s="289"/>
      <c r="FTA16" s="289"/>
      <c r="FTB16" s="289"/>
      <c r="FTC16" s="289"/>
      <c r="FTD16" s="289"/>
      <c r="FTE16" s="289"/>
      <c r="FTF16" s="289"/>
      <c r="FTG16" s="289"/>
      <c r="FTH16" s="289"/>
      <c r="FTI16" s="289"/>
      <c r="FTJ16" s="289"/>
      <c r="FTK16" s="289"/>
      <c r="FTL16" s="289"/>
      <c r="FTM16" s="289"/>
      <c r="FTN16" s="289"/>
      <c r="FTO16" s="289"/>
      <c r="FTP16" s="289"/>
      <c r="FTQ16" s="289"/>
      <c r="FTR16" s="289"/>
      <c r="FTS16" s="289"/>
      <c r="FTT16" s="289"/>
      <c r="FTU16" s="289"/>
      <c r="FTV16" s="289"/>
      <c r="FTW16" s="289"/>
      <c r="FTX16" s="289"/>
      <c r="FTY16" s="289"/>
      <c r="FTZ16" s="289"/>
      <c r="FUA16" s="289"/>
      <c r="FUB16" s="289"/>
      <c r="FUC16" s="289"/>
      <c r="FUD16" s="289"/>
      <c r="FUE16" s="289"/>
      <c r="FUF16" s="289"/>
      <c r="FUG16" s="289"/>
      <c r="FUH16" s="289"/>
      <c r="FUI16" s="289"/>
      <c r="FUJ16" s="289"/>
      <c r="FUK16" s="289"/>
      <c r="FUL16" s="289"/>
      <c r="FUM16" s="289"/>
      <c r="FUN16" s="289"/>
      <c r="FUO16" s="289"/>
      <c r="FUP16" s="289"/>
      <c r="FUQ16" s="289"/>
      <c r="FUR16" s="289"/>
      <c r="FUS16" s="289"/>
      <c r="FUT16" s="289"/>
      <c r="FUU16" s="289"/>
      <c r="FUV16" s="289"/>
      <c r="FUW16" s="289"/>
      <c r="FUX16" s="289"/>
      <c r="FUY16" s="289"/>
      <c r="FUZ16" s="289"/>
      <c r="FVA16" s="289"/>
      <c r="FVB16" s="289"/>
      <c r="FVC16" s="289"/>
      <c r="FVD16" s="289"/>
      <c r="FVE16" s="289"/>
      <c r="FVF16" s="289"/>
      <c r="FVG16" s="289"/>
      <c r="FVH16" s="289"/>
      <c r="FVI16" s="289"/>
      <c r="FVJ16" s="289"/>
      <c r="FVK16" s="289"/>
      <c r="FVL16" s="289"/>
      <c r="FVM16" s="289"/>
      <c r="FVN16" s="289"/>
      <c r="FVO16" s="289"/>
      <c r="FVP16" s="289"/>
      <c r="FVQ16" s="289"/>
      <c r="FVR16" s="289"/>
      <c r="FVS16" s="289"/>
      <c r="FVT16" s="289"/>
      <c r="FVU16" s="289"/>
      <c r="FVV16" s="289"/>
      <c r="FVW16" s="289"/>
      <c r="FVX16" s="289"/>
      <c r="FVY16" s="289"/>
      <c r="FVZ16" s="289"/>
      <c r="FWA16" s="289"/>
      <c r="FWB16" s="289"/>
      <c r="FWC16" s="289"/>
      <c r="FWD16" s="289"/>
      <c r="FWE16" s="289"/>
      <c r="FWF16" s="289"/>
      <c r="FWG16" s="289"/>
      <c r="FWH16" s="289"/>
      <c r="FWI16" s="289"/>
      <c r="FWJ16" s="289"/>
      <c r="FWK16" s="289"/>
      <c r="FWL16" s="289"/>
      <c r="FWM16" s="289"/>
      <c r="FWN16" s="289"/>
      <c r="FWO16" s="289"/>
      <c r="FWP16" s="289"/>
      <c r="FWQ16" s="289"/>
      <c r="FWR16" s="289"/>
      <c r="FWS16" s="289"/>
      <c r="FWT16" s="289"/>
      <c r="FWU16" s="289"/>
      <c r="FWV16" s="289"/>
      <c r="FWW16" s="289"/>
      <c r="FWX16" s="289"/>
      <c r="FWY16" s="289"/>
      <c r="FWZ16" s="289"/>
      <c r="FXA16" s="289"/>
      <c r="FXB16" s="289"/>
      <c r="FXC16" s="289"/>
      <c r="FXD16" s="289"/>
      <c r="FXE16" s="289"/>
      <c r="FXF16" s="289"/>
      <c r="FXG16" s="289"/>
      <c r="FXH16" s="289"/>
      <c r="FXI16" s="289"/>
      <c r="FXJ16" s="289"/>
      <c r="FXK16" s="289"/>
      <c r="FXL16" s="289"/>
      <c r="FXM16" s="289"/>
      <c r="FXN16" s="289"/>
      <c r="FXO16" s="289"/>
      <c r="FXP16" s="289"/>
      <c r="FXQ16" s="289"/>
      <c r="FXR16" s="289"/>
      <c r="FXS16" s="289"/>
      <c r="FXT16" s="289"/>
      <c r="FXU16" s="289"/>
      <c r="FXV16" s="289"/>
      <c r="FXW16" s="289"/>
      <c r="FXX16" s="289"/>
      <c r="FXY16" s="289"/>
      <c r="FXZ16" s="289"/>
      <c r="FYA16" s="289"/>
      <c r="FYB16" s="289"/>
      <c r="FYC16" s="289"/>
      <c r="FYD16" s="289"/>
      <c r="FYE16" s="289"/>
      <c r="FYF16" s="289"/>
      <c r="FYG16" s="289"/>
      <c r="FYH16" s="289"/>
      <c r="FYI16" s="289"/>
      <c r="FYJ16" s="289"/>
      <c r="FYK16" s="289"/>
      <c r="FYL16" s="289"/>
      <c r="FYM16" s="289"/>
      <c r="FYN16" s="289"/>
      <c r="FYO16" s="289"/>
      <c r="FYP16" s="289"/>
      <c r="FYQ16" s="289"/>
      <c r="FYR16" s="289"/>
      <c r="FYS16" s="289"/>
      <c r="FYT16" s="289"/>
      <c r="FYU16" s="289"/>
      <c r="FYV16" s="289"/>
      <c r="FYW16" s="289"/>
      <c r="FYX16" s="289"/>
      <c r="FYY16" s="289"/>
      <c r="FYZ16" s="289"/>
      <c r="FZA16" s="289"/>
      <c r="FZB16" s="289"/>
      <c r="FZC16" s="289"/>
      <c r="FZD16" s="289"/>
      <c r="FZE16" s="289"/>
      <c r="FZF16" s="289"/>
      <c r="FZG16" s="289"/>
      <c r="FZH16" s="289"/>
      <c r="FZI16" s="289"/>
      <c r="FZJ16" s="289"/>
      <c r="FZK16" s="289"/>
      <c r="FZL16" s="289"/>
      <c r="FZM16" s="289"/>
      <c r="FZN16" s="289"/>
      <c r="FZO16" s="289"/>
      <c r="FZP16" s="289"/>
      <c r="FZQ16" s="289"/>
      <c r="FZR16" s="289"/>
      <c r="FZS16" s="289"/>
      <c r="FZT16" s="289"/>
      <c r="FZU16" s="289"/>
      <c r="FZV16" s="289"/>
      <c r="FZW16" s="289"/>
      <c r="FZX16" s="289"/>
      <c r="FZY16" s="289"/>
      <c r="FZZ16" s="289"/>
      <c r="GAA16" s="289"/>
      <c r="GAB16" s="289"/>
      <c r="GAC16" s="289"/>
      <c r="GAD16" s="289"/>
      <c r="GAE16" s="289"/>
      <c r="GAF16" s="289"/>
      <c r="GAG16" s="289"/>
      <c r="GAH16" s="289"/>
      <c r="GAI16" s="289"/>
      <c r="GAJ16" s="289"/>
      <c r="GAK16" s="289"/>
      <c r="GAL16" s="289"/>
      <c r="GAM16" s="289"/>
      <c r="GAN16" s="289"/>
      <c r="GAO16" s="289"/>
      <c r="GAP16" s="289"/>
      <c r="GAQ16" s="289"/>
      <c r="GAR16" s="289"/>
      <c r="GAS16" s="289"/>
      <c r="GAT16" s="289"/>
      <c r="GAU16" s="289"/>
      <c r="GAV16" s="289"/>
      <c r="GAW16" s="289"/>
      <c r="GAX16" s="289"/>
      <c r="GAY16" s="289"/>
      <c r="GAZ16" s="289"/>
      <c r="GBA16" s="289"/>
      <c r="GBB16" s="289"/>
      <c r="GBC16" s="289"/>
      <c r="GBD16" s="289"/>
      <c r="GBE16" s="289"/>
      <c r="GBF16" s="289"/>
      <c r="GBG16" s="289"/>
      <c r="GBH16" s="289"/>
      <c r="GBI16" s="289"/>
      <c r="GBJ16" s="289"/>
      <c r="GBK16" s="289"/>
      <c r="GBL16" s="289"/>
      <c r="GBM16" s="289"/>
      <c r="GBN16" s="289"/>
      <c r="GBO16" s="289"/>
      <c r="GBP16" s="289"/>
      <c r="GBQ16" s="289"/>
      <c r="GBR16" s="289"/>
      <c r="GBS16" s="289"/>
      <c r="GBT16" s="289"/>
      <c r="GBU16" s="289"/>
      <c r="GBV16" s="289"/>
      <c r="GBW16" s="289"/>
      <c r="GBX16" s="289"/>
      <c r="GBY16" s="289"/>
      <c r="GBZ16" s="289"/>
      <c r="GCA16" s="289"/>
      <c r="GCB16" s="289"/>
      <c r="GCC16" s="289"/>
      <c r="GCD16" s="289"/>
      <c r="GCE16" s="289"/>
      <c r="GCF16" s="289"/>
      <c r="GCG16" s="289"/>
      <c r="GCH16" s="289"/>
      <c r="GCI16" s="289"/>
      <c r="GCJ16" s="289"/>
      <c r="GCK16" s="289"/>
      <c r="GCL16" s="289"/>
      <c r="GCM16" s="289"/>
      <c r="GCN16" s="289"/>
      <c r="GCO16" s="289"/>
      <c r="GCP16" s="289"/>
      <c r="GCQ16" s="289"/>
      <c r="GCR16" s="289"/>
      <c r="GCS16" s="289"/>
      <c r="GCT16" s="289"/>
      <c r="GCU16" s="289"/>
      <c r="GCV16" s="289"/>
      <c r="GCW16" s="289"/>
      <c r="GCX16" s="289"/>
      <c r="GCY16" s="289"/>
      <c r="GCZ16" s="289"/>
      <c r="GDA16" s="289"/>
      <c r="GDB16" s="289"/>
      <c r="GDC16" s="289"/>
      <c r="GDD16" s="289"/>
      <c r="GDE16" s="289"/>
      <c r="GDF16" s="289"/>
      <c r="GDG16" s="289"/>
      <c r="GDH16" s="289"/>
      <c r="GDI16" s="289"/>
      <c r="GDJ16" s="289"/>
      <c r="GDK16" s="289"/>
      <c r="GDL16" s="289"/>
      <c r="GDM16" s="289"/>
      <c r="GDN16" s="289"/>
      <c r="GDO16" s="289"/>
      <c r="GDP16" s="289"/>
      <c r="GDQ16" s="289"/>
      <c r="GDR16" s="289"/>
      <c r="GDS16" s="289"/>
      <c r="GDT16" s="289"/>
      <c r="GDU16" s="289"/>
      <c r="GDV16" s="289"/>
      <c r="GDW16" s="289"/>
      <c r="GDX16" s="289"/>
      <c r="GDY16" s="289"/>
      <c r="GDZ16" s="289"/>
      <c r="GEA16" s="289"/>
      <c r="GEB16" s="289"/>
      <c r="GEC16" s="289"/>
      <c r="GED16" s="289"/>
      <c r="GEE16" s="289"/>
      <c r="GEF16" s="289"/>
      <c r="GEG16" s="289"/>
      <c r="GEH16" s="289"/>
      <c r="GEI16" s="289"/>
      <c r="GEJ16" s="289"/>
      <c r="GEK16" s="289"/>
      <c r="GEL16" s="289"/>
      <c r="GEM16" s="289"/>
      <c r="GEN16" s="289"/>
      <c r="GEO16" s="289"/>
      <c r="GEP16" s="289"/>
      <c r="GEQ16" s="289"/>
      <c r="GER16" s="289"/>
      <c r="GES16" s="289"/>
      <c r="GET16" s="289"/>
      <c r="GEU16" s="289"/>
      <c r="GEV16" s="289"/>
      <c r="GEW16" s="289"/>
      <c r="GEX16" s="289"/>
      <c r="GEY16" s="289"/>
      <c r="GEZ16" s="289"/>
      <c r="GFA16" s="289"/>
      <c r="GFB16" s="289"/>
      <c r="GFC16" s="289"/>
      <c r="GFD16" s="289"/>
      <c r="GFE16" s="289"/>
      <c r="GFF16" s="289"/>
      <c r="GFG16" s="289"/>
      <c r="GFH16" s="289"/>
      <c r="GFI16" s="289"/>
      <c r="GFJ16" s="289"/>
      <c r="GFK16" s="289"/>
      <c r="GFL16" s="289"/>
      <c r="GFM16" s="289"/>
      <c r="GFN16" s="289"/>
      <c r="GFO16" s="289"/>
      <c r="GFP16" s="289"/>
      <c r="GFQ16" s="289"/>
      <c r="GFR16" s="289"/>
      <c r="GFS16" s="289"/>
      <c r="GFT16" s="289"/>
      <c r="GFU16" s="289"/>
      <c r="GFV16" s="289"/>
      <c r="GFW16" s="289"/>
      <c r="GFX16" s="289"/>
      <c r="GFY16" s="289"/>
      <c r="GFZ16" s="289"/>
      <c r="GGA16" s="289"/>
      <c r="GGB16" s="289"/>
      <c r="GGC16" s="289"/>
      <c r="GGD16" s="289"/>
      <c r="GGE16" s="289"/>
      <c r="GGF16" s="289"/>
      <c r="GGG16" s="289"/>
      <c r="GGH16" s="289"/>
      <c r="GGI16" s="289"/>
      <c r="GGJ16" s="289"/>
      <c r="GGK16" s="289"/>
      <c r="GGL16" s="289"/>
      <c r="GGM16" s="289"/>
      <c r="GGN16" s="289"/>
      <c r="GGO16" s="289"/>
      <c r="GGP16" s="289"/>
      <c r="GGQ16" s="289"/>
      <c r="GGR16" s="289"/>
      <c r="GGS16" s="289"/>
      <c r="GGT16" s="289"/>
      <c r="GGU16" s="289"/>
      <c r="GGV16" s="289"/>
      <c r="GGW16" s="289"/>
      <c r="GGX16" s="289"/>
      <c r="GGY16" s="289"/>
      <c r="GGZ16" s="289"/>
      <c r="GHA16" s="289"/>
      <c r="GHB16" s="289"/>
      <c r="GHC16" s="289"/>
      <c r="GHD16" s="289"/>
      <c r="GHE16" s="289"/>
      <c r="GHF16" s="289"/>
      <c r="GHG16" s="289"/>
      <c r="GHH16" s="289"/>
      <c r="GHI16" s="289"/>
      <c r="GHJ16" s="289"/>
      <c r="GHK16" s="289"/>
      <c r="GHL16" s="289"/>
      <c r="GHM16" s="289"/>
      <c r="GHN16" s="289"/>
      <c r="GHO16" s="289"/>
      <c r="GHP16" s="289"/>
      <c r="GHQ16" s="289"/>
      <c r="GHR16" s="289"/>
      <c r="GHS16" s="289"/>
      <c r="GHT16" s="289"/>
      <c r="GHU16" s="289"/>
      <c r="GHV16" s="289"/>
      <c r="GHW16" s="289"/>
      <c r="GHX16" s="289"/>
      <c r="GHY16" s="289"/>
      <c r="GHZ16" s="289"/>
      <c r="GIA16" s="289"/>
      <c r="GIB16" s="289"/>
      <c r="GIC16" s="289"/>
      <c r="GID16" s="289"/>
      <c r="GIE16" s="289"/>
      <c r="GIF16" s="289"/>
      <c r="GIG16" s="289"/>
      <c r="GIH16" s="289"/>
      <c r="GII16" s="289"/>
      <c r="GIJ16" s="289"/>
      <c r="GIK16" s="289"/>
      <c r="GIL16" s="289"/>
      <c r="GIM16" s="289"/>
      <c r="GIN16" s="289"/>
      <c r="GIO16" s="289"/>
      <c r="GIP16" s="289"/>
      <c r="GIQ16" s="289"/>
      <c r="GIR16" s="289"/>
      <c r="GIS16" s="289"/>
      <c r="GIT16" s="289"/>
      <c r="GIU16" s="289"/>
      <c r="GIV16" s="289"/>
      <c r="GIW16" s="289"/>
      <c r="GIX16" s="289"/>
      <c r="GIY16" s="289"/>
      <c r="GIZ16" s="289"/>
      <c r="GJA16" s="289"/>
      <c r="GJB16" s="289"/>
      <c r="GJC16" s="289"/>
      <c r="GJD16" s="289"/>
      <c r="GJE16" s="289"/>
      <c r="GJF16" s="289"/>
      <c r="GJG16" s="289"/>
      <c r="GJH16" s="289"/>
      <c r="GJI16" s="289"/>
      <c r="GJJ16" s="289"/>
      <c r="GJK16" s="289"/>
      <c r="GJL16" s="289"/>
      <c r="GJM16" s="289"/>
      <c r="GJN16" s="289"/>
      <c r="GJO16" s="289"/>
      <c r="GJP16" s="289"/>
      <c r="GJQ16" s="289"/>
      <c r="GJR16" s="289"/>
      <c r="GJS16" s="289"/>
      <c r="GJT16" s="289"/>
      <c r="GJU16" s="289"/>
      <c r="GJV16" s="289"/>
      <c r="GJW16" s="289"/>
      <c r="GJX16" s="289"/>
      <c r="GJY16" s="289"/>
      <c r="GJZ16" s="289"/>
      <c r="GKA16" s="289"/>
      <c r="GKB16" s="289"/>
      <c r="GKC16" s="289"/>
      <c r="GKD16" s="289"/>
      <c r="GKE16" s="289"/>
      <c r="GKF16" s="289"/>
      <c r="GKG16" s="289"/>
      <c r="GKH16" s="289"/>
      <c r="GKI16" s="289"/>
      <c r="GKJ16" s="289"/>
      <c r="GKK16" s="289"/>
      <c r="GKL16" s="289"/>
      <c r="GKM16" s="289"/>
      <c r="GKN16" s="289"/>
      <c r="GKO16" s="289"/>
      <c r="GKP16" s="289"/>
      <c r="GKQ16" s="289"/>
      <c r="GKR16" s="289"/>
      <c r="GKS16" s="289"/>
      <c r="GKT16" s="289"/>
      <c r="GKU16" s="289"/>
      <c r="GKV16" s="289"/>
      <c r="GKW16" s="289"/>
      <c r="GKX16" s="289"/>
      <c r="GKY16" s="289"/>
      <c r="GKZ16" s="289"/>
      <c r="GLA16" s="289"/>
      <c r="GLB16" s="289"/>
      <c r="GLC16" s="289"/>
      <c r="GLD16" s="289"/>
      <c r="GLE16" s="289"/>
      <c r="GLF16" s="289"/>
      <c r="GLG16" s="289"/>
      <c r="GLH16" s="289"/>
      <c r="GLI16" s="289"/>
      <c r="GLJ16" s="289"/>
      <c r="GLK16" s="289"/>
      <c r="GLL16" s="289"/>
      <c r="GLM16" s="289"/>
      <c r="GLN16" s="289"/>
      <c r="GLO16" s="289"/>
      <c r="GLP16" s="289"/>
      <c r="GLQ16" s="289"/>
      <c r="GLR16" s="289"/>
      <c r="GLS16" s="289"/>
      <c r="GLT16" s="289"/>
      <c r="GLU16" s="289"/>
      <c r="GLV16" s="289"/>
      <c r="GLW16" s="289"/>
      <c r="GLX16" s="289"/>
      <c r="GLY16" s="289"/>
      <c r="GLZ16" s="289"/>
      <c r="GMA16" s="289"/>
      <c r="GMB16" s="289"/>
      <c r="GMC16" s="289"/>
      <c r="GMD16" s="289"/>
      <c r="GME16" s="289"/>
      <c r="GMF16" s="289"/>
      <c r="GMG16" s="289"/>
      <c r="GMH16" s="289"/>
      <c r="GMI16" s="289"/>
      <c r="GMJ16" s="289"/>
      <c r="GMK16" s="289"/>
      <c r="GML16" s="289"/>
      <c r="GMM16" s="289"/>
      <c r="GMN16" s="289"/>
      <c r="GMO16" s="289"/>
      <c r="GMP16" s="289"/>
      <c r="GMQ16" s="289"/>
      <c r="GMR16" s="289"/>
      <c r="GMS16" s="289"/>
      <c r="GMT16" s="289"/>
      <c r="GMU16" s="289"/>
      <c r="GMV16" s="289"/>
      <c r="GMW16" s="289"/>
      <c r="GMX16" s="289"/>
      <c r="GMY16" s="289"/>
      <c r="GMZ16" s="289"/>
      <c r="GNA16" s="289"/>
      <c r="GNB16" s="289"/>
      <c r="GNC16" s="289"/>
      <c r="GND16" s="289"/>
      <c r="GNE16" s="289"/>
      <c r="GNF16" s="289"/>
      <c r="GNG16" s="289"/>
      <c r="GNH16" s="289"/>
      <c r="GNI16" s="289"/>
      <c r="GNJ16" s="289"/>
      <c r="GNK16" s="289"/>
      <c r="GNL16" s="289"/>
      <c r="GNM16" s="289"/>
      <c r="GNN16" s="289"/>
      <c r="GNO16" s="289"/>
      <c r="GNP16" s="289"/>
      <c r="GNQ16" s="289"/>
      <c r="GNR16" s="289"/>
      <c r="GNS16" s="289"/>
      <c r="GNT16" s="289"/>
      <c r="GNU16" s="289"/>
      <c r="GNV16" s="289"/>
      <c r="GNW16" s="289"/>
      <c r="GNX16" s="289"/>
      <c r="GNY16" s="289"/>
      <c r="GNZ16" s="289"/>
      <c r="GOA16" s="289"/>
      <c r="GOB16" s="289"/>
      <c r="GOC16" s="289"/>
      <c r="GOD16" s="289"/>
      <c r="GOE16" s="289"/>
      <c r="GOF16" s="289"/>
      <c r="GOG16" s="289"/>
      <c r="GOH16" s="289"/>
      <c r="GOI16" s="289"/>
      <c r="GOJ16" s="289"/>
      <c r="GOK16" s="289"/>
      <c r="GOL16" s="289"/>
      <c r="GOM16" s="289"/>
      <c r="GON16" s="289"/>
      <c r="GOO16" s="289"/>
      <c r="GOP16" s="289"/>
      <c r="GOQ16" s="289"/>
      <c r="GOR16" s="289"/>
      <c r="GOS16" s="289"/>
      <c r="GOT16" s="289"/>
      <c r="GOU16" s="289"/>
      <c r="GOV16" s="289"/>
      <c r="GOW16" s="289"/>
      <c r="GOX16" s="289"/>
      <c r="GOY16" s="289"/>
      <c r="GOZ16" s="289"/>
      <c r="GPA16" s="289"/>
      <c r="GPB16" s="289"/>
      <c r="GPC16" s="289"/>
      <c r="GPD16" s="289"/>
      <c r="GPE16" s="289"/>
      <c r="GPF16" s="289"/>
      <c r="GPG16" s="289"/>
      <c r="GPH16" s="289"/>
      <c r="GPI16" s="289"/>
      <c r="GPJ16" s="289"/>
      <c r="GPK16" s="289"/>
      <c r="GPL16" s="289"/>
      <c r="GPM16" s="289"/>
      <c r="GPN16" s="289"/>
      <c r="GPO16" s="289"/>
      <c r="GPP16" s="289"/>
      <c r="GPQ16" s="289"/>
      <c r="GPR16" s="289"/>
      <c r="GPS16" s="289"/>
      <c r="GPT16" s="289"/>
      <c r="GPU16" s="289"/>
      <c r="GPV16" s="289"/>
      <c r="GPW16" s="289"/>
      <c r="GPX16" s="289"/>
      <c r="GPY16" s="289"/>
      <c r="GPZ16" s="289"/>
      <c r="GQA16" s="289"/>
      <c r="GQB16" s="289"/>
      <c r="GQC16" s="289"/>
      <c r="GQD16" s="289"/>
      <c r="GQE16" s="289"/>
      <c r="GQF16" s="289"/>
      <c r="GQG16" s="289"/>
      <c r="GQH16" s="289"/>
      <c r="GQI16" s="289"/>
      <c r="GQJ16" s="289"/>
      <c r="GQK16" s="289"/>
      <c r="GQL16" s="289"/>
      <c r="GQM16" s="289"/>
      <c r="GQN16" s="289"/>
      <c r="GQO16" s="289"/>
      <c r="GQP16" s="289"/>
      <c r="GQQ16" s="289"/>
      <c r="GQR16" s="289"/>
      <c r="GQS16" s="289"/>
      <c r="GQT16" s="289"/>
      <c r="GQU16" s="289"/>
      <c r="GQV16" s="289"/>
      <c r="GQW16" s="289"/>
      <c r="GQX16" s="289"/>
      <c r="GQY16" s="289"/>
      <c r="GQZ16" s="289"/>
      <c r="GRA16" s="289"/>
      <c r="GRB16" s="289"/>
      <c r="GRC16" s="289"/>
      <c r="GRD16" s="289"/>
      <c r="GRE16" s="289"/>
      <c r="GRF16" s="289"/>
      <c r="GRG16" s="289"/>
      <c r="GRH16" s="289"/>
      <c r="GRI16" s="289"/>
      <c r="GRJ16" s="289"/>
      <c r="GRK16" s="289"/>
      <c r="GRL16" s="289"/>
      <c r="GRM16" s="289"/>
      <c r="GRN16" s="289"/>
      <c r="GRO16" s="289"/>
      <c r="GRP16" s="289"/>
      <c r="GRQ16" s="289"/>
      <c r="GRR16" s="289"/>
      <c r="GRS16" s="289"/>
      <c r="GRT16" s="289"/>
      <c r="GRU16" s="289"/>
      <c r="GRV16" s="289"/>
      <c r="GRW16" s="289"/>
      <c r="GRX16" s="289"/>
      <c r="GRY16" s="289"/>
      <c r="GRZ16" s="289"/>
      <c r="GSA16" s="289"/>
      <c r="GSB16" s="289"/>
      <c r="GSC16" s="289"/>
      <c r="GSD16" s="289"/>
      <c r="GSE16" s="289"/>
      <c r="GSF16" s="289"/>
      <c r="GSG16" s="289"/>
      <c r="GSH16" s="289"/>
      <c r="GSI16" s="289"/>
      <c r="GSJ16" s="289"/>
      <c r="GSK16" s="289"/>
      <c r="GSL16" s="289"/>
      <c r="GSM16" s="289"/>
      <c r="GSN16" s="289"/>
      <c r="GSO16" s="289"/>
      <c r="GSP16" s="289"/>
      <c r="GSQ16" s="289"/>
      <c r="GSR16" s="289"/>
      <c r="GSS16" s="289"/>
      <c r="GST16" s="289"/>
      <c r="GSU16" s="289"/>
      <c r="GSV16" s="289"/>
      <c r="GSW16" s="289"/>
      <c r="GSX16" s="289"/>
      <c r="GSY16" s="289"/>
      <c r="GSZ16" s="289"/>
      <c r="GTA16" s="289"/>
      <c r="GTB16" s="289"/>
      <c r="GTC16" s="289"/>
      <c r="GTD16" s="289"/>
      <c r="GTE16" s="289"/>
      <c r="GTF16" s="289"/>
      <c r="GTG16" s="289"/>
      <c r="GTH16" s="289"/>
      <c r="GTI16" s="289"/>
      <c r="GTJ16" s="289"/>
      <c r="GTK16" s="289"/>
      <c r="GTL16" s="289"/>
      <c r="GTM16" s="289"/>
      <c r="GTN16" s="289"/>
      <c r="GTO16" s="289"/>
      <c r="GTP16" s="289"/>
      <c r="GTQ16" s="289"/>
      <c r="GTR16" s="289"/>
      <c r="GTS16" s="289"/>
      <c r="GTT16" s="289"/>
      <c r="GTU16" s="289"/>
      <c r="GTV16" s="289"/>
      <c r="GTW16" s="289"/>
      <c r="GTX16" s="289"/>
      <c r="GTY16" s="289"/>
      <c r="GTZ16" s="289"/>
      <c r="GUA16" s="289"/>
      <c r="GUB16" s="289"/>
      <c r="GUC16" s="289"/>
      <c r="GUD16" s="289"/>
      <c r="GUE16" s="289"/>
      <c r="GUF16" s="289"/>
      <c r="GUG16" s="289"/>
      <c r="GUH16" s="289"/>
      <c r="GUI16" s="289"/>
      <c r="GUJ16" s="289"/>
      <c r="GUK16" s="289"/>
      <c r="GUL16" s="289"/>
      <c r="GUM16" s="289"/>
      <c r="GUN16" s="289"/>
      <c r="GUO16" s="289"/>
      <c r="GUP16" s="289"/>
      <c r="GUQ16" s="289"/>
      <c r="GUR16" s="289"/>
      <c r="GUS16" s="289"/>
      <c r="GUT16" s="289"/>
      <c r="GUU16" s="289"/>
      <c r="GUV16" s="289"/>
      <c r="GUW16" s="289"/>
      <c r="GUX16" s="289"/>
      <c r="GUY16" s="289"/>
      <c r="GUZ16" s="289"/>
      <c r="GVA16" s="289"/>
      <c r="GVB16" s="289"/>
      <c r="GVC16" s="289"/>
      <c r="GVD16" s="289"/>
      <c r="GVE16" s="289"/>
      <c r="GVF16" s="289"/>
      <c r="GVG16" s="289"/>
      <c r="GVH16" s="289"/>
      <c r="GVI16" s="289"/>
      <c r="GVJ16" s="289"/>
      <c r="GVK16" s="289"/>
      <c r="GVL16" s="289"/>
      <c r="GVM16" s="289"/>
      <c r="GVN16" s="289"/>
      <c r="GVO16" s="289"/>
      <c r="GVP16" s="289"/>
      <c r="GVQ16" s="289"/>
      <c r="GVR16" s="289"/>
      <c r="GVS16" s="289"/>
      <c r="GVT16" s="289"/>
      <c r="GVU16" s="289"/>
      <c r="GVV16" s="289"/>
      <c r="GVW16" s="289"/>
      <c r="GVX16" s="289"/>
      <c r="GVY16" s="289"/>
      <c r="GVZ16" s="289"/>
      <c r="GWA16" s="289"/>
      <c r="GWB16" s="289"/>
      <c r="GWC16" s="289"/>
      <c r="GWD16" s="289"/>
      <c r="GWE16" s="289"/>
      <c r="GWF16" s="289"/>
      <c r="GWG16" s="289"/>
      <c r="GWH16" s="289"/>
      <c r="GWI16" s="289"/>
      <c r="GWJ16" s="289"/>
      <c r="GWK16" s="289"/>
      <c r="GWL16" s="289"/>
      <c r="GWM16" s="289"/>
      <c r="GWN16" s="289"/>
      <c r="GWO16" s="289"/>
      <c r="GWP16" s="289"/>
      <c r="GWQ16" s="289"/>
      <c r="GWR16" s="289"/>
      <c r="GWS16" s="289"/>
      <c r="GWT16" s="289"/>
      <c r="GWU16" s="289"/>
      <c r="GWV16" s="289"/>
      <c r="GWW16" s="289"/>
      <c r="GWX16" s="289"/>
      <c r="GWY16" s="289"/>
      <c r="GWZ16" s="289"/>
      <c r="GXA16" s="289"/>
      <c r="GXB16" s="289"/>
      <c r="GXC16" s="289"/>
      <c r="GXD16" s="289"/>
      <c r="GXE16" s="289"/>
      <c r="GXF16" s="289"/>
      <c r="GXG16" s="289"/>
      <c r="GXH16" s="289"/>
      <c r="GXI16" s="289"/>
      <c r="GXJ16" s="289"/>
      <c r="GXK16" s="289"/>
      <c r="GXL16" s="289"/>
      <c r="GXM16" s="289"/>
      <c r="GXN16" s="289"/>
      <c r="GXO16" s="289"/>
      <c r="GXP16" s="289"/>
      <c r="GXQ16" s="289"/>
      <c r="GXR16" s="289"/>
      <c r="GXS16" s="289"/>
      <c r="GXT16" s="289"/>
      <c r="GXU16" s="289"/>
      <c r="GXV16" s="289"/>
      <c r="GXW16" s="289"/>
      <c r="GXX16" s="289"/>
      <c r="GXY16" s="289"/>
      <c r="GXZ16" s="289"/>
      <c r="GYA16" s="289"/>
      <c r="GYB16" s="289"/>
      <c r="GYC16" s="289"/>
      <c r="GYD16" s="289"/>
      <c r="GYE16" s="289"/>
      <c r="GYF16" s="289"/>
      <c r="GYG16" s="289"/>
      <c r="GYH16" s="289"/>
      <c r="GYI16" s="289"/>
      <c r="GYJ16" s="289"/>
      <c r="GYK16" s="289"/>
      <c r="GYL16" s="289"/>
      <c r="GYM16" s="289"/>
      <c r="GYN16" s="289"/>
      <c r="GYO16" s="289"/>
      <c r="GYP16" s="289"/>
      <c r="GYQ16" s="289"/>
      <c r="GYR16" s="289"/>
      <c r="GYS16" s="289"/>
      <c r="GYT16" s="289"/>
      <c r="GYU16" s="289"/>
      <c r="GYV16" s="289"/>
      <c r="GYW16" s="289"/>
      <c r="GYX16" s="289"/>
      <c r="GYY16" s="289"/>
      <c r="GYZ16" s="289"/>
      <c r="GZA16" s="289"/>
      <c r="GZB16" s="289"/>
      <c r="GZC16" s="289"/>
      <c r="GZD16" s="289"/>
      <c r="GZE16" s="289"/>
      <c r="GZF16" s="289"/>
      <c r="GZG16" s="289"/>
      <c r="GZH16" s="289"/>
      <c r="GZI16" s="289"/>
      <c r="GZJ16" s="289"/>
      <c r="GZK16" s="289"/>
      <c r="GZL16" s="289"/>
      <c r="GZM16" s="289"/>
      <c r="GZN16" s="289"/>
      <c r="GZO16" s="289"/>
      <c r="GZP16" s="289"/>
      <c r="GZQ16" s="289"/>
      <c r="GZR16" s="289"/>
      <c r="GZS16" s="289"/>
      <c r="GZT16" s="289"/>
      <c r="GZU16" s="289"/>
      <c r="GZV16" s="289"/>
      <c r="GZW16" s="289"/>
      <c r="GZX16" s="289"/>
      <c r="GZY16" s="289"/>
      <c r="GZZ16" s="289"/>
      <c r="HAA16" s="289"/>
      <c r="HAB16" s="289"/>
      <c r="HAC16" s="289"/>
      <c r="HAD16" s="289"/>
      <c r="HAE16" s="289"/>
      <c r="HAF16" s="289"/>
      <c r="HAG16" s="289"/>
      <c r="HAH16" s="289"/>
      <c r="HAI16" s="289"/>
      <c r="HAJ16" s="289"/>
      <c r="HAK16" s="289"/>
      <c r="HAL16" s="289"/>
      <c r="HAM16" s="289"/>
      <c r="HAN16" s="289"/>
      <c r="HAO16" s="289"/>
      <c r="HAP16" s="289"/>
      <c r="HAQ16" s="289"/>
      <c r="HAR16" s="289"/>
      <c r="HAS16" s="289"/>
      <c r="HAT16" s="289"/>
      <c r="HAU16" s="289"/>
      <c r="HAV16" s="289"/>
      <c r="HAW16" s="289"/>
      <c r="HAX16" s="289"/>
      <c r="HAY16" s="289"/>
      <c r="HAZ16" s="289"/>
      <c r="HBA16" s="289"/>
      <c r="HBB16" s="289"/>
      <c r="HBC16" s="289"/>
      <c r="HBD16" s="289"/>
      <c r="HBE16" s="289"/>
      <c r="HBF16" s="289"/>
      <c r="HBG16" s="289"/>
      <c r="HBH16" s="289"/>
      <c r="HBI16" s="289"/>
      <c r="HBJ16" s="289"/>
      <c r="HBK16" s="289"/>
      <c r="HBL16" s="289"/>
      <c r="HBM16" s="289"/>
      <c r="HBN16" s="289"/>
      <c r="HBO16" s="289"/>
      <c r="HBP16" s="289"/>
      <c r="HBQ16" s="289"/>
      <c r="HBR16" s="289"/>
      <c r="HBS16" s="289"/>
      <c r="HBT16" s="289"/>
      <c r="HBU16" s="289"/>
      <c r="HBV16" s="289"/>
      <c r="HBW16" s="289"/>
      <c r="HBX16" s="289"/>
      <c r="HBY16" s="289"/>
      <c r="HBZ16" s="289"/>
      <c r="HCA16" s="289"/>
      <c r="HCB16" s="289"/>
      <c r="HCC16" s="289"/>
      <c r="HCD16" s="289"/>
      <c r="HCE16" s="289"/>
      <c r="HCF16" s="289"/>
      <c r="HCG16" s="289"/>
      <c r="HCH16" s="289"/>
      <c r="HCI16" s="289"/>
      <c r="HCJ16" s="289"/>
      <c r="HCK16" s="289"/>
      <c r="HCL16" s="289"/>
      <c r="HCM16" s="289"/>
      <c r="HCN16" s="289"/>
      <c r="HCO16" s="289"/>
      <c r="HCP16" s="289"/>
      <c r="HCQ16" s="289"/>
      <c r="HCR16" s="289"/>
      <c r="HCS16" s="289"/>
      <c r="HCT16" s="289"/>
      <c r="HCU16" s="289"/>
      <c r="HCV16" s="289"/>
      <c r="HCW16" s="289"/>
      <c r="HCX16" s="289"/>
      <c r="HCY16" s="289"/>
      <c r="HCZ16" s="289"/>
      <c r="HDA16" s="289"/>
      <c r="HDB16" s="289"/>
      <c r="HDC16" s="289"/>
      <c r="HDD16" s="289"/>
      <c r="HDE16" s="289"/>
      <c r="HDF16" s="289"/>
      <c r="HDG16" s="289"/>
      <c r="HDH16" s="289"/>
      <c r="HDI16" s="289"/>
      <c r="HDJ16" s="289"/>
      <c r="HDK16" s="289"/>
      <c r="HDL16" s="289"/>
      <c r="HDM16" s="289"/>
      <c r="HDN16" s="289"/>
      <c r="HDO16" s="289"/>
      <c r="HDP16" s="289"/>
      <c r="HDQ16" s="289"/>
      <c r="HDR16" s="289"/>
      <c r="HDS16" s="289"/>
      <c r="HDT16" s="289"/>
      <c r="HDU16" s="289"/>
      <c r="HDV16" s="289"/>
      <c r="HDW16" s="289"/>
      <c r="HDX16" s="289"/>
      <c r="HDY16" s="289"/>
      <c r="HDZ16" s="289"/>
      <c r="HEA16" s="289"/>
      <c r="HEB16" s="289"/>
      <c r="HEC16" s="289"/>
      <c r="HED16" s="289"/>
      <c r="HEE16" s="289"/>
      <c r="HEF16" s="289"/>
      <c r="HEG16" s="289"/>
      <c r="HEH16" s="289"/>
      <c r="HEI16" s="289"/>
      <c r="HEJ16" s="289"/>
      <c r="HEK16" s="289"/>
      <c r="HEL16" s="289"/>
      <c r="HEM16" s="289"/>
      <c r="HEN16" s="289"/>
      <c r="HEO16" s="289"/>
      <c r="HEP16" s="289"/>
      <c r="HEQ16" s="289"/>
      <c r="HER16" s="289"/>
      <c r="HES16" s="289"/>
      <c r="HET16" s="289"/>
      <c r="HEU16" s="289"/>
      <c r="HEV16" s="289"/>
      <c r="HEW16" s="289"/>
      <c r="HEX16" s="289"/>
      <c r="HEY16" s="289"/>
      <c r="HEZ16" s="289"/>
      <c r="HFA16" s="289"/>
      <c r="HFB16" s="289"/>
      <c r="HFC16" s="289"/>
      <c r="HFD16" s="289"/>
      <c r="HFE16" s="289"/>
      <c r="HFF16" s="289"/>
      <c r="HFG16" s="289"/>
      <c r="HFH16" s="289"/>
      <c r="HFI16" s="289"/>
      <c r="HFJ16" s="289"/>
      <c r="HFK16" s="289"/>
      <c r="HFL16" s="289"/>
      <c r="HFM16" s="289"/>
      <c r="HFN16" s="289"/>
      <c r="HFO16" s="289"/>
      <c r="HFP16" s="289"/>
      <c r="HFQ16" s="289"/>
      <c r="HFR16" s="289"/>
      <c r="HFS16" s="289"/>
      <c r="HFT16" s="289"/>
      <c r="HFU16" s="289"/>
      <c r="HFV16" s="289"/>
      <c r="HFW16" s="289"/>
      <c r="HFX16" s="289"/>
      <c r="HFY16" s="289"/>
      <c r="HFZ16" s="289"/>
      <c r="HGA16" s="289"/>
      <c r="HGB16" s="289"/>
      <c r="HGC16" s="289"/>
      <c r="HGD16" s="289"/>
      <c r="HGE16" s="289"/>
      <c r="HGF16" s="289"/>
      <c r="HGG16" s="289"/>
      <c r="HGH16" s="289"/>
      <c r="HGI16" s="289"/>
      <c r="HGJ16" s="289"/>
      <c r="HGK16" s="289"/>
      <c r="HGL16" s="289"/>
      <c r="HGM16" s="289"/>
      <c r="HGN16" s="289"/>
      <c r="HGO16" s="289"/>
      <c r="HGP16" s="289"/>
      <c r="HGQ16" s="289"/>
      <c r="HGR16" s="289"/>
      <c r="HGS16" s="289"/>
      <c r="HGT16" s="289"/>
      <c r="HGU16" s="289"/>
      <c r="HGV16" s="289"/>
      <c r="HGW16" s="289"/>
      <c r="HGX16" s="289"/>
      <c r="HGY16" s="289"/>
      <c r="HGZ16" s="289"/>
      <c r="HHA16" s="289"/>
      <c r="HHB16" s="289"/>
      <c r="HHC16" s="289"/>
      <c r="HHD16" s="289"/>
      <c r="HHE16" s="289"/>
      <c r="HHF16" s="289"/>
      <c r="HHG16" s="289"/>
      <c r="HHH16" s="289"/>
      <c r="HHI16" s="289"/>
      <c r="HHJ16" s="289"/>
      <c r="HHK16" s="289"/>
      <c r="HHL16" s="289"/>
      <c r="HHM16" s="289"/>
      <c r="HHN16" s="289"/>
      <c r="HHO16" s="289"/>
      <c r="HHP16" s="289"/>
      <c r="HHQ16" s="289"/>
      <c r="HHR16" s="289"/>
      <c r="HHS16" s="289"/>
      <c r="HHT16" s="289"/>
      <c r="HHU16" s="289"/>
      <c r="HHV16" s="289"/>
      <c r="HHW16" s="289"/>
      <c r="HHX16" s="289"/>
      <c r="HHY16" s="289"/>
      <c r="HHZ16" s="289"/>
      <c r="HIA16" s="289"/>
      <c r="HIB16" s="289"/>
      <c r="HIC16" s="289"/>
      <c r="HID16" s="289"/>
      <c r="HIE16" s="289"/>
      <c r="HIF16" s="289"/>
      <c r="HIG16" s="289"/>
      <c r="HIH16" s="289"/>
      <c r="HII16" s="289"/>
      <c r="HIJ16" s="289"/>
      <c r="HIK16" s="289"/>
      <c r="HIL16" s="289"/>
      <c r="HIM16" s="289"/>
      <c r="HIN16" s="289"/>
      <c r="HIO16" s="289"/>
      <c r="HIP16" s="289"/>
      <c r="HIQ16" s="289"/>
      <c r="HIR16" s="289"/>
      <c r="HIS16" s="289"/>
      <c r="HIT16" s="289"/>
      <c r="HIU16" s="289"/>
      <c r="HIV16" s="289"/>
      <c r="HIW16" s="289"/>
      <c r="HIX16" s="289"/>
      <c r="HIY16" s="289"/>
      <c r="HIZ16" s="289"/>
      <c r="HJA16" s="289"/>
      <c r="HJB16" s="289"/>
      <c r="HJC16" s="289"/>
      <c r="HJD16" s="289"/>
      <c r="HJE16" s="289"/>
      <c r="HJF16" s="289"/>
      <c r="HJG16" s="289"/>
      <c r="HJH16" s="289"/>
      <c r="HJI16" s="289"/>
      <c r="HJJ16" s="289"/>
      <c r="HJK16" s="289"/>
      <c r="HJL16" s="289"/>
      <c r="HJM16" s="289"/>
      <c r="HJN16" s="289"/>
      <c r="HJO16" s="289"/>
      <c r="HJP16" s="289"/>
      <c r="HJQ16" s="289"/>
      <c r="HJR16" s="289"/>
      <c r="HJS16" s="289"/>
      <c r="HJT16" s="289"/>
      <c r="HJU16" s="289"/>
      <c r="HJV16" s="289"/>
      <c r="HJW16" s="289"/>
      <c r="HJX16" s="289"/>
      <c r="HJY16" s="289"/>
      <c r="HJZ16" s="289"/>
      <c r="HKA16" s="289"/>
      <c r="HKB16" s="289"/>
      <c r="HKC16" s="289"/>
      <c r="HKD16" s="289"/>
      <c r="HKE16" s="289"/>
      <c r="HKF16" s="289"/>
      <c r="HKG16" s="289"/>
      <c r="HKH16" s="289"/>
      <c r="HKI16" s="289"/>
      <c r="HKJ16" s="289"/>
      <c r="HKK16" s="289"/>
      <c r="HKL16" s="289"/>
      <c r="HKM16" s="289"/>
      <c r="HKN16" s="289"/>
      <c r="HKO16" s="289"/>
      <c r="HKP16" s="289"/>
      <c r="HKQ16" s="289"/>
      <c r="HKR16" s="289"/>
      <c r="HKS16" s="289"/>
      <c r="HKT16" s="289"/>
      <c r="HKU16" s="289"/>
      <c r="HKV16" s="289"/>
      <c r="HKW16" s="289"/>
      <c r="HKX16" s="289"/>
      <c r="HKY16" s="289"/>
      <c r="HKZ16" s="289"/>
      <c r="HLA16" s="289"/>
      <c r="HLB16" s="289"/>
      <c r="HLC16" s="289"/>
      <c r="HLD16" s="289"/>
      <c r="HLE16" s="289"/>
      <c r="HLF16" s="289"/>
      <c r="HLG16" s="289"/>
      <c r="HLH16" s="289"/>
      <c r="HLI16" s="289"/>
      <c r="HLJ16" s="289"/>
      <c r="HLK16" s="289"/>
      <c r="HLL16" s="289"/>
      <c r="HLM16" s="289"/>
      <c r="HLN16" s="289"/>
      <c r="HLO16" s="289"/>
      <c r="HLP16" s="289"/>
      <c r="HLQ16" s="289"/>
      <c r="HLR16" s="289"/>
      <c r="HLS16" s="289"/>
      <c r="HLT16" s="289"/>
      <c r="HLU16" s="289"/>
      <c r="HLV16" s="289"/>
      <c r="HLW16" s="289"/>
      <c r="HLX16" s="289"/>
      <c r="HLY16" s="289"/>
      <c r="HLZ16" s="289"/>
      <c r="HMA16" s="289"/>
      <c r="HMB16" s="289"/>
      <c r="HMC16" s="289"/>
      <c r="HMD16" s="289"/>
      <c r="HME16" s="289"/>
      <c r="HMF16" s="289"/>
      <c r="HMG16" s="289"/>
      <c r="HMH16" s="289"/>
      <c r="HMI16" s="289"/>
      <c r="HMJ16" s="289"/>
      <c r="HMK16" s="289"/>
      <c r="HML16" s="289"/>
      <c r="HMM16" s="289"/>
      <c r="HMN16" s="289"/>
      <c r="HMO16" s="289"/>
      <c r="HMP16" s="289"/>
      <c r="HMQ16" s="289"/>
      <c r="HMR16" s="289"/>
      <c r="HMS16" s="289"/>
      <c r="HMT16" s="289"/>
      <c r="HMU16" s="289"/>
      <c r="HMV16" s="289"/>
      <c r="HMW16" s="289"/>
      <c r="HMX16" s="289"/>
      <c r="HMY16" s="289"/>
      <c r="HMZ16" s="289"/>
      <c r="HNA16" s="289"/>
      <c r="HNB16" s="289"/>
      <c r="HNC16" s="289"/>
      <c r="HND16" s="289"/>
      <c r="HNE16" s="289"/>
      <c r="HNF16" s="289"/>
      <c r="HNG16" s="289"/>
      <c r="HNH16" s="289"/>
      <c r="HNI16" s="289"/>
      <c r="HNJ16" s="289"/>
      <c r="HNK16" s="289"/>
      <c r="HNL16" s="289"/>
      <c r="HNM16" s="289"/>
      <c r="HNN16" s="289"/>
      <c r="HNO16" s="289"/>
      <c r="HNP16" s="289"/>
      <c r="HNQ16" s="289"/>
      <c r="HNR16" s="289"/>
      <c r="HNS16" s="289"/>
      <c r="HNT16" s="289"/>
      <c r="HNU16" s="289"/>
      <c r="HNV16" s="289"/>
      <c r="HNW16" s="289"/>
      <c r="HNX16" s="289"/>
      <c r="HNY16" s="289"/>
      <c r="HNZ16" s="289"/>
      <c r="HOA16" s="289"/>
      <c r="HOB16" s="289"/>
      <c r="HOC16" s="289"/>
      <c r="HOD16" s="289"/>
      <c r="HOE16" s="289"/>
      <c r="HOF16" s="289"/>
      <c r="HOG16" s="289"/>
      <c r="HOH16" s="289"/>
      <c r="HOI16" s="289"/>
      <c r="HOJ16" s="289"/>
      <c r="HOK16" s="289"/>
      <c r="HOL16" s="289"/>
      <c r="HOM16" s="289"/>
      <c r="HON16" s="289"/>
      <c r="HOO16" s="289"/>
      <c r="HOP16" s="289"/>
      <c r="HOQ16" s="289"/>
      <c r="HOR16" s="289"/>
      <c r="HOS16" s="289"/>
      <c r="HOT16" s="289"/>
      <c r="HOU16" s="289"/>
      <c r="HOV16" s="289"/>
      <c r="HOW16" s="289"/>
      <c r="HOX16" s="289"/>
      <c r="HOY16" s="289"/>
      <c r="HOZ16" s="289"/>
      <c r="HPA16" s="289"/>
      <c r="HPB16" s="289"/>
      <c r="HPC16" s="289"/>
      <c r="HPD16" s="289"/>
      <c r="HPE16" s="289"/>
      <c r="HPF16" s="289"/>
      <c r="HPG16" s="289"/>
      <c r="HPH16" s="289"/>
      <c r="HPI16" s="289"/>
      <c r="HPJ16" s="289"/>
      <c r="HPK16" s="289"/>
      <c r="HPL16" s="289"/>
      <c r="HPM16" s="289"/>
      <c r="HPN16" s="289"/>
      <c r="HPO16" s="289"/>
      <c r="HPP16" s="289"/>
      <c r="HPQ16" s="289"/>
      <c r="HPR16" s="289"/>
      <c r="HPS16" s="289"/>
      <c r="HPT16" s="289"/>
      <c r="HPU16" s="289"/>
      <c r="HPV16" s="289"/>
      <c r="HPW16" s="289"/>
      <c r="HPX16" s="289"/>
      <c r="HPY16" s="289"/>
      <c r="HPZ16" s="289"/>
      <c r="HQA16" s="289"/>
      <c r="HQB16" s="289"/>
      <c r="HQC16" s="289"/>
      <c r="HQD16" s="289"/>
      <c r="HQE16" s="289"/>
      <c r="HQF16" s="289"/>
      <c r="HQG16" s="289"/>
      <c r="HQH16" s="289"/>
      <c r="HQI16" s="289"/>
      <c r="HQJ16" s="289"/>
      <c r="HQK16" s="289"/>
      <c r="HQL16" s="289"/>
      <c r="HQM16" s="289"/>
      <c r="HQN16" s="289"/>
      <c r="HQO16" s="289"/>
      <c r="HQP16" s="289"/>
      <c r="HQQ16" s="289"/>
      <c r="HQR16" s="289"/>
      <c r="HQS16" s="289"/>
      <c r="HQT16" s="289"/>
      <c r="HQU16" s="289"/>
      <c r="HQV16" s="289"/>
      <c r="HQW16" s="289"/>
      <c r="HQX16" s="289"/>
      <c r="HQY16" s="289"/>
      <c r="HQZ16" s="289"/>
      <c r="HRA16" s="289"/>
      <c r="HRB16" s="289"/>
      <c r="HRC16" s="289"/>
      <c r="HRD16" s="289"/>
      <c r="HRE16" s="289"/>
      <c r="HRF16" s="289"/>
      <c r="HRG16" s="289"/>
      <c r="HRH16" s="289"/>
      <c r="HRI16" s="289"/>
      <c r="HRJ16" s="289"/>
      <c r="HRK16" s="289"/>
      <c r="HRL16" s="289"/>
      <c r="HRM16" s="289"/>
      <c r="HRN16" s="289"/>
      <c r="HRO16" s="289"/>
      <c r="HRP16" s="289"/>
      <c r="HRQ16" s="289"/>
      <c r="HRR16" s="289"/>
      <c r="HRS16" s="289"/>
      <c r="HRT16" s="289"/>
      <c r="HRU16" s="289"/>
      <c r="HRV16" s="289"/>
      <c r="HRW16" s="289"/>
      <c r="HRX16" s="289"/>
      <c r="HRY16" s="289"/>
      <c r="HRZ16" s="289"/>
      <c r="HSA16" s="289"/>
      <c r="HSB16" s="289"/>
      <c r="HSC16" s="289"/>
      <c r="HSD16" s="289"/>
      <c r="HSE16" s="289"/>
      <c r="HSF16" s="289"/>
      <c r="HSG16" s="289"/>
      <c r="HSH16" s="289"/>
      <c r="HSI16" s="289"/>
      <c r="HSJ16" s="289"/>
      <c r="HSK16" s="289"/>
      <c r="HSL16" s="289"/>
      <c r="HSM16" s="289"/>
      <c r="HSN16" s="289"/>
      <c r="HSO16" s="289"/>
      <c r="HSP16" s="289"/>
      <c r="HSQ16" s="289"/>
      <c r="HSR16" s="289"/>
      <c r="HSS16" s="289"/>
      <c r="HST16" s="289"/>
      <c r="HSU16" s="289"/>
      <c r="HSV16" s="289"/>
      <c r="HSW16" s="289"/>
      <c r="HSX16" s="289"/>
      <c r="HSY16" s="289"/>
      <c r="HSZ16" s="289"/>
      <c r="HTA16" s="289"/>
      <c r="HTB16" s="289"/>
      <c r="HTC16" s="289"/>
      <c r="HTD16" s="289"/>
      <c r="HTE16" s="289"/>
      <c r="HTF16" s="289"/>
      <c r="HTG16" s="289"/>
      <c r="HTH16" s="289"/>
      <c r="HTI16" s="289"/>
      <c r="HTJ16" s="289"/>
      <c r="HTK16" s="289"/>
      <c r="HTL16" s="289"/>
      <c r="HTM16" s="289"/>
      <c r="HTN16" s="289"/>
      <c r="HTO16" s="289"/>
      <c r="HTP16" s="289"/>
      <c r="HTQ16" s="289"/>
      <c r="HTR16" s="289"/>
      <c r="HTS16" s="289"/>
      <c r="HTT16" s="289"/>
      <c r="HTU16" s="289"/>
      <c r="HTV16" s="289"/>
      <c r="HTW16" s="289"/>
      <c r="HTX16" s="289"/>
      <c r="HTY16" s="289"/>
      <c r="HTZ16" s="289"/>
      <c r="HUA16" s="289"/>
      <c r="HUB16" s="289"/>
      <c r="HUC16" s="289"/>
      <c r="HUD16" s="289"/>
      <c r="HUE16" s="289"/>
      <c r="HUF16" s="289"/>
      <c r="HUG16" s="289"/>
      <c r="HUH16" s="289"/>
      <c r="HUI16" s="289"/>
      <c r="HUJ16" s="289"/>
      <c r="HUK16" s="289"/>
      <c r="HUL16" s="289"/>
      <c r="HUM16" s="289"/>
      <c r="HUN16" s="289"/>
      <c r="HUO16" s="289"/>
      <c r="HUP16" s="289"/>
      <c r="HUQ16" s="289"/>
      <c r="HUR16" s="289"/>
      <c r="HUS16" s="289"/>
      <c r="HUT16" s="289"/>
      <c r="HUU16" s="289"/>
      <c r="HUV16" s="289"/>
      <c r="HUW16" s="289"/>
      <c r="HUX16" s="289"/>
      <c r="HUY16" s="289"/>
      <c r="HUZ16" s="289"/>
      <c r="HVA16" s="289"/>
      <c r="HVB16" s="289"/>
      <c r="HVC16" s="289"/>
      <c r="HVD16" s="289"/>
      <c r="HVE16" s="289"/>
      <c r="HVF16" s="289"/>
      <c r="HVG16" s="289"/>
      <c r="HVH16" s="289"/>
      <c r="HVI16" s="289"/>
      <c r="HVJ16" s="289"/>
      <c r="HVK16" s="289"/>
      <c r="HVL16" s="289"/>
      <c r="HVM16" s="289"/>
      <c r="HVN16" s="289"/>
      <c r="HVO16" s="289"/>
      <c r="HVP16" s="289"/>
      <c r="HVQ16" s="289"/>
      <c r="HVR16" s="289"/>
      <c r="HVS16" s="289"/>
      <c r="HVT16" s="289"/>
      <c r="HVU16" s="289"/>
      <c r="HVV16" s="289"/>
      <c r="HVW16" s="289"/>
      <c r="HVX16" s="289"/>
      <c r="HVY16" s="289"/>
      <c r="HVZ16" s="289"/>
      <c r="HWA16" s="289"/>
      <c r="HWB16" s="289"/>
      <c r="HWC16" s="289"/>
      <c r="HWD16" s="289"/>
      <c r="HWE16" s="289"/>
      <c r="HWF16" s="289"/>
      <c r="HWG16" s="289"/>
      <c r="HWH16" s="289"/>
      <c r="HWI16" s="289"/>
      <c r="HWJ16" s="289"/>
      <c r="HWK16" s="289"/>
      <c r="HWL16" s="289"/>
      <c r="HWM16" s="289"/>
      <c r="HWN16" s="289"/>
      <c r="HWO16" s="289"/>
      <c r="HWP16" s="289"/>
      <c r="HWQ16" s="289"/>
      <c r="HWR16" s="289"/>
      <c r="HWS16" s="289"/>
      <c r="HWT16" s="289"/>
      <c r="HWU16" s="289"/>
      <c r="HWV16" s="289"/>
      <c r="HWW16" s="289"/>
      <c r="HWX16" s="289"/>
      <c r="HWY16" s="289"/>
      <c r="HWZ16" s="289"/>
      <c r="HXA16" s="289"/>
      <c r="HXB16" s="289"/>
      <c r="HXC16" s="289"/>
      <c r="HXD16" s="289"/>
      <c r="HXE16" s="289"/>
      <c r="HXF16" s="289"/>
      <c r="HXG16" s="289"/>
      <c r="HXH16" s="289"/>
      <c r="HXI16" s="289"/>
      <c r="HXJ16" s="289"/>
      <c r="HXK16" s="289"/>
      <c r="HXL16" s="289"/>
      <c r="HXM16" s="289"/>
      <c r="HXN16" s="289"/>
      <c r="HXO16" s="289"/>
      <c r="HXP16" s="289"/>
      <c r="HXQ16" s="289"/>
      <c r="HXR16" s="289"/>
      <c r="HXS16" s="289"/>
      <c r="HXT16" s="289"/>
      <c r="HXU16" s="289"/>
      <c r="HXV16" s="289"/>
      <c r="HXW16" s="289"/>
      <c r="HXX16" s="289"/>
      <c r="HXY16" s="289"/>
      <c r="HXZ16" s="289"/>
      <c r="HYA16" s="289"/>
      <c r="HYB16" s="289"/>
      <c r="HYC16" s="289"/>
      <c r="HYD16" s="289"/>
      <c r="HYE16" s="289"/>
      <c r="HYF16" s="289"/>
      <c r="HYG16" s="289"/>
      <c r="HYH16" s="289"/>
      <c r="HYI16" s="289"/>
      <c r="HYJ16" s="289"/>
      <c r="HYK16" s="289"/>
      <c r="HYL16" s="289"/>
      <c r="HYM16" s="289"/>
      <c r="HYN16" s="289"/>
      <c r="HYO16" s="289"/>
      <c r="HYP16" s="289"/>
      <c r="HYQ16" s="289"/>
      <c r="HYR16" s="289"/>
      <c r="HYS16" s="289"/>
      <c r="HYT16" s="289"/>
      <c r="HYU16" s="289"/>
      <c r="HYV16" s="289"/>
      <c r="HYW16" s="289"/>
      <c r="HYX16" s="289"/>
      <c r="HYY16" s="289"/>
      <c r="HYZ16" s="289"/>
      <c r="HZA16" s="289"/>
      <c r="HZB16" s="289"/>
      <c r="HZC16" s="289"/>
      <c r="HZD16" s="289"/>
      <c r="HZE16" s="289"/>
      <c r="HZF16" s="289"/>
      <c r="HZG16" s="289"/>
      <c r="HZH16" s="289"/>
      <c r="HZI16" s="289"/>
      <c r="HZJ16" s="289"/>
      <c r="HZK16" s="289"/>
      <c r="HZL16" s="289"/>
      <c r="HZM16" s="289"/>
      <c r="HZN16" s="289"/>
      <c r="HZO16" s="289"/>
      <c r="HZP16" s="289"/>
      <c r="HZQ16" s="289"/>
      <c r="HZR16" s="289"/>
      <c r="HZS16" s="289"/>
      <c r="HZT16" s="289"/>
      <c r="HZU16" s="289"/>
      <c r="HZV16" s="289"/>
      <c r="HZW16" s="289"/>
      <c r="HZX16" s="289"/>
      <c r="HZY16" s="289"/>
      <c r="HZZ16" s="289"/>
      <c r="IAA16" s="289"/>
      <c r="IAB16" s="289"/>
      <c r="IAC16" s="289"/>
      <c r="IAD16" s="289"/>
      <c r="IAE16" s="289"/>
      <c r="IAF16" s="289"/>
      <c r="IAG16" s="289"/>
      <c r="IAH16" s="289"/>
      <c r="IAI16" s="289"/>
      <c r="IAJ16" s="289"/>
      <c r="IAK16" s="289"/>
      <c r="IAL16" s="289"/>
      <c r="IAM16" s="289"/>
      <c r="IAN16" s="289"/>
      <c r="IAO16" s="289"/>
      <c r="IAP16" s="289"/>
      <c r="IAQ16" s="289"/>
      <c r="IAR16" s="289"/>
      <c r="IAS16" s="289"/>
      <c r="IAT16" s="289"/>
      <c r="IAU16" s="289"/>
      <c r="IAV16" s="289"/>
      <c r="IAW16" s="289"/>
      <c r="IAX16" s="289"/>
      <c r="IAY16" s="289"/>
      <c r="IAZ16" s="289"/>
      <c r="IBA16" s="289"/>
      <c r="IBB16" s="289"/>
      <c r="IBC16" s="289"/>
      <c r="IBD16" s="289"/>
      <c r="IBE16" s="289"/>
      <c r="IBF16" s="289"/>
      <c r="IBG16" s="289"/>
      <c r="IBH16" s="289"/>
      <c r="IBI16" s="289"/>
      <c r="IBJ16" s="289"/>
      <c r="IBK16" s="289"/>
      <c r="IBL16" s="289"/>
      <c r="IBM16" s="289"/>
      <c r="IBN16" s="289"/>
      <c r="IBO16" s="289"/>
      <c r="IBP16" s="289"/>
      <c r="IBQ16" s="289"/>
      <c r="IBR16" s="289"/>
      <c r="IBS16" s="289"/>
      <c r="IBT16" s="289"/>
      <c r="IBU16" s="289"/>
      <c r="IBV16" s="289"/>
      <c r="IBW16" s="289"/>
      <c r="IBX16" s="289"/>
      <c r="IBY16" s="289"/>
      <c r="IBZ16" s="289"/>
      <c r="ICA16" s="289"/>
      <c r="ICB16" s="289"/>
      <c r="ICC16" s="289"/>
      <c r="ICD16" s="289"/>
      <c r="ICE16" s="289"/>
      <c r="ICF16" s="289"/>
      <c r="ICG16" s="289"/>
      <c r="ICH16" s="289"/>
      <c r="ICI16" s="289"/>
      <c r="ICJ16" s="289"/>
      <c r="ICK16" s="289"/>
      <c r="ICL16" s="289"/>
      <c r="ICM16" s="289"/>
      <c r="ICN16" s="289"/>
      <c r="ICO16" s="289"/>
      <c r="ICP16" s="289"/>
      <c r="ICQ16" s="289"/>
      <c r="ICR16" s="289"/>
      <c r="ICS16" s="289"/>
      <c r="ICT16" s="289"/>
      <c r="ICU16" s="289"/>
      <c r="ICV16" s="289"/>
      <c r="ICW16" s="289"/>
      <c r="ICX16" s="289"/>
      <c r="ICY16" s="289"/>
      <c r="ICZ16" s="289"/>
      <c r="IDA16" s="289"/>
      <c r="IDB16" s="289"/>
      <c r="IDC16" s="289"/>
      <c r="IDD16" s="289"/>
      <c r="IDE16" s="289"/>
      <c r="IDF16" s="289"/>
      <c r="IDG16" s="289"/>
      <c r="IDH16" s="289"/>
      <c r="IDI16" s="289"/>
      <c r="IDJ16" s="289"/>
      <c r="IDK16" s="289"/>
      <c r="IDL16" s="289"/>
      <c r="IDM16" s="289"/>
      <c r="IDN16" s="289"/>
      <c r="IDO16" s="289"/>
      <c r="IDP16" s="289"/>
      <c r="IDQ16" s="289"/>
      <c r="IDR16" s="289"/>
      <c r="IDS16" s="289"/>
      <c r="IDT16" s="289"/>
      <c r="IDU16" s="289"/>
      <c r="IDV16" s="289"/>
      <c r="IDW16" s="289"/>
      <c r="IDX16" s="289"/>
      <c r="IDY16" s="289"/>
      <c r="IDZ16" s="289"/>
      <c r="IEA16" s="289"/>
      <c r="IEB16" s="289"/>
      <c r="IEC16" s="289"/>
      <c r="IED16" s="289"/>
      <c r="IEE16" s="289"/>
      <c r="IEF16" s="289"/>
      <c r="IEG16" s="289"/>
      <c r="IEH16" s="289"/>
      <c r="IEI16" s="289"/>
      <c r="IEJ16" s="289"/>
      <c r="IEK16" s="289"/>
      <c r="IEL16" s="289"/>
      <c r="IEM16" s="289"/>
      <c r="IEN16" s="289"/>
      <c r="IEO16" s="289"/>
      <c r="IEP16" s="289"/>
      <c r="IEQ16" s="289"/>
      <c r="IER16" s="289"/>
      <c r="IES16" s="289"/>
      <c r="IET16" s="289"/>
      <c r="IEU16" s="289"/>
      <c r="IEV16" s="289"/>
      <c r="IEW16" s="289"/>
      <c r="IEX16" s="289"/>
      <c r="IEY16" s="289"/>
      <c r="IEZ16" s="289"/>
      <c r="IFA16" s="289"/>
      <c r="IFB16" s="289"/>
      <c r="IFC16" s="289"/>
      <c r="IFD16" s="289"/>
      <c r="IFE16" s="289"/>
      <c r="IFF16" s="289"/>
      <c r="IFG16" s="289"/>
      <c r="IFH16" s="289"/>
      <c r="IFI16" s="289"/>
      <c r="IFJ16" s="289"/>
      <c r="IFK16" s="289"/>
      <c r="IFL16" s="289"/>
      <c r="IFM16" s="289"/>
      <c r="IFN16" s="289"/>
      <c r="IFO16" s="289"/>
      <c r="IFP16" s="289"/>
      <c r="IFQ16" s="289"/>
      <c r="IFR16" s="289"/>
      <c r="IFS16" s="289"/>
      <c r="IFT16" s="289"/>
      <c r="IFU16" s="289"/>
      <c r="IFV16" s="289"/>
      <c r="IFW16" s="289"/>
      <c r="IFX16" s="289"/>
      <c r="IFY16" s="289"/>
      <c r="IFZ16" s="289"/>
      <c r="IGA16" s="289"/>
      <c r="IGB16" s="289"/>
      <c r="IGC16" s="289"/>
      <c r="IGD16" s="289"/>
      <c r="IGE16" s="289"/>
      <c r="IGF16" s="289"/>
      <c r="IGG16" s="289"/>
      <c r="IGH16" s="289"/>
      <c r="IGI16" s="289"/>
      <c r="IGJ16" s="289"/>
      <c r="IGK16" s="289"/>
      <c r="IGL16" s="289"/>
      <c r="IGM16" s="289"/>
      <c r="IGN16" s="289"/>
      <c r="IGO16" s="289"/>
      <c r="IGP16" s="289"/>
      <c r="IGQ16" s="289"/>
      <c r="IGR16" s="289"/>
      <c r="IGS16" s="289"/>
      <c r="IGT16" s="289"/>
      <c r="IGU16" s="289"/>
      <c r="IGV16" s="289"/>
      <c r="IGW16" s="289"/>
      <c r="IGX16" s="289"/>
      <c r="IGY16" s="289"/>
      <c r="IGZ16" s="289"/>
      <c r="IHA16" s="289"/>
      <c r="IHB16" s="289"/>
      <c r="IHC16" s="289"/>
      <c r="IHD16" s="289"/>
      <c r="IHE16" s="289"/>
      <c r="IHF16" s="289"/>
      <c r="IHG16" s="289"/>
      <c r="IHH16" s="289"/>
      <c r="IHI16" s="289"/>
      <c r="IHJ16" s="289"/>
      <c r="IHK16" s="289"/>
      <c r="IHL16" s="289"/>
      <c r="IHM16" s="289"/>
      <c r="IHN16" s="289"/>
      <c r="IHO16" s="289"/>
      <c r="IHP16" s="289"/>
      <c r="IHQ16" s="289"/>
      <c r="IHR16" s="289"/>
      <c r="IHS16" s="289"/>
      <c r="IHT16" s="289"/>
      <c r="IHU16" s="289"/>
      <c r="IHV16" s="289"/>
      <c r="IHW16" s="289"/>
      <c r="IHX16" s="289"/>
      <c r="IHY16" s="289"/>
      <c r="IHZ16" s="289"/>
      <c r="IIA16" s="289"/>
      <c r="IIB16" s="289"/>
      <c r="IIC16" s="289"/>
      <c r="IID16" s="289"/>
      <c r="IIE16" s="289"/>
      <c r="IIF16" s="289"/>
      <c r="IIG16" s="289"/>
      <c r="IIH16" s="289"/>
      <c r="III16" s="289"/>
      <c r="IIJ16" s="289"/>
      <c r="IIK16" s="289"/>
      <c r="IIL16" s="289"/>
      <c r="IIM16" s="289"/>
      <c r="IIN16" s="289"/>
      <c r="IIO16" s="289"/>
      <c r="IIP16" s="289"/>
      <c r="IIQ16" s="289"/>
      <c r="IIR16" s="289"/>
      <c r="IIS16" s="289"/>
      <c r="IIT16" s="289"/>
      <c r="IIU16" s="289"/>
      <c r="IIV16" s="289"/>
      <c r="IIW16" s="289"/>
      <c r="IIX16" s="289"/>
      <c r="IIY16" s="289"/>
      <c r="IIZ16" s="289"/>
      <c r="IJA16" s="289"/>
      <c r="IJB16" s="289"/>
      <c r="IJC16" s="289"/>
      <c r="IJD16" s="289"/>
      <c r="IJE16" s="289"/>
      <c r="IJF16" s="289"/>
      <c r="IJG16" s="289"/>
      <c r="IJH16" s="289"/>
      <c r="IJI16" s="289"/>
      <c r="IJJ16" s="289"/>
      <c r="IJK16" s="289"/>
      <c r="IJL16" s="289"/>
      <c r="IJM16" s="289"/>
      <c r="IJN16" s="289"/>
      <c r="IJO16" s="289"/>
      <c r="IJP16" s="289"/>
      <c r="IJQ16" s="289"/>
      <c r="IJR16" s="289"/>
      <c r="IJS16" s="289"/>
      <c r="IJT16" s="289"/>
      <c r="IJU16" s="289"/>
      <c r="IJV16" s="289"/>
      <c r="IJW16" s="289"/>
      <c r="IJX16" s="289"/>
      <c r="IJY16" s="289"/>
      <c r="IJZ16" s="289"/>
      <c r="IKA16" s="289"/>
      <c r="IKB16" s="289"/>
      <c r="IKC16" s="289"/>
      <c r="IKD16" s="289"/>
      <c r="IKE16" s="289"/>
      <c r="IKF16" s="289"/>
      <c r="IKG16" s="289"/>
      <c r="IKH16" s="289"/>
      <c r="IKI16" s="289"/>
      <c r="IKJ16" s="289"/>
      <c r="IKK16" s="289"/>
      <c r="IKL16" s="289"/>
      <c r="IKM16" s="289"/>
      <c r="IKN16" s="289"/>
      <c r="IKO16" s="289"/>
      <c r="IKP16" s="289"/>
      <c r="IKQ16" s="289"/>
      <c r="IKR16" s="289"/>
      <c r="IKS16" s="289"/>
      <c r="IKT16" s="289"/>
      <c r="IKU16" s="289"/>
      <c r="IKV16" s="289"/>
      <c r="IKW16" s="289"/>
      <c r="IKX16" s="289"/>
      <c r="IKY16" s="289"/>
      <c r="IKZ16" s="289"/>
      <c r="ILA16" s="289"/>
      <c r="ILB16" s="289"/>
      <c r="ILC16" s="289"/>
      <c r="ILD16" s="289"/>
      <c r="ILE16" s="289"/>
      <c r="ILF16" s="289"/>
      <c r="ILG16" s="289"/>
      <c r="ILH16" s="289"/>
      <c r="ILI16" s="289"/>
      <c r="ILJ16" s="289"/>
      <c r="ILK16" s="289"/>
      <c r="ILL16" s="289"/>
      <c r="ILM16" s="289"/>
      <c r="ILN16" s="289"/>
      <c r="ILO16" s="289"/>
      <c r="ILP16" s="289"/>
      <c r="ILQ16" s="289"/>
      <c r="ILR16" s="289"/>
      <c r="ILS16" s="289"/>
      <c r="ILT16" s="289"/>
      <c r="ILU16" s="289"/>
      <c r="ILV16" s="289"/>
      <c r="ILW16" s="289"/>
      <c r="ILX16" s="289"/>
      <c r="ILY16" s="289"/>
      <c r="ILZ16" s="289"/>
      <c r="IMA16" s="289"/>
      <c r="IMB16" s="289"/>
      <c r="IMC16" s="289"/>
      <c r="IMD16" s="289"/>
      <c r="IME16" s="289"/>
      <c r="IMF16" s="289"/>
      <c r="IMG16" s="289"/>
      <c r="IMH16" s="289"/>
      <c r="IMI16" s="289"/>
      <c r="IMJ16" s="289"/>
      <c r="IMK16" s="289"/>
      <c r="IML16" s="289"/>
      <c r="IMM16" s="289"/>
      <c r="IMN16" s="289"/>
      <c r="IMO16" s="289"/>
      <c r="IMP16" s="289"/>
      <c r="IMQ16" s="289"/>
      <c r="IMR16" s="289"/>
      <c r="IMS16" s="289"/>
      <c r="IMT16" s="289"/>
      <c r="IMU16" s="289"/>
      <c r="IMV16" s="289"/>
      <c r="IMW16" s="289"/>
      <c r="IMX16" s="289"/>
      <c r="IMY16" s="289"/>
      <c r="IMZ16" s="289"/>
      <c r="INA16" s="289"/>
      <c r="INB16" s="289"/>
      <c r="INC16" s="289"/>
      <c r="IND16" s="289"/>
      <c r="INE16" s="289"/>
      <c r="INF16" s="289"/>
      <c r="ING16" s="289"/>
      <c r="INH16" s="289"/>
      <c r="INI16" s="289"/>
      <c r="INJ16" s="289"/>
      <c r="INK16" s="289"/>
      <c r="INL16" s="289"/>
      <c r="INM16" s="289"/>
      <c r="INN16" s="289"/>
      <c r="INO16" s="289"/>
      <c r="INP16" s="289"/>
      <c r="INQ16" s="289"/>
      <c r="INR16" s="289"/>
      <c r="INS16" s="289"/>
      <c r="INT16" s="289"/>
      <c r="INU16" s="289"/>
      <c r="INV16" s="289"/>
      <c r="INW16" s="289"/>
      <c r="INX16" s="289"/>
      <c r="INY16" s="289"/>
      <c r="INZ16" s="289"/>
      <c r="IOA16" s="289"/>
      <c r="IOB16" s="289"/>
      <c r="IOC16" s="289"/>
      <c r="IOD16" s="289"/>
      <c r="IOE16" s="289"/>
      <c r="IOF16" s="289"/>
      <c r="IOG16" s="289"/>
      <c r="IOH16" s="289"/>
      <c r="IOI16" s="289"/>
      <c r="IOJ16" s="289"/>
      <c r="IOK16" s="289"/>
      <c r="IOL16" s="289"/>
      <c r="IOM16" s="289"/>
      <c r="ION16" s="289"/>
      <c r="IOO16" s="289"/>
      <c r="IOP16" s="289"/>
      <c r="IOQ16" s="289"/>
      <c r="IOR16" s="289"/>
      <c r="IOS16" s="289"/>
      <c r="IOT16" s="289"/>
      <c r="IOU16" s="289"/>
      <c r="IOV16" s="289"/>
      <c r="IOW16" s="289"/>
      <c r="IOX16" s="289"/>
      <c r="IOY16" s="289"/>
      <c r="IOZ16" s="289"/>
      <c r="IPA16" s="289"/>
      <c r="IPB16" s="289"/>
      <c r="IPC16" s="289"/>
      <c r="IPD16" s="289"/>
      <c r="IPE16" s="289"/>
      <c r="IPF16" s="289"/>
      <c r="IPG16" s="289"/>
      <c r="IPH16" s="289"/>
      <c r="IPI16" s="289"/>
      <c r="IPJ16" s="289"/>
      <c r="IPK16" s="289"/>
      <c r="IPL16" s="289"/>
      <c r="IPM16" s="289"/>
      <c r="IPN16" s="289"/>
      <c r="IPO16" s="289"/>
      <c r="IPP16" s="289"/>
      <c r="IPQ16" s="289"/>
      <c r="IPR16" s="289"/>
      <c r="IPS16" s="289"/>
      <c r="IPT16" s="289"/>
      <c r="IPU16" s="289"/>
      <c r="IPV16" s="289"/>
      <c r="IPW16" s="289"/>
      <c r="IPX16" s="289"/>
      <c r="IPY16" s="289"/>
      <c r="IPZ16" s="289"/>
      <c r="IQA16" s="289"/>
      <c r="IQB16" s="289"/>
      <c r="IQC16" s="289"/>
      <c r="IQD16" s="289"/>
      <c r="IQE16" s="289"/>
      <c r="IQF16" s="289"/>
      <c r="IQG16" s="289"/>
      <c r="IQH16" s="289"/>
      <c r="IQI16" s="289"/>
      <c r="IQJ16" s="289"/>
      <c r="IQK16" s="289"/>
      <c r="IQL16" s="289"/>
      <c r="IQM16" s="289"/>
      <c r="IQN16" s="289"/>
      <c r="IQO16" s="289"/>
      <c r="IQP16" s="289"/>
      <c r="IQQ16" s="289"/>
      <c r="IQR16" s="289"/>
      <c r="IQS16" s="289"/>
      <c r="IQT16" s="289"/>
      <c r="IQU16" s="289"/>
      <c r="IQV16" s="289"/>
      <c r="IQW16" s="289"/>
      <c r="IQX16" s="289"/>
      <c r="IQY16" s="289"/>
      <c r="IQZ16" s="289"/>
      <c r="IRA16" s="289"/>
      <c r="IRB16" s="289"/>
      <c r="IRC16" s="289"/>
      <c r="IRD16" s="289"/>
      <c r="IRE16" s="289"/>
      <c r="IRF16" s="289"/>
      <c r="IRG16" s="289"/>
      <c r="IRH16" s="289"/>
      <c r="IRI16" s="289"/>
      <c r="IRJ16" s="289"/>
      <c r="IRK16" s="289"/>
      <c r="IRL16" s="289"/>
      <c r="IRM16" s="289"/>
      <c r="IRN16" s="289"/>
      <c r="IRO16" s="289"/>
      <c r="IRP16" s="289"/>
      <c r="IRQ16" s="289"/>
      <c r="IRR16" s="289"/>
      <c r="IRS16" s="289"/>
      <c r="IRT16" s="289"/>
      <c r="IRU16" s="289"/>
      <c r="IRV16" s="289"/>
      <c r="IRW16" s="289"/>
      <c r="IRX16" s="289"/>
      <c r="IRY16" s="289"/>
      <c r="IRZ16" s="289"/>
      <c r="ISA16" s="289"/>
      <c r="ISB16" s="289"/>
      <c r="ISC16" s="289"/>
      <c r="ISD16" s="289"/>
      <c r="ISE16" s="289"/>
      <c r="ISF16" s="289"/>
      <c r="ISG16" s="289"/>
      <c r="ISH16" s="289"/>
      <c r="ISI16" s="289"/>
      <c r="ISJ16" s="289"/>
      <c r="ISK16" s="289"/>
      <c r="ISL16" s="289"/>
      <c r="ISM16" s="289"/>
      <c r="ISN16" s="289"/>
      <c r="ISO16" s="289"/>
      <c r="ISP16" s="289"/>
      <c r="ISQ16" s="289"/>
      <c r="ISR16" s="289"/>
      <c r="ISS16" s="289"/>
      <c r="IST16" s="289"/>
      <c r="ISU16" s="289"/>
      <c r="ISV16" s="289"/>
      <c r="ISW16" s="289"/>
      <c r="ISX16" s="289"/>
      <c r="ISY16" s="289"/>
      <c r="ISZ16" s="289"/>
      <c r="ITA16" s="289"/>
      <c r="ITB16" s="289"/>
      <c r="ITC16" s="289"/>
      <c r="ITD16" s="289"/>
      <c r="ITE16" s="289"/>
      <c r="ITF16" s="289"/>
      <c r="ITG16" s="289"/>
      <c r="ITH16" s="289"/>
      <c r="ITI16" s="289"/>
      <c r="ITJ16" s="289"/>
      <c r="ITK16" s="289"/>
      <c r="ITL16" s="289"/>
      <c r="ITM16" s="289"/>
      <c r="ITN16" s="289"/>
      <c r="ITO16" s="289"/>
      <c r="ITP16" s="289"/>
      <c r="ITQ16" s="289"/>
      <c r="ITR16" s="289"/>
      <c r="ITS16" s="289"/>
      <c r="ITT16" s="289"/>
      <c r="ITU16" s="289"/>
      <c r="ITV16" s="289"/>
      <c r="ITW16" s="289"/>
      <c r="ITX16" s="289"/>
      <c r="ITY16" s="289"/>
      <c r="ITZ16" s="289"/>
      <c r="IUA16" s="289"/>
      <c r="IUB16" s="289"/>
      <c r="IUC16" s="289"/>
      <c r="IUD16" s="289"/>
      <c r="IUE16" s="289"/>
      <c r="IUF16" s="289"/>
      <c r="IUG16" s="289"/>
      <c r="IUH16" s="289"/>
      <c r="IUI16" s="289"/>
      <c r="IUJ16" s="289"/>
      <c r="IUK16" s="289"/>
      <c r="IUL16" s="289"/>
      <c r="IUM16" s="289"/>
      <c r="IUN16" s="289"/>
      <c r="IUO16" s="289"/>
      <c r="IUP16" s="289"/>
      <c r="IUQ16" s="289"/>
      <c r="IUR16" s="289"/>
      <c r="IUS16" s="289"/>
      <c r="IUT16" s="289"/>
      <c r="IUU16" s="289"/>
      <c r="IUV16" s="289"/>
      <c r="IUW16" s="289"/>
      <c r="IUX16" s="289"/>
      <c r="IUY16" s="289"/>
      <c r="IUZ16" s="289"/>
      <c r="IVA16" s="289"/>
      <c r="IVB16" s="289"/>
      <c r="IVC16" s="289"/>
      <c r="IVD16" s="289"/>
      <c r="IVE16" s="289"/>
      <c r="IVF16" s="289"/>
      <c r="IVG16" s="289"/>
      <c r="IVH16" s="289"/>
      <c r="IVI16" s="289"/>
      <c r="IVJ16" s="289"/>
      <c r="IVK16" s="289"/>
      <c r="IVL16" s="289"/>
      <c r="IVM16" s="289"/>
      <c r="IVN16" s="289"/>
      <c r="IVO16" s="289"/>
      <c r="IVP16" s="289"/>
      <c r="IVQ16" s="289"/>
      <c r="IVR16" s="289"/>
      <c r="IVS16" s="289"/>
      <c r="IVT16" s="289"/>
      <c r="IVU16" s="289"/>
      <c r="IVV16" s="289"/>
      <c r="IVW16" s="289"/>
      <c r="IVX16" s="289"/>
      <c r="IVY16" s="289"/>
      <c r="IVZ16" s="289"/>
      <c r="IWA16" s="289"/>
      <c r="IWB16" s="289"/>
      <c r="IWC16" s="289"/>
      <c r="IWD16" s="289"/>
      <c r="IWE16" s="289"/>
      <c r="IWF16" s="289"/>
      <c r="IWG16" s="289"/>
      <c r="IWH16" s="289"/>
      <c r="IWI16" s="289"/>
      <c r="IWJ16" s="289"/>
      <c r="IWK16" s="289"/>
      <c r="IWL16" s="289"/>
      <c r="IWM16" s="289"/>
      <c r="IWN16" s="289"/>
      <c r="IWO16" s="289"/>
      <c r="IWP16" s="289"/>
      <c r="IWQ16" s="289"/>
      <c r="IWR16" s="289"/>
      <c r="IWS16" s="289"/>
      <c r="IWT16" s="289"/>
      <c r="IWU16" s="289"/>
      <c r="IWV16" s="289"/>
      <c r="IWW16" s="289"/>
      <c r="IWX16" s="289"/>
      <c r="IWY16" s="289"/>
      <c r="IWZ16" s="289"/>
      <c r="IXA16" s="289"/>
      <c r="IXB16" s="289"/>
      <c r="IXC16" s="289"/>
      <c r="IXD16" s="289"/>
      <c r="IXE16" s="289"/>
      <c r="IXF16" s="289"/>
      <c r="IXG16" s="289"/>
      <c r="IXH16" s="289"/>
      <c r="IXI16" s="289"/>
      <c r="IXJ16" s="289"/>
      <c r="IXK16" s="289"/>
      <c r="IXL16" s="289"/>
      <c r="IXM16" s="289"/>
      <c r="IXN16" s="289"/>
      <c r="IXO16" s="289"/>
      <c r="IXP16" s="289"/>
      <c r="IXQ16" s="289"/>
      <c r="IXR16" s="289"/>
      <c r="IXS16" s="289"/>
      <c r="IXT16" s="289"/>
      <c r="IXU16" s="289"/>
      <c r="IXV16" s="289"/>
      <c r="IXW16" s="289"/>
      <c r="IXX16" s="289"/>
      <c r="IXY16" s="289"/>
      <c r="IXZ16" s="289"/>
      <c r="IYA16" s="289"/>
      <c r="IYB16" s="289"/>
      <c r="IYC16" s="289"/>
      <c r="IYD16" s="289"/>
      <c r="IYE16" s="289"/>
      <c r="IYF16" s="289"/>
      <c r="IYG16" s="289"/>
      <c r="IYH16" s="289"/>
      <c r="IYI16" s="289"/>
      <c r="IYJ16" s="289"/>
      <c r="IYK16" s="289"/>
      <c r="IYL16" s="289"/>
      <c r="IYM16" s="289"/>
      <c r="IYN16" s="289"/>
      <c r="IYO16" s="289"/>
      <c r="IYP16" s="289"/>
      <c r="IYQ16" s="289"/>
      <c r="IYR16" s="289"/>
      <c r="IYS16" s="289"/>
      <c r="IYT16" s="289"/>
      <c r="IYU16" s="289"/>
      <c r="IYV16" s="289"/>
      <c r="IYW16" s="289"/>
      <c r="IYX16" s="289"/>
      <c r="IYY16" s="289"/>
      <c r="IYZ16" s="289"/>
      <c r="IZA16" s="289"/>
      <c r="IZB16" s="289"/>
      <c r="IZC16" s="289"/>
      <c r="IZD16" s="289"/>
      <c r="IZE16" s="289"/>
      <c r="IZF16" s="289"/>
      <c r="IZG16" s="289"/>
      <c r="IZH16" s="289"/>
      <c r="IZI16" s="289"/>
      <c r="IZJ16" s="289"/>
      <c r="IZK16" s="289"/>
      <c r="IZL16" s="289"/>
      <c r="IZM16" s="289"/>
      <c r="IZN16" s="289"/>
      <c r="IZO16" s="289"/>
      <c r="IZP16" s="289"/>
      <c r="IZQ16" s="289"/>
      <c r="IZR16" s="289"/>
      <c r="IZS16" s="289"/>
      <c r="IZT16" s="289"/>
      <c r="IZU16" s="289"/>
      <c r="IZV16" s="289"/>
      <c r="IZW16" s="289"/>
      <c r="IZX16" s="289"/>
      <c r="IZY16" s="289"/>
      <c r="IZZ16" s="289"/>
      <c r="JAA16" s="289"/>
      <c r="JAB16" s="289"/>
      <c r="JAC16" s="289"/>
      <c r="JAD16" s="289"/>
      <c r="JAE16" s="289"/>
      <c r="JAF16" s="289"/>
      <c r="JAG16" s="289"/>
      <c r="JAH16" s="289"/>
      <c r="JAI16" s="289"/>
      <c r="JAJ16" s="289"/>
      <c r="JAK16" s="289"/>
      <c r="JAL16" s="289"/>
      <c r="JAM16" s="289"/>
      <c r="JAN16" s="289"/>
      <c r="JAO16" s="289"/>
      <c r="JAP16" s="289"/>
      <c r="JAQ16" s="289"/>
      <c r="JAR16" s="289"/>
      <c r="JAS16" s="289"/>
      <c r="JAT16" s="289"/>
      <c r="JAU16" s="289"/>
      <c r="JAV16" s="289"/>
      <c r="JAW16" s="289"/>
      <c r="JAX16" s="289"/>
      <c r="JAY16" s="289"/>
      <c r="JAZ16" s="289"/>
      <c r="JBA16" s="289"/>
      <c r="JBB16" s="289"/>
      <c r="JBC16" s="289"/>
      <c r="JBD16" s="289"/>
      <c r="JBE16" s="289"/>
      <c r="JBF16" s="289"/>
      <c r="JBG16" s="289"/>
      <c r="JBH16" s="289"/>
      <c r="JBI16" s="289"/>
      <c r="JBJ16" s="289"/>
      <c r="JBK16" s="289"/>
      <c r="JBL16" s="289"/>
      <c r="JBM16" s="289"/>
      <c r="JBN16" s="289"/>
      <c r="JBO16" s="289"/>
      <c r="JBP16" s="289"/>
      <c r="JBQ16" s="289"/>
      <c r="JBR16" s="289"/>
      <c r="JBS16" s="289"/>
      <c r="JBT16" s="289"/>
      <c r="JBU16" s="289"/>
      <c r="JBV16" s="289"/>
      <c r="JBW16" s="289"/>
      <c r="JBX16" s="289"/>
      <c r="JBY16" s="289"/>
      <c r="JBZ16" s="289"/>
      <c r="JCA16" s="289"/>
      <c r="JCB16" s="289"/>
      <c r="JCC16" s="289"/>
      <c r="JCD16" s="289"/>
      <c r="JCE16" s="289"/>
      <c r="JCF16" s="289"/>
      <c r="JCG16" s="289"/>
      <c r="JCH16" s="289"/>
      <c r="JCI16" s="289"/>
      <c r="JCJ16" s="289"/>
      <c r="JCK16" s="289"/>
      <c r="JCL16" s="289"/>
      <c r="JCM16" s="289"/>
      <c r="JCN16" s="289"/>
      <c r="JCO16" s="289"/>
      <c r="JCP16" s="289"/>
      <c r="JCQ16" s="289"/>
      <c r="JCR16" s="289"/>
      <c r="JCS16" s="289"/>
      <c r="JCT16" s="289"/>
      <c r="JCU16" s="289"/>
      <c r="JCV16" s="289"/>
      <c r="JCW16" s="289"/>
      <c r="JCX16" s="289"/>
      <c r="JCY16" s="289"/>
      <c r="JCZ16" s="289"/>
      <c r="JDA16" s="289"/>
      <c r="JDB16" s="289"/>
      <c r="JDC16" s="289"/>
      <c r="JDD16" s="289"/>
      <c r="JDE16" s="289"/>
      <c r="JDF16" s="289"/>
      <c r="JDG16" s="289"/>
      <c r="JDH16" s="289"/>
      <c r="JDI16" s="289"/>
      <c r="JDJ16" s="289"/>
      <c r="JDK16" s="289"/>
      <c r="JDL16" s="289"/>
      <c r="JDM16" s="289"/>
      <c r="JDN16" s="289"/>
      <c r="JDO16" s="289"/>
      <c r="JDP16" s="289"/>
      <c r="JDQ16" s="289"/>
      <c r="JDR16" s="289"/>
      <c r="JDS16" s="289"/>
      <c r="JDT16" s="289"/>
      <c r="JDU16" s="289"/>
      <c r="JDV16" s="289"/>
      <c r="JDW16" s="289"/>
      <c r="JDX16" s="289"/>
      <c r="JDY16" s="289"/>
      <c r="JDZ16" s="289"/>
      <c r="JEA16" s="289"/>
      <c r="JEB16" s="289"/>
      <c r="JEC16" s="289"/>
      <c r="JED16" s="289"/>
      <c r="JEE16" s="289"/>
      <c r="JEF16" s="289"/>
      <c r="JEG16" s="289"/>
      <c r="JEH16" s="289"/>
      <c r="JEI16" s="289"/>
      <c r="JEJ16" s="289"/>
      <c r="JEK16" s="289"/>
      <c r="JEL16" s="289"/>
      <c r="JEM16" s="289"/>
      <c r="JEN16" s="289"/>
      <c r="JEO16" s="289"/>
      <c r="JEP16" s="289"/>
      <c r="JEQ16" s="289"/>
      <c r="JER16" s="289"/>
      <c r="JES16" s="289"/>
      <c r="JET16" s="289"/>
      <c r="JEU16" s="289"/>
      <c r="JEV16" s="289"/>
      <c r="JEW16" s="289"/>
      <c r="JEX16" s="289"/>
      <c r="JEY16" s="289"/>
      <c r="JEZ16" s="289"/>
      <c r="JFA16" s="289"/>
      <c r="JFB16" s="289"/>
      <c r="JFC16" s="289"/>
      <c r="JFD16" s="289"/>
      <c r="JFE16" s="289"/>
      <c r="JFF16" s="289"/>
      <c r="JFG16" s="289"/>
      <c r="JFH16" s="289"/>
      <c r="JFI16" s="289"/>
      <c r="JFJ16" s="289"/>
      <c r="JFK16" s="289"/>
      <c r="JFL16" s="289"/>
      <c r="JFM16" s="289"/>
      <c r="JFN16" s="289"/>
      <c r="JFO16" s="289"/>
      <c r="JFP16" s="289"/>
      <c r="JFQ16" s="289"/>
      <c r="JFR16" s="289"/>
      <c r="JFS16" s="289"/>
      <c r="JFT16" s="289"/>
      <c r="JFU16" s="289"/>
      <c r="JFV16" s="289"/>
      <c r="JFW16" s="289"/>
      <c r="JFX16" s="289"/>
      <c r="JFY16" s="289"/>
      <c r="JFZ16" s="289"/>
      <c r="JGA16" s="289"/>
      <c r="JGB16" s="289"/>
      <c r="JGC16" s="289"/>
      <c r="JGD16" s="289"/>
      <c r="JGE16" s="289"/>
      <c r="JGF16" s="289"/>
      <c r="JGG16" s="289"/>
      <c r="JGH16" s="289"/>
      <c r="JGI16" s="289"/>
      <c r="JGJ16" s="289"/>
      <c r="JGK16" s="289"/>
      <c r="JGL16" s="289"/>
      <c r="JGM16" s="289"/>
      <c r="JGN16" s="289"/>
      <c r="JGO16" s="289"/>
      <c r="JGP16" s="289"/>
      <c r="JGQ16" s="289"/>
      <c r="JGR16" s="289"/>
      <c r="JGS16" s="289"/>
      <c r="JGT16" s="289"/>
      <c r="JGU16" s="289"/>
      <c r="JGV16" s="289"/>
      <c r="JGW16" s="289"/>
      <c r="JGX16" s="289"/>
      <c r="JGY16" s="289"/>
      <c r="JGZ16" s="289"/>
      <c r="JHA16" s="289"/>
      <c r="JHB16" s="289"/>
      <c r="JHC16" s="289"/>
      <c r="JHD16" s="289"/>
      <c r="JHE16" s="289"/>
      <c r="JHF16" s="289"/>
      <c r="JHG16" s="289"/>
      <c r="JHH16" s="289"/>
      <c r="JHI16" s="289"/>
      <c r="JHJ16" s="289"/>
      <c r="JHK16" s="289"/>
      <c r="JHL16" s="289"/>
      <c r="JHM16" s="289"/>
      <c r="JHN16" s="289"/>
      <c r="JHO16" s="289"/>
      <c r="JHP16" s="289"/>
      <c r="JHQ16" s="289"/>
      <c r="JHR16" s="289"/>
      <c r="JHS16" s="289"/>
      <c r="JHT16" s="289"/>
      <c r="JHU16" s="289"/>
      <c r="JHV16" s="289"/>
      <c r="JHW16" s="289"/>
      <c r="JHX16" s="289"/>
      <c r="JHY16" s="289"/>
      <c r="JHZ16" s="289"/>
      <c r="JIA16" s="289"/>
      <c r="JIB16" s="289"/>
      <c r="JIC16" s="289"/>
      <c r="JID16" s="289"/>
      <c r="JIE16" s="289"/>
      <c r="JIF16" s="289"/>
      <c r="JIG16" s="289"/>
      <c r="JIH16" s="289"/>
      <c r="JII16" s="289"/>
      <c r="JIJ16" s="289"/>
      <c r="JIK16" s="289"/>
      <c r="JIL16" s="289"/>
      <c r="JIM16" s="289"/>
      <c r="JIN16" s="289"/>
      <c r="JIO16" s="289"/>
      <c r="JIP16" s="289"/>
      <c r="JIQ16" s="289"/>
      <c r="JIR16" s="289"/>
      <c r="JIS16" s="289"/>
      <c r="JIT16" s="289"/>
      <c r="JIU16" s="289"/>
      <c r="JIV16" s="289"/>
      <c r="JIW16" s="289"/>
      <c r="JIX16" s="289"/>
      <c r="JIY16" s="289"/>
      <c r="JIZ16" s="289"/>
      <c r="JJA16" s="289"/>
      <c r="JJB16" s="289"/>
      <c r="JJC16" s="289"/>
      <c r="JJD16" s="289"/>
      <c r="JJE16" s="289"/>
      <c r="JJF16" s="289"/>
      <c r="JJG16" s="289"/>
      <c r="JJH16" s="289"/>
      <c r="JJI16" s="289"/>
      <c r="JJJ16" s="289"/>
      <c r="JJK16" s="289"/>
      <c r="JJL16" s="289"/>
      <c r="JJM16" s="289"/>
      <c r="JJN16" s="289"/>
      <c r="JJO16" s="289"/>
      <c r="JJP16" s="289"/>
      <c r="JJQ16" s="289"/>
      <c r="JJR16" s="289"/>
      <c r="JJS16" s="289"/>
      <c r="JJT16" s="289"/>
      <c r="JJU16" s="289"/>
      <c r="JJV16" s="289"/>
      <c r="JJW16" s="289"/>
      <c r="JJX16" s="289"/>
      <c r="JJY16" s="289"/>
      <c r="JJZ16" s="289"/>
      <c r="JKA16" s="289"/>
      <c r="JKB16" s="289"/>
      <c r="JKC16" s="289"/>
      <c r="JKD16" s="289"/>
      <c r="JKE16" s="289"/>
      <c r="JKF16" s="289"/>
      <c r="JKG16" s="289"/>
      <c r="JKH16" s="289"/>
      <c r="JKI16" s="289"/>
      <c r="JKJ16" s="289"/>
      <c r="JKK16" s="289"/>
      <c r="JKL16" s="289"/>
      <c r="JKM16" s="289"/>
      <c r="JKN16" s="289"/>
      <c r="JKO16" s="289"/>
      <c r="JKP16" s="289"/>
      <c r="JKQ16" s="289"/>
      <c r="JKR16" s="289"/>
      <c r="JKS16" s="289"/>
      <c r="JKT16" s="289"/>
      <c r="JKU16" s="289"/>
      <c r="JKV16" s="289"/>
      <c r="JKW16" s="289"/>
      <c r="JKX16" s="289"/>
      <c r="JKY16" s="289"/>
      <c r="JKZ16" s="289"/>
      <c r="JLA16" s="289"/>
      <c r="JLB16" s="289"/>
      <c r="JLC16" s="289"/>
      <c r="JLD16" s="289"/>
      <c r="JLE16" s="289"/>
      <c r="JLF16" s="289"/>
      <c r="JLG16" s="289"/>
      <c r="JLH16" s="289"/>
      <c r="JLI16" s="289"/>
      <c r="JLJ16" s="289"/>
      <c r="JLK16" s="289"/>
      <c r="JLL16" s="289"/>
      <c r="JLM16" s="289"/>
      <c r="JLN16" s="289"/>
      <c r="JLO16" s="289"/>
      <c r="JLP16" s="289"/>
      <c r="JLQ16" s="289"/>
      <c r="JLR16" s="289"/>
      <c r="JLS16" s="289"/>
      <c r="JLT16" s="289"/>
      <c r="JLU16" s="289"/>
      <c r="JLV16" s="289"/>
      <c r="JLW16" s="289"/>
      <c r="JLX16" s="289"/>
      <c r="JLY16" s="289"/>
      <c r="JLZ16" s="289"/>
      <c r="JMA16" s="289"/>
      <c r="JMB16" s="289"/>
      <c r="JMC16" s="289"/>
      <c r="JMD16" s="289"/>
      <c r="JME16" s="289"/>
      <c r="JMF16" s="289"/>
      <c r="JMG16" s="289"/>
      <c r="JMH16" s="289"/>
      <c r="JMI16" s="289"/>
      <c r="JMJ16" s="289"/>
      <c r="JMK16" s="289"/>
      <c r="JML16" s="289"/>
      <c r="JMM16" s="289"/>
      <c r="JMN16" s="289"/>
      <c r="JMO16" s="289"/>
      <c r="JMP16" s="289"/>
      <c r="JMQ16" s="289"/>
      <c r="JMR16" s="289"/>
      <c r="JMS16" s="289"/>
      <c r="JMT16" s="289"/>
      <c r="JMU16" s="289"/>
      <c r="JMV16" s="289"/>
      <c r="JMW16" s="289"/>
      <c r="JMX16" s="289"/>
      <c r="JMY16" s="289"/>
      <c r="JMZ16" s="289"/>
      <c r="JNA16" s="289"/>
      <c r="JNB16" s="289"/>
      <c r="JNC16" s="289"/>
      <c r="JND16" s="289"/>
      <c r="JNE16" s="289"/>
      <c r="JNF16" s="289"/>
      <c r="JNG16" s="289"/>
      <c r="JNH16" s="289"/>
      <c r="JNI16" s="289"/>
      <c r="JNJ16" s="289"/>
      <c r="JNK16" s="289"/>
      <c r="JNL16" s="289"/>
      <c r="JNM16" s="289"/>
      <c r="JNN16" s="289"/>
      <c r="JNO16" s="289"/>
      <c r="JNP16" s="289"/>
      <c r="JNQ16" s="289"/>
      <c r="JNR16" s="289"/>
      <c r="JNS16" s="289"/>
      <c r="JNT16" s="289"/>
      <c r="JNU16" s="289"/>
      <c r="JNV16" s="289"/>
      <c r="JNW16" s="289"/>
      <c r="JNX16" s="289"/>
      <c r="JNY16" s="289"/>
      <c r="JNZ16" s="289"/>
      <c r="JOA16" s="289"/>
      <c r="JOB16" s="289"/>
      <c r="JOC16" s="289"/>
      <c r="JOD16" s="289"/>
      <c r="JOE16" s="289"/>
      <c r="JOF16" s="289"/>
      <c r="JOG16" s="289"/>
      <c r="JOH16" s="289"/>
      <c r="JOI16" s="289"/>
      <c r="JOJ16" s="289"/>
      <c r="JOK16" s="289"/>
      <c r="JOL16" s="289"/>
      <c r="JOM16" s="289"/>
      <c r="JON16" s="289"/>
      <c r="JOO16" s="289"/>
      <c r="JOP16" s="289"/>
      <c r="JOQ16" s="289"/>
      <c r="JOR16" s="289"/>
      <c r="JOS16" s="289"/>
      <c r="JOT16" s="289"/>
      <c r="JOU16" s="289"/>
      <c r="JOV16" s="289"/>
      <c r="JOW16" s="289"/>
      <c r="JOX16" s="289"/>
      <c r="JOY16" s="289"/>
      <c r="JOZ16" s="289"/>
      <c r="JPA16" s="289"/>
      <c r="JPB16" s="289"/>
      <c r="JPC16" s="289"/>
      <c r="JPD16" s="289"/>
      <c r="JPE16" s="289"/>
      <c r="JPF16" s="289"/>
      <c r="JPG16" s="289"/>
      <c r="JPH16" s="289"/>
      <c r="JPI16" s="289"/>
      <c r="JPJ16" s="289"/>
      <c r="JPK16" s="289"/>
      <c r="JPL16" s="289"/>
      <c r="JPM16" s="289"/>
      <c r="JPN16" s="289"/>
      <c r="JPO16" s="289"/>
      <c r="JPP16" s="289"/>
      <c r="JPQ16" s="289"/>
      <c r="JPR16" s="289"/>
      <c r="JPS16" s="289"/>
      <c r="JPT16" s="289"/>
      <c r="JPU16" s="289"/>
      <c r="JPV16" s="289"/>
      <c r="JPW16" s="289"/>
      <c r="JPX16" s="289"/>
      <c r="JPY16" s="289"/>
      <c r="JPZ16" s="289"/>
      <c r="JQA16" s="289"/>
      <c r="JQB16" s="289"/>
      <c r="JQC16" s="289"/>
      <c r="JQD16" s="289"/>
      <c r="JQE16" s="289"/>
      <c r="JQF16" s="289"/>
      <c r="JQG16" s="289"/>
      <c r="JQH16" s="289"/>
      <c r="JQI16" s="289"/>
      <c r="JQJ16" s="289"/>
      <c r="JQK16" s="289"/>
      <c r="JQL16" s="289"/>
      <c r="JQM16" s="289"/>
      <c r="JQN16" s="289"/>
      <c r="JQO16" s="289"/>
      <c r="JQP16" s="289"/>
      <c r="JQQ16" s="289"/>
      <c r="JQR16" s="289"/>
      <c r="JQS16" s="289"/>
      <c r="JQT16" s="289"/>
      <c r="JQU16" s="289"/>
      <c r="JQV16" s="289"/>
      <c r="JQW16" s="289"/>
      <c r="JQX16" s="289"/>
      <c r="JQY16" s="289"/>
      <c r="JQZ16" s="289"/>
      <c r="JRA16" s="289"/>
      <c r="JRB16" s="289"/>
      <c r="JRC16" s="289"/>
      <c r="JRD16" s="289"/>
      <c r="JRE16" s="289"/>
      <c r="JRF16" s="289"/>
      <c r="JRG16" s="289"/>
      <c r="JRH16" s="289"/>
      <c r="JRI16" s="289"/>
      <c r="JRJ16" s="289"/>
      <c r="JRK16" s="289"/>
      <c r="JRL16" s="289"/>
      <c r="JRM16" s="289"/>
      <c r="JRN16" s="289"/>
      <c r="JRO16" s="289"/>
      <c r="JRP16" s="289"/>
      <c r="JRQ16" s="289"/>
      <c r="JRR16" s="289"/>
      <c r="JRS16" s="289"/>
      <c r="JRT16" s="289"/>
      <c r="JRU16" s="289"/>
      <c r="JRV16" s="289"/>
      <c r="JRW16" s="289"/>
      <c r="JRX16" s="289"/>
      <c r="JRY16" s="289"/>
      <c r="JRZ16" s="289"/>
      <c r="JSA16" s="289"/>
      <c r="JSB16" s="289"/>
      <c r="JSC16" s="289"/>
      <c r="JSD16" s="289"/>
      <c r="JSE16" s="289"/>
      <c r="JSF16" s="289"/>
      <c r="JSG16" s="289"/>
      <c r="JSH16" s="289"/>
      <c r="JSI16" s="289"/>
      <c r="JSJ16" s="289"/>
      <c r="JSK16" s="289"/>
      <c r="JSL16" s="289"/>
      <c r="JSM16" s="289"/>
      <c r="JSN16" s="289"/>
      <c r="JSO16" s="289"/>
      <c r="JSP16" s="289"/>
      <c r="JSQ16" s="289"/>
      <c r="JSR16" s="289"/>
      <c r="JSS16" s="289"/>
      <c r="JST16" s="289"/>
      <c r="JSU16" s="289"/>
      <c r="JSV16" s="289"/>
      <c r="JSW16" s="289"/>
      <c r="JSX16" s="289"/>
      <c r="JSY16" s="289"/>
      <c r="JSZ16" s="289"/>
      <c r="JTA16" s="289"/>
      <c r="JTB16" s="289"/>
      <c r="JTC16" s="289"/>
      <c r="JTD16" s="289"/>
      <c r="JTE16" s="289"/>
      <c r="JTF16" s="289"/>
      <c r="JTG16" s="289"/>
      <c r="JTH16" s="289"/>
      <c r="JTI16" s="289"/>
      <c r="JTJ16" s="289"/>
      <c r="JTK16" s="289"/>
      <c r="JTL16" s="289"/>
      <c r="JTM16" s="289"/>
      <c r="JTN16" s="289"/>
      <c r="JTO16" s="289"/>
      <c r="JTP16" s="289"/>
      <c r="JTQ16" s="289"/>
      <c r="JTR16" s="289"/>
      <c r="JTS16" s="289"/>
      <c r="JTT16" s="289"/>
      <c r="JTU16" s="289"/>
      <c r="JTV16" s="289"/>
      <c r="JTW16" s="289"/>
      <c r="JTX16" s="289"/>
      <c r="JTY16" s="289"/>
      <c r="JTZ16" s="289"/>
      <c r="JUA16" s="289"/>
      <c r="JUB16" s="289"/>
      <c r="JUC16" s="289"/>
      <c r="JUD16" s="289"/>
      <c r="JUE16" s="289"/>
      <c r="JUF16" s="289"/>
      <c r="JUG16" s="289"/>
      <c r="JUH16" s="289"/>
      <c r="JUI16" s="289"/>
      <c r="JUJ16" s="289"/>
      <c r="JUK16" s="289"/>
      <c r="JUL16" s="289"/>
      <c r="JUM16" s="289"/>
      <c r="JUN16" s="289"/>
      <c r="JUO16" s="289"/>
      <c r="JUP16" s="289"/>
      <c r="JUQ16" s="289"/>
      <c r="JUR16" s="289"/>
      <c r="JUS16" s="289"/>
      <c r="JUT16" s="289"/>
      <c r="JUU16" s="289"/>
      <c r="JUV16" s="289"/>
      <c r="JUW16" s="289"/>
      <c r="JUX16" s="289"/>
      <c r="JUY16" s="289"/>
      <c r="JUZ16" s="289"/>
      <c r="JVA16" s="289"/>
      <c r="JVB16" s="289"/>
      <c r="JVC16" s="289"/>
      <c r="JVD16" s="289"/>
      <c r="JVE16" s="289"/>
      <c r="JVF16" s="289"/>
      <c r="JVG16" s="289"/>
      <c r="JVH16" s="289"/>
      <c r="JVI16" s="289"/>
      <c r="JVJ16" s="289"/>
      <c r="JVK16" s="289"/>
      <c r="JVL16" s="289"/>
      <c r="JVM16" s="289"/>
      <c r="JVN16" s="289"/>
      <c r="JVO16" s="289"/>
      <c r="JVP16" s="289"/>
      <c r="JVQ16" s="289"/>
      <c r="JVR16" s="289"/>
      <c r="JVS16" s="289"/>
      <c r="JVT16" s="289"/>
      <c r="JVU16" s="289"/>
      <c r="JVV16" s="289"/>
      <c r="JVW16" s="289"/>
      <c r="JVX16" s="289"/>
      <c r="JVY16" s="289"/>
      <c r="JVZ16" s="289"/>
      <c r="JWA16" s="289"/>
      <c r="JWB16" s="289"/>
      <c r="JWC16" s="289"/>
      <c r="JWD16" s="289"/>
      <c r="JWE16" s="289"/>
      <c r="JWF16" s="289"/>
      <c r="JWG16" s="289"/>
      <c r="JWH16" s="289"/>
      <c r="JWI16" s="289"/>
      <c r="JWJ16" s="289"/>
      <c r="JWK16" s="289"/>
      <c r="JWL16" s="289"/>
      <c r="JWM16" s="289"/>
      <c r="JWN16" s="289"/>
      <c r="JWO16" s="289"/>
      <c r="JWP16" s="289"/>
      <c r="JWQ16" s="289"/>
      <c r="JWR16" s="289"/>
      <c r="JWS16" s="289"/>
      <c r="JWT16" s="289"/>
      <c r="JWU16" s="289"/>
      <c r="JWV16" s="289"/>
      <c r="JWW16" s="289"/>
      <c r="JWX16" s="289"/>
      <c r="JWY16" s="289"/>
      <c r="JWZ16" s="289"/>
      <c r="JXA16" s="289"/>
      <c r="JXB16" s="289"/>
      <c r="JXC16" s="289"/>
      <c r="JXD16" s="289"/>
      <c r="JXE16" s="289"/>
      <c r="JXF16" s="289"/>
      <c r="JXG16" s="289"/>
      <c r="JXH16" s="289"/>
      <c r="JXI16" s="289"/>
      <c r="JXJ16" s="289"/>
      <c r="JXK16" s="289"/>
      <c r="JXL16" s="289"/>
      <c r="JXM16" s="289"/>
      <c r="JXN16" s="289"/>
      <c r="JXO16" s="289"/>
      <c r="JXP16" s="289"/>
      <c r="JXQ16" s="289"/>
      <c r="JXR16" s="289"/>
      <c r="JXS16" s="289"/>
      <c r="JXT16" s="289"/>
      <c r="JXU16" s="289"/>
      <c r="JXV16" s="289"/>
      <c r="JXW16" s="289"/>
      <c r="JXX16" s="289"/>
      <c r="JXY16" s="289"/>
      <c r="JXZ16" s="289"/>
      <c r="JYA16" s="289"/>
      <c r="JYB16" s="289"/>
      <c r="JYC16" s="289"/>
      <c r="JYD16" s="289"/>
      <c r="JYE16" s="289"/>
      <c r="JYF16" s="289"/>
      <c r="JYG16" s="289"/>
      <c r="JYH16" s="289"/>
      <c r="JYI16" s="289"/>
      <c r="JYJ16" s="289"/>
      <c r="JYK16" s="289"/>
      <c r="JYL16" s="289"/>
      <c r="JYM16" s="289"/>
      <c r="JYN16" s="289"/>
      <c r="JYO16" s="289"/>
      <c r="JYP16" s="289"/>
      <c r="JYQ16" s="289"/>
      <c r="JYR16" s="289"/>
      <c r="JYS16" s="289"/>
      <c r="JYT16" s="289"/>
      <c r="JYU16" s="289"/>
      <c r="JYV16" s="289"/>
      <c r="JYW16" s="289"/>
      <c r="JYX16" s="289"/>
      <c r="JYY16" s="289"/>
      <c r="JYZ16" s="289"/>
      <c r="JZA16" s="289"/>
      <c r="JZB16" s="289"/>
      <c r="JZC16" s="289"/>
      <c r="JZD16" s="289"/>
      <c r="JZE16" s="289"/>
      <c r="JZF16" s="289"/>
      <c r="JZG16" s="289"/>
      <c r="JZH16" s="289"/>
      <c r="JZI16" s="289"/>
      <c r="JZJ16" s="289"/>
      <c r="JZK16" s="289"/>
      <c r="JZL16" s="289"/>
      <c r="JZM16" s="289"/>
      <c r="JZN16" s="289"/>
      <c r="JZO16" s="289"/>
      <c r="JZP16" s="289"/>
      <c r="JZQ16" s="289"/>
      <c r="JZR16" s="289"/>
      <c r="JZS16" s="289"/>
      <c r="JZT16" s="289"/>
      <c r="JZU16" s="289"/>
      <c r="JZV16" s="289"/>
      <c r="JZW16" s="289"/>
      <c r="JZX16" s="289"/>
      <c r="JZY16" s="289"/>
      <c r="JZZ16" s="289"/>
      <c r="KAA16" s="289"/>
      <c r="KAB16" s="289"/>
      <c r="KAC16" s="289"/>
      <c r="KAD16" s="289"/>
      <c r="KAE16" s="289"/>
      <c r="KAF16" s="289"/>
      <c r="KAG16" s="289"/>
      <c r="KAH16" s="289"/>
      <c r="KAI16" s="289"/>
      <c r="KAJ16" s="289"/>
      <c r="KAK16" s="289"/>
      <c r="KAL16" s="289"/>
      <c r="KAM16" s="289"/>
      <c r="KAN16" s="289"/>
      <c r="KAO16" s="289"/>
      <c r="KAP16" s="289"/>
      <c r="KAQ16" s="289"/>
      <c r="KAR16" s="289"/>
      <c r="KAS16" s="289"/>
      <c r="KAT16" s="289"/>
      <c r="KAU16" s="289"/>
      <c r="KAV16" s="289"/>
      <c r="KAW16" s="289"/>
      <c r="KAX16" s="289"/>
      <c r="KAY16" s="289"/>
      <c r="KAZ16" s="289"/>
      <c r="KBA16" s="289"/>
      <c r="KBB16" s="289"/>
      <c r="KBC16" s="289"/>
      <c r="KBD16" s="289"/>
      <c r="KBE16" s="289"/>
      <c r="KBF16" s="289"/>
      <c r="KBG16" s="289"/>
      <c r="KBH16" s="289"/>
      <c r="KBI16" s="289"/>
      <c r="KBJ16" s="289"/>
      <c r="KBK16" s="289"/>
      <c r="KBL16" s="289"/>
      <c r="KBM16" s="289"/>
      <c r="KBN16" s="289"/>
      <c r="KBO16" s="289"/>
      <c r="KBP16" s="289"/>
      <c r="KBQ16" s="289"/>
      <c r="KBR16" s="289"/>
      <c r="KBS16" s="289"/>
      <c r="KBT16" s="289"/>
      <c r="KBU16" s="289"/>
      <c r="KBV16" s="289"/>
      <c r="KBW16" s="289"/>
      <c r="KBX16" s="289"/>
      <c r="KBY16" s="289"/>
      <c r="KBZ16" s="289"/>
      <c r="KCA16" s="289"/>
      <c r="KCB16" s="289"/>
      <c r="KCC16" s="289"/>
      <c r="KCD16" s="289"/>
      <c r="KCE16" s="289"/>
      <c r="KCF16" s="289"/>
      <c r="KCG16" s="289"/>
      <c r="KCH16" s="289"/>
      <c r="KCI16" s="289"/>
      <c r="KCJ16" s="289"/>
      <c r="KCK16" s="289"/>
      <c r="KCL16" s="289"/>
      <c r="KCM16" s="289"/>
      <c r="KCN16" s="289"/>
      <c r="KCO16" s="289"/>
      <c r="KCP16" s="289"/>
      <c r="KCQ16" s="289"/>
      <c r="KCR16" s="289"/>
      <c r="KCS16" s="289"/>
      <c r="KCT16" s="289"/>
      <c r="KCU16" s="289"/>
      <c r="KCV16" s="289"/>
      <c r="KCW16" s="289"/>
      <c r="KCX16" s="289"/>
      <c r="KCY16" s="289"/>
      <c r="KCZ16" s="289"/>
      <c r="KDA16" s="289"/>
      <c r="KDB16" s="289"/>
      <c r="KDC16" s="289"/>
      <c r="KDD16" s="289"/>
      <c r="KDE16" s="289"/>
      <c r="KDF16" s="289"/>
      <c r="KDG16" s="289"/>
      <c r="KDH16" s="289"/>
      <c r="KDI16" s="289"/>
      <c r="KDJ16" s="289"/>
      <c r="KDK16" s="289"/>
      <c r="KDL16" s="289"/>
      <c r="KDM16" s="289"/>
      <c r="KDN16" s="289"/>
      <c r="KDO16" s="289"/>
      <c r="KDP16" s="289"/>
      <c r="KDQ16" s="289"/>
      <c r="KDR16" s="289"/>
      <c r="KDS16" s="289"/>
      <c r="KDT16" s="289"/>
      <c r="KDU16" s="289"/>
      <c r="KDV16" s="289"/>
      <c r="KDW16" s="289"/>
      <c r="KDX16" s="289"/>
      <c r="KDY16" s="289"/>
      <c r="KDZ16" s="289"/>
      <c r="KEA16" s="289"/>
      <c r="KEB16" s="289"/>
      <c r="KEC16" s="289"/>
      <c r="KED16" s="289"/>
      <c r="KEE16" s="289"/>
      <c r="KEF16" s="289"/>
      <c r="KEG16" s="289"/>
      <c r="KEH16" s="289"/>
      <c r="KEI16" s="289"/>
      <c r="KEJ16" s="289"/>
      <c r="KEK16" s="289"/>
      <c r="KEL16" s="289"/>
      <c r="KEM16" s="289"/>
      <c r="KEN16" s="289"/>
      <c r="KEO16" s="289"/>
      <c r="KEP16" s="289"/>
      <c r="KEQ16" s="289"/>
      <c r="KER16" s="289"/>
      <c r="KES16" s="289"/>
      <c r="KET16" s="289"/>
      <c r="KEU16" s="289"/>
      <c r="KEV16" s="289"/>
      <c r="KEW16" s="289"/>
      <c r="KEX16" s="289"/>
      <c r="KEY16" s="289"/>
      <c r="KEZ16" s="289"/>
      <c r="KFA16" s="289"/>
      <c r="KFB16" s="289"/>
      <c r="KFC16" s="289"/>
      <c r="KFD16" s="289"/>
      <c r="KFE16" s="289"/>
      <c r="KFF16" s="289"/>
      <c r="KFG16" s="289"/>
      <c r="KFH16" s="289"/>
      <c r="KFI16" s="289"/>
      <c r="KFJ16" s="289"/>
      <c r="KFK16" s="289"/>
      <c r="KFL16" s="289"/>
      <c r="KFM16" s="289"/>
      <c r="KFN16" s="289"/>
      <c r="KFO16" s="289"/>
      <c r="KFP16" s="289"/>
      <c r="KFQ16" s="289"/>
      <c r="KFR16" s="289"/>
      <c r="KFS16" s="289"/>
      <c r="KFT16" s="289"/>
      <c r="KFU16" s="289"/>
      <c r="KFV16" s="289"/>
      <c r="KFW16" s="289"/>
      <c r="KFX16" s="289"/>
      <c r="KFY16" s="289"/>
      <c r="KFZ16" s="289"/>
      <c r="KGA16" s="289"/>
      <c r="KGB16" s="289"/>
      <c r="KGC16" s="289"/>
      <c r="KGD16" s="289"/>
      <c r="KGE16" s="289"/>
      <c r="KGF16" s="289"/>
      <c r="KGG16" s="289"/>
      <c r="KGH16" s="289"/>
      <c r="KGI16" s="289"/>
      <c r="KGJ16" s="289"/>
      <c r="KGK16" s="289"/>
      <c r="KGL16" s="289"/>
      <c r="KGM16" s="289"/>
      <c r="KGN16" s="289"/>
      <c r="KGO16" s="289"/>
      <c r="KGP16" s="289"/>
      <c r="KGQ16" s="289"/>
      <c r="KGR16" s="289"/>
      <c r="KGS16" s="289"/>
      <c r="KGT16" s="289"/>
      <c r="KGU16" s="289"/>
      <c r="KGV16" s="289"/>
      <c r="KGW16" s="289"/>
      <c r="KGX16" s="289"/>
      <c r="KGY16" s="289"/>
      <c r="KGZ16" s="289"/>
      <c r="KHA16" s="289"/>
      <c r="KHB16" s="289"/>
      <c r="KHC16" s="289"/>
      <c r="KHD16" s="289"/>
      <c r="KHE16" s="289"/>
      <c r="KHF16" s="289"/>
      <c r="KHG16" s="289"/>
      <c r="KHH16" s="289"/>
      <c r="KHI16" s="289"/>
      <c r="KHJ16" s="289"/>
      <c r="KHK16" s="289"/>
      <c r="KHL16" s="289"/>
      <c r="KHM16" s="289"/>
      <c r="KHN16" s="289"/>
      <c r="KHO16" s="289"/>
      <c r="KHP16" s="289"/>
      <c r="KHQ16" s="289"/>
      <c r="KHR16" s="289"/>
      <c r="KHS16" s="289"/>
      <c r="KHT16" s="289"/>
      <c r="KHU16" s="289"/>
      <c r="KHV16" s="289"/>
      <c r="KHW16" s="289"/>
      <c r="KHX16" s="289"/>
      <c r="KHY16" s="289"/>
      <c r="KHZ16" s="289"/>
      <c r="KIA16" s="289"/>
      <c r="KIB16" s="289"/>
      <c r="KIC16" s="289"/>
      <c r="KID16" s="289"/>
      <c r="KIE16" s="289"/>
      <c r="KIF16" s="289"/>
      <c r="KIG16" s="289"/>
      <c r="KIH16" s="289"/>
      <c r="KII16" s="289"/>
      <c r="KIJ16" s="289"/>
      <c r="KIK16" s="289"/>
      <c r="KIL16" s="289"/>
      <c r="KIM16" s="289"/>
      <c r="KIN16" s="289"/>
      <c r="KIO16" s="289"/>
      <c r="KIP16" s="289"/>
      <c r="KIQ16" s="289"/>
      <c r="KIR16" s="289"/>
      <c r="KIS16" s="289"/>
      <c r="KIT16" s="289"/>
      <c r="KIU16" s="289"/>
      <c r="KIV16" s="289"/>
      <c r="KIW16" s="289"/>
      <c r="KIX16" s="289"/>
      <c r="KIY16" s="289"/>
      <c r="KIZ16" s="289"/>
      <c r="KJA16" s="289"/>
      <c r="KJB16" s="289"/>
      <c r="KJC16" s="289"/>
      <c r="KJD16" s="289"/>
      <c r="KJE16" s="289"/>
      <c r="KJF16" s="289"/>
      <c r="KJG16" s="289"/>
      <c r="KJH16" s="289"/>
      <c r="KJI16" s="289"/>
      <c r="KJJ16" s="289"/>
      <c r="KJK16" s="289"/>
      <c r="KJL16" s="289"/>
      <c r="KJM16" s="289"/>
      <c r="KJN16" s="289"/>
      <c r="KJO16" s="289"/>
      <c r="KJP16" s="289"/>
      <c r="KJQ16" s="289"/>
      <c r="KJR16" s="289"/>
      <c r="KJS16" s="289"/>
      <c r="KJT16" s="289"/>
      <c r="KJU16" s="289"/>
      <c r="KJV16" s="289"/>
      <c r="KJW16" s="289"/>
      <c r="KJX16" s="289"/>
      <c r="KJY16" s="289"/>
      <c r="KJZ16" s="289"/>
      <c r="KKA16" s="289"/>
      <c r="KKB16" s="289"/>
      <c r="KKC16" s="289"/>
      <c r="KKD16" s="289"/>
      <c r="KKE16" s="289"/>
      <c r="KKF16" s="289"/>
      <c r="KKG16" s="289"/>
      <c r="KKH16" s="289"/>
      <c r="KKI16" s="289"/>
      <c r="KKJ16" s="289"/>
      <c r="KKK16" s="289"/>
      <c r="KKL16" s="289"/>
      <c r="KKM16" s="289"/>
      <c r="KKN16" s="289"/>
      <c r="KKO16" s="289"/>
      <c r="KKP16" s="289"/>
      <c r="KKQ16" s="289"/>
      <c r="KKR16" s="289"/>
      <c r="KKS16" s="289"/>
      <c r="KKT16" s="289"/>
      <c r="KKU16" s="289"/>
      <c r="KKV16" s="289"/>
      <c r="KKW16" s="289"/>
      <c r="KKX16" s="289"/>
      <c r="KKY16" s="289"/>
      <c r="KKZ16" s="289"/>
      <c r="KLA16" s="289"/>
      <c r="KLB16" s="289"/>
      <c r="KLC16" s="289"/>
      <c r="KLD16" s="289"/>
      <c r="KLE16" s="289"/>
      <c r="KLF16" s="289"/>
      <c r="KLG16" s="289"/>
      <c r="KLH16" s="289"/>
      <c r="KLI16" s="289"/>
      <c r="KLJ16" s="289"/>
      <c r="KLK16" s="289"/>
      <c r="KLL16" s="289"/>
      <c r="KLM16" s="289"/>
      <c r="KLN16" s="289"/>
      <c r="KLO16" s="289"/>
      <c r="KLP16" s="289"/>
      <c r="KLQ16" s="289"/>
      <c r="KLR16" s="289"/>
      <c r="KLS16" s="289"/>
      <c r="KLT16" s="289"/>
      <c r="KLU16" s="289"/>
      <c r="KLV16" s="289"/>
      <c r="KLW16" s="289"/>
      <c r="KLX16" s="289"/>
      <c r="KLY16" s="289"/>
      <c r="KLZ16" s="289"/>
      <c r="KMA16" s="289"/>
      <c r="KMB16" s="289"/>
      <c r="KMC16" s="289"/>
      <c r="KMD16" s="289"/>
      <c r="KME16" s="289"/>
      <c r="KMF16" s="289"/>
      <c r="KMG16" s="289"/>
      <c r="KMH16" s="289"/>
      <c r="KMI16" s="289"/>
      <c r="KMJ16" s="289"/>
      <c r="KMK16" s="289"/>
      <c r="KML16" s="289"/>
      <c r="KMM16" s="289"/>
      <c r="KMN16" s="289"/>
      <c r="KMO16" s="289"/>
      <c r="KMP16" s="289"/>
      <c r="KMQ16" s="289"/>
      <c r="KMR16" s="289"/>
      <c r="KMS16" s="289"/>
      <c r="KMT16" s="289"/>
      <c r="KMU16" s="289"/>
      <c r="KMV16" s="289"/>
      <c r="KMW16" s="289"/>
      <c r="KMX16" s="289"/>
      <c r="KMY16" s="289"/>
      <c r="KMZ16" s="289"/>
      <c r="KNA16" s="289"/>
      <c r="KNB16" s="289"/>
      <c r="KNC16" s="289"/>
      <c r="KND16" s="289"/>
      <c r="KNE16" s="289"/>
      <c r="KNF16" s="289"/>
      <c r="KNG16" s="289"/>
      <c r="KNH16" s="289"/>
      <c r="KNI16" s="289"/>
      <c r="KNJ16" s="289"/>
      <c r="KNK16" s="289"/>
      <c r="KNL16" s="289"/>
      <c r="KNM16" s="289"/>
      <c r="KNN16" s="289"/>
      <c r="KNO16" s="289"/>
      <c r="KNP16" s="289"/>
      <c r="KNQ16" s="289"/>
      <c r="KNR16" s="289"/>
      <c r="KNS16" s="289"/>
      <c r="KNT16" s="289"/>
      <c r="KNU16" s="289"/>
      <c r="KNV16" s="289"/>
      <c r="KNW16" s="289"/>
      <c r="KNX16" s="289"/>
      <c r="KNY16" s="289"/>
      <c r="KNZ16" s="289"/>
      <c r="KOA16" s="289"/>
      <c r="KOB16" s="289"/>
      <c r="KOC16" s="289"/>
      <c r="KOD16" s="289"/>
      <c r="KOE16" s="289"/>
      <c r="KOF16" s="289"/>
      <c r="KOG16" s="289"/>
      <c r="KOH16" s="289"/>
      <c r="KOI16" s="289"/>
      <c r="KOJ16" s="289"/>
      <c r="KOK16" s="289"/>
      <c r="KOL16" s="289"/>
      <c r="KOM16" s="289"/>
      <c r="KON16" s="289"/>
      <c r="KOO16" s="289"/>
      <c r="KOP16" s="289"/>
      <c r="KOQ16" s="289"/>
      <c r="KOR16" s="289"/>
      <c r="KOS16" s="289"/>
      <c r="KOT16" s="289"/>
      <c r="KOU16" s="289"/>
      <c r="KOV16" s="289"/>
      <c r="KOW16" s="289"/>
      <c r="KOX16" s="289"/>
      <c r="KOY16" s="289"/>
      <c r="KOZ16" s="289"/>
      <c r="KPA16" s="289"/>
      <c r="KPB16" s="289"/>
      <c r="KPC16" s="289"/>
      <c r="KPD16" s="289"/>
      <c r="KPE16" s="289"/>
      <c r="KPF16" s="289"/>
      <c r="KPG16" s="289"/>
      <c r="KPH16" s="289"/>
      <c r="KPI16" s="289"/>
      <c r="KPJ16" s="289"/>
      <c r="KPK16" s="289"/>
      <c r="KPL16" s="289"/>
      <c r="KPM16" s="289"/>
      <c r="KPN16" s="289"/>
      <c r="KPO16" s="289"/>
      <c r="KPP16" s="289"/>
      <c r="KPQ16" s="289"/>
      <c r="KPR16" s="289"/>
      <c r="KPS16" s="289"/>
      <c r="KPT16" s="289"/>
      <c r="KPU16" s="289"/>
      <c r="KPV16" s="289"/>
      <c r="KPW16" s="289"/>
      <c r="KPX16" s="289"/>
      <c r="KPY16" s="289"/>
      <c r="KPZ16" s="289"/>
      <c r="KQA16" s="289"/>
      <c r="KQB16" s="289"/>
      <c r="KQC16" s="289"/>
      <c r="KQD16" s="289"/>
      <c r="KQE16" s="289"/>
      <c r="KQF16" s="289"/>
      <c r="KQG16" s="289"/>
      <c r="KQH16" s="289"/>
      <c r="KQI16" s="289"/>
      <c r="KQJ16" s="289"/>
      <c r="KQK16" s="289"/>
      <c r="KQL16" s="289"/>
      <c r="KQM16" s="289"/>
      <c r="KQN16" s="289"/>
      <c r="KQO16" s="289"/>
      <c r="KQP16" s="289"/>
      <c r="KQQ16" s="289"/>
      <c r="KQR16" s="289"/>
      <c r="KQS16" s="289"/>
      <c r="KQT16" s="289"/>
      <c r="KQU16" s="289"/>
      <c r="KQV16" s="289"/>
      <c r="KQW16" s="289"/>
      <c r="KQX16" s="289"/>
      <c r="KQY16" s="289"/>
      <c r="KQZ16" s="289"/>
      <c r="KRA16" s="289"/>
      <c r="KRB16" s="289"/>
      <c r="KRC16" s="289"/>
      <c r="KRD16" s="289"/>
      <c r="KRE16" s="289"/>
      <c r="KRF16" s="289"/>
      <c r="KRG16" s="289"/>
      <c r="KRH16" s="289"/>
      <c r="KRI16" s="289"/>
      <c r="KRJ16" s="289"/>
      <c r="KRK16" s="289"/>
      <c r="KRL16" s="289"/>
      <c r="KRM16" s="289"/>
      <c r="KRN16" s="289"/>
      <c r="KRO16" s="289"/>
      <c r="KRP16" s="289"/>
      <c r="KRQ16" s="289"/>
      <c r="KRR16" s="289"/>
      <c r="KRS16" s="289"/>
      <c r="KRT16" s="289"/>
      <c r="KRU16" s="289"/>
      <c r="KRV16" s="289"/>
      <c r="KRW16" s="289"/>
      <c r="KRX16" s="289"/>
      <c r="KRY16" s="289"/>
      <c r="KRZ16" s="289"/>
      <c r="KSA16" s="289"/>
      <c r="KSB16" s="289"/>
      <c r="KSC16" s="289"/>
      <c r="KSD16" s="289"/>
      <c r="KSE16" s="289"/>
      <c r="KSF16" s="289"/>
      <c r="KSG16" s="289"/>
      <c r="KSH16" s="289"/>
      <c r="KSI16" s="289"/>
      <c r="KSJ16" s="289"/>
      <c r="KSK16" s="289"/>
      <c r="KSL16" s="289"/>
      <c r="KSM16" s="289"/>
      <c r="KSN16" s="289"/>
      <c r="KSO16" s="289"/>
      <c r="KSP16" s="289"/>
      <c r="KSQ16" s="289"/>
      <c r="KSR16" s="289"/>
      <c r="KSS16" s="289"/>
      <c r="KST16" s="289"/>
      <c r="KSU16" s="289"/>
      <c r="KSV16" s="289"/>
      <c r="KSW16" s="289"/>
      <c r="KSX16" s="289"/>
      <c r="KSY16" s="289"/>
      <c r="KSZ16" s="289"/>
      <c r="KTA16" s="289"/>
      <c r="KTB16" s="289"/>
      <c r="KTC16" s="289"/>
      <c r="KTD16" s="289"/>
      <c r="KTE16" s="289"/>
      <c r="KTF16" s="289"/>
      <c r="KTG16" s="289"/>
      <c r="KTH16" s="289"/>
      <c r="KTI16" s="289"/>
      <c r="KTJ16" s="289"/>
      <c r="KTK16" s="289"/>
      <c r="KTL16" s="289"/>
      <c r="KTM16" s="289"/>
      <c r="KTN16" s="289"/>
      <c r="KTO16" s="289"/>
      <c r="KTP16" s="289"/>
      <c r="KTQ16" s="289"/>
      <c r="KTR16" s="289"/>
      <c r="KTS16" s="289"/>
      <c r="KTT16" s="289"/>
      <c r="KTU16" s="289"/>
      <c r="KTV16" s="289"/>
      <c r="KTW16" s="289"/>
      <c r="KTX16" s="289"/>
      <c r="KTY16" s="289"/>
      <c r="KTZ16" s="289"/>
      <c r="KUA16" s="289"/>
      <c r="KUB16" s="289"/>
      <c r="KUC16" s="289"/>
      <c r="KUD16" s="289"/>
      <c r="KUE16" s="289"/>
      <c r="KUF16" s="289"/>
      <c r="KUG16" s="289"/>
      <c r="KUH16" s="289"/>
      <c r="KUI16" s="289"/>
      <c r="KUJ16" s="289"/>
      <c r="KUK16" s="289"/>
      <c r="KUL16" s="289"/>
      <c r="KUM16" s="289"/>
      <c r="KUN16" s="289"/>
      <c r="KUO16" s="289"/>
      <c r="KUP16" s="289"/>
      <c r="KUQ16" s="289"/>
      <c r="KUR16" s="289"/>
      <c r="KUS16" s="289"/>
      <c r="KUT16" s="289"/>
      <c r="KUU16" s="289"/>
      <c r="KUV16" s="289"/>
      <c r="KUW16" s="289"/>
      <c r="KUX16" s="289"/>
      <c r="KUY16" s="289"/>
      <c r="KUZ16" s="289"/>
      <c r="KVA16" s="289"/>
      <c r="KVB16" s="289"/>
      <c r="KVC16" s="289"/>
      <c r="KVD16" s="289"/>
      <c r="KVE16" s="289"/>
      <c r="KVF16" s="289"/>
      <c r="KVG16" s="289"/>
      <c r="KVH16" s="289"/>
      <c r="KVI16" s="289"/>
      <c r="KVJ16" s="289"/>
      <c r="KVK16" s="289"/>
      <c r="KVL16" s="289"/>
      <c r="KVM16" s="289"/>
      <c r="KVN16" s="289"/>
      <c r="KVO16" s="289"/>
      <c r="KVP16" s="289"/>
      <c r="KVQ16" s="289"/>
      <c r="KVR16" s="289"/>
      <c r="KVS16" s="289"/>
      <c r="KVT16" s="289"/>
      <c r="KVU16" s="289"/>
      <c r="KVV16" s="289"/>
      <c r="KVW16" s="289"/>
      <c r="KVX16" s="289"/>
      <c r="KVY16" s="289"/>
      <c r="KVZ16" s="289"/>
      <c r="KWA16" s="289"/>
      <c r="KWB16" s="289"/>
      <c r="KWC16" s="289"/>
      <c r="KWD16" s="289"/>
      <c r="KWE16" s="289"/>
      <c r="KWF16" s="289"/>
      <c r="KWG16" s="289"/>
      <c r="KWH16" s="289"/>
      <c r="KWI16" s="289"/>
      <c r="KWJ16" s="289"/>
      <c r="KWK16" s="289"/>
      <c r="KWL16" s="289"/>
      <c r="KWM16" s="289"/>
      <c r="KWN16" s="289"/>
      <c r="KWO16" s="289"/>
      <c r="KWP16" s="289"/>
      <c r="KWQ16" s="289"/>
      <c r="KWR16" s="289"/>
      <c r="KWS16" s="289"/>
      <c r="KWT16" s="289"/>
      <c r="KWU16" s="289"/>
      <c r="KWV16" s="289"/>
      <c r="KWW16" s="289"/>
      <c r="KWX16" s="289"/>
      <c r="KWY16" s="289"/>
      <c r="KWZ16" s="289"/>
      <c r="KXA16" s="289"/>
      <c r="KXB16" s="289"/>
      <c r="KXC16" s="289"/>
      <c r="KXD16" s="289"/>
      <c r="KXE16" s="289"/>
      <c r="KXF16" s="289"/>
      <c r="KXG16" s="289"/>
      <c r="KXH16" s="289"/>
      <c r="KXI16" s="289"/>
      <c r="KXJ16" s="289"/>
      <c r="KXK16" s="289"/>
      <c r="KXL16" s="289"/>
      <c r="KXM16" s="289"/>
      <c r="KXN16" s="289"/>
      <c r="KXO16" s="289"/>
      <c r="KXP16" s="289"/>
      <c r="KXQ16" s="289"/>
      <c r="KXR16" s="289"/>
      <c r="KXS16" s="289"/>
      <c r="KXT16" s="289"/>
      <c r="KXU16" s="289"/>
      <c r="KXV16" s="289"/>
      <c r="KXW16" s="289"/>
      <c r="KXX16" s="289"/>
      <c r="KXY16" s="289"/>
      <c r="KXZ16" s="289"/>
      <c r="KYA16" s="289"/>
      <c r="KYB16" s="289"/>
      <c r="KYC16" s="289"/>
      <c r="KYD16" s="289"/>
      <c r="KYE16" s="289"/>
      <c r="KYF16" s="289"/>
      <c r="KYG16" s="289"/>
      <c r="KYH16" s="289"/>
      <c r="KYI16" s="289"/>
      <c r="KYJ16" s="289"/>
      <c r="KYK16" s="289"/>
      <c r="KYL16" s="289"/>
      <c r="KYM16" s="289"/>
      <c r="KYN16" s="289"/>
      <c r="KYO16" s="289"/>
      <c r="KYP16" s="289"/>
      <c r="KYQ16" s="289"/>
      <c r="KYR16" s="289"/>
      <c r="KYS16" s="289"/>
      <c r="KYT16" s="289"/>
      <c r="KYU16" s="289"/>
      <c r="KYV16" s="289"/>
      <c r="KYW16" s="289"/>
      <c r="KYX16" s="289"/>
      <c r="KYY16" s="289"/>
      <c r="KYZ16" s="289"/>
      <c r="KZA16" s="289"/>
      <c r="KZB16" s="289"/>
      <c r="KZC16" s="289"/>
      <c r="KZD16" s="289"/>
      <c r="KZE16" s="289"/>
      <c r="KZF16" s="289"/>
      <c r="KZG16" s="289"/>
      <c r="KZH16" s="289"/>
      <c r="KZI16" s="289"/>
      <c r="KZJ16" s="289"/>
      <c r="KZK16" s="289"/>
      <c r="KZL16" s="289"/>
      <c r="KZM16" s="289"/>
      <c r="KZN16" s="289"/>
      <c r="KZO16" s="289"/>
      <c r="KZP16" s="289"/>
      <c r="KZQ16" s="289"/>
      <c r="KZR16" s="289"/>
      <c r="KZS16" s="289"/>
      <c r="KZT16" s="289"/>
      <c r="KZU16" s="289"/>
      <c r="KZV16" s="289"/>
      <c r="KZW16" s="289"/>
      <c r="KZX16" s="289"/>
      <c r="KZY16" s="289"/>
      <c r="KZZ16" s="289"/>
      <c r="LAA16" s="289"/>
      <c r="LAB16" s="289"/>
      <c r="LAC16" s="289"/>
      <c r="LAD16" s="289"/>
      <c r="LAE16" s="289"/>
      <c r="LAF16" s="289"/>
      <c r="LAG16" s="289"/>
      <c r="LAH16" s="289"/>
      <c r="LAI16" s="289"/>
      <c r="LAJ16" s="289"/>
      <c r="LAK16" s="289"/>
      <c r="LAL16" s="289"/>
      <c r="LAM16" s="289"/>
      <c r="LAN16" s="289"/>
      <c r="LAO16" s="289"/>
      <c r="LAP16" s="289"/>
      <c r="LAQ16" s="289"/>
      <c r="LAR16" s="289"/>
      <c r="LAS16" s="289"/>
      <c r="LAT16" s="289"/>
      <c r="LAU16" s="289"/>
      <c r="LAV16" s="289"/>
      <c r="LAW16" s="289"/>
      <c r="LAX16" s="289"/>
      <c r="LAY16" s="289"/>
      <c r="LAZ16" s="289"/>
      <c r="LBA16" s="289"/>
      <c r="LBB16" s="289"/>
      <c r="LBC16" s="289"/>
      <c r="LBD16" s="289"/>
      <c r="LBE16" s="289"/>
      <c r="LBF16" s="289"/>
      <c r="LBG16" s="289"/>
      <c r="LBH16" s="289"/>
      <c r="LBI16" s="289"/>
      <c r="LBJ16" s="289"/>
      <c r="LBK16" s="289"/>
      <c r="LBL16" s="289"/>
      <c r="LBM16" s="289"/>
      <c r="LBN16" s="289"/>
      <c r="LBO16" s="289"/>
      <c r="LBP16" s="289"/>
      <c r="LBQ16" s="289"/>
      <c r="LBR16" s="289"/>
      <c r="LBS16" s="289"/>
      <c r="LBT16" s="289"/>
      <c r="LBU16" s="289"/>
      <c r="LBV16" s="289"/>
      <c r="LBW16" s="289"/>
      <c r="LBX16" s="289"/>
      <c r="LBY16" s="289"/>
      <c r="LBZ16" s="289"/>
      <c r="LCA16" s="289"/>
      <c r="LCB16" s="289"/>
      <c r="LCC16" s="289"/>
      <c r="LCD16" s="289"/>
      <c r="LCE16" s="289"/>
      <c r="LCF16" s="289"/>
      <c r="LCG16" s="289"/>
      <c r="LCH16" s="289"/>
      <c r="LCI16" s="289"/>
      <c r="LCJ16" s="289"/>
      <c r="LCK16" s="289"/>
      <c r="LCL16" s="289"/>
      <c r="LCM16" s="289"/>
      <c r="LCN16" s="289"/>
      <c r="LCO16" s="289"/>
      <c r="LCP16" s="289"/>
      <c r="LCQ16" s="289"/>
      <c r="LCR16" s="289"/>
      <c r="LCS16" s="289"/>
      <c r="LCT16" s="289"/>
      <c r="LCU16" s="289"/>
      <c r="LCV16" s="289"/>
      <c r="LCW16" s="289"/>
      <c r="LCX16" s="289"/>
      <c r="LCY16" s="289"/>
      <c r="LCZ16" s="289"/>
      <c r="LDA16" s="289"/>
      <c r="LDB16" s="289"/>
      <c r="LDC16" s="289"/>
      <c r="LDD16" s="289"/>
      <c r="LDE16" s="289"/>
      <c r="LDF16" s="289"/>
      <c r="LDG16" s="289"/>
      <c r="LDH16" s="289"/>
      <c r="LDI16" s="289"/>
      <c r="LDJ16" s="289"/>
      <c r="LDK16" s="289"/>
      <c r="LDL16" s="289"/>
      <c r="LDM16" s="289"/>
      <c r="LDN16" s="289"/>
      <c r="LDO16" s="289"/>
      <c r="LDP16" s="289"/>
      <c r="LDQ16" s="289"/>
      <c r="LDR16" s="289"/>
      <c r="LDS16" s="289"/>
      <c r="LDT16" s="289"/>
      <c r="LDU16" s="289"/>
      <c r="LDV16" s="289"/>
      <c r="LDW16" s="289"/>
      <c r="LDX16" s="289"/>
      <c r="LDY16" s="289"/>
      <c r="LDZ16" s="289"/>
      <c r="LEA16" s="289"/>
      <c r="LEB16" s="289"/>
      <c r="LEC16" s="289"/>
      <c r="LED16" s="289"/>
      <c r="LEE16" s="289"/>
      <c r="LEF16" s="289"/>
      <c r="LEG16" s="289"/>
      <c r="LEH16" s="289"/>
      <c r="LEI16" s="289"/>
      <c r="LEJ16" s="289"/>
      <c r="LEK16" s="289"/>
      <c r="LEL16" s="289"/>
      <c r="LEM16" s="289"/>
      <c r="LEN16" s="289"/>
      <c r="LEO16" s="289"/>
      <c r="LEP16" s="289"/>
      <c r="LEQ16" s="289"/>
      <c r="LER16" s="289"/>
      <c r="LES16" s="289"/>
      <c r="LET16" s="289"/>
      <c r="LEU16" s="289"/>
      <c r="LEV16" s="289"/>
      <c r="LEW16" s="289"/>
      <c r="LEX16" s="289"/>
      <c r="LEY16" s="289"/>
      <c r="LEZ16" s="289"/>
      <c r="LFA16" s="289"/>
      <c r="LFB16" s="289"/>
      <c r="LFC16" s="289"/>
      <c r="LFD16" s="289"/>
      <c r="LFE16" s="289"/>
      <c r="LFF16" s="289"/>
      <c r="LFG16" s="289"/>
      <c r="LFH16" s="289"/>
      <c r="LFI16" s="289"/>
      <c r="LFJ16" s="289"/>
      <c r="LFK16" s="289"/>
      <c r="LFL16" s="289"/>
      <c r="LFM16" s="289"/>
      <c r="LFN16" s="289"/>
      <c r="LFO16" s="289"/>
      <c r="LFP16" s="289"/>
      <c r="LFQ16" s="289"/>
      <c r="LFR16" s="289"/>
      <c r="LFS16" s="289"/>
      <c r="LFT16" s="289"/>
      <c r="LFU16" s="289"/>
      <c r="LFV16" s="289"/>
      <c r="LFW16" s="289"/>
      <c r="LFX16" s="289"/>
      <c r="LFY16" s="289"/>
      <c r="LFZ16" s="289"/>
      <c r="LGA16" s="289"/>
      <c r="LGB16" s="289"/>
      <c r="LGC16" s="289"/>
      <c r="LGD16" s="289"/>
      <c r="LGE16" s="289"/>
      <c r="LGF16" s="289"/>
      <c r="LGG16" s="289"/>
      <c r="LGH16" s="289"/>
      <c r="LGI16" s="289"/>
      <c r="LGJ16" s="289"/>
      <c r="LGK16" s="289"/>
      <c r="LGL16" s="289"/>
      <c r="LGM16" s="289"/>
      <c r="LGN16" s="289"/>
      <c r="LGO16" s="289"/>
      <c r="LGP16" s="289"/>
      <c r="LGQ16" s="289"/>
      <c r="LGR16" s="289"/>
      <c r="LGS16" s="289"/>
      <c r="LGT16" s="289"/>
      <c r="LGU16" s="289"/>
      <c r="LGV16" s="289"/>
      <c r="LGW16" s="289"/>
      <c r="LGX16" s="289"/>
      <c r="LGY16" s="289"/>
      <c r="LGZ16" s="289"/>
      <c r="LHA16" s="289"/>
      <c r="LHB16" s="289"/>
      <c r="LHC16" s="289"/>
      <c r="LHD16" s="289"/>
      <c r="LHE16" s="289"/>
      <c r="LHF16" s="289"/>
      <c r="LHG16" s="289"/>
      <c r="LHH16" s="289"/>
      <c r="LHI16" s="289"/>
      <c r="LHJ16" s="289"/>
      <c r="LHK16" s="289"/>
      <c r="LHL16" s="289"/>
      <c r="LHM16" s="289"/>
      <c r="LHN16" s="289"/>
      <c r="LHO16" s="289"/>
      <c r="LHP16" s="289"/>
      <c r="LHQ16" s="289"/>
      <c r="LHR16" s="289"/>
      <c r="LHS16" s="289"/>
      <c r="LHT16" s="289"/>
      <c r="LHU16" s="289"/>
      <c r="LHV16" s="289"/>
      <c r="LHW16" s="289"/>
      <c r="LHX16" s="289"/>
      <c r="LHY16" s="289"/>
      <c r="LHZ16" s="289"/>
      <c r="LIA16" s="289"/>
      <c r="LIB16" s="289"/>
      <c r="LIC16" s="289"/>
      <c r="LID16" s="289"/>
      <c r="LIE16" s="289"/>
      <c r="LIF16" s="289"/>
      <c r="LIG16" s="289"/>
      <c r="LIH16" s="289"/>
      <c r="LII16" s="289"/>
      <c r="LIJ16" s="289"/>
      <c r="LIK16" s="289"/>
      <c r="LIL16" s="289"/>
      <c r="LIM16" s="289"/>
      <c r="LIN16" s="289"/>
      <c r="LIO16" s="289"/>
      <c r="LIP16" s="289"/>
      <c r="LIQ16" s="289"/>
      <c r="LIR16" s="289"/>
      <c r="LIS16" s="289"/>
      <c r="LIT16" s="289"/>
      <c r="LIU16" s="289"/>
      <c r="LIV16" s="289"/>
      <c r="LIW16" s="289"/>
      <c r="LIX16" s="289"/>
      <c r="LIY16" s="289"/>
      <c r="LIZ16" s="289"/>
      <c r="LJA16" s="289"/>
      <c r="LJB16" s="289"/>
      <c r="LJC16" s="289"/>
      <c r="LJD16" s="289"/>
      <c r="LJE16" s="289"/>
      <c r="LJF16" s="289"/>
      <c r="LJG16" s="289"/>
      <c r="LJH16" s="289"/>
      <c r="LJI16" s="289"/>
      <c r="LJJ16" s="289"/>
      <c r="LJK16" s="289"/>
      <c r="LJL16" s="289"/>
      <c r="LJM16" s="289"/>
      <c r="LJN16" s="289"/>
      <c r="LJO16" s="289"/>
      <c r="LJP16" s="289"/>
      <c r="LJQ16" s="289"/>
      <c r="LJR16" s="289"/>
      <c r="LJS16" s="289"/>
      <c r="LJT16" s="289"/>
      <c r="LJU16" s="289"/>
      <c r="LJV16" s="289"/>
      <c r="LJW16" s="289"/>
      <c r="LJX16" s="289"/>
      <c r="LJY16" s="289"/>
      <c r="LJZ16" s="289"/>
      <c r="LKA16" s="289"/>
      <c r="LKB16" s="289"/>
      <c r="LKC16" s="289"/>
      <c r="LKD16" s="289"/>
      <c r="LKE16" s="289"/>
      <c r="LKF16" s="289"/>
      <c r="LKG16" s="289"/>
      <c r="LKH16" s="289"/>
      <c r="LKI16" s="289"/>
      <c r="LKJ16" s="289"/>
      <c r="LKK16" s="289"/>
      <c r="LKL16" s="289"/>
      <c r="LKM16" s="289"/>
      <c r="LKN16" s="289"/>
      <c r="LKO16" s="289"/>
      <c r="LKP16" s="289"/>
      <c r="LKQ16" s="289"/>
      <c r="LKR16" s="289"/>
      <c r="LKS16" s="289"/>
      <c r="LKT16" s="289"/>
      <c r="LKU16" s="289"/>
      <c r="LKV16" s="289"/>
      <c r="LKW16" s="289"/>
      <c r="LKX16" s="289"/>
      <c r="LKY16" s="289"/>
      <c r="LKZ16" s="289"/>
      <c r="LLA16" s="289"/>
      <c r="LLB16" s="289"/>
      <c r="LLC16" s="289"/>
      <c r="LLD16" s="289"/>
      <c r="LLE16" s="289"/>
      <c r="LLF16" s="289"/>
      <c r="LLG16" s="289"/>
      <c r="LLH16" s="289"/>
      <c r="LLI16" s="289"/>
      <c r="LLJ16" s="289"/>
      <c r="LLK16" s="289"/>
      <c r="LLL16" s="289"/>
      <c r="LLM16" s="289"/>
      <c r="LLN16" s="289"/>
      <c r="LLO16" s="289"/>
      <c r="LLP16" s="289"/>
      <c r="LLQ16" s="289"/>
      <c r="LLR16" s="289"/>
      <c r="LLS16" s="289"/>
      <c r="LLT16" s="289"/>
      <c r="LLU16" s="289"/>
      <c r="LLV16" s="289"/>
      <c r="LLW16" s="289"/>
      <c r="LLX16" s="289"/>
      <c r="LLY16" s="289"/>
      <c r="LLZ16" s="289"/>
      <c r="LMA16" s="289"/>
      <c r="LMB16" s="289"/>
      <c r="LMC16" s="289"/>
      <c r="LMD16" s="289"/>
      <c r="LME16" s="289"/>
      <c r="LMF16" s="289"/>
      <c r="LMG16" s="289"/>
      <c r="LMH16" s="289"/>
      <c r="LMI16" s="289"/>
      <c r="LMJ16" s="289"/>
      <c r="LMK16" s="289"/>
      <c r="LML16" s="289"/>
      <c r="LMM16" s="289"/>
      <c r="LMN16" s="289"/>
      <c r="LMO16" s="289"/>
      <c r="LMP16" s="289"/>
      <c r="LMQ16" s="289"/>
      <c r="LMR16" s="289"/>
      <c r="LMS16" s="289"/>
      <c r="LMT16" s="289"/>
      <c r="LMU16" s="289"/>
      <c r="LMV16" s="289"/>
      <c r="LMW16" s="289"/>
      <c r="LMX16" s="289"/>
      <c r="LMY16" s="289"/>
      <c r="LMZ16" s="289"/>
      <c r="LNA16" s="289"/>
      <c r="LNB16" s="289"/>
      <c r="LNC16" s="289"/>
      <c r="LND16" s="289"/>
      <c r="LNE16" s="289"/>
      <c r="LNF16" s="289"/>
      <c r="LNG16" s="289"/>
      <c r="LNH16" s="289"/>
      <c r="LNI16" s="289"/>
      <c r="LNJ16" s="289"/>
      <c r="LNK16" s="289"/>
      <c r="LNL16" s="289"/>
      <c r="LNM16" s="289"/>
      <c r="LNN16" s="289"/>
      <c r="LNO16" s="289"/>
      <c r="LNP16" s="289"/>
      <c r="LNQ16" s="289"/>
      <c r="LNR16" s="289"/>
      <c r="LNS16" s="289"/>
      <c r="LNT16" s="289"/>
      <c r="LNU16" s="289"/>
      <c r="LNV16" s="289"/>
      <c r="LNW16" s="289"/>
      <c r="LNX16" s="289"/>
      <c r="LNY16" s="289"/>
      <c r="LNZ16" s="289"/>
      <c r="LOA16" s="289"/>
      <c r="LOB16" s="289"/>
      <c r="LOC16" s="289"/>
      <c r="LOD16" s="289"/>
      <c r="LOE16" s="289"/>
      <c r="LOF16" s="289"/>
      <c r="LOG16" s="289"/>
      <c r="LOH16" s="289"/>
      <c r="LOI16" s="289"/>
      <c r="LOJ16" s="289"/>
      <c r="LOK16" s="289"/>
      <c r="LOL16" s="289"/>
      <c r="LOM16" s="289"/>
      <c r="LON16" s="289"/>
      <c r="LOO16" s="289"/>
      <c r="LOP16" s="289"/>
      <c r="LOQ16" s="289"/>
      <c r="LOR16" s="289"/>
      <c r="LOS16" s="289"/>
      <c r="LOT16" s="289"/>
      <c r="LOU16" s="289"/>
      <c r="LOV16" s="289"/>
      <c r="LOW16" s="289"/>
      <c r="LOX16" s="289"/>
      <c r="LOY16" s="289"/>
      <c r="LOZ16" s="289"/>
      <c r="LPA16" s="289"/>
      <c r="LPB16" s="289"/>
      <c r="LPC16" s="289"/>
      <c r="LPD16" s="289"/>
      <c r="LPE16" s="289"/>
      <c r="LPF16" s="289"/>
      <c r="LPG16" s="289"/>
      <c r="LPH16" s="289"/>
      <c r="LPI16" s="289"/>
      <c r="LPJ16" s="289"/>
      <c r="LPK16" s="289"/>
      <c r="LPL16" s="289"/>
      <c r="LPM16" s="289"/>
      <c r="LPN16" s="289"/>
      <c r="LPO16" s="289"/>
      <c r="LPP16" s="289"/>
      <c r="LPQ16" s="289"/>
      <c r="LPR16" s="289"/>
      <c r="LPS16" s="289"/>
      <c r="LPT16" s="289"/>
      <c r="LPU16" s="289"/>
      <c r="LPV16" s="289"/>
      <c r="LPW16" s="289"/>
      <c r="LPX16" s="289"/>
      <c r="LPY16" s="289"/>
      <c r="LPZ16" s="289"/>
      <c r="LQA16" s="289"/>
      <c r="LQB16" s="289"/>
      <c r="LQC16" s="289"/>
      <c r="LQD16" s="289"/>
      <c r="LQE16" s="289"/>
      <c r="LQF16" s="289"/>
      <c r="LQG16" s="289"/>
      <c r="LQH16" s="289"/>
      <c r="LQI16" s="289"/>
      <c r="LQJ16" s="289"/>
      <c r="LQK16" s="289"/>
      <c r="LQL16" s="289"/>
      <c r="LQM16" s="289"/>
      <c r="LQN16" s="289"/>
      <c r="LQO16" s="289"/>
      <c r="LQP16" s="289"/>
      <c r="LQQ16" s="289"/>
      <c r="LQR16" s="289"/>
      <c r="LQS16" s="289"/>
      <c r="LQT16" s="289"/>
      <c r="LQU16" s="289"/>
      <c r="LQV16" s="289"/>
      <c r="LQW16" s="289"/>
      <c r="LQX16" s="289"/>
      <c r="LQY16" s="289"/>
      <c r="LQZ16" s="289"/>
      <c r="LRA16" s="289"/>
      <c r="LRB16" s="289"/>
      <c r="LRC16" s="289"/>
      <c r="LRD16" s="289"/>
      <c r="LRE16" s="289"/>
      <c r="LRF16" s="289"/>
      <c r="LRG16" s="289"/>
      <c r="LRH16" s="289"/>
      <c r="LRI16" s="289"/>
      <c r="LRJ16" s="289"/>
      <c r="LRK16" s="289"/>
      <c r="LRL16" s="289"/>
      <c r="LRM16" s="289"/>
      <c r="LRN16" s="289"/>
      <c r="LRO16" s="289"/>
      <c r="LRP16" s="289"/>
      <c r="LRQ16" s="289"/>
      <c r="LRR16" s="289"/>
      <c r="LRS16" s="289"/>
      <c r="LRT16" s="289"/>
      <c r="LRU16" s="289"/>
      <c r="LRV16" s="289"/>
      <c r="LRW16" s="289"/>
      <c r="LRX16" s="289"/>
      <c r="LRY16" s="289"/>
      <c r="LRZ16" s="289"/>
      <c r="LSA16" s="289"/>
      <c r="LSB16" s="289"/>
      <c r="LSC16" s="289"/>
      <c r="LSD16" s="289"/>
      <c r="LSE16" s="289"/>
      <c r="LSF16" s="289"/>
      <c r="LSG16" s="289"/>
      <c r="LSH16" s="289"/>
      <c r="LSI16" s="289"/>
      <c r="LSJ16" s="289"/>
      <c r="LSK16" s="289"/>
      <c r="LSL16" s="289"/>
      <c r="LSM16" s="289"/>
      <c r="LSN16" s="289"/>
      <c r="LSO16" s="289"/>
      <c r="LSP16" s="289"/>
      <c r="LSQ16" s="289"/>
      <c r="LSR16" s="289"/>
      <c r="LSS16" s="289"/>
      <c r="LST16" s="289"/>
      <c r="LSU16" s="289"/>
      <c r="LSV16" s="289"/>
      <c r="LSW16" s="289"/>
      <c r="LSX16" s="289"/>
      <c r="LSY16" s="289"/>
      <c r="LSZ16" s="289"/>
      <c r="LTA16" s="289"/>
      <c r="LTB16" s="289"/>
      <c r="LTC16" s="289"/>
      <c r="LTD16" s="289"/>
      <c r="LTE16" s="289"/>
      <c r="LTF16" s="289"/>
      <c r="LTG16" s="289"/>
      <c r="LTH16" s="289"/>
      <c r="LTI16" s="289"/>
      <c r="LTJ16" s="289"/>
      <c r="LTK16" s="289"/>
      <c r="LTL16" s="289"/>
      <c r="LTM16" s="289"/>
      <c r="LTN16" s="289"/>
      <c r="LTO16" s="289"/>
      <c r="LTP16" s="289"/>
      <c r="LTQ16" s="289"/>
      <c r="LTR16" s="289"/>
      <c r="LTS16" s="289"/>
      <c r="LTT16" s="289"/>
      <c r="LTU16" s="289"/>
      <c r="LTV16" s="289"/>
      <c r="LTW16" s="289"/>
      <c r="LTX16" s="289"/>
      <c r="LTY16" s="289"/>
      <c r="LTZ16" s="289"/>
      <c r="LUA16" s="289"/>
      <c r="LUB16" s="289"/>
      <c r="LUC16" s="289"/>
      <c r="LUD16" s="289"/>
      <c r="LUE16" s="289"/>
      <c r="LUF16" s="289"/>
      <c r="LUG16" s="289"/>
      <c r="LUH16" s="289"/>
      <c r="LUI16" s="289"/>
      <c r="LUJ16" s="289"/>
      <c r="LUK16" s="289"/>
      <c r="LUL16" s="289"/>
      <c r="LUM16" s="289"/>
      <c r="LUN16" s="289"/>
      <c r="LUO16" s="289"/>
      <c r="LUP16" s="289"/>
      <c r="LUQ16" s="289"/>
      <c r="LUR16" s="289"/>
      <c r="LUS16" s="289"/>
      <c r="LUT16" s="289"/>
      <c r="LUU16" s="289"/>
      <c r="LUV16" s="289"/>
      <c r="LUW16" s="289"/>
      <c r="LUX16" s="289"/>
      <c r="LUY16" s="289"/>
      <c r="LUZ16" s="289"/>
      <c r="LVA16" s="289"/>
      <c r="LVB16" s="289"/>
      <c r="LVC16" s="289"/>
      <c r="LVD16" s="289"/>
      <c r="LVE16" s="289"/>
      <c r="LVF16" s="289"/>
      <c r="LVG16" s="289"/>
      <c r="LVH16" s="289"/>
      <c r="LVI16" s="289"/>
      <c r="LVJ16" s="289"/>
      <c r="LVK16" s="289"/>
      <c r="LVL16" s="289"/>
      <c r="LVM16" s="289"/>
      <c r="LVN16" s="289"/>
      <c r="LVO16" s="289"/>
      <c r="LVP16" s="289"/>
      <c r="LVQ16" s="289"/>
      <c r="LVR16" s="289"/>
      <c r="LVS16" s="289"/>
      <c r="LVT16" s="289"/>
      <c r="LVU16" s="289"/>
      <c r="LVV16" s="289"/>
      <c r="LVW16" s="289"/>
      <c r="LVX16" s="289"/>
      <c r="LVY16" s="289"/>
      <c r="LVZ16" s="289"/>
      <c r="LWA16" s="289"/>
      <c r="LWB16" s="289"/>
      <c r="LWC16" s="289"/>
      <c r="LWD16" s="289"/>
      <c r="LWE16" s="289"/>
      <c r="LWF16" s="289"/>
      <c r="LWG16" s="289"/>
      <c r="LWH16" s="289"/>
      <c r="LWI16" s="289"/>
      <c r="LWJ16" s="289"/>
      <c r="LWK16" s="289"/>
      <c r="LWL16" s="289"/>
      <c r="LWM16" s="289"/>
      <c r="LWN16" s="289"/>
      <c r="LWO16" s="289"/>
      <c r="LWP16" s="289"/>
      <c r="LWQ16" s="289"/>
      <c r="LWR16" s="289"/>
      <c r="LWS16" s="289"/>
      <c r="LWT16" s="289"/>
      <c r="LWU16" s="289"/>
      <c r="LWV16" s="289"/>
      <c r="LWW16" s="289"/>
      <c r="LWX16" s="289"/>
      <c r="LWY16" s="289"/>
      <c r="LWZ16" s="289"/>
      <c r="LXA16" s="289"/>
      <c r="LXB16" s="289"/>
      <c r="LXC16" s="289"/>
      <c r="LXD16" s="289"/>
      <c r="LXE16" s="289"/>
      <c r="LXF16" s="289"/>
      <c r="LXG16" s="289"/>
      <c r="LXH16" s="289"/>
      <c r="LXI16" s="289"/>
      <c r="LXJ16" s="289"/>
      <c r="LXK16" s="289"/>
      <c r="LXL16" s="289"/>
      <c r="LXM16" s="289"/>
      <c r="LXN16" s="289"/>
      <c r="LXO16" s="289"/>
      <c r="LXP16" s="289"/>
      <c r="LXQ16" s="289"/>
      <c r="LXR16" s="289"/>
      <c r="LXS16" s="289"/>
      <c r="LXT16" s="289"/>
      <c r="LXU16" s="289"/>
      <c r="LXV16" s="289"/>
      <c r="LXW16" s="289"/>
      <c r="LXX16" s="289"/>
      <c r="LXY16" s="289"/>
      <c r="LXZ16" s="289"/>
      <c r="LYA16" s="289"/>
      <c r="LYB16" s="289"/>
      <c r="LYC16" s="289"/>
      <c r="LYD16" s="289"/>
      <c r="LYE16" s="289"/>
      <c r="LYF16" s="289"/>
      <c r="LYG16" s="289"/>
      <c r="LYH16" s="289"/>
      <c r="LYI16" s="289"/>
      <c r="LYJ16" s="289"/>
      <c r="LYK16" s="289"/>
      <c r="LYL16" s="289"/>
      <c r="LYM16" s="289"/>
      <c r="LYN16" s="289"/>
      <c r="LYO16" s="289"/>
      <c r="LYP16" s="289"/>
      <c r="LYQ16" s="289"/>
      <c r="LYR16" s="289"/>
      <c r="LYS16" s="289"/>
      <c r="LYT16" s="289"/>
      <c r="LYU16" s="289"/>
      <c r="LYV16" s="289"/>
      <c r="LYW16" s="289"/>
      <c r="LYX16" s="289"/>
      <c r="LYY16" s="289"/>
      <c r="LYZ16" s="289"/>
      <c r="LZA16" s="289"/>
      <c r="LZB16" s="289"/>
      <c r="LZC16" s="289"/>
      <c r="LZD16" s="289"/>
      <c r="LZE16" s="289"/>
      <c r="LZF16" s="289"/>
      <c r="LZG16" s="289"/>
      <c r="LZH16" s="289"/>
      <c r="LZI16" s="289"/>
      <c r="LZJ16" s="289"/>
      <c r="LZK16" s="289"/>
      <c r="LZL16" s="289"/>
      <c r="LZM16" s="289"/>
      <c r="LZN16" s="289"/>
      <c r="LZO16" s="289"/>
      <c r="LZP16" s="289"/>
      <c r="LZQ16" s="289"/>
      <c r="LZR16" s="289"/>
      <c r="LZS16" s="289"/>
      <c r="LZT16" s="289"/>
      <c r="LZU16" s="289"/>
      <c r="LZV16" s="289"/>
      <c r="LZW16" s="289"/>
      <c r="LZX16" s="289"/>
      <c r="LZY16" s="289"/>
      <c r="LZZ16" s="289"/>
      <c r="MAA16" s="289"/>
      <c r="MAB16" s="289"/>
      <c r="MAC16" s="289"/>
      <c r="MAD16" s="289"/>
      <c r="MAE16" s="289"/>
      <c r="MAF16" s="289"/>
      <c r="MAG16" s="289"/>
      <c r="MAH16" s="289"/>
      <c r="MAI16" s="289"/>
      <c r="MAJ16" s="289"/>
      <c r="MAK16" s="289"/>
      <c r="MAL16" s="289"/>
      <c r="MAM16" s="289"/>
      <c r="MAN16" s="289"/>
      <c r="MAO16" s="289"/>
      <c r="MAP16" s="289"/>
      <c r="MAQ16" s="289"/>
      <c r="MAR16" s="289"/>
      <c r="MAS16" s="289"/>
      <c r="MAT16" s="289"/>
      <c r="MAU16" s="289"/>
      <c r="MAV16" s="289"/>
      <c r="MAW16" s="289"/>
      <c r="MAX16" s="289"/>
      <c r="MAY16" s="289"/>
      <c r="MAZ16" s="289"/>
      <c r="MBA16" s="289"/>
      <c r="MBB16" s="289"/>
      <c r="MBC16" s="289"/>
      <c r="MBD16" s="289"/>
      <c r="MBE16" s="289"/>
      <c r="MBF16" s="289"/>
      <c r="MBG16" s="289"/>
      <c r="MBH16" s="289"/>
      <c r="MBI16" s="289"/>
      <c r="MBJ16" s="289"/>
      <c r="MBK16" s="289"/>
      <c r="MBL16" s="289"/>
      <c r="MBM16" s="289"/>
      <c r="MBN16" s="289"/>
      <c r="MBO16" s="289"/>
      <c r="MBP16" s="289"/>
      <c r="MBQ16" s="289"/>
      <c r="MBR16" s="289"/>
      <c r="MBS16" s="289"/>
      <c r="MBT16" s="289"/>
      <c r="MBU16" s="289"/>
      <c r="MBV16" s="289"/>
      <c r="MBW16" s="289"/>
      <c r="MBX16" s="289"/>
      <c r="MBY16" s="289"/>
      <c r="MBZ16" s="289"/>
      <c r="MCA16" s="289"/>
      <c r="MCB16" s="289"/>
      <c r="MCC16" s="289"/>
      <c r="MCD16" s="289"/>
      <c r="MCE16" s="289"/>
      <c r="MCF16" s="289"/>
      <c r="MCG16" s="289"/>
      <c r="MCH16" s="289"/>
      <c r="MCI16" s="289"/>
      <c r="MCJ16" s="289"/>
      <c r="MCK16" s="289"/>
      <c r="MCL16" s="289"/>
      <c r="MCM16" s="289"/>
      <c r="MCN16" s="289"/>
      <c r="MCO16" s="289"/>
      <c r="MCP16" s="289"/>
      <c r="MCQ16" s="289"/>
      <c r="MCR16" s="289"/>
      <c r="MCS16" s="289"/>
      <c r="MCT16" s="289"/>
      <c r="MCU16" s="289"/>
      <c r="MCV16" s="289"/>
      <c r="MCW16" s="289"/>
      <c r="MCX16" s="289"/>
      <c r="MCY16" s="289"/>
      <c r="MCZ16" s="289"/>
      <c r="MDA16" s="289"/>
      <c r="MDB16" s="289"/>
      <c r="MDC16" s="289"/>
      <c r="MDD16" s="289"/>
      <c r="MDE16" s="289"/>
      <c r="MDF16" s="289"/>
      <c r="MDG16" s="289"/>
      <c r="MDH16" s="289"/>
      <c r="MDI16" s="289"/>
      <c r="MDJ16" s="289"/>
      <c r="MDK16" s="289"/>
      <c r="MDL16" s="289"/>
      <c r="MDM16" s="289"/>
      <c r="MDN16" s="289"/>
      <c r="MDO16" s="289"/>
      <c r="MDP16" s="289"/>
      <c r="MDQ16" s="289"/>
      <c r="MDR16" s="289"/>
      <c r="MDS16" s="289"/>
      <c r="MDT16" s="289"/>
      <c r="MDU16" s="289"/>
      <c r="MDV16" s="289"/>
      <c r="MDW16" s="289"/>
      <c r="MDX16" s="289"/>
      <c r="MDY16" s="289"/>
      <c r="MDZ16" s="289"/>
      <c r="MEA16" s="289"/>
      <c r="MEB16" s="289"/>
      <c r="MEC16" s="289"/>
      <c r="MED16" s="289"/>
      <c r="MEE16" s="289"/>
      <c r="MEF16" s="289"/>
      <c r="MEG16" s="289"/>
      <c r="MEH16" s="289"/>
      <c r="MEI16" s="289"/>
      <c r="MEJ16" s="289"/>
      <c r="MEK16" s="289"/>
      <c r="MEL16" s="289"/>
      <c r="MEM16" s="289"/>
      <c r="MEN16" s="289"/>
      <c r="MEO16" s="289"/>
      <c r="MEP16" s="289"/>
      <c r="MEQ16" s="289"/>
      <c r="MER16" s="289"/>
      <c r="MES16" s="289"/>
      <c r="MET16" s="289"/>
      <c r="MEU16" s="289"/>
      <c r="MEV16" s="289"/>
      <c r="MEW16" s="289"/>
      <c r="MEX16" s="289"/>
      <c r="MEY16" s="289"/>
      <c r="MEZ16" s="289"/>
      <c r="MFA16" s="289"/>
      <c r="MFB16" s="289"/>
      <c r="MFC16" s="289"/>
      <c r="MFD16" s="289"/>
      <c r="MFE16" s="289"/>
      <c r="MFF16" s="289"/>
      <c r="MFG16" s="289"/>
      <c r="MFH16" s="289"/>
      <c r="MFI16" s="289"/>
      <c r="MFJ16" s="289"/>
      <c r="MFK16" s="289"/>
      <c r="MFL16" s="289"/>
      <c r="MFM16" s="289"/>
      <c r="MFN16" s="289"/>
      <c r="MFO16" s="289"/>
      <c r="MFP16" s="289"/>
      <c r="MFQ16" s="289"/>
      <c r="MFR16" s="289"/>
      <c r="MFS16" s="289"/>
      <c r="MFT16" s="289"/>
      <c r="MFU16" s="289"/>
      <c r="MFV16" s="289"/>
      <c r="MFW16" s="289"/>
      <c r="MFX16" s="289"/>
      <c r="MFY16" s="289"/>
      <c r="MFZ16" s="289"/>
      <c r="MGA16" s="289"/>
      <c r="MGB16" s="289"/>
      <c r="MGC16" s="289"/>
      <c r="MGD16" s="289"/>
      <c r="MGE16" s="289"/>
      <c r="MGF16" s="289"/>
      <c r="MGG16" s="289"/>
      <c r="MGH16" s="289"/>
      <c r="MGI16" s="289"/>
      <c r="MGJ16" s="289"/>
      <c r="MGK16" s="289"/>
      <c r="MGL16" s="289"/>
      <c r="MGM16" s="289"/>
      <c r="MGN16" s="289"/>
      <c r="MGO16" s="289"/>
      <c r="MGP16" s="289"/>
      <c r="MGQ16" s="289"/>
      <c r="MGR16" s="289"/>
      <c r="MGS16" s="289"/>
      <c r="MGT16" s="289"/>
      <c r="MGU16" s="289"/>
      <c r="MGV16" s="289"/>
      <c r="MGW16" s="289"/>
      <c r="MGX16" s="289"/>
      <c r="MGY16" s="289"/>
      <c r="MGZ16" s="289"/>
      <c r="MHA16" s="289"/>
      <c r="MHB16" s="289"/>
      <c r="MHC16" s="289"/>
      <c r="MHD16" s="289"/>
      <c r="MHE16" s="289"/>
      <c r="MHF16" s="289"/>
      <c r="MHG16" s="289"/>
      <c r="MHH16" s="289"/>
      <c r="MHI16" s="289"/>
      <c r="MHJ16" s="289"/>
      <c r="MHK16" s="289"/>
      <c r="MHL16" s="289"/>
      <c r="MHM16" s="289"/>
      <c r="MHN16" s="289"/>
      <c r="MHO16" s="289"/>
      <c r="MHP16" s="289"/>
      <c r="MHQ16" s="289"/>
      <c r="MHR16" s="289"/>
      <c r="MHS16" s="289"/>
      <c r="MHT16" s="289"/>
      <c r="MHU16" s="289"/>
      <c r="MHV16" s="289"/>
      <c r="MHW16" s="289"/>
      <c r="MHX16" s="289"/>
      <c r="MHY16" s="289"/>
      <c r="MHZ16" s="289"/>
      <c r="MIA16" s="289"/>
      <c r="MIB16" s="289"/>
      <c r="MIC16" s="289"/>
      <c r="MID16" s="289"/>
      <c r="MIE16" s="289"/>
      <c r="MIF16" s="289"/>
      <c r="MIG16" s="289"/>
      <c r="MIH16" s="289"/>
      <c r="MII16" s="289"/>
      <c r="MIJ16" s="289"/>
      <c r="MIK16" s="289"/>
      <c r="MIL16" s="289"/>
      <c r="MIM16" s="289"/>
      <c r="MIN16" s="289"/>
      <c r="MIO16" s="289"/>
      <c r="MIP16" s="289"/>
      <c r="MIQ16" s="289"/>
      <c r="MIR16" s="289"/>
      <c r="MIS16" s="289"/>
      <c r="MIT16" s="289"/>
      <c r="MIU16" s="289"/>
      <c r="MIV16" s="289"/>
      <c r="MIW16" s="289"/>
      <c r="MIX16" s="289"/>
      <c r="MIY16" s="289"/>
      <c r="MIZ16" s="289"/>
      <c r="MJA16" s="289"/>
      <c r="MJB16" s="289"/>
      <c r="MJC16" s="289"/>
      <c r="MJD16" s="289"/>
      <c r="MJE16" s="289"/>
      <c r="MJF16" s="289"/>
      <c r="MJG16" s="289"/>
      <c r="MJH16" s="289"/>
      <c r="MJI16" s="289"/>
      <c r="MJJ16" s="289"/>
      <c r="MJK16" s="289"/>
      <c r="MJL16" s="289"/>
      <c r="MJM16" s="289"/>
      <c r="MJN16" s="289"/>
      <c r="MJO16" s="289"/>
      <c r="MJP16" s="289"/>
      <c r="MJQ16" s="289"/>
      <c r="MJR16" s="289"/>
      <c r="MJS16" s="289"/>
      <c r="MJT16" s="289"/>
      <c r="MJU16" s="289"/>
      <c r="MJV16" s="289"/>
      <c r="MJW16" s="289"/>
      <c r="MJX16" s="289"/>
      <c r="MJY16" s="289"/>
      <c r="MJZ16" s="289"/>
      <c r="MKA16" s="289"/>
      <c r="MKB16" s="289"/>
      <c r="MKC16" s="289"/>
      <c r="MKD16" s="289"/>
      <c r="MKE16" s="289"/>
      <c r="MKF16" s="289"/>
      <c r="MKG16" s="289"/>
      <c r="MKH16" s="289"/>
      <c r="MKI16" s="289"/>
      <c r="MKJ16" s="289"/>
      <c r="MKK16" s="289"/>
      <c r="MKL16" s="289"/>
      <c r="MKM16" s="289"/>
      <c r="MKN16" s="289"/>
      <c r="MKO16" s="289"/>
      <c r="MKP16" s="289"/>
      <c r="MKQ16" s="289"/>
      <c r="MKR16" s="289"/>
      <c r="MKS16" s="289"/>
      <c r="MKT16" s="289"/>
      <c r="MKU16" s="289"/>
      <c r="MKV16" s="289"/>
      <c r="MKW16" s="289"/>
      <c r="MKX16" s="289"/>
      <c r="MKY16" s="289"/>
      <c r="MKZ16" s="289"/>
      <c r="MLA16" s="289"/>
      <c r="MLB16" s="289"/>
      <c r="MLC16" s="289"/>
      <c r="MLD16" s="289"/>
      <c r="MLE16" s="289"/>
      <c r="MLF16" s="289"/>
      <c r="MLG16" s="289"/>
      <c r="MLH16" s="289"/>
      <c r="MLI16" s="289"/>
      <c r="MLJ16" s="289"/>
      <c r="MLK16" s="289"/>
      <c r="MLL16" s="289"/>
      <c r="MLM16" s="289"/>
      <c r="MLN16" s="289"/>
      <c r="MLO16" s="289"/>
      <c r="MLP16" s="289"/>
      <c r="MLQ16" s="289"/>
      <c r="MLR16" s="289"/>
      <c r="MLS16" s="289"/>
      <c r="MLT16" s="289"/>
      <c r="MLU16" s="289"/>
      <c r="MLV16" s="289"/>
      <c r="MLW16" s="289"/>
      <c r="MLX16" s="289"/>
      <c r="MLY16" s="289"/>
      <c r="MLZ16" s="289"/>
      <c r="MMA16" s="289"/>
      <c r="MMB16" s="289"/>
      <c r="MMC16" s="289"/>
      <c r="MMD16" s="289"/>
      <c r="MME16" s="289"/>
      <c r="MMF16" s="289"/>
      <c r="MMG16" s="289"/>
      <c r="MMH16" s="289"/>
      <c r="MMI16" s="289"/>
      <c r="MMJ16" s="289"/>
      <c r="MMK16" s="289"/>
      <c r="MML16" s="289"/>
      <c r="MMM16" s="289"/>
      <c r="MMN16" s="289"/>
      <c r="MMO16" s="289"/>
      <c r="MMP16" s="289"/>
      <c r="MMQ16" s="289"/>
      <c r="MMR16" s="289"/>
      <c r="MMS16" s="289"/>
      <c r="MMT16" s="289"/>
      <c r="MMU16" s="289"/>
      <c r="MMV16" s="289"/>
      <c r="MMW16" s="289"/>
      <c r="MMX16" s="289"/>
      <c r="MMY16" s="289"/>
      <c r="MMZ16" s="289"/>
      <c r="MNA16" s="289"/>
      <c r="MNB16" s="289"/>
      <c r="MNC16" s="289"/>
      <c r="MND16" s="289"/>
      <c r="MNE16" s="289"/>
      <c r="MNF16" s="289"/>
      <c r="MNG16" s="289"/>
      <c r="MNH16" s="289"/>
      <c r="MNI16" s="289"/>
      <c r="MNJ16" s="289"/>
      <c r="MNK16" s="289"/>
      <c r="MNL16" s="289"/>
      <c r="MNM16" s="289"/>
      <c r="MNN16" s="289"/>
      <c r="MNO16" s="289"/>
      <c r="MNP16" s="289"/>
      <c r="MNQ16" s="289"/>
      <c r="MNR16" s="289"/>
      <c r="MNS16" s="289"/>
      <c r="MNT16" s="289"/>
      <c r="MNU16" s="289"/>
      <c r="MNV16" s="289"/>
      <c r="MNW16" s="289"/>
      <c r="MNX16" s="289"/>
      <c r="MNY16" s="289"/>
      <c r="MNZ16" s="289"/>
      <c r="MOA16" s="289"/>
      <c r="MOB16" s="289"/>
      <c r="MOC16" s="289"/>
      <c r="MOD16" s="289"/>
      <c r="MOE16" s="289"/>
      <c r="MOF16" s="289"/>
      <c r="MOG16" s="289"/>
      <c r="MOH16" s="289"/>
      <c r="MOI16" s="289"/>
      <c r="MOJ16" s="289"/>
      <c r="MOK16" s="289"/>
      <c r="MOL16" s="289"/>
      <c r="MOM16" s="289"/>
      <c r="MON16" s="289"/>
      <c r="MOO16" s="289"/>
      <c r="MOP16" s="289"/>
      <c r="MOQ16" s="289"/>
      <c r="MOR16" s="289"/>
      <c r="MOS16" s="289"/>
      <c r="MOT16" s="289"/>
      <c r="MOU16" s="289"/>
      <c r="MOV16" s="289"/>
      <c r="MOW16" s="289"/>
      <c r="MOX16" s="289"/>
      <c r="MOY16" s="289"/>
      <c r="MOZ16" s="289"/>
      <c r="MPA16" s="289"/>
      <c r="MPB16" s="289"/>
      <c r="MPC16" s="289"/>
      <c r="MPD16" s="289"/>
      <c r="MPE16" s="289"/>
      <c r="MPF16" s="289"/>
      <c r="MPG16" s="289"/>
      <c r="MPH16" s="289"/>
      <c r="MPI16" s="289"/>
      <c r="MPJ16" s="289"/>
      <c r="MPK16" s="289"/>
      <c r="MPL16" s="289"/>
      <c r="MPM16" s="289"/>
      <c r="MPN16" s="289"/>
      <c r="MPO16" s="289"/>
      <c r="MPP16" s="289"/>
      <c r="MPQ16" s="289"/>
      <c r="MPR16" s="289"/>
      <c r="MPS16" s="289"/>
      <c r="MPT16" s="289"/>
      <c r="MPU16" s="289"/>
      <c r="MPV16" s="289"/>
      <c r="MPW16" s="289"/>
      <c r="MPX16" s="289"/>
      <c r="MPY16" s="289"/>
      <c r="MPZ16" s="289"/>
      <c r="MQA16" s="289"/>
      <c r="MQB16" s="289"/>
      <c r="MQC16" s="289"/>
      <c r="MQD16" s="289"/>
      <c r="MQE16" s="289"/>
      <c r="MQF16" s="289"/>
      <c r="MQG16" s="289"/>
      <c r="MQH16" s="289"/>
      <c r="MQI16" s="289"/>
      <c r="MQJ16" s="289"/>
      <c r="MQK16" s="289"/>
      <c r="MQL16" s="289"/>
      <c r="MQM16" s="289"/>
      <c r="MQN16" s="289"/>
      <c r="MQO16" s="289"/>
      <c r="MQP16" s="289"/>
      <c r="MQQ16" s="289"/>
      <c r="MQR16" s="289"/>
      <c r="MQS16" s="289"/>
      <c r="MQT16" s="289"/>
      <c r="MQU16" s="289"/>
      <c r="MQV16" s="289"/>
      <c r="MQW16" s="289"/>
      <c r="MQX16" s="289"/>
      <c r="MQY16" s="289"/>
      <c r="MQZ16" s="289"/>
      <c r="MRA16" s="289"/>
      <c r="MRB16" s="289"/>
      <c r="MRC16" s="289"/>
      <c r="MRD16" s="289"/>
      <c r="MRE16" s="289"/>
      <c r="MRF16" s="289"/>
      <c r="MRG16" s="289"/>
      <c r="MRH16" s="289"/>
      <c r="MRI16" s="289"/>
      <c r="MRJ16" s="289"/>
      <c r="MRK16" s="289"/>
      <c r="MRL16" s="289"/>
      <c r="MRM16" s="289"/>
      <c r="MRN16" s="289"/>
      <c r="MRO16" s="289"/>
      <c r="MRP16" s="289"/>
      <c r="MRQ16" s="289"/>
      <c r="MRR16" s="289"/>
      <c r="MRS16" s="289"/>
      <c r="MRT16" s="289"/>
      <c r="MRU16" s="289"/>
      <c r="MRV16" s="289"/>
      <c r="MRW16" s="289"/>
      <c r="MRX16" s="289"/>
      <c r="MRY16" s="289"/>
      <c r="MRZ16" s="289"/>
      <c r="MSA16" s="289"/>
      <c r="MSB16" s="289"/>
      <c r="MSC16" s="289"/>
      <c r="MSD16" s="289"/>
      <c r="MSE16" s="289"/>
      <c r="MSF16" s="289"/>
      <c r="MSG16" s="289"/>
      <c r="MSH16" s="289"/>
      <c r="MSI16" s="289"/>
      <c r="MSJ16" s="289"/>
      <c r="MSK16" s="289"/>
      <c r="MSL16" s="289"/>
      <c r="MSM16" s="289"/>
      <c r="MSN16" s="289"/>
      <c r="MSO16" s="289"/>
      <c r="MSP16" s="289"/>
      <c r="MSQ16" s="289"/>
      <c r="MSR16" s="289"/>
      <c r="MSS16" s="289"/>
      <c r="MST16" s="289"/>
      <c r="MSU16" s="289"/>
      <c r="MSV16" s="289"/>
      <c r="MSW16" s="289"/>
      <c r="MSX16" s="289"/>
      <c r="MSY16" s="289"/>
      <c r="MSZ16" s="289"/>
      <c r="MTA16" s="289"/>
      <c r="MTB16" s="289"/>
      <c r="MTC16" s="289"/>
      <c r="MTD16" s="289"/>
      <c r="MTE16" s="289"/>
      <c r="MTF16" s="289"/>
      <c r="MTG16" s="289"/>
      <c r="MTH16" s="289"/>
      <c r="MTI16" s="289"/>
      <c r="MTJ16" s="289"/>
      <c r="MTK16" s="289"/>
      <c r="MTL16" s="289"/>
      <c r="MTM16" s="289"/>
      <c r="MTN16" s="289"/>
      <c r="MTO16" s="289"/>
      <c r="MTP16" s="289"/>
      <c r="MTQ16" s="289"/>
      <c r="MTR16" s="289"/>
      <c r="MTS16" s="289"/>
      <c r="MTT16" s="289"/>
      <c r="MTU16" s="289"/>
      <c r="MTV16" s="289"/>
      <c r="MTW16" s="289"/>
      <c r="MTX16" s="289"/>
      <c r="MTY16" s="289"/>
      <c r="MTZ16" s="289"/>
      <c r="MUA16" s="289"/>
      <c r="MUB16" s="289"/>
      <c r="MUC16" s="289"/>
      <c r="MUD16" s="289"/>
      <c r="MUE16" s="289"/>
      <c r="MUF16" s="289"/>
      <c r="MUG16" s="289"/>
      <c r="MUH16" s="289"/>
      <c r="MUI16" s="289"/>
      <c r="MUJ16" s="289"/>
      <c r="MUK16" s="289"/>
      <c r="MUL16" s="289"/>
      <c r="MUM16" s="289"/>
      <c r="MUN16" s="289"/>
      <c r="MUO16" s="289"/>
      <c r="MUP16" s="289"/>
      <c r="MUQ16" s="289"/>
      <c r="MUR16" s="289"/>
      <c r="MUS16" s="289"/>
      <c r="MUT16" s="289"/>
      <c r="MUU16" s="289"/>
      <c r="MUV16" s="289"/>
      <c r="MUW16" s="289"/>
      <c r="MUX16" s="289"/>
      <c r="MUY16" s="289"/>
      <c r="MUZ16" s="289"/>
      <c r="MVA16" s="289"/>
      <c r="MVB16" s="289"/>
      <c r="MVC16" s="289"/>
      <c r="MVD16" s="289"/>
      <c r="MVE16" s="289"/>
      <c r="MVF16" s="289"/>
      <c r="MVG16" s="289"/>
      <c r="MVH16" s="289"/>
      <c r="MVI16" s="289"/>
      <c r="MVJ16" s="289"/>
      <c r="MVK16" s="289"/>
      <c r="MVL16" s="289"/>
      <c r="MVM16" s="289"/>
      <c r="MVN16" s="289"/>
      <c r="MVO16" s="289"/>
      <c r="MVP16" s="289"/>
      <c r="MVQ16" s="289"/>
      <c r="MVR16" s="289"/>
      <c r="MVS16" s="289"/>
      <c r="MVT16" s="289"/>
      <c r="MVU16" s="289"/>
      <c r="MVV16" s="289"/>
      <c r="MVW16" s="289"/>
      <c r="MVX16" s="289"/>
      <c r="MVY16" s="289"/>
      <c r="MVZ16" s="289"/>
      <c r="MWA16" s="289"/>
      <c r="MWB16" s="289"/>
      <c r="MWC16" s="289"/>
      <c r="MWD16" s="289"/>
      <c r="MWE16" s="289"/>
      <c r="MWF16" s="289"/>
      <c r="MWG16" s="289"/>
      <c r="MWH16" s="289"/>
      <c r="MWI16" s="289"/>
      <c r="MWJ16" s="289"/>
      <c r="MWK16" s="289"/>
      <c r="MWL16" s="289"/>
      <c r="MWM16" s="289"/>
      <c r="MWN16" s="289"/>
      <c r="MWO16" s="289"/>
      <c r="MWP16" s="289"/>
      <c r="MWQ16" s="289"/>
      <c r="MWR16" s="289"/>
      <c r="MWS16" s="289"/>
      <c r="MWT16" s="289"/>
      <c r="MWU16" s="289"/>
      <c r="MWV16" s="289"/>
      <c r="MWW16" s="289"/>
      <c r="MWX16" s="289"/>
      <c r="MWY16" s="289"/>
      <c r="MWZ16" s="289"/>
      <c r="MXA16" s="289"/>
      <c r="MXB16" s="289"/>
      <c r="MXC16" s="289"/>
      <c r="MXD16" s="289"/>
      <c r="MXE16" s="289"/>
      <c r="MXF16" s="289"/>
      <c r="MXG16" s="289"/>
      <c r="MXH16" s="289"/>
      <c r="MXI16" s="289"/>
      <c r="MXJ16" s="289"/>
      <c r="MXK16" s="289"/>
      <c r="MXL16" s="289"/>
      <c r="MXM16" s="289"/>
      <c r="MXN16" s="289"/>
      <c r="MXO16" s="289"/>
      <c r="MXP16" s="289"/>
      <c r="MXQ16" s="289"/>
      <c r="MXR16" s="289"/>
      <c r="MXS16" s="289"/>
      <c r="MXT16" s="289"/>
      <c r="MXU16" s="289"/>
      <c r="MXV16" s="289"/>
      <c r="MXW16" s="289"/>
      <c r="MXX16" s="289"/>
      <c r="MXY16" s="289"/>
      <c r="MXZ16" s="289"/>
      <c r="MYA16" s="289"/>
      <c r="MYB16" s="289"/>
      <c r="MYC16" s="289"/>
      <c r="MYD16" s="289"/>
      <c r="MYE16" s="289"/>
      <c r="MYF16" s="289"/>
      <c r="MYG16" s="289"/>
      <c r="MYH16" s="289"/>
      <c r="MYI16" s="289"/>
      <c r="MYJ16" s="289"/>
      <c r="MYK16" s="289"/>
      <c r="MYL16" s="289"/>
      <c r="MYM16" s="289"/>
      <c r="MYN16" s="289"/>
      <c r="MYO16" s="289"/>
      <c r="MYP16" s="289"/>
      <c r="MYQ16" s="289"/>
      <c r="MYR16" s="289"/>
      <c r="MYS16" s="289"/>
      <c r="MYT16" s="289"/>
      <c r="MYU16" s="289"/>
      <c r="MYV16" s="289"/>
      <c r="MYW16" s="289"/>
      <c r="MYX16" s="289"/>
      <c r="MYY16" s="289"/>
      <c r="MYZ16" s="289"/>
      <c r="MZA16" s="289"/>
      <c r="MZB16" s="289"/>
      <c r="MZC16" s="289"/>
      <c r="MZD16" s="289"/>
      <c r="MZE16" s="289"/>
      <c r="MZF16" s="289"/>
      <c r="MZG16" s="289"/>
      <c r="MZH16" s="289"/>
      <c r="MZI16" s="289"/>
      <c r="MZJ16" s="289"/>
      <c r="MZK16" s="289"/>
      <c r="MZL16" s="289"/>
      <c r="MZM16" s="289"/>
      <c r="MZN16" s="289"/>
      <c r="MZO16" s="289"/>
      <c r="MZP16" s="289"/>
      <c r="MZQ16" s="289"/>
      <c r="MZR16" s="289"/>
      <c r="MZS16" s="289"/>
      <c r="MZT16" s="289"/>
      <c r="MZU16" s="289"/>
      <c r="MZV16" s="289"/>
      <c r="MZW16" s="289"/>
      <c r="MZX16" s="289"/>
      <c r="MZY16" s="289"/>
      <c r="MZZ16" s="289"/>
      <c r="NAA16" s="289"/>
      <c r="NAB16" s="289"/>
      <c r="NAC16" s="289"/>
      <c r="NAD16" s="289"/>
      <c r="NAE16" s="289"/>
      <c r="NAF16" s="289"/>
      <c r="NAG16" s="289"/>
      <c r="NAH16" s="289"/>
      <c r="NAI16" s="289"/>
      <c r="NAJ16" s="289"/>
      <c r="NAK16" s="289"/>
      <c r="NAL16" s="289"/>
      <c r="NAM16" s="289"/>
      <c r="NAN16" s="289"/>
      <c r="NAO16" s="289"/>
      <c r="NAP16" s="289"/>
      <c r="NAQ16" s="289"/>
      <c r="NAR16" s="289"/>
      <c r="NAS16" s="289"/>
      <c r="NAT16" s="289"/>
      <c r="NAU16" s="289"/>
      <c r="NAV16" s="289"/>
      <c r="NAW16" s="289"/>
      <c r="NAX16" s="289"/>
      <c r="NAY16" s="289"/>
      <c r="NAZ16" s="289"/>
      <c r="NBA16" s="289"/>
      <c r="NBB16" s="289"/>
      <c r="NBC16" s="289"/>
      <c r="NBD16" s="289"/>
      <c r="NBE16" s="289"/>
      <c r="NBF16" s="289"/>
      <c r="NBG16" s="289"/>
      <c r="NBH16" s="289"/>
      <c r="NBI16" s="289"/>
      <c r="NBJ16" s="289"/>
      <c r="NBK16" s="289"/>
      <c r="NBL16" s="289"/>
      <c r="NBM16" s="289"/>
      <c r="NBN16" s="289"/>
      <c r="NBO16" s="289"/>
      <c r="NBP16" s="289"/>
      <c r="NBQ16" s="289"/>
      <c r="NBR16" s="289"/>
      <c r="NBS16" s="289"/>
      <c r="NBT16" s="289"/>
      <c r="NBU16" s="289"/>
      <c r="NBV16" s="289"/>
      <c r="NBW16" s="289"/>
      <c r="NBX16" s="289"/>
      <c r="NBY16" s="289"/>
      <c r="NBZ16" s="289"/>
      <c r="NCA16" s="289"/>
      <c r="NCB16" s="289"/>
      <c r="NCC16" s="289"/>
      <c r="NCD16" s="289"/>
      <c r="NCE16" s="289"/>
      <c r="NCF16" s="289"/>
      <c r="NCG16" s="289"/>
      <c r="NCH16" s="289"/>
      <c r="NCI16" s="289"/>
      <c r="NCJ16" s="289"/>
      <c r="NCK16" s="289"/>
      <c r="NCL16" s="289"/>
      <c r="NCM16" s="289"/>
      <c r="NCN16" s="289"/>
      <c r="NCO16" s="289"/>
      <c r="NCP16" s="289"/>
      <c r="NCQ16" s="289"/>
      <c r="NCR16" s="289"/>
      <c r="NCS16" s="289"/>
      <c r="NCT16" s="289"/>
      <c r="NCU16" s="289"/>
      <c r="NCV16" s="289"/>
      <c r="NCW16" s="289"/>
      <c r="NCX16" s="289"/>
      <c r="NCY16" s="289"/>
      <c r="NCZ16" s="289"/>
      <c r="NDA16" s="289"/>
      <c r="NDB16" s="289"/>
      <c r="NDC16" s="289"/>
      <c r="NDD16" s="289"/>
      <c r="NDE16" s="289"/>
      <c r="NDF16" s="289"/>
      <c r="NDG16" s="289"/>
      <c r="NDH16" s="289"/>
      <c r="NDI16" s="289"/>
      <c r="NDJ16" s="289"/>
      <c r="NDK16" s="289"/>
      <c r="NDL16" s="289"/>
      <c r="NDM16" s="289"/>
      <c r="NDN16" s="289"/>
      <c r="NDO16" s="289"/>
      <c r="NDP16" s="289"/>
      <c r="NDQ16" s="289"/>
      <c r="NDR16" s="289"/>
      <c r="NDS16" s="289"/>
      <c r="NDT16" s="289"/>
      <c r="NDU16" s="289"/>
      <c r="NDV16" s="289"/>
      <c r="NDW16" s="289"/>
      <c r="NDX16" s="289"/>
      <c r="NDY16" s="289"/>
      <c r="NDZ16" s="289"/>
      <c r="NEA16" s="289"/>
      <c r="NEB16" s="289"/>
      <c r="NEC16" s="289"/>
      <c r="NED16" s="289"/>
      <c r="NEE16" s="289"/>
      <c r="NEF16" s="289"/>
      <c r="NEG16" s="289"/>
      <c r="NEH16" s="289"/>
      <c r="NEI16" s="289"/>
      <c r="NEJ16" s="289"/>
      <c r="NEK16" s="289"/>
      <c r="NEL16" s="289"/>
      <c r="NEM16" s="289"/>
      <c r="NEN16" s="289"/>
      <c r="NEO16" s="289"/>
      <c r="NEP16" s="289"/>
      <c r="NEQ16" s="289"/>
      <c r="NER16" s="289"/>
      <c r="NES16" s="289"/>
      <c r="NET16" s="289"/>
      <c r="NEU16" s="289"/>
      <c r="NEV16" s="289"/>
      <c r="NEW16" s="289"/>
      <c r="NEX16" s="289"/>
      <c r="NEY16" s="289"/>
      <c r="NEZ16" s="289"/>
      <c r="NFA16" s="289"/>
      <c r="NFB16" s="289"/>
      <c r="NFC16" s="289"/>
      <c r="NFD16" s="289"/>
      <c r="NFE16" s="289"/>
      <c r="NFF16" s="289"/>
      <c r="NFG16" s="289"/>
      <c r="NFH16" s="289"/>
      <c r="NFI16" s="289"/>
      <c r="NFJ16" s="289"/>
      <c r="NFK16" s="289"/>
      <c r="NFL16" s="289"/>
      <c r="NFM16" s="289"/>
      <c r="NFN16" s="289"/>
      <c r="NFO16" s="289"/>
      <c r="NFP16" s="289"/>
      <c r="NFQ16" s="289"/>
      <c r="NFR16" s="289"/>
      <c r="NFS16" s="289"/>
      <c r="NFT16" s="289"/>
      <c r="NFU16" s="289"/>
      <c r="NFV16" s="289"/>
      <c r="NFW16" s="289"/>
      <c r="NFX16" s="289"/>
      <c r="NFY16" s="289"/>
      <c r="NFZ16" s="289"/>
      <c r="NGA16" s="289"/>
      <c r="NGB16" s="289"/>
      <c r="NGC16" s="289"/>
      <c r="NGD16" s="289"/>
      <c r="NGE16" s="289"/>
      <c r="NGF16" s="289"/>
      <c r="NGG16" s="289"/>
      <c r="NGH16" s="289"/>
      <c r="NGI16" s="289"/>
      <c r="NGJ16" s="289"/>
      <c r="NGK16" s="289"/>
      <c r="NGL16" s="289"/>
      <c r="NGM16" s="289"/>
      <c r="NGN16" s="289"/>
      <c r="NGO16" s="289"/>
      <c r="NGP16" s="289"/>
      <c r="NGQ16" s="289"/>
      <c r="NGR16" s="289"/>
      <c r="NGS16" s="289"/>
      <c r="NGT16" s="289"/>
      <c r="NGU16" s="289"/>
      <c r="NGV16" s="289"/>
      <c r="NGW16" s="289"/>
      <c r="NGX16" s="289"/>
      <c r="NGY16" s="289"/>
      <c r="NGZ16" s="289"/>
      <c r="NHA16" s="289"/>
      <c r="NHB16" s="289"/>
      <c r="NHC16" s="289"/>
      <c r="NHD16" s="289"/>
      <c r="NHE16" s="289"/>
      <c r="NHF16" s="289"/>
      <c r="NHG16" s="289"/>
      <c r="NHH16" s="289"/>
      <c r="NHI16" s="289"/>
      <c r="NHJ16" s="289"/>
      <c r="NHK16" s="289"/>
      <c r="NHL16" s="289"/>
      <c r="NHM16" s="289"/>
      <c r="NHN16" s="289"/>
      <c r="NHO16" s="289"/>
      <c r="NHP16" s="289"/>
      <c r="NHQ16" s="289"/>
      <c r="NHR16" s="289"/>
      <c r="NHS16" s="289"/>
      <c r="NHT16" s="289"/>
      <c r="NHU16" s="289"/>
      <c r="NHV16" s="289"/>
      <c r="NHW16" s="289"/>
      <c r="NHX16" s="289"/>
      <c r="NHY16" s="289"/>
      <c r="NHZ16" s="289"/>
      <c r="NIA16" s="289"/>
      <c r="NIB16" s="289"/>
      <c r="NIC16" s="289"/>
      <c r="NID16" s="289"/>
      <c r="NIE16" s="289"/>
      <c r="NIF16" s="289"/>
      <c r="NIG16" s="289"/>
      <c r="NIH16" s="289"/>
      <c r="NII16" s="289"/>
      <c r="NIJ16" s="289"/>
      <c r="NIK16" s="289"/>
      <c r="NIL16" s="289"/>
      <c r="NIM16" s="289"/>
      <c r="NIN16" s="289"/>
      <c r="NIO16" s="289"/>
      <c r="NIP16" s="289"/>
      <c r="NIQ16" s="289"/>
      <c r="NIR16" s="289"/>
      <c r="NIS16" s="289"/>
      <c r="NIT16" s="289"/>
      <c r="NIU16" s="289"/>
      <c r="NIV16" s="289"/>
      <c r="NIW16" s="289"/>
      <c r="NIX16" s="289"/>
      <c r="NIY16" s="289"/>
      <c r="NIZ16" s="289"/>
      <c r="NJA16" s="289"/>
      <c r="NJB16" s="289"/>
      <c r="NJC16" s="289"/>
      <c r="NJD16" s="289"/>
      <c r="NJE16" s="289"/>
      <c r="NJF16" s="289"/>
      <c r="NJG16" s="289"/>
      <c r="NJH16" s="289"/>
      <c r="NJI16" s="289"/>
      <c r="NJJ16" s="289"/>
      <c r="NJK16" s="289"/>
      <c r="NJL16" s="289"/>
      <c r="NJM16" s="289"/>
      <c r="NJN16" s="289"/>
      <c r="NJO16" s="289"/>
      <c r="NJP16" s="289"/>
      <c r="NJQ16" s="289"/>
      <c r="NJR16" s="289"/>
      <c r="NJS16" s="289"/>
      <c r="NJT16" s="289"/>
      <c r="NJU16" s="289"/>
      <c r="NJV16" s="289"/>
      <c r="NJW16" s="289"/>
      <c r="NJX16" s="289"/>
      <c r="NJY16" s="289"/>
      <c r="NJZ16" s="289"/>
      <c r="NKA16" s="289"/>
      <c r="NKB16" s="289"/>
      <c r="NKC16" s="289"/>
      <c r="NKD16" s="289"/>
      <c r="NKE16" s="289"/>
      <c r="NKF16" s="289"/>
      <c r="NKG16" s="289"/>
      <c r="NKH16" s="289"/>
      <c r="NKI16" s="289"/>
      <c r="NKJ16" s="289"/>
      <c r="NKK16" s="289"/>
      <c r="NKL16" s="289"/>
      <c r="NKM16" s="289"/>
      <c r="NKN16" s="289"/>
      <c r="NKO16" s="289"/>
      <c r="NKP16" s="289"/>
      <c r="NKQ16" s="289"/>
      <c r="NKR16" s="289"/>
      <c r="NKS16" s="289"/>
      <c r="NKT16" s="289"/>
      <c r="NKU16" s="289"/>
      <c r="NKV16" s="289"/>
      <c r="NKW16" s="289"/>
      <c r="NKX16" s="289"/>
      <c r="NKY16" s="289"/>
      <c r="NKZ16" s="289"/>
      <c r="NLA16" s="289"/>
      <c r="NLB16" s="289"/>
      <c r="NLC16" s="289"/>
      <c r="NLD16" s="289"/>
      <c r="NLE16" s="289"/>
      <c r="NLF16" s="289"/>
      <c r="NLG16" s="289"/>
      <c r="NLH16" s="289"/>
      <c r="NLI16" s="289"/>
      <c r="NLJ16" s="289"/>
      <c r="NLK16" s="289"/>
      <c r="NLL16" s="289"/>
      <c r="NLM16" s="289"/>
      <c r="NLN16" s="289"/>
      <c r="NLO16" s="289"/>
      <c r="NLP16" s="289"/>
      <c r="NLQ16" s="289"/>
      <c r="NLR16" s="289"/>
      <c r="NLS16" s="289"/>
      <c r="NLT16" s="289"/>
      <c r="NLU16" s="289"/>
      <c r="NLV16" s="289"/>
      <c r="NLW16" s="289"/>
      <c r="NLX16" s="289"/>
      <c r="NLY16" s="289"/>
      <c r="NLZ16" s="289"/>
      <c r="NMA16" s="289"/>
      <c r="NMB16" s="289"/>
      <c r="NMC16" s="289"/>
      <c r="NMD16" s="289"/>
      <c r="NME16" s="289"/>
      <c r="NMF16" s="289"/>
      <c r="NMG16" s="289"/>
      <c r="NMH16" s="289"/>
      <c r="NMI16" s="289"/>
      <c r="NMJ16" s="289"/>
      <c r="NMK16" s="289"/>
      <c r="NML16" s="289"/>
      <c r="NMM16" s="289"/>
      <c r="NMN16" s="289"/>
      <c r="NMO16" s="289"/>
      <c r="NMP16" s="289"/>
      <c r="NMQ16" s="289"/>
      <c r="NMR16" s="289"/>
      <c r="NMS16" s="289"/>
      <c r="NMT16" s="289"/>
      <c r="NMU16" s="289"/>
      <c r="NMV16" s="289"/>
      <c r="NMW16" s="289"/>
      <c r="NMX16" s="289"/>
      <c r="NMY16" s="289"/>
      <c r="NMZ16" s="289"/>
      <c r="NNA16" s="289"/>
      <c r="NNB16" s="289"/>
      <c r="NNC16" s="289"/>
      <c r="NND16" s="289"/>
      <c r="NNE16" s="289"/>
      <c r="NNF16" s="289"/>
      <c r="NNG16" s="289"/>
      <c r="NNH16" s="289"/>
      <c r="NNI16" s="289"/>
      <c r="NNJ16" s="289"/>
      <c r="NNK16" s="289"/>
      <c r="NNL16" s="289"/>
      <c r="NNM16" s="289"/>
      <c r="NNN16" s="289"/>
      <c r="NNO16" s="289"/>
      <c r="NNP16" s="289"/>
      <c r="NNQ16" s="289"/>
      <c r="NNR16" s="289"/>
      <c r="NNS16" s="289"/>
      <c r="NNT16" s="289"/>
      <c r="NNU16" s="289"/>
      <c r="NNV16" s="289"/>
      <c r="NNW16" s="289"/>
      <c r="NNX16" s="289"/>
      <c r="NNY16" s="289"/>
      <c r="NNZ16" s="289"/>
      <c r="NOA16" s="289"/>
      <c r="NOB16" s="289"/>
      <c r="NOC16" s="289"/>
      <c r="NOD16" s="289"/>
      <c r="NOE16" s="289"/>
      <c r="NOF16" s="289"/>
      <c r="NOG16" s="289"/>
      <c r="NOH16" s="289"/>
      <c r="NOI16" s="289"/>
      <c r="NOJ16" s="289"/>
      <c r="NOK16" s="289"/>
      <c r="NOL16" s="289"/>
      <c r="NOM16" s="289"/>
      <c r="NON16" s="289"/>
      <c r="NOO16" s="289"/>
      <c r="NOP16" s="289"/>
      <c r="NOQ16" s="289"/>
      <c r="NOR16" s="289"/>
      <c r="NOS16" s="289"/>
      <c r="NOT16" s="289"/>
      <c r="NOU16" s="289"/>
      <c r="NOV16" s="289"/>
      <c r="NOW16" s="289"/>
      <c r="NOX16" s="289"/>
      <c r="NOY16" s="289"/>
      <c r="NOZ16" s="289"/>
      <c r="NPA16" s="289"/>
      <c r="NPB16" s="289"/>
      <c r="NPC16" s="289"/>
      <c r="NPD16" s="289"/>
      <c r="NPE16" s="289"/>
      <c r="NPF16" s="289"/>
      <c r="NPG16" s="289"/>
      <c r="NPH16" s="289"/>
      <c r="NPI16" s="289"/>
      <c r="NPJ16" s="289"/>
      <c r="NPK16" s="289"/>
      <c r="NPL16" s="289"/>
      <c r="NPM16" s="289"/>
      <c r="NPN16" s="289"/>
      <c r="NPO16" s="289"/>
      <c r="NPP16" s="289"/>
      <c r="NPQ16" s="289"/>
      <c r="NPR16" s="289"/>
      <c r="NPS16" s="289"/>
      <c r="NPT16" s="289"/>
      <c r="NPU16" s="289"/>
      <c r="NPV16" s="289"/>
      <c r="NPW16" s="289"/>
      <c r="NPX16" s="289"/>
      <c r="NPY16" s="289"/>
      <c r="NPZ16" s="289"/>
      <c r="NQA16" s="289"/>
      <c r="NQB16" s="289"/>
      <c r="NQC16" s="289"/>
      <c r="NQD16" s="289"/>
      <c r="NQE16" s="289"/>
      <c r="NQF16" s="289"/>
      <c r="NQG16" s="289"/>
      <c r="NQH16" s="289"/>
      <c r="NQI16" s="289"/>
      <c r="NQJ16" s="289"/>
      <c r="NQK16" s="289"/>
      <c r="NQL16" s="289"/>
      <c r="NQM16" s="289"/>
      <c r="NQN16" s="289"/>
      <c r="NQO16" s="289"/>
      <c r="NQP16" s="289"/>
      <c r="NQQ16" s="289"/>
      <c r="NQR16" s="289"/>
      <c r="NQS16" s="289"/>
      <c r="NQT16" s="289"/>
      <c r="NQU16" s="289"/>
      <c r="NQV16" s="289"/>
      <c r="NQW16" s="289"/>
      <c r="NQX16" s="289"/>
      <c r="NQY16" s="289"/>
      <c r="NQZ16" s="289"/>
      <c r="NRA16" s="289"/>
      <c r="NRB16" s="289"/>
      <c r="NRC16" s="289"/>
      <c r="NRD16" s="289"/>
      <c r="NRE16" s="289"/>
      <c r="NRF16" s="289"/>
      <c r="NRG16" s="289"/>
      <c r="NRH16" s="289"/>
      <c r="NRI16" s="289"/>
      <c r="NRJ16" s="289"/>
      <c r="NRK16" s="289"/>
      <c r="NRL16" s="289"/>
      <c r="NRM16" s="289"/>
      <c r="NRN16" s="289"/>
      <c r="NRO16" s="289"/>
      <c r="NRP16" s="289"/>
      <c r="NRQ16" s="289"/>
      <c r="NRR16" s="289"/>
      <c r="NRS16" s="289"/>
      <c r="NRT16" s="289"/>
      <c r="NRU16" s="289"/>
      <c r="NRV16" s="289"/>
      <c r="NRW16" s="289"/>
      <c r="NRX16" s="289"/>
      <c r="NRY16" s="289"/>
      <c r="NRZ16" s="289"/>
      <c r="NSA16" s="289"/>
      <c r="NSB16" s="289"/>
      <c r="NSC16" s="289"/>
      <c r="NSD16" s="289"/>
      <c r="NSE16" s="289"/>
      <c r="NSF16" s="289"/>
      <c r="NSG16" s="289"/>
      <c r="NSH16" s="289"/>
      <c r="NSI16" s="289"/>
      <c r="NSJ16" s="289"/>
      <c r="NSK16" s="289"/>
      <c r="NSL16" s="289"/>
      <c r="NSM16" s="289"/>
      <c r="NSN16" s="289"/>
      <c r="NSO16" s="289"/>
      <c r="NSP16" s="289"/>
      <c r="NSQ16" s="289"/>
      <c r="NSR16" s="289"/>
      <c r="NSS16" s="289"/>
      <c r="NST16" s="289"/>
      <c r="NSU16" s="289"/>
      <c r="NSV16" s="289"/>
      <c r="NSW16" s="289"/>
      <c r="NSX16" s="289"/>
      <c r="NSY16" s="289"/>
      <c r="NSZ16" s="289"/>
      <c r="NTA16" s="289"/>
      <c r="NTB16" s="289"/>
      <c r="NTC16" s="289"/>
      <c r="NTD16" s="289"/>
      <c r="NTE16" s="289"/>
      <c r="NTF16" s="289"/>
      <c r="NTG16" s="289"/>
      <c r="NTH16" s="289"/>
      <c r="NTI16" s="289"/>
      <c r="NTJ16" s="289"/>
      <c r="NTK16" s="289"/>
      <c r="NTL16" s="289"/>
      <c r="NTM16" s="289"/>
      <c r="NTN16" s="289"/>
      <c r="NTO16" s="289"/>
      <c r="NTP16" s="289"/>
      <c r="NTQ16" s="289"/>
      <c r="NTR16" s="289"/>
      <c r="NTS16" s="289"/>
      <c r="NTT16" s="289"/>
      <c r="NTU16" s="289"/>
      <c r="NTV16" s="289"/>
      <c r="NTW16" s="289"/>
      <c r="NTX16" s="289"/>
      <c r="NTY16" s="289"/>
      <c r="NTZ16" s="289"/>
      <c r="NUA16" s="289"/>
      <c r="NUB16" s="289"/>
      <c r="NUC16" s="289"/>
      <c r="NUD16" s="289"/>
      <c r="NUE16" s="289"/>
      <c r="NUF16" s="289"/>
      <c r="NUG16" s="289"/>
      <c r="NUH16" s="289"/>
      <c r="NUI16" s="289"/>
      <c r="NUJ16" s="289"/>
      <c r="NUK16" s="289"/>
      <c r="NUL16" s="289"/>
      <c r="NUM16" s="289"/>
      <c r="NUN16" s="289"/>
      <c r="NUO16" s="289"/>
      <c r="NUP16" s="289"/>
      <c r="NUQ16" s="289"/>
      <c r="NUR16" s="289"/>
      <c r="NUS16" s="289"/>
      <c r="NUT16" s="289"/>
      <c r="NUU16" s="289"/>
      <c r="NUV16" s="289"/>
      <c r="NUW16" s="289"/>
      <c r="NUX16" s="289"/>
      <c r="NUY16" s="289"/>
      <c r="NUZ16" s="289"/>
      <c r="NVA16" s="289"/>
      <c r="NVB16" s="289"/>
      <c r="NVC16" s="289"/>
      <c r="NVD16" s="289"/>
      <c r="NVE16" s="289"/>
      <c r="NVF16" s="289"/>
      <c r="NVG16" s="289"/>
      <c r="NVH16" s="289"/>
      <c r="NVI16" s="289"/>
      <c r="NVJ16" s="289"/>
      <c r="NVK16" s="289"/>
      <c r="NVL16" s="289"/>
      <c r="NVM16" s="289"/>
      <c r="NVN16" s="289"/>
      <c r="NVO16" s="289"/>
      <c r="NVP16" s="289"/>
      <c r="NVQ16" s="289"/>
      <c r="NVR16" s="289"/>
      <c r="NVS16" s="289"/>
      <c r="NVT16" s="289"/>
      <c r="NVU16" s="289"/>
      <c r="NVV16" s="289"/>
      <c r="NVW16" s="289"/>
      <c r="NVX16" s="289"/>
      <c r="NVY16" s="289"/>
      <c r="NVZ16" s="289"/>
      <c r="NWA16" s="289"/>
      <c r="NWB16" s="289"/>
      <c r="NWC16" s="289"/>
      <c r="NWD16" s="289"/>
      <c r="NWE16" s="289"/>
      <c r="NWF16" s="289"/>
      <c r="NWG16" s="289"/>
      <c r="NWH16" s="289"/>
      <c r="NWI16" s="289"/>
      <c r="NWJ16" s="289"/>
      <c r="NWK16" s="289"/>
      <c r="NWL16" s="289"/>
      <c r="NWM16" s="289"/>
      <c r="NWN16" s="289"/>
      <c r="NWO16" s="289"/>
      <c r="NWP16" s="289"/>
      <c r="NWQ16" s="289"/>
      <c r="NWR16" s="289"/>
      <c r="NWS16" s="289"/>
      <c r="NWT16" s="289"/>
      <c r="NWU16" s="289"/>
      <c r="NWV16" s="289"/>
      <c r="NWW16" s="289"/>
      <c r="NWX16" s="289"/>
      <c r="NWY16" s="289"/>
      <c r="NWZ16" s="289"/>
      <c r="NXA16" s="289"/>
      <c r="NXB16" s="289"/>
      <c r="NXC16" s="289"/>
      <c r="NXD16" s="289"/>
      <c r="NXE16" s="289"/>
      <c r="NXF16" s="289"/>
      <c r="NXG16" s="289"/>
      <c r="NXH16" s="289"/>
      <c r="NXI16" s="289"/>
      <c r="NXJ16" s="289"/>
      <c r="NXK16" s="289"/>
      <c r="NXL16" s="289"/>
      <c r="NXM16" s="289"/>
      <c r="NXN16" s="289"/>
      <c r="NXO16" s="289"/>
      <c r="NXP16" s="289"/>
      <c r="NXQ16" s="289"/>
      <c r="NXR16" s="289"/>
      <c r="NXS16" s="289"/>
      <c r="NXT16" s="289"/>
      <c r="NXU16" s="289"/>
      <c r="NXV16" s="289"/>
      <c r="NXW16" s="289"/>
      <c r="NXX16" s="289"/>
      <c r="NXY16" s="289"/>
      <c r="NXZ16" s="289"/>
      <c r="NYA16" s="289"/>
      <c r="NYB16" s="289"/>
      <c r="NYC16" s="289"/>
      <c r="NYD16" s="289"/>
      <c r="NYE16" s="289"/>
      <c r="NYF16" s="289"/>
      <c r="NYG16" s="289"/>
      <c r="NYH16" s="289"/>
      <c r="NYI16" s="289"/>
      <c r="NYJ16" s="289"/>
      <c r="NYK16" s="289"/>
      <c r="NYL16" s="289"/>
      <c r="NYM16" s="289"/>
      <c r="NYN16" s="289"/>
      <c r="NYO16" s="289"/>
      <c r="NYP16" s="289"/>
      <c r="NYQ16" s="289"/>
      <c r="NYR16" s="289"/>
      <c r="NYS16" s="289"/>
      <c r="NYT16" s="289"/>
      <c r="NYU16" s="289"/>
      <c r="NYV16" s="289"/>
      <c r="NYW16" s="289"/>
      <c r="NYX16" s="289"/>
      <c r="NYY16" s="289"/>
      <c r="NYZ16" s="289"/>
      <c r="NZA16" s="289"/>
      <c r="NZB16" s="289"/>
      <c r="NZC16" s="289"/>
      <c r="NZD16" s="289"/>
      <c r="NZE16" s="289"/>
      <c r="NZF16" s="289"/>
      <c r="NZG16" s="289"/>
      <c r="NZH16" s="289"/>
      <c r="NZI16" s="289"/>
      <c r="NZJ16" s="289"/>
      <c r="NZK16" s="289"/>
      <c r="NZL16" s="289"/>
      <c r="NZM16" s="289"/>
      <c r="NZN16" s="289"/>
      <c r="NZO16" s="289"/>
      <c r="NZP16" s="289"/>
      <c r="NZQ16" s="289"/>
      <c r="NZR16" s="289"/>
      <c r="NZS16" s="289"/>
      <c r="NZT16" s="289"/>
      <c r="NZU16" s="289"/>
      <c r="NZV16" s="289"/>
      <c r="NZW16" s="289"/>
      <c r="NZX16" s="289"/>
      <c r="NZY16" s="289"/>
      <c r="NZZ16" s="289"/>
      <c r="OAA16" s="289"/>
      <c r="OAB16" s="289"/>
      <c r="OAC16" s="289"/>
      <c r="OAD16" s="289"/>
      <c r="OAE16" s="289"/>
      <c r="OAF16" s="289"/>
      <c r="OAG16" s="289"/>
      <c r="OAH16" s="289"/>
      <c r="OAI16" s="289"/>
      <c r="OAJ16" s="289"/>
      <c r="OAK16" s="289"/>
      <c r="OAL16" s="289"/>
      <c r="OAM16" s="289"/>
      <c r="OAN16" s="289"/>
      <c r="OAO16" s="289"/>
      <c r="OAP16" s="289"/>
      <c r="OAQ16" s="289"/>
      <c r="OAR16" s="289"/>
      <c r="OAS16" s="289"/>
      <c r="OAT16" s="289"/>
      <c r="OAU16" s="289"/>
      <c r="OAV16" s="289"/>
      <c r="OAW16" s="289"/>
      <c r="OAX16" s="289"/>
      <c r="OAY16" s="289"/>
      <c r="OAZ16" s="289"/>
      <c r="OBA16" s="289"/>
      <c r="OBB16" s="289"/>
      <c r="OBC16" s="289"/>
      <c r="OBD16" s="289"/>
      <c r="OBE16" s="289"/>
      <c r="OBF16" s="289"/>
      <c r="OBG16" s="289"/>
      <c r="OBH16" s="289"/>
      <c r="OBI16" s="289"/>
      <c r="OBJ16" s="289"/>
      <c r="OBK16" s="289"/>
      <c r="OBL16" s="289"/>
      <c r="OBM16" s="289"/>
      <c r="OBN16" s="289"/>
      <c r="OBO16" s="289"/>
      <c r="OBP16" s="289"/>
      <c r="OBQ16" s="289"/>
      <c r="OBR16" s="289"/>
      <c r="OBS16" s="289"/>
      <c r="OBT16" s="289"/>
      <c r="OBU16" s="289"/>
      <c r="OBV16" s="289"/>
      <c r="OBW16" s="289"/>
      <c r="OBX16" s="289"/>
      <c r="OBY16" s="289"/>
      <c r="OBZ16" s="289"/>
      <c r="OCA16" s="289"/>
      <c r="OCB16" s="289"/>
      <c r="OCC16" s="289"/>
      <c r="OCD16" s="289"/>
      <c r="OCE16" s="289"/>
      <c r="OCF16" s="289"/>
      <c r="OCG16" s="289"/>
      <c r="OCH16" s="289"/>
      <c r="OCI16" s="289"/>
      <c r="OCJ16" s="289"/>
      <c r="OCK16" s="289"/>
      <c r="OCL16" s="289"/>
      <c r="OCM16" s="289"/>
      <c r="OCN16" s="289"/>
      <c r="OCO16" s="289"/>
      <c r="OCP16" s="289"/>
      <c r="OCQ16" s="289"/>
      <c r="OCR16" s="289"/>
      <c r="OCS16" s="289"/>
      <c r="OCT16" s="289"/>
      <c r="OCU16" s="289"/>
      <c r="OCV16" s="289"/>
      <c r="OCW16" s="289"/>
      <c r="OCX16" s="289"/>
      <c r="OCY16" s="289"/>
      <c r="OCZ16" s="289"/>
      <c r="ODA16" s="289"/>
      <c r="ODB16" s="289"/>
      <c r="ODC16" s="289"/>
      <c r="ODD16" s="289"/>
      <c r="ODE16" s="289"/>
      <c r="ODF16" s="289"/>
      <c r="ODG16" s="289"/>
      <c r="ODH16" s="289"/>
      <c r="ODI16" s="289"/>
      <c r="ODJ16" s="289"/>
      <c r="ODK16" s="289"/>
      <c r="ODL16" s="289"/>
      <c r="ODM16" s="289"/>
      <c r="ODN16" s="289"/>
      <c r="ODO16" s="289"/>
      <c r="ODP16" s="289"/>
      <c r="ODQ16" s="289"/>
      <c r="ODR16" s="289"/>
      <c r="ODS16" s="289"/>
      <c r="ODT16" s="289"/>
      <c r="ODU16" s="289"/>
      <c r="ODV16" s="289"/>
      <c r="ODW16" s="289"/>
      <c r="ODX16" s="289"/>
      <c r="ODY16" s="289"/>
      <c r="ODZ16" s="289"/>
      <c r="OEA16" s="289"/>
      <c r="OEB16" s="289"/>
      <c r="OEC16" s="289"/>
      <c r="OED16" s="289"/>
      <c r="OEE16" s="289"/>
      <c r="OEF16" s="289"/>
      <c r="OEG16" s="289"/>
      <c r="OEH16" s="289"/>
      <c r="OEI16" s="289"/>
      <c r="OEJ16" s="289"/>
      <c r="OEK16" s="289"/>
      <c r="OEL16" s="289"/>
      <c r="OEM16" s="289"/>
      <c r="OEN16" s="289"/>
      <c r="OEO16" s="289"/>
      <c r="OEP16" s="289"/>
      <c r="OEQ16" s="289"/>
      <c r="OER16" s="289"/>
      <c r="OES16" s="289"/>
      <c r="OET16" s="289"/>
      <c r="OEU16" s="289"/>
      <c r="OEV16" s="289"/>
      <c r="OEW16" s="289"/>
      <c r="OEX16" s="289"/>
      <c r="OEY16" s="289"/>
      <c r="OEZ16" s="289"/>
      <c r="OFA16" s="289"/>
      <c r="OFB16" s="289"/>
      <c r="OFC16" s="289"/>
      <c r="OFD16" s="289"/>
      <c r="OFE16" s="289"/>
      <c r="OFF16" s="289"/>
      <c r="OFG16" s="289"/>
      <c r="OFH16" s="289"/>
      <c r="OFI16" s="289"/>
      <c r="OFJ16" s="289"/>
      <c r="OFK16" s="289"/>
      <c r="OFL16" s="289"/>
      <c r="OFM16" s="289"/>
      <c r="OFN16" s="289"/>
      <c r="OFO16" s="289"/>
      <c r="OFP16" s="289"/>
      <c r="OFQ16" s="289"/>
      <c r="OFR16" s="289"/>
      <c r="OFS16" s="289"/>
      <c r="OFT16" s="289"/>
      <c r="OFU16" s="289"/>
      <c r="OFV16" s="289"/>
      <c r="OFW16" s="289"/>
      <c r="OFX16" s="289"/>
      <c r="OFY16" s="289"/>
      <c r="OFZ16" s="289"/>
      <c r="OGA16" s="289"/>
      <c r="OGB16" s="289"/>
      <c r="OGC16" s="289"/>
      <c r="OGD16" s="289"/>
      <c r="OGE16" s="289"/>
      <c r="OGF16" s="289"/>
      <c r="OGG16" s="289"/>
      <c r="OGH16" s="289"/>
      <c r="OGI16" s="289"/>
      <c r="OGJ16" s="289"/>
      <c r="OGK16" s="289"/>
      <c r="OGL16" s="289"/>
      <c r="OGM16" s="289"/>
      <c r="OGN16" s="289"/>
      <c r="OGO16" s="289"/>
      <c r="OGP16" s="289"/>
      <c r="OGQ16" s="289"/>
      <c r="OGR16" s="289"/>
      <c r="OGS16" s="289"/>
      <c r="OGT16" s="289"/>
      <c r="OGU16" s="289"/>
      <c r="OGV16" s="289"/>
      <c r="OGW16" s="289"/>
      <c r="OGX16" s="289"/>
      <c r="OGY16" s="289"/>
      <c r="OGZ16" s="289"/>
      <c r="OHA16" s="289"/>
      <c r="OHB16" s="289"/>
      <c r="OHC16" s="289"/>
      <c r="OHD16" s="289"/>
      <c r="OHE16" s="289"/>
      <c r="OHF16" s="289"/>
      <c r="OHG16" s="289"/>
      <c r="OHH16" s="289"/>
      <c r="OHI16" s="289"/>
      <c r="OHJ16" s="289"/>
      <c r="OHK16" s="289"/>
      <c r="OHL16" s="289"/>
      <c r="OHM16" s="289"/>
      <c r="OHN16" s="289"/>
      <c r="OHO16" s="289"/>
      <c r="OHP16" s="289"/>
      <c r="OHQ16" s="289"/>
      <c r="OHR16" s="289"/>
      <c r="OHS16" s="289"/>
      <c r="OHT16" s="289"/>
      <c r="OHU16" s="289"/>
      <c r="OHV16" s="289"/>
      <c r="OHW16" s="289"/>
      <c r="OHX16" s="289"/>
      <c r="OHY16" s="289"/>
      <c r="OHZ16" s="289"/>
      <c r="OIA16" s="289"/>
      <c r="OIB16" s="289"/>
      <c r="OIC16" s="289"/>
      <c r="OID16" s="289"/>
      <c r="OIE16" s="289"/>
      <c r="OIF16" s="289"/>
      <c r="OIG16" s="289"/>
      <c r="OIH16" s="289"/>
      <c r="OII16" s="289"/>
      <c r="OIJ16" s="289"/>
      <c r="OIK16" s="289"/>
      <c r="OIL16" s="289"/>
      <c r="OIM16" s="289"/>
      <c r="OIN16" s="289"/>
      <c r="OIO16" s="289"/>
      <c r="OIP16" s="289"/>
      <c r="OIQ16" s="289"/>
      <c r="OIR16" s="289"/>
      <c r="OIS16" s="289"/>
      <c r="OIT16" s="289"/>
      <c r="OIU16" s="289"/>
      <c r="OIV16" s="289"/>
      <c r="OIW16" s="289"/>
      <c r="OIX16" s="289"/>
      <c r="OIY16" s="289"/>
      <c r="OIZ16" s="289"/>
      <c r="OJA16" s="289"/>
      <c r="OJB16" s="289"/>
      <c r="OJC16" s="289"/>
      <c r="OJD16" s="289"/>
      <c r="OJE16" s="289"/>
      <c r="OJF16" s="289"/>
      <c r="OJG16" s="289"/>
      <c r="OJH16" s="289"/>
      <c r="OJI16" s="289"/>
      <c r="OJJ16" s="289"/>
      <c r="OJK16" s="289"/>
      <c r="OJL16" s="289"/>
      <c r="OJM16" s="289"/>
      <c r="OJN16" s="289"/>
      <c r="OJO16" s="289"/>
      <c r="OJP16" s="289"/>
      <c r="OJQ16" s="289"/>
      <c r="OJR16" s="289"/>
      <c r="OJS16" s="289"/>
      <c r="OJT16" s="289"/>
      <c r="OJU16" s="289"/>
      <c r="OJV16" s="289"/>
      <c r="OJW16" s="289"/>
      <c r="OJX16" s="289"/>
      <c r="OJY16" s="289"/>
      <c r="OJZ16" s="289"/>
      <c r="OKA16" s="289"/>
      <c r="OKB16" s="289"/>
      <c r="OKC16" s="289"/>
      <c r="OKD16" s="289"/>
      <c r="OKE16" s="289"/>
      <c r="OKF16" s="289"/>
      <c r="OKG16" s="289"/>
      <c r="OKH16" s="289"/>
      <c r="OKI16" s="289"/>
      <c r="OKJ16" s="289"/>
      <c r="OKK16" s="289"/>
      <c r="OKL16" s="289"/>
      <c r="OKM16" s="289"/>
      <c r="OKN16" s="289"/>
      <c r="OKO16" s="289"/>
      <c r="OKP16" s="289"/>
      <c r="OKQ16" s="289"/>
      <c r="OKR16" s="289"/>
      <c r="OKS16" s="289"/>
      <c r="OKT16" s="289"/>
      <c r="OKU16" s="289"/>
      <c r="OKV16" s="289"/>
      <c r="OKW16" s="289"/>
      <c r="OKX16" s="289"/>
      <c r="OKY16" s="289"/>
      <c r="OKZ16" s="289"/>
      <c r="OLA16" s="289"/>
      <c r="OLB16" s="289"/>
      <c r="OLC16" s="289"/>
      <c r="OLD16" s="289"/>
      <c r="OLE16" s="289"/>
      <c r="OLF16" s="289"/>
      <c r="OLG16" s="289"/>
      <c r="OLH16" s="289"/>
      <c r="OLI16" s="289"/>
      <c r="OLJ16" s="289"/>
      <c r="OLK16" s="289"/>
      <c r="OLL16" s="289"/>
      <c r="OLM16" s="289"/>
      <c r="OLN16" s="289"/>
      <c r="OLO16" s="289"/>
      <c r="OLP16" s="289"/>
      <c r="OLQ16" s="289"/>
      <c r="OLR16" s="289"/>
      <c r="OLS16" s="289"/>
      <c r="OLT16" s="289"/>
      <c r="OLU16" s="289"/>
      <c r="OLV16" s="289"/>
      <c r="OLW16" s="289"/>
      <c r="OLX16" s="289"/>
      <c r="OLY16" s="289"/>
      <c r="OLZ16" s="289"/>
      <c r="OMA16" s="289"/>
      <c r="OMB16" s="289"/>
      <c r="OMC16" s="289"/>
      <c r="OMD16" s="289"/>
      <c r="OME16" s="289"/>
      <c r="OMF16" s="289"/>
      <c r="OMG16" s="289"/>
      <c r="OMH16" s="289"/>
      <c r="OMI16" s="289"/>
      <c r="OMJ16" s="289"/>
      <c r="OMK16" s="289"/>
      <c r="OML16" s="289"/>
      <c r="OMM16" s="289"/>
      <c r="OMN16" s="289"/>
      <c r="OMO16" s="289"/>
      <c r="OMP16" s="289"/>
      <c r="OMQ16" s="289"/>
      <c r="OMR16" s="289"/>
      <c r="OMS16" s="289"/>
      <c r="OMT16" s="289"/>
      <c r="OMU16" s="289"/>
      <c r="OMV16" s="289"/>
      <c r="OMW16" s="289"/>
      <c r="OMX16" s="289"/>
      <c r="OMY16" s="289"/>
      <c r="OMZ16" s="289"/>
      <c r="ONA16" s="289"/>
      <c r="ONB16" s="289"/>
      <c r="ONC16" s="289"/>
      <c r="OND16" s="289"/>
      <c r="ONE16" s="289"/>
      <c r="ONF16" s="289"/>
      <c r="ONG16" s="289"/>
      <c r="ONH16" s="289"/>
      <c r="ONI16" s="289"/>
      <c r="ONJ16" s="289"/>
      <c r="ONK16" s="289"/>
      <c r="ONL16" s="289"/>
      <c r="ONM16" s="289"/>
      <c r="ONN16" s="289"/>
      <c r="ONO16" s="289"/>
      <c r="ONP16" s="289"/>
      <c r="ONQ16" s="289"/>
      <c r="ONR16" s="289"/>
      <c r="ONS16" s="289"/>
      <c r="ONT16" s="289"/>
      <c r="ONU16" s="289"/>
      <c r="ONV16" s="289"/>
      <c r="ONW16" s="289"/>
      <c r="ONX16" s="289"/>
      <c r="ONY16" s="289"/>
      <c r="ONZ16" s="289"/>
      <c r="OOA16" s="289"/>
      <c r="OOB16" s="289"/>
      <c r="OOC16" s="289"/>
      <c r="OOD16" s="289"/>
      <c r="OOE16" s="289"/>
      <c r="OOF16" s="289"/>
      <c r="OOG16" s="289"/>
      <c r="OOH16" s="289"/>
      <c r="OOI16" s="289"/>
      <c r="OOJ16" s="289"/>
      <c r="OOK16" s="289"/>
      <c r="OOL16" s="289"/>
      <c r="OOM16" s="289"/>
      <c r="OON16" s="289"/>
      <c r="OOO16" s="289"/>
      <c r="OOP16" s="289"/>
      <c r="OOQ16" s="289"/>
      <c r="OOR16" s="289"/>
      <c r="OOS16" s="289"/>
      <c r="OOT16" s="289"/>
      <c r="OOU16" s="289"/>
      <c r="OOV16" s="289"/>
      <c r="OOW16" s="289"/>
      <c r="OOX16" s="289"/>
      <c r="OOY16" s="289"/>
      <c r="OOZ16" s="289"/>
      <c r="OPA16" s="289"/>
      <c r="OPB16" s="289"/>
      <c r="OPC16" s="289"/>
      <c r="OPD16" s="289"/>
      <c r="OPE16" s="289"/>
      <c r="OPF16" s="289"/>
      <c r="OPG16" s="289"/>
      <c r="OPH16" s="289"/>
      <c r="OPI16" s="289"/>
      <c r="OPJ16" s="289"/>
      <c r="OPK16" s="289"/>
      <c r="OPL16" s="289"/>
      <c r="OPM16" s="289"/>
      <c r="OPN16" s="289"/>
      <c r="OPO16" s="289"/>
      <c r="OPP16" s="289"/>
      <c r="OPQ16" s="289"/>
      <c r="OPR16" s="289"/>
      <c r="OPS16" s="289"/>
      <c r="OPT16" s="289"/>
      <c r="OPU16" s="289"/>
      <c r="OPV16" s="289"/>
      <c r="OPW16" s="289"/>
      <c r="OPX16" s="289"/>
      <c r="OPY16" s="289"/>
      <c r="OPZ16" s="289"/>
      <c r="OQA16" s="289"/>
      <c r="OQB16" s="289"/>
      <c r="OQC16" s="289"/>
      <c r="OQD16" s="289"/>
      <c r="OQE16" s="289"/>
      <c r="OQF16" s="289"/>
      <c r="OQG16" s="289"/>
      <c r="OQH16" s="289"/>
      <c r="OQI16" s="289"/>
      <c r="OQJ16" s="289"/>
      <c r="OQK16" s="289"/>
      <c r="OQL16" s="289"/>
      <c r="OQM16" s="289"/>
      <c r="OQN16" s="289"/>
      <c r="OQO16" s="289"/>
      <c r="OQP16" s="289"/>
      <c r="OQQ16" s="289"/>
      <c r="OQR16" s="289"/>
      <c r="OQS16" s="289"/>
      <c r="OQT16" s="289"/>
      <c r="OQU16" s="289"/>
      <c r="OQV16" s="289"/>
      <c r="OQW16" s="289"/>
      <c r="OQX16" s="289"/>
      <c r="OQY16" s="289"/>
      <c r="OQZ16" s="289"/>
      <c r="ORA16" s="289"/>
      <c r="ORB16" s="289"/>
      <c r="ORC16" s="289"/>
      <c r="ORD16" s="289"/>
      <c r="ORE16" s="289"/>
      <c r="ORF16" s="289"/>
      <c r="ORG16" s="289"/>
      <c r="ORH16" s="289"/>
      <c r="ORI16" s="289"/>
      <c r="ORJ16" s="289"/>
      <c r="ORK16" s="289"/>
      <c r="ORL16" s="289"/>
      <c r="ORM16" s="289"/>
      <c r="ORN16" s="289"/>
      <c r="ORO16" s="289"/>
      <c r="ORP16" s="289"/>
      <c r="ORQ16" s="289"/>
      <c r="ORR16" s="289"/>
      <c r="ORS16" s="289"/>
      <c r="ORT16" s="289"/>
      <c r="ORU16" s="289"/>
      <c r="ORV16" s="289"/>
      <c r="ORW16" s="289"/>
      <c r="ORX16" s="289"/>
      <c r="ORY16" s="289"/>
      <c r="ORZ16" s="289"/>
      <c r="OSA16" s="289"/>
      <c r="OSB16" s="289"/>
      <c r="OSC16" s="289"/>
      <c r="OSD16" s="289"/>
      <c r="OSE16" s="289"/>
      <c r="OSF16" s="289"/>
      <c r="OSG16" s="289"/>
      <c r="OSH16" s="289"/>
      <c r="OSI16" s="289"/>
      <c r="OSJ16" s="289"/>
      <c r="OSK16" s="289"/>
      <c r="OSL16" s="289"/>
      <c r="OSM16" s="289"/>
      <c r="OSN16" s="289"/>
      <c r="OSO16" s="289"/>
      <c r="OSP16" s="289"/>
      <c r="OSQ16" s="289"/>
      <c r="OSR16" s="289"/>
      <c r="OSS16" s="289"/>
      <c r="OST16" s="289"/>
      <c r="OSU16" s="289"/>
      <c r="OSV16" s="289"/>
      <c r="OSW16" s="289"/>
      <c r="OSX16" s="289"/>
      <c r="OSY16" s="289"/>
      <c r="OSZ16" s="289"/>
      <c r="OTA16" s="289"/>
      <c r="OTB16" s="289"/>
      <c r="OTC16" s="289"/>
      <c r="OTD16" s="289"/>
      <c r="OTE16" s="289"/>
      <c r="OTF16" s="289"/>
      <c r="OTG16" s="289"/>
      <c r="OTH16" s="289"/>
      <c r="OTI16" s="289"/>
      <c r="OTJ16" s="289"/>
      <c r="OTK16" s="289"/>
      <c r="OTL16" s="289"/>
      <c r="OTM16" s="289"/>
      <c r="OTN16" s="289"/>
      <c r="OTO16" s="289"/>
      <c r="OTP16" s="289"/>
      <c r="OTQ16" s="289"/>
      <c r="OTR16" s="289"/>
      <c r="OTS16" s="289"/>
      <c r="OTT16" s="289"/>
      <c r="OTU16" s="289"/>
      <c r="OTV16" s="289"/>
      <c r="OTW16" s="289"/>
      <c r="OTX16" s="289"/>
      <c r="OTY16" s="289"/>
      <c r="OTZ16" s="289"/>
      <c r="OUA16" s="289"/>
      <c r="OUB16" s="289"/>
      <c r="OUC16" s="289"/>
      <c r="OUD16" s="289"/>
      <c r="OUE16" s="289"/>
      <c r="OUF16" s="289"/>
      <c r="OUG16" s="289"/>
      <c r="OUH16" s="289"/>
      <c r="OUI16" s="289"/>
      <c r="OUJ16" s="289"/>
      <c r="OUK16" s="289"/>
      <c r="OUL16" s="289"/>
      <c r="OUM16" s="289"/>
      <c r="OUN16" s="289"/>
      <c r="OUO16" s="289"/>
      <c r="OUP16" s="289"/>
      <c r="OUQ16" s="289"/>
      <c r="OUR16" s="289"/>
      <c r="OUS16" s="289"/>
      <c r="OUT16" s="289"/>
      <c r="OUU16" s="289"/>
      <c r="OUV16" s="289"/>
      <c r="OUW16" s="289"/>
      <c r="OUX16" s="289"/>
      <c r="OUY16" s="289"/>
      <c r="OUZ16" s="289"/>
      <c r="OVA16" s="289"/>
      <c r="OVB16" s="289"/>
      <c r="OVC16" s="289"/>
      <c r="OVD16" s="289"/>
      <c r="OVE16" s="289"/>
      <c r="OVF16" s="289"/>
      <c r="OVG16" s="289"/>
      <c r="OVH16" s="289"/>
      <c r="OVI16" s="289"/>
      <c r="OVJ16" s="289"/>
      <c r="OVK16" s="289"/>
      <c r="OVL16" s="289"/>
      <c r="OVM16" s="289"/>
      <c r="OVN16" s="289"/>
      <c r="OVO16" s="289"/>
      <c r="OVP16" s="289"/>
      <c r="OVQ16" s="289"/>
      <c r="OVR16" s="289"/>
      <c r="OVS16" s="289"/>
      <c r="OVT16" s="289"/>
      <c r="OVU16" s="289"/>
      <c r="OVV16" s="289"/>
      <c r="OVW16" s="289"/>
      <c r="OVX16" s="289"/>
      <c r="OVY16" s="289"/>
      <c r="OVZ16" s="289"/>
      <c r="OWA16" s="289"/>
      <c r="OWB16" s="289"/>
      <c r="OWC16" s="289"/>
      <c r="OWD16" s="289"/>
      <c r="OWE16" s="289"/>
      <c r="OWF16" s="289"/>
      <c r="OWG16" s="289"/>
      <c r="OWH16" s="289"/>
      <c r="OWI16" s="289"/>
      <c r="OWJ16" s="289"/>
      <c r="OWK16" s="289"/>
      <c r="OWL16" s="289"/>
      <c r="OWM16" s="289"/>
      <c r="OWN16" s="289"/>
      <c r="OWO16" s="289"/>
      <c r="OWP16" s="289"/>
      <c r="OWQ16" s="289"/>
      <c r="OWR16" s="289"/>
      <c r="OWS16" s="289"/>
      <c r="OWT16" s="289"/>
      <c r="OWU16" s="289"/>
      <c r="OWV16" s="289"/>
      <c r="OWW16" s="289"/>
      <c r="OWX16" s="289"/>
      <c r="OWY16" s="289"/>
      <c r="OWZ16" s="289"/>
      <c r="OXA16" s="289"/>
      <c r="OXB16" s="289"/>
      <c r="OXC16" s="289"/>
      <c r="OXD16" s="289"/>
      <c r="OXE16" s="289"/>
      <c r="OXF16" s="289"/>
      <c r="OXG16" s="289"/>
      <c r="OXH16" s="289"/>
      <c r="OXI16" s="289"/>
      <c r="OXJ16" s="289"/>
      <c r="OXK16" s="289"/>
      <c r="OXL16" s="289"/>
      <c r="OXM16" s="289"/>
      <c r="OXN16" s="289"/>
      <c r="OXO16" s="289"/>
      <c r="OXP16" s="289"/>
      <c r="OXQ16" s="289"/>
      <c r="OXR16" s="289"/>
      <c r="OXS16" s="289"/>
      <c r="OXT16" s="289"/>
      <c r="OXU16" s="289"/>
      <c r="OXV16" s="289"/>
      <c r="OXW16" s="289"/>
      <c r="OXX16" s="289"/>
      <c r="OXY16" s="289"/>
      <c r="OXZ16" s="289"/>
      <c r="OYA16" s="289"/>
      <c r="OYB16" s="289"/>
      <c r="OYC16" s="289"/>
      <c r="OYD16" s="289"/>
      <c r="OYE16" s="289"/>
      <c r="OYF16" s="289"/>
      <c r="OYG16" s="289"/>
      <c r="OYH16" s="289"/>
      <c r="OYI16" s="289"/>
      <c r="OYJ16" s="289"/>
      <c r="OYK16" s="289"/>
      <c r="OYL16" s="289"/>
      <c r="OYM16" s="289"/>
      <c r="OYN16" s="289"/>
      <c r="OYO16" s="289"/>
      <c r="OYP16" s="289"/>
      <c r="OYQ16" s="289"/>
      <c r="OYR16" s="289"/>
      <c r="OYS16" s="289"/>
      <c r="OYT16" s="289"/>
      <c r="OYU16" s="289"/>
      <c r="OYV16" s="289"/>
      <c r="OYW16" s="289"/>
      <c r="OYX16" s="289"/>
      <c r="OYY16" s="289"/>
      <c r="OYZ16" s="289"/>
      <c r="OZA16" s="289"/>
      <c r="OZB16" s="289"/>
      <c r="OZC16" s="289"/>
      <c r="OZD16" s="289"/>
      <c r="OZE16" s="289"/>
      <c r="OZF16" s="289"/>
      <c r="OZG16" s="289"/>
      <c r="OZH16" s="289"/>
      <c r="OZI16" s="289"/>
      <c r="OZJ16" s="289"/>
      <c r="OZK16" s="289"/>
      <c r="OZL16" s="289"/>
      <c r="OZM16" s="289"/>
      <c r="OZN16" s="289"/>
      <c r="OZO16" s="289"/>
      <c r="OZP16" s="289"/>
      <c r="OZQ16" s="289"/>
      <c r="OZR16" s="289"/>
      <c r="OZS16" s="289"/>
      <c r="OZT16" s="289"/>
      <c r="OZU16" s="289"/>
      <c r="OZV16" s="289"/>
      <c r="OZW16" s="289"/>
      <c r="OZX16" s="289"/>
      <c r="OZY16" s="289"/>
      <c r="OZZ16" s="289"/>
      <c r="PAA16" s="289"/>
      <c r="PAB16" s="289"/>
      <c r="PAC16" s="289"/>
      <c r="PAD16" s="289"/>
      <c r="PAE16" s="289"/>
      <c r="PAF16" s="289"/>
      <c r="PAG16" s="289"/>
      <c r="PAH16" s="289"/>
      <c r="PAI16" s="289"/>
      <c r="PAJ16" s="289"/>
      <c r="PAK16" s="289"/>
      <c r="PAL16" s="289"/>
      <c r="PAM16" s="289"/>
      <c r="PAN16" s="289"/>
      <c r="PAO16" s="289"/>
      <c r="PAP16" s="289"/>
      <c r="PAQ16" s="289"/>
      <c r="PAR16" s="289"/>
      <c r="PAS16" s="289"/>
      <c r="PAT16" s="289"/>
      <c r="PAU16" s="289"/>
      <c r="PAV16" s="289"/>
      <c r="PAW16" s="289"/>
      <c r="PAX16" s="289"/>
      <c r="PAY16" s="289"/>
      <c r="PAZ16" s="289"/>
      <c r="PBA16" s="289"/>
      <c r="PBB16" s="289"/>
      <c r="PBC16" s="289"/>
      <c r="PBD16" s="289"/>
      <c r="PBE16" s="289"/>
      <c r="PBF16" s="289"/>
      <c r="PBG16" s="289"/>
      <c r="PBH16" s="289"/>
      <c r="PBI16" s="289"/>
      <c r="PBJ16" s="289"/>
      <c r="PBK16" s="289"/>
      <c r="PBL16" s="289"/>
      <c r="PBM16" s="289"/>
      <c r="PBN16" s="289"/>
      <c r="PBO16" s="289"/>
      <c r="PBP16" s="289"/>
      <c r="PBQ16" s="289"/>
      <c r="PBR16" s="289"/>
      <c r="PBS16" s="289"/>
      <c r="PBT16" s="289"/>
      <c r="PBU16" s="289"/>
      <c r="PBV16" s="289"/>
      <c r="PBW16" s="289"/>
      <c r="PBX16" s="289"/>
      <c r="PBY16" s="289"/>
      <c r="PBZ16" s="289"/>
      <c r="PCA16" s="289"/>
      <c r="PCB16" s="289"/>
      <c r="PCC16" s="289"/>
      <c r="PCD16" s="289"/>
      <c r="PCE16" s="289"/>
      <c r="PCF16" s="289"/>
      <c r="PCG16" s="289"/>
      <c r="PCH16" s="289"/>
      <c r="PCI16" s="289"/>
      <c r="PCJ16" s="289"/>
      <c r="PCK16" s="289"/>
      <c r="PCL16" s="289"/>
      <c r="PCM16" s="289"/>
      <c r="PCN16" s="289"/>
      <c r="PCO16" s="289"/>
      <c r="PCP16" s="289"/>
      <c r="PCQ16" s="289"/>
      <c r="PCR16" s="289"/>
      <c r="PCS16" s="289"/>
      <c r="PCT16" s="289"/>
      <c r="PCU16" s="289"/>
      <c r="PCV16" s="289"/>
      <c r="PCW16" s="289"/>
      <c r="PCX16" s="289"/>
      <c r="PCY16" s="289"/>
      <c r="PCZ16" s="289"/>
      <c r="PDA16" s="289"/>
      <c r="PDB16" s="289"/>
      <c r="PDC16" s="289"/>
      <c r="PDD16" s="289"/>
      <c r="PDE16" s="289"/>
      <c r="PDF16" s="289"/>
      <c r="PDG16" s="289"/>
      <c r="PDH16" s="289"/>
      <c r="PDI16" s="289"/>
      <c r="PDJ16" s="289"/>
      <c r="PDK16" s="289"/>
      <c r="PDL16" s="289"/>
      <c r="PDM16" s="289"/>
      <c r="PDN16" s="289"/>
      <c r="PDO16" s="289"/>
      <c r="PDP16" s="289"/>
      <c r="PDQ16" s="289"/>
      <c r="PDR16" s="289"/>
      <c r="PDS16" s="289"/>
      <c r="PDT16" s="289"/>
      <c r="PDU16" s="289"/>
      <c r="PDV16" s="289"/>
      <c r="PDW16" s="289"/>
      <c r="PDX16" s="289"/>
      <c r="PDY16" s="289"/>
      <c r="PDZ16" s="289"/>
      <c r="PEA16" s="289"/>
      <c r="PEB16" s="289"/>
      <c r="PEC16" s="289"/>
      <c r="PED16" s="289"/>
      <c r="PEE16" s="289"/>
      <c r="PEF16" s="289"/>
      <c r="PEG16" s="289"/>
      <c r="PEH16" s="289"/>
      <c r="PEI16" s="289"/>
      <c r="PEJ16" s="289"/>
      <c r="PEK16" s="289"/>
      <c r="PEL16" s="289"/>
      <c r="PEM16" s="289"/>
      <c r="PEN16" s="289"/>
      <c r="PEO16" s="289"/>
      <c r="PEP16" s="289"/>
      <c r="PEQ16" s="289"/>
      <c r="PER16" s="289"/>
      <c r="PES16" s="289"/>
      <c r="PET16" s="289"/>
      <c r="PEU16" s="289"/>
      <c r="PEV16" s="289"/>
      <c r="PEW16" s="289"/>
      <c r="PEX16" s="289"/>
      <c r="PEY16" s="289"/>
      <c r="PEZ16" s="289"/>
      <c r="PFA16" s="289"/>
      <c r="PFB16" s="289"/>
      <c r="PFC16" s="289"/>
      <c r="PFD16" s="289"/>
      <c r="PFE16" s="289"/>
      <c r="PFF16" s="289"/>
      <c r="PFG16" s="289"/>
      <c r="PFH16" s="289"/>
      <c r="PFI16" s="289"/>
      <c r="PFJ16" s="289"/>
      <c r="PFK16" s="289"/>
      <c r="PFL16" s="289"/>
      <c r="PFM16" s="289"/>
      <c r="PFN16" s="289"/>
      <c r="PFO16" s="289"/>
      <c r="PFP16" s="289"/>
      <c r="PFQ16" s="289"/>
      <c r="PFR16" s="289"/>
      <c r="PFS16" s="289"/>
      <c r="PFT16" s="289"/>
      <c r="PFU16" s="289"/>
      <c r="PFV16" s="289"/>
      <c r="PFW16" s="289"/>
      <c r="PFX16" s="289"/>
      <c r="PFY16" s="289"/>
      <c r="PFZ16" s="289"/>
      <c r="PGA16" s="289"/>
      <c r="PGB16" s="289"/>
      <c r="PGC16" s="289"/>
      <c r="PGD16" s="289"/>
      <c r="PGE16" s="289"/>
      <c r="PGF16" s="289"/>
      <c r="PGG16" s="289"/>
      <c r="PGH16" s="289"/>
      <c r="PGI16" s="289"/>
      <c r="PGJ16" s="289"/>
      <c r="PGK16" s="289"/>
      <c r="PGL16" s="289"/>
      <c r="PGM16" s="289"/>
      <c r="PGN16" s="289"/>
      <c r="PGO16" s="289"/>
      <c r="PGP16" s="289"/>
      <c r="PGQ16" s="289"/>
      <c r="PGR16" s="289"/>
      <c r="PGS16" s="289"/>
      <c r="PGT16" s="289"/>
      <c r="PGU16" s="289"/>
      <c r="PGV16" s="289"/>
      <c r="PGW16" s="289"/>
      <c r="PGX16" s="289"/>
      <c r="PGY16" s="289"/>
      <c r="PGZ16" s="289"/>
      <c r="PHA16" s="289"/>
      <c r="PHB16" s="289"/>
      <c r="PHC16" s="289"/>
      <c r="PHD16" s="289"/>
      <c r="PHE16" s="289"/>
      <c r="PHF16" s="289"/>
      <c r="PHG16" s="289"/>
      <c r="PHH16" s="289"/>
      <c r="PHI16" s="289"/>
      <c r="PHJ16" s="289"/>
      <c r="PHK16" s="289"/>
      <c r="PHL16" s="289"/>
      <c r="PHM16" s="289"/>
      <c r="PHN16" s="289"/>
      <c r="PHO16" s="289"/>
      <c r="PHP16" s="289"/>
      <c r="PHQ16" s="289"/>
      <c r="PHR16" s="289"/>
      <c r="PHS16" s="289"/>
      <c r="PHT16" s="289"/>
      <c r="PHU16" s="289"/>
      <c r="PHV16" s="289"/>
      <c r="PHW16" s="289"/>
      <c r="PHX16" s="289"/>
      <c r="PHY16" s="289"/>
      <c r="PHZ16" s="289"/>
      <c r="PIA16" s="289"/>
      <c r="PIB16" s="289"/>
      <c r="PIC16" s="289"/>
      <c r="PID16" s="289"/>
      <c r="PIE16" s="289"/>
      <c r="PIF16" s="289"/>
      <c r="PIG16" s="289"/>
      <c r="PIH16" s="289"/>
      <c r="PII16" s="289"/>
      <c r="PIJ16" s="289"/>
      <c r="PIK16" s="289"/>
      <c r="PIL16" s="289"/>
      <c r="PIM16" s="289"/>
      <c r="PIN16" s="289"/>
      <c r="PIO16" s="289"/>
      <c r="PIP16" s="289"/>
      <c r="PIQ16" s="289"/>
      <c r="PIR16" s="289"/>
      <c r="PIS16" s="289"/>
      <c r="PIT16" s="289"/>
      <c r="PIU16" s="289"/>
      <c r="PIV16" s="289"/>
      <c r="PIW16" s="289"/>
      <c r="PIX16" s="289"/>
      <c r="PIY16" s="289"/>
      <c r="PIZ16" s="289"/>
      <c r="PJA16" s="289"/>
      <c r="PJB16" s="289"/>
      <c r="PJC16" s="289"/>
      <c r="PJD16" s="289"/>
      <c r="PJE16" s="289"/>
      <c r="PJF16" s="289"/>
      <c r="PJG16" s="289"/>
      <c r="PJH16" s="289"/>
      <c r="PJI16" s="289"/>
      <c r="PJJ16" s="289"/>
      <c r="PJK16" s="289"/>
      <c r="PJL16" s="289"/>
      <c r="PJM16" s="289"/>
      <c r="PJN16" s="289"/>
      <c r="PJO16" s="289"/>
      <c r="PJP16" s="289"/>
      <c r="PJQ16" s="289"/>
      <c r="PJR16" s="289"/>
      <c r="PJS16" s="289"/>
      <c r="PJT16" s="289"/>
      <c r="PJU16" s="289"/>
      <c r="PJV16" s="289"/>
      <c r="PJW16" s="289"/>
      <c r="PJX16" s="289"/>
      <c r="PJY16" s="289"/>
      <c r="PJZ16" s="289"/>
      <c r="PKA16" s="289"/>
      <c r="PKB16" s="289"/>
      <c r="PKC16" s="289"/>
      <c r="PKD16" s="289"/>
      <c r="PKE16" s="289"/>
      <c r="PKF16" s="289"/>
      <c r="PKG16" s="289"/>
      <c r="PKH16" s="289"/>
      <c r="PKI16" s="289"/>
      <c r="PKJ16" s="289"/>
      <c r="PKK16" s="289"/>
      <c r="PKL16" s="289"/>
      <c r="PKM16" s="289"/>
      <c r="PKN16" s="289"/>
      <c r="PKO16" s="289"/>
      <c r="PKP16" s="289"/>
      <c r="PKQ16" s="289"/>
      <c r="PKR16" s="289"/>
      <c r="PKS16" s="289"/>
      <c r="PKT16" s="289"/>
      <c r="PKU16" s="289"/>
      <c r="PKV16" s="289"/>
      <c r="PKW16" s="289"/>
      <c r="PKX16" s="289"/>
      <c r="PKY16" s="289"/>
      <c r="PKZ16" s="289"/>
      <c r="PLA16" s="289"/>
      <c r="PLB16" s="289"/>
      <c r="PLC16" s="289"/>
      <c r="PLD16" s="289"/>
      <c r="PLE16" s="289"/>
      <c r="PLF16" s="289"/>
      <c r="PLG16" s="289"/>
      <c r="PLH16" s="289"/>
      <c r="PLI16" s="289"/>
      <c r="PLJ16" s="289"/>
      <c r="PLK16" s="289"/>
      <c r="PLL16" s="289"/>
      <c r="PLM16" s="289"/>
      <c r="PLN16" s="289"/>
      <c r="PLO16" s="289"/>
      <c r="PLP16" s="289"/>
      <c r="PLQ16" s="289"/>
      <c r="PLR16" s="289"/>
      <c r="PLS16" s="289"/>
      <c r="PLT16" s="289"/>
      <c r="PLU16" s="289"/>
      <c r="PLV16" s="289"/>
      <c r="PLW16" s="289"/>
      <c r="PLX16" s="289"/>
      <c r="PLY16" s="289"/>
      <c r="PLZ16" s="289"/>
      <c r="PMA16" s="289"/>
      <c r="PMB16" s="289"/>
      <c r="PMC16" s="289"/>
      <c r="PMD16" s="289"/>
      <c r="PME16" s="289"/>
      <c r="PMF16" s="289"/>
      <c r="PMG16" s="289"/>
      <c r="PMH16" s="289"/>
      <c r="PMI16" s="289"/>
      <c r="PMJ16" s="289"/>
      <c r="PMK16" s="289"/>
      <c r="PML16" s="289"/>
      <c r="PMM16" s="289"/>
      <c r="PMN16" s="289"/>
      <c r="PMO16" s="289"/>
      <c r="PMP16" s="289"/>
      <c r="PMQ16" s="289"/>
      <c r="PMR16" s="289"/>
      <c r="PMS16" s="289"/>
      <c r="PMT16" s="289"/>
      <c r="PMU16" s="289"/>
      <c r="PMV16" s="289"/>
      <c r="PMW16" s="289"/>
      <c r="PMX16" s="289"/>
      <c r="PMY16" s="289"/>
      <c r="PMZ16" s="289"/>
      <c r="PNA16" s="289"/>
      <c r="PNB16" s="289"/>
      <c r="PNC16" s="289"/>
      <c r="PND16" s="289"/>
      <c r="PNE16" s="289"/>
      <c r="PNF16" s="289"/>
      <c r="PNG16" s="289"/>
      <c r="PNH16" s="289"/>
      <c r="PNI16" s="289"/>
      <c r="PNJ16" s="289"/>
      <c r="PNK16" s="289"/>
      <c r="PNL16" s="289"/>
      <c r="PNM16" s="289"/>
      <c r="PNN16" s="289"/>
      <c r="PNO16" s="289"/>
      <c r="PNP16" s="289"/>
      <c r="PNQ16" s="289"/>
      <c r="PNR16" s="289"/>
      <c r="PNS16" s="289"/>
      <c r="PNT16" s="289"/>
      <c r="PNU16" s="289"/>
      <c r="PNV16" s="289"/>
      <c r="PNW16" s="289"/>
      <c r="PNX16" s="289"/>
      <c r="PNY16" s="289"/>
      <c r="PNZ16" s="289"/>
      <c r="POA16" s="289"/>
      <c r="POB16" s="289"/>
      <c r="POC16" s="289"/>
      <c r="POD16" s="289"/>
      <c r="POE16" s="289"/>
      <c r="POF16" s="289"/>
      <c r="POG16" s="289"/>
      <c r="POH16" s="289"/>
      <c r="POI16" s="289"/>
      <c r="POJ16" s="289"/>
      <c r="POK16" s="289"/>
      <c r="POL16" s="289"/>
      <c r="POM16" s="289"/>
      <c r="PON16" s="289"/>
      <c r="POO16" s="289"/>
      <c r="POP16" s="289"/>
      <c r="POQ16" s="289"/>
      <c r="POR16" s="289"/>
      <c r="POS16" s="289"/>
      <c r="POT16" s="289"/>
      <c r="POU16" s="289"/>
      <c r="POV16" s="289"/>
      <c r="POW16" s="289"/>
      <c r="POX16" s="289"/>
      <c r="POY16" s="289"/>
      <c r="POZ16" s="289"/>
      <c r="PPA16" s="289"/>
      <c r="PPB16" s="289"/>
      <c r="PPC16" s="289"/>
      <c r="PPD16" s="289"/>
      <c r="PPE16" s="289"/>
      <c r="PPF16" s="289"/>
      <c r="PPG16" s="289"/>
      <c r="PPH16" s="289"/>
      <c r="PPI16" s="289"/>
      <c r="PPJ16" s="289"/>
      <c r="PPK16" s="289"/>
      <c r="PPL16" s="289"/>
      <c r="PPM16" s="289"/>
      <c r="PPN16" s="289"/>
      <c r="PPO16" s="289"/>
      <c r="PPP16" s="289"/>
      <c r="PPQ16" s="289"/>
      <c r="PPR16" s="289"/>
      <c r="PPS16" s="289"/>
      <c r="PPT16" s="289"/>
      <c r="PPU16" s="289"/>
      <c r="PPV16" s="289"/>
      <c r="PPW16" s="289"/>
      <c r="PPX16" s="289"/>
      <c r="PPY16" s="289"/>
      <c r="PPZ16" s="289"/>
      <c r="PQA16" s="289"/>
      <c r="PQB16" s="289"/>
      <c r="PQC16" s="289"/>
      <c r="PQD16" s="289"/>
      <c r="PQE16" s="289"/>
      <c r="PQF16" s="289"/>
      <c r="PQG16" s="289"/>
      <c r="PQH16" s="289"/>
      <c r="PQI16" s="289"/>
      <c r="PQJ16" s="289"/>
      <c r="PQK16" s="289"/>
      <c r="PQL16" s="289"/>
      <c r="PQM16" s="289"/>
      <c r="PQN16" s="289"/>
      <c r="PQO16" s="289"/>
      <c r="PQP16" s="289"/>
      <c r="PQQ16" s="289"/>
      <c r="PQR16" s="289"/>
      <c r="PQS16" s="289"/>
      <c r="PQT16" s="289"/>
      <c r="PQU16" s="289"/>
      <c r="PQV16" s="289"/>
      <c r="PQW16" s="289"/>
      <c r="PQX16" s="289"/>
      <c r="PQY16" s="289"/>
      <c r="PQZ16" s="289"/>
      <c r="PRA16" s="289"/>
      <c r="PRB16" s="289"/>
      <c r="PRC16" s="289"/>
      <c r="PRD16" s="289"/>
      <c r="PRE16" s="289"/>
      <c r="PRF16" s="289"/>
      <c r="PRG16" s="289"/>
      <c r="PRH16" s="289"/>
      <c r="PRI16" s="289"/>
      <c r="PRJ16" s="289"/>
      <c r="PRK16" s="289"/>
      <c r="PRL16" s="289"/>
      <c r="PRM16" s="289"/>
      <c r="PRN16" s="289"/>
      <c r="PRO16" s="289"/>
      <c r="PRP16" s="289"/>
      <c r="PRQ16" s="289"/>
      <c r="PRR16" s="289"/>
      <c r="PRS16" s="289"/>
      <c r="PRT16" s="289"/>
      <c r="PRU16" s="289"/>
      <c r="PRV16" s="289"/>
      <c r="PRW16" s="289"/>
      <c r="PRX16" s="289"/>
      <c r="PRY16" s="289"/>
      <c r="PRZ16" s="289"/>
      <c r="PSA16" s="289"/>
      <c r="PSB16" s="289"/>
      <c r="PSC16" s="289"/>
      <c r="PSD16" s="289"/>
      <c r="PSE16" s="289"/>
      <c r="PSF16" s="289"/>
      <c r="PSG16" s="289"/>
      <c r="PSH16" s="289"/>
      <c r="PSI16" s="289"/>
      <c r="PSJ16" s="289"/>
      <c r="PSK16" s="289"/>
      <c r="PSL16" s="289"/>
      <c r="PSM16" s="289"/>
      <c r="PSN16" s="289"/>
      <c r="PSO16" s="289"/>
      <c r="PSP16" s="289"/>
      <c r="PSQ16" s="289"/>
      <c r="PSR16" s="289"/>
      <c r="PSS16" s="289"/>
      <c r="PST16" s="289"/>
      <c r="PSU16" s="289"/>
      <c r="PSV16" s="289"/>
      <c r="PSW16" s="289"/>
      <c r="PSX16" s="289"/>
      <c r="PSY16" s="289"/>
      <c r="PSZ16" s="289"/>
      <c r="PTA16" s="289"/>
      <c r="PTB16" s="289"/>
      <c r="PTC16" s="289"/>
      <c r="PTD16" s="289"/>
      <c r="PTE16" s="289"/>
      <c r="PTF16" s="289"/>
      <c r="PTG16" s="289"/>
      <c r="PTH16" s="289"/>
      <c r="PTI16" s="289"/>
      <c r="PTJ16" s="289"/>
      <c r="PTK16" s="289"/>
      <c r="PTL16" s="289"/>
      <c r="PTM16" s="289"/>
      <c r="PTN16" s="289"/>
      <c r="PTO16" s="289"/>
      <c r="PTP16" s="289"/>
      <c r="PTQ16" s="289"/>
      <c r="PTR16" s="289"/>
      <c r="PTS16" s="289"/>
      <c r="PTT16" s="289"/>
      <c r="PTU16" s="289"/>
      <c r="PTV16" s="289"/>
      <c r="PTW16" s="289"/>
      <c r="PTX16" s="289"/>
      <c r="PTY16" s="289"/>
      <c r="PTZ16" s="289"/>
      <c r="PUA16" s="289"/>
      <c r="PUB16" s="289"/>
      <c r="PUC16" s="289"/>
      <c r="PUD16" s="289"/>
      <c r="PUE16" s="289"/>
      <c r="PUF16" s="289"/>
      <c r="PUG16" s="289"/>
      <c r="PUH16" s="289"/>
      <c r="PUI16" s="289"/>
      <c r="PUJ16" s="289"/>
      <c r="PUK16" s="289"/>
      <c r="PUL16" s="289"/>
      <c r="PUM16" s="289"/>
      <c r="PUN16" s="289"/>
      <c r="PUO16" s="289"/>
      <c r="PUP16" s="289"/>
      <c r="PUQ16" s="289"/>
      <c r="PUR16" s="289"/>
      <c r="PUS16" s="289"/>
      <c r="PUT16" s="289"/>
      <c r="PUU16" s="289"/>
      <c r="PUV16" s="289"/>
      <c r="PUW16" s="289"/>
      <c r="PUX16" s="289"/>
      <c r="PUY16" s="289"/>
      <c r="PUZ16" s="289"/>
      <c r="PVA16" s="289"/>
      <c r="PVB16" s="289"/>
      <c r="PVC16" s="289"/>
      <c r="PVD16" s="289"/>
      <c r="PVE16" s="289"/>
      <c r="PVF16" s="289"/>
      <c r="PVG16" s="289"/>
      <c r="PVH16" s="289"/>
      <c r="PVI16" s="289"/>
      <c r="PVJ16" s="289"/>
      <c r="PVK16" s="289"/>
      <c r="PVL16" s="289"/>
      <c r="PVM16" s="289"/>
      <c r="PVN16" s="289"/>
      <c r="PVO16" s="289"/>
      <c r="PVP16" s="289"/>
      <c r="PVQ16" s="289"/>
      <c r="PVR16" s="289"/>
      <c r="PVS16" s="289"/>
      <c r="PVT16" s="289"/>
      <c r="PVU16" s="289"/>
      <c r="PVV16" s="289"/>
      <c r="PVW16" s="289"/>
      <c r="PVX16" s="289"/>
      <c r="PVY16" s="289"/>
      <c r="PVZ16" s="289"/>
      <c r="PWA16" s="289"/>
      <c r="PWB16" s="289"/>
      <c r="PWC16" s="289"/>
      <c r="PWD16" s="289"/>
      <c r="PWE16" s="289"/>
      <c r="PWF16" s="289"/>
      <c r="PWG16" s="289"/>
      <c r="PWH16" s="289"/>
      <c r="PWI16" s="289"/>
      <c r="PWJ16" s="289"/>
      <c r="PWK16" s="289"/>
      <c r="PWL16" s="289"/>
      <c r="PWM16" s="289"/>
      <c r="PWN16" s="289"/>
      <c r="PWO16" s="289"/>
      <c r="PWP16" s="289"/>
      <c r="PWQ16" s="289"/>
      <c r="PWR16" s="289"/>
      <c r="PWS16" s="289"/>
      <c r="PWT16" s="289"/>
      <c r="PWU16" s="289"/>
      <c r="PWV16" s="289"/>
      <c r="PWW16" s="289"/>
      <c r="PWX16" s="289"/>
      <c r="PWY16" s="289"/>
      <c r="PWZ16" s="289"/>
      <c r="PXA16" s="289"/>
      <c r="PXB16" s="289"/>
      <c r="PXC16" s="289"/>
      <c r="PXD16" s="289"/>
      <c r="PXE16" s="289"/>
      <c r="PXF16" s="289"/>
      <c r="PXG16" s="289"/>
      <c r="PXH16" s="289"/>
      <c r="PXI16" s="289"/>
      <c r="PXJ16" s="289"/>
      <c r="PXK16" s="289"/>
      <c r="PXL16" s="289"/>
      <c r="PXM16" s="289"/>
      <c r="PXN16" s="289"/>
      <c r="PXO16" s="289"/>
      <c r="PXP16" s="289"/>
      <c r="PXQ16" s="289"/>
      <c r="PXR16" s="289"/>
      <c r="PXS16" s="289"/>
      <c r="PXT16" s="289"/>
      <c r="PXU16" s="289"/>
      <c r="PXV16" s="289"/>
      <c r="PXW16" s="289"/>
      <c r="PXX16" s="289"/>
      <c r="PXY16" s="289"/>
      <c r="PXZ16" s="289"/>
      <c r="PYA16" s="289"/>
      <c r="PYB16" s="289"/>
      <c r="PYC16" s="289"/>
      <c r="PYD16" s="289"/>
      <c r="PYE16" s="289"/>
      <c r="PYF16" s="289"/>
      <c r="PYG16" s="289"/>
      <c r="PYH16" s="289"/>
      <c r="PYI16" s="289"/>
      <c r="PYJ16" s="289"/>
      <c r="PYK16" s="289"/>
      <c r="PYL16" s="289"/>
      <c r="PYM16" s="289"/>
      <c r="PYN16" s="289"/>
      <c r="PYO16" s="289"/>
      <c r="PYP16" s="289"/>
      <c r="PYQ16" s="289"/>
      <c r="PYR16" s="289"/>
      <c r="PYS16" s="289"/>
      <c r="PYT16" s="289"/>
      <c r="PYU16" s="289"/>
      <c r="PYV16" s="289"/>
      <c r="PYW16" s="289"/>
      <c r="PYX16" s="289"/>
      <c r="PYY16" s="289"/>
      <c r="PYZ16" s="289"/>
      <c r="PZA16" s="289"/>
      <c r="PZB16" s="289"/>
      <c r="PZC16" s="289"/>
      <c r="PZD16" s="289"/>
      <c r="PZE16" s="289"/>
      <c r="PZF16" s="289"/>
      <c r="PZG16" s="289"/>
      <c r="PZH16" s="289"/>
      <c r="PZI16" s="289"/>
      <c r="PZJ16" s="289"/>
      <c r="PZK16" s="289"/>
      <c r="PZL16" s="289"/>
      <c r="PZM16" s="289"/>
      <c r="PZN16" s="289"/>
      <c r="PZO16" s="289"/>
      <c r="PZP16" s="289"/>
      <c r="PZQ16" s="289"/>
      <c r="PZR16" s="289"/>
      <c r="PZS16" s="289"/>
      <c r="PZT16" s="289"/>
      <c r="PZU16" s="289"/>
      <c r="PZV16" s="289"/>
      <c r="PZW16" s="289"/>
      <c r="PZX16" s="289"/>
      <c r="PZY16" s="289"/>
      <c r="PZZ16" s="289"/>
      <c r="QAA16" s="289"/>
      <c r="QAB16" s="289"/>
      <c r="QAC16" s="289"/>
      <c r="QAD16" s="289"/>
      <c r="QAE16" s="289"/>
      <c r="QAF16" s="289"/>
      <c r="QAG16" s="289"/>
      <c r="QAH16" s="289"/>
      <c r="QAI16" s="289"/>
      <c r="QAJ16" s="289"/>
      <c r="QAK16" s="289"/>
      <c r="QAL16" s="289"/>
      <c r="QAM16" s="289"/>
      <c r="QAN16" s="289"/>
      <c r="QAO16" s="289"/>
      <c r="QAP16" s="289"/>
      <c r="QAQ16" s="289"/>
      <c r="QAR16" s="289"/>
      <c r="QAS16" s="289"/>
      <c r="QAT16" s="289"/>
      <c r="QAU16" s="289"/>
      <c r="QAV16" s="289"/>
      <c r="QAW16" s="289"/>
      <c r="QAX16" s="289"/>
      <c r="QAY16" s="289"/>
      <c r="QAZ16" s="289"/>
      <c r="QBA16" s="289"/>
      <c r="QBB16" s="289"/>
      <c r="QBC16" s="289"/>
      <c r="QBD16" s="289"/>
      <c r="QBE16" s="289"/>
      <c r="QBF16" s="289"/>
      <c r="QBG16" s="289"/>
      <c r="QBH16" s="289"/>
      <c r="QBI16" s="289"/>
      <c r="QBJ16" s="289"/>
      <c r="QBK16" s="289"/>
      <c r="QBL16" s="289"/>
      <c r="QBM16" s="289"/>
      <c r="QBN16" s="289"/>
      <c r="QBO16" s="289"/>
      <c r="QBP16" s="289"/>
      <c r="QBQ16" s="289"/>
      <c r="QBR16" s="289"/>
      <c r="QBS16" s="289"/>
      <c r="QBT16" s="289"/>
      <c r="QBU16" s="289"/>
      <c r="QBV16" s="289"/>
      <c r="QBW16" s="289"/>
      <c r="QBX16" s="289"/>
      <c r="QBY16" s="289"/>
      <c r="QBZ16" s="289"/>
      <c r="QCA16" s="289"/>
      <c r="QCB16" s="289"/>
      <c r="QCC16" s="289"/>
      <c r="QCD16" s="289"/>
      <c r="QCE16" s="289"/>
      <c r="QCF16" s="289"/>
      <c r="QCG16" s="289"/>
      <c r="QCH16" s="289"/>
      <c r="QCI16" s="289"/>
      <c r="QCJ16" s="289"/>
      <c r="QCK16" s="289"/>
      <c r="QCL16" s="289"/>
      <c r="QCM16" s="289"/>
      <c r="QCN16" s="289"/>
      <c r="QCO16" s="289"/>
      <c r="QCP16" s="289"/>
      <c r="QCQ16" s="289"/>
      <c r="QCR16" s="289"/>
      <c r="QCS16" s="289"/>
      <c r="QCT16" s="289"/>
      <c r="QCU16" s="289"/>
      <c r="QCV16" s="289"/>
      <c r="QCW16" s="289"/>
      <c r="QCX16" s="289"/>
      <c r="QCY16" s="289"/>
      <c r="QCZ16" s="289"/>
      <c r="QDA16" s="289"/>
      <c r="QDB16" s="289"/>
      <c r="QDC16" s="289"/>
      <c r="QDD16" s="289"/>
      <c r="QDE16" s="289"/>
      <c r="QDF16" s="289"/>
      <c r="QDG16" s="289"/>
      <c r="QDH16" s="289"/>
      <c r="QDI16" s="289"/>
      <c r="QDJ16" s="289"/>
      <c r="QDK16" s="289"/>
      <c r="QDL16" s="289"/>
      <c r="QDM16" s="289"/>
      <c r="QDN16" s="289"/>
      <c r="QDO16" s="289"/>
      <c r="QDP16" s="289"/>
      <c r="QDQ16" s="289"/>
      <c r="QDR16" s="289"/>
      <c r="QDS16" s="289"/>
      <c r="QDT16" s="289"/>
      <c r="QDU16" s="289"/>
      <c r="QDV16" s="289"/>
      <c r="QDW16" s="289"/>
      <c r="QDX16" s="289"/>
      <c r="QDY16" s="289"/>
      <c r="QDZ16" s="289"/>
      <c r="QEA16" s="289"/>
      <c r="QEB16" s="289"/>
      <c r="QEC16" s="289"/>
      <c r="QED16" s="289"/>
      <c r="QEE16" s="289"/>
      <c r="QEF16" s="289"/>
      <c r="QEG16" s="289"/>
      <c r="QEH16" s="289"/>
      <c r="QEI16" s="289"/>
      <c r="QEJ16" s="289"/>
      <c r="QEK16" s="289"/>
      <c r="QEL16" s="289"/>
      <c r="QEM16" s="289"/>
      <c r="QEN16" s="289"/>
      <c r="QEO16" s="289"/>
      <c r="QEP16" s="289"/>
      <c r="QEQ16" s="289"/>
      <c r="QER16" s="289"/>
      <c r="QES16" s="289"/>
      <c r="QET16" s="289"/>
      <c r="QEU16" s="289"/>
      <c r="QEV16" s="289"/>
      <c r="QEW16" s="289"/>
      <c r="QEX16" s="289"/>
      <c r="QEY16" s="289"/>
      <c r="QEZ16" s="289"/>
      <c r="QFA16" s="289"/>
      <c r="QFB16" s="289"/>
      <c r="QFC16" s="289"/>
      <c r="QFD16" s="289"/>
      <c r="QFE16" s="289"/>
      <c r="QFF16" s="289"/>
      <c r="QFG16" s="289"/>
      <c r="QFH16" s="289"/>
      <c r="QFI16" s="289"/>
      <c r="QFJ16" s="289"/>
      <c r="QFK16" s="289"/>
      <c r="QFL16" s="289"/>
      <c r="QFM16" s="289"/>
      <c r="QFN16" s="289"/>
      <c r="QFO16" s="289"/>
      <c r="QFP16" s="289"/>
      <c r="QFQ16" s="289"/>
      <c r="QFR16" s="289"/>
      <c r="QFS16" s="289"/>
      <c r="QFT16" s="289"/>
      <c r="QFU16" s="289"/>
      <c r="QFV16" s="289"/>
      <c r="QFW16" s="289"/>
      <c r="QFX16" s="289"/>
      <c r="QFY16" s="289"/>
      <c r="QFZ16" s="289"/>
      <c r="QGA16" s="289"/>
      <c r="QGB16" s="289"/>
      <c r="QGC16" s="289"/>
      <c r="QGD16" s="289"/>
      <c r="QGE16" s="289"/>
      <c r="QGF16" s="289"/>
      <c r="QGG16" s="289"/>
      <c r="QGH16" s="289"/>
      <c r="QGI16" s="289"/>
      <c r="QGJ16" s="289"/>
      <c r="QGK16" s="289"/>
      <c r="QGL16" s="289"/>
      <c r="QGM16" s="289"/>
      <c r="QGN16" s="289"/>
      <c r="QGO16" s="289"/>
      <c r="QGP16" s="289"/>
      <c r="QGQ16" s="289"/>
      <c r="QGR16" s="289"/>
      <c r="QGS16" s="289"/>
      <c r="QGT16" s="289"/>
      <c r="QGU16" s="289"/>
      <c r="QGV16" s="289"/>
      <c r="QGW16" s="289"/>
      <c r="QGX16" s="289"/>
      <c r="QGY16" s="289"/>
      <c r="QGZ16" s="289"/>
      <c r="QHA16" s="289"/>
      <c r="QHB16" s="289"/>
      <c r="QHC16" s="289"/>
      <c r="QHD16" s="289"/>
      <c r="QHE16" s="289"/>
      <c r="QHF16" s="289"/>
      <c r="QHG16" s="289"/>
      <c r="QHH16" s="289"/>
      <c r="QHI16" s="289"/>
      <c r="QHJ16" s="289"/>
      <c r="QHK16" s="289"/>
      <c r="QHL16" s="289"/>
      <c r="QHM16" s="289"/>
      <c r="QHN16" s="289"/>
      <c r="QHO16" s="289"/>
      <c r="QHP16" s="289"/>
      <c r="QHQ16" s="289"/>
      <c r="QHR16" s="289"/>
      <c r="QHS16" s="289"/>
      <c r="QHT16" s="289"/>
      <c r="QHU16" s="289"/>
      <c r="QHV16" s="289"/>
      <c r="QHW16" s="289"/>
      <c r="QHX16" s="289"/>
      <c r="QHY16" s="289"/>
      <c r="QHZ16" s="289"/>
      <c r="QIA16" s="289"/>
      <c r="QIB16" s="289"/>
      <c r="QIC16" s="289"/>
      <c r="QID16" s="289"/>
      <c r="QIE16" s="289"/>
      <c r="QIF16" s="289"/>
      <c r="QIG16" s="289"/>
      <c r="QIH16" s="289"/>
      <c r="QII16" s="289"/>
      <c r="QIJ16" s="289"/>
      <c r="QIK16" s="289"/>
      <c r="QIL16" s="289"/>
      <c r="QIM16" s="289"/>
      <c r="QIN16" s="289"/>
      <c r="QIO16" s="289"/>
      <c r="QIP16" s="289"/>
      <c r="QIQ16" s="289"/>
      <c r="QIR16" s="289"/>
      <c r="QIS16" s="289"/>
      <c r="QIT16" s="289"/>
      <c r="QIU16" s="289"/>
      <c r="QIV16" s="289"/>
      <c r="QIW16" s="289"/>
      <c r="QIX16" s="289"/>
      <c r="QIY16" s="289"/>
      <c r="QIZ16" s="289"/>
      <c r="QJA16" s="289"/>
      <c r="QJB16" s="289"/>
      <c r="QJC16" s="289"/>
      <c r="QJD16" s="289"/>
      <c r="QJE16" s="289"/>
      <c r="QJF16" s="289"/>
      <c r="QJG16" s="289"/>
      <c r="QJH16" s="289"/>
      <c r="QJI16" s="289"/>
      <c r="QJJ16" s="289"/>
      <c r="QJK16" s="289"/>
      <c r="QJL16" s="289"/>
      <c r="QJM16" s="289"/>
      <c r="QJN16" s="289"/>
      <c r="QJO16" s="289"/>
      <c r="QJP16" s="289"/>
      <c r="QJQ16" s="289"/>
      <c r="QJR16" s="289"/>
      <c r="QJS16" s="289"/>
      <c r="QJT16" s="289"/>
      <c r="QJU16" s="289"/>
      <c r="QJV16" s="289"/>
      <c r="QJW16" s="289"/>
      <c r="QJX16" s="289"/>
      <c r="QJY16" s="289"/>
      <c r="QJZ16" s="289"/>
      <c r="QKA16" s="289"/>
      <c r="QKB16" s="289"/>
      <c r="QKC16" s="289"/>
      <c r="QKD16" s="289"/>
      <c r="QKE16" s="289"/>
      <c r="QKF16" s="289"/>
      <c r="QKG16" s="289"/>
      <c r="QKH16" s="289"/>
      <c r="QKI16" s="289"/>
      <c r="QKJ16" s="289"/>
      <c r="QKK16" s="289"/>
      <c r="QKL16" s="289"/>
      <c r="QKM16" s="289"/>
      <c r="QKN16" s="289"/>
      <c r="QKO16" s="289"/>
      <c r="QKP16" s="289"/>
      <c r="QKQ16" s="289"/>
      <c r="QKR16" s="289"/>
      <c r="QKS16" s="289"/>
      <c r="QKT16" s="289"/>
      <c r="QKU16" s="289"/>
      <c r="QKV16" s="289"/>
      <c r="QKW16" s="289"/>
      <c r="QKX16" s="289"/>
      <c r="QKY16" s="289"/>
      <c r="QKZ16" s="289"/>
      <c r="QLA16" s="289"/>
      <c r="QLB16" s="289"/>
      <c r="QLC16" s="289"/>
      <c r="QLD16" s="289"/>
      <c r="QLE16" s="289"/>
      <c r="QLF16" s="289"/>
      <c r="QLG16" s="289"/>
      <c r="QLH16" s="289"/>
      <c r="QLI16" s="289"/>
      <c r="QLJ16" s="289"/>
      <c r="QLK16" s="289"/>
      <c r="QLL16" s="289"/>
      <c r="QLM16" s="289"/>
      <c r="QLN16" s="289"/>
      <c r="QLO16" s="289"/>
      <c r="QLP16" s="289"/>
      <c r="QLQ16" s="289"/>
      <c r="QLR16" s="289"/>
      <c r="QLS16" s="289"/>
      <c r="QLT16" s="289"/>
      <c r="QLU16" s="289"/>
      <c r="QLV16" s="289"/>
      <c r="QLW16" s="289"/>
      <c r="QLX16" s="289"/>
      <c r="QLY16" s="289"/>
      <c r="QLZ16" s="289"/>
      <c r="QMA16" s="289"/>
      <c r="QMB16" s="289"/>
      <c r="QMC16" s="289"/>
      <c r="QMD16" s="289"/>
      <c r="QME16" s="289"/>
      <c r="QMF16" s="289"/>
      <c r="QMG16" s="289"/>
      <c r="QMH16" s="289"/>
      <c r="QMI16" s="289"/>
      <c r="QMJ16" s="289"/>
      <c r="QMK16" s="289"/>
      <c r="QML16" s="289"/>
      <c r="QMM16" s="289"/>
      <c r="QMN16" s="289"/>
      <c r="QMO16" s="289"/>
      <c r="QMP16" s="289"/>
      <c r="QMQ16" s="289"/>
      <c r="QMR16" s="289"/>
      <c r="QMS16" s="289"/>
      <c r="QMT16" s="289"/>
      <c r="QMU16" s="289"/>
      <c r="QMV16" s="289"/>
      <c r="QMW16" s="289"/>
      <c r="QMX16" s="289"/>
      <c r="QMY16" s="289"/>
      <c r="QMZ16" s="289"/>
      <c r="QNA16" s="289"/>
      <c r="QNB16" s="289"/>
      <c r="QNC16" s="289"/>
      <c r="QND16" s="289"/>
      <c r="QNE16" s="289"/>
      <c r="QNF16" s="289"/>
      <c r="QNG16" s="289"/>
      <c r="QNH16" s="289"/>
      <c r="QNI16" s="289"/>
      <c r="QNJ16" s="289"/>
      <c r="QNK16" s="289"/>
      <c r="QNL16" s="289"/>
      <c r="QNM16" s="289"/>
      <c r="QNN16" s="289"/>
      <c r="QNO16" s="289"/>
      <c r="QNP16" s="289"/>
      <c r="QNQ16" s="289"/>
      <c r="QNR16" s="289"/>
      <c r="QNS16" s="289"/>
      <c r="QNT16" s="289"/>
      <c r="QNU16" s="289"/>
      <c r="QNV16" s="289"/>
      <c r="QNW16" s="289"/>
      <c r="QNX16" s="289"/>
      <c r="QNY16" s="289"/>
      <c r="QNZ16" s="289"/>
      <c r="QOA16" s="289"/>
      <c r="QOB16" s="289"/>
      <c r="QOC16" s="289"/>
      <c r="QOD16" s="289"/>
      <c r="QOE16" s="289"/>
      <c r="QOF16" s="289"/>
      <c r="QOG16" s="289"/>
      <c r="QOH16" s="289"/>
      <c r="QOI16" s="289"/>
      <c r="QOJ16" s="289"/>
      <c r="QOK16" s="289"/>
      <c r="QOL16" s="289"/>
      <c r="QOM16" s="289"/>
      <c r="QON16" s="289"/>
      <c r="QOO16" s="289"/>
      <c r="QOP16" s="289"/>
      <c r="QOQ16" s="289"/>
      <c r="QOR16" s="289"/>
      <c r="QOS16" s="289"/>
      <c r="QOT16" s="289"/>
      <c r="QOU16" s="289"/>
      <c r="QOV16" s="289"/>
      <c r="QOW16" s="289"/>
      <c r="QOX16" s="289"/>
      <c r="QOY16" s="289"/>
      <c r="QOZ16" s="289"/>
      <c r="QPA16" s="289"/>
      <c r="QPB16" s="289"/>
      <c r="QPC16" s="289"/>
      <c r="QPD16" s="289"/>
      <c r="QPE16" s="289"/>
      <c r="QPF16" s="289"/>
      <c r="QPG16" s="289"/>
      <c r="QPH16" s="289"/>
      <c r="QPI16" s="289"/>
      <c r="QPJ16" s="289"/>
      <c r="QPK16" s="289"/>
      <c r="QPL16" s="289"/>
      <c r="QPM16" s="289"/>
      <c r="QPN16" s="289"/>
      <c r="QPO16" s="289"/>
      <c r="QPP16" s="289"/>
      <c r="QPQ16" s="289"/>
      <c r="QPR16" s="289"/>
      <c r="QPS16" s="289"/>
      <c r="QPT16" s="289"/>
      <c r="QPU16" s="289"/>
      <c r="QPV16" s="289"/>
      <c r="QPW16" s="289"/>
      <c r="QPX16" s="289"/>
      <c r="QPY16" s="289"/>
      <c r="QPZ16" s="289"/>
      <c r="QQA16" s="289"/>
      <c r="QQB16" s="289"/>
      <c r="QQC16" s="289"/>
      <c r="QQD16" s="289"/>
      <c r="QQE16" s="289"/>
      <c r="QQF16" s="289"/>
      <c r="QQG16" s="289"/>
      <c r="QQH16" s="289"/>
      <c r="QQI16" s="289"/>
      <c r="QQJ16" s="289"/>
      <c r="QQK16" s="289"/>
      <c r="QQL16" s="289"/>
      <c r="QQM16" s="289"/>
      <c r="QQN16" s="289"/>
      <c r="QQO16" s="289"/>
      <c r="QQP16" s="289"/>
      <c r="QQQ16" s="289"/>
      <c r="QQR16" s="289"/>
      <c r="QQS16" s="289"/>
      <c r="QQT16" s="289"/>
      <c r="QQU16" s="289"/>
      <c r="QQV16" s="289"/>
      <c r="QQW16" s="289"/>
      <c r="QQX16" s="289"/>
      <c r="QQY16" s="289"/>
      <c r="QQZ16" s="289"/>
      <c r="QRA16" s="289"/>
      <c r="QRB16" s="289"/>
      <c r="QRC16" s="289"/>
      <c r="QRD16" s="289"/>
      <c r="QRE16" s="289"/>
      <c r="QRF16" s="289"/>
      <c r="QRG16" s="289"/>
      <c r="QRH16" s="289"/>
      <c r="QRI16" s="289"/>
      <c r="QRJ16" s="289"/>
      <c r="QRK16" s="289"/>
      <c r="QRL16" s="289"/>
      <c r="QRM16" s="289"/>
      <c r="QRN16" s="289"/>
      <c r="QRO16" s="289"/>
      <c r="QRP16" s="289"/>
      <c r="QRQ16" s="289"/>
      <c r="QRR16" s="289"/>
      <c r="QRS16" s="289"/>
      <c r="QRT16" s="289"/>
      <c r="QRU16" s="289"/>
      <c r="QRV16" s="289"/>
      <c r="QRW16" s="289"/>
      <c r="QRX16" s="289"/>
      <c r="QRY16" s="289"/>
      <c r="QRZ16" s="289"/>
      <c r="QSA16" s="289"/>
      <c r="QSB16" s="289"/>
      <c r="QSC16" s="289"/>
      <c r="QSD16" s="289"/>
      <c r="QSE16" s="289"/>
      <c r="QSF16" s="289"/>
      <c r="QSG16" s="289"/>
      <c r="QSH16" s="289"/>
      <c r="QSI16" s="289"/>
      <c r="QSJ16" s="289"/>
      <c r="QSK16" s="289"/>
      <c r="QSL16" s="289"/>
      <c r="QSM16" s="289"/>
      <c r="QSN16" s="289"/>
      <c r="QSO16" s="289"/>
      <c r="QSP16" s="289"/>
      <c r="QSQ16" s="289"/>
      <c r="QSR16" s="289"/>
      <c r="QSS16" s="289"/>
      <c r="QST16" s="289"/>
      <c r="QSU16" s="289"/>
      <c r="QSV16" s="289"/>
      <c r="QSW16" s="289"/>
      <c r="QSX16" s="289"/>
      <c r="QSY16" s="289"/>
      <c r="QSZ16" s="289"/>
      <c r="QTA16" s="289"/>
      <c r="QTB16" s="289"/>
      <c r="QTC16" s="289"/>
      <c r="QTD16" s="289"/>
      <c r="QTE16" s="289"/>
      <c r="QTF16" s="289"/>
      <c r="QTG16" s="289"/>
      <c r="QTH16" s="289"/>
      <c r="QTI16" s="289"/>
      <c r="QTJ16" s="289"/>
      <c r="QTK16" s="289"/>
      <c r="QTL16" s="289"/>
      <c r="QTM16" s="289"/>
      <c r="QTN16" s="289"/>
      <c r="QTO16" s="289"/>
      <c r="QTP16" s="289"/>
      <c r="QTQ16" s="289"/>
      <c r="QTR16" s="289"/>
      <c r="QTS16" s="289"/>
      <c r="QTT16" s="289"/>
      <c r="QTU16" s="289"/>
      <c r="QTV16" s="289"/>
      <c r="QTW16" s="289"/>
      <c r="QTX16" s="289"/>
      <c r="QTY16" s="289"/>
      <c r="QTZ16" s="289"/>
      <c r="QUA16" s="289"/>
      <c r="QUB16" s="289"/>
      <c r="QUC16" s="289"/>
      <c r="QUD16" s="289"/>
      <c r="QUE16" s="289"/>
      <c r="QUF16" s="289"/>
      <c r="QUG16" s="289"/>
      <c r="QUH16" s="289"/>
      <c r="QUI16" s="289"/>
      <c r="QUJ16" s="289"/>
      <c r="QUK16" s="289"/>
      <c r="QUL16" s="289"/>
      <c r="QUM16" s="289"/>
      <c r="QUN16" s="289"/>
      <c r="QUO16" s="289"/>
      <c r="QUP16" s="289"/>
      <c r="QUQ16" s="289"/>
      <c r="QUR16" s="289"/>
      <c r="QUS16" s="289"/>
      <c r="QUT16" s="289"/>
      <c r="QUU16" s="289"/>
      <c r="QUV16" s="289"/>
      <c r="QUW16" s="289"/>
      <c r="QUX16" s="289"/>
      <c r="QUY16" s="289"/>
      <c r="QUZ16" s="289"/>
      <c r="QVA16" s="289"/>
      <c r="QVB16" s="289"/>
      <c r="QVC16" s="289"/>
      <c r="QVD16" s="289"/>
      <c r="QVE16" s="289"/>
      <c r="QVF16" s="289"/>
      <c r="QVG16" s="289"/>
      <c r="QVH16" s="289"/>
      <c r="QVI16" s="289"/>
      <c r="QVJ16" s="289"/>
      <c r="QVK16" s="289"/>
      <c r="QVL16" s="289"/>
      <c r="QVM16" s="289"/>
      <c r="QVN16" s="289"/>
      <c r="QVO16" s="289"/>
      <c r="QVP16" s="289"/>
      <c r="QVQ16" s="289"/>
      <c r="QVR16" s="289"/>
      <c r="QVS16" s="289"/>
      <c r="QVT16" s="289"/>
      <c r="QVU16" s="289"/>
      <c r="QVV16" s="289"/>
      <c r="QVW16" s="289"/>
      <c r="QVX16" s="289"/>
      <c r="QVY16" s="289"/>
      <c r="QVZ16" s="289"/>
      <c r="QWA16" s="289"/>
      <c r="QWB16" s="289"/>
      <c r="QWC16" s="289"/>
      <c r="QWD16" s="289"/>
      <c r="QWE16" s="289"/>
      <c r="QWF16" s="289"/>
      <c r="QWG16" s="289"/>
      <c r="QWH16" s="289"/>
      <c r="QWI16" s="289"/>
      <c r="QWJ16" s="289"/>
      <c r="QWK16" s="289"/>
      <c r="QWL16" s="289"/>
      <c r="QWM16" s="289"/>
      <c r="QWN16" s="289"/>
      <c r="QWO16" s="289"/>
      <c r="QWP16" s="289"/>
      <c r="QWQ16" s="289"/>
      <c r="QWR16" s="289"/>
      <c r="QWS16" s="289"/>
      <c r="QWT16" s="289"/>
      <c r="QWU16" s="289"/>
      <c r="QWV16" s="289"/>
      <c r="QWW16" s="289"/>
      <c r="QWX16" s="289"/>
      <c r="QWY16" s="289"/>
      <c r="QWZ16" s="289"/>
      <c r="QXA16" s="289"/>
      <c r="QXB16" s="289"/>
      <c r="QXC16" s="289"/>
      <c r="QXD16" s="289"/>
      <c r="QXE16" s="289"/>
      <c r="QXF16" s="289"/>
      <c r="QXG16" s="289"/>
      <c r="QXH16" s="289"/>
      <c r="QXI16" s="289"/>
      <c r="QXJ16" s="289"/>
      <c r="QXK16" s="289"/>
      <c r="QXL16" s="289"/>
      <c r="QXM16" s="289"/>
      <c r="QXN16" s="289"/>
      <c r="QXO16" s="289"/>
      <c r="QXP16" s="289"/>
      <c r="QXQ16" s="289"/>
      <c r="QXR16" s="289"/>
      <c r="QXS16" s="289"/>
      <c r="QXT16" s="289"/>
      <c r="QXU16" s="289"/>
      <c r="QXV16" s="289"/>
      <c r="QXW16" s="289"/>
      <c r="QXX16" s="289"/>
      <c r="QXY16" s="289"/>
      <c r="QXZ16" s="289"/>
      <c r="QYA16" s="289"/>
      <c r="QYB16" s="289"/>
      <c r="QYC16" s="289"/>
      <c r="QYD16" s="289"/>
      <c r="QYE16" s="289"/>
      <c r="QYF16" s="289"/>
      <c r="QYG16" s="289"/>
      <c r="QYH16" s="289"/>
      <c r="QYI16" s="289"/>
      <c r="QYJ16" s="289"/>
      <c r="QYK16" s="289"/>
      <c r="QYL16" s="289"/>
      <c r="QYM16" s="289"/>
      <c r="QYN16" s="289"/>
      <c r="QYO16" s="289"/>
      <c r="QYP16" s="289"/>
      <c r="QYQ16" s="289"/>
      <c r="QYR16" s="289"/>
      <c r="QYS16" s="289"/>
      <c r="QYT16" s="289"/>
      <c r="QYU16" s="289"/>
      <c r="QYV16" s="289"/>
      <c r="QYW16" s="289"/>
      <c r="QYX16" s="289"/>
      <c r="QYY16" s="289"/>
      <c r="QYZ16" s="289"/>
      <c r="QZA16" s="289"/>
      <c r="QZB16" s="289"/>
      <c r="QZC16" s="289"/>
      <c r="QZD16" s="289"/>
      <c r="QZE16" s="289"/>
      <c r="QZF16" s="289"/>
      <c r="QZG16" s="289"/>
      <c r="QZH16" s="289"/>
      <c r="QZI16" s="289"/>
      <c r="QZJ16" s="289"/>
      <c r="QZK16" s="289"/>
      <c r="QZL16" s="289"/>
      <c r="QZM16" s="289"/>
      <c r="QZN16" s="289"/>
      <c r="QZO16" s="289"/>
      <c r="QZP16" s="289"/>
      <c r="QZQ16" s="289"/>
      <c r="QZR16" s="289"/>
      <c r="QZS16" s="289"/>
      <c r="QZT16" s="289"/>
      <c r="QZU16" s="289"/>
      <c r="QZV16" s="289"/>
      <c r="QZW16" s="289"/>
      <c r="QZX16" s="289"/>
      <c r="QZY16" s="289"/>
      <c r="QZZ16" s="289"/>
      <c r="RAA16" s="289"/>
      <c r="RAB16" s="289"/>
      <c r="RAC16" s="289"/>
      <c r="RAD16" s="289"/>
      <c r="RAE16" s="289"/>
      <c r="RAF16" s="289"/>
      <c r="RAG16" s="289"/>
      <c r="RAH16" s="289"/>
      <c r="RAI16" s="289"/>
      <c r="RAJ16" s="289"/>
      <c r="RAK16" s="289"/>
      <c r="RAL16" s="289"/>
      <c r="RAM16" s="289"/>
      <c r="RAN16" s="289"/>
      <c r="RAO16" s="289"/>
      <c r="RAP16" s="289"/>
      <c r="RAQ16" s="289"/>
      <c r="RAR16" s="289"/>
      <c r="RAS16" s="289"/>
      <c r="RAT16" s="289"/>
      <c r="RAU16" s="289"/>
      <c r="RAV16" s="289"/>
      <c r="RAW16" s="289"/>
      <c r="RAX16" s="289"/>
      <c r="RAY16" s="289"/>
      <c r="RAZ16" s="289"/>
      <c r="RBA16" s="289"/>
      <c r="RBB16" s="289"/>
      <c r="RBC16" s="289"/>
      <c r="RBD16" s="289"/>
      <c r="RBE16" s="289"/>
      <c r="RBF16" s="289"/>
      <c r="RBG16" s="289"/>
      <c r="RBH16" s="289"/>
      <c r="RBI16" s="289"/>
      <c r="RBJ16" s="289"/>
      <c r="RBK16" s="289"/>
      <c r="RBL16" s="289"/>
      <c r="RBM16" s="289"/>
      <c r="RBN16" s="289"/>
      <c r="RBO16" s="289"/>
      <c r="RBP16" s="289"/>
      <c r="RBQ16" s="289"/>
      <c r="RBR16" s="289"/>
      <c r="RBS16" s="289"/>
      <c r="RBT16" s="289"/>
      <c r="RBU16" s="289"/>
      <c r="RBV16" s="289"/>
      <c r="RBW16" s="289"/>
      <c r="RBX16" s="289"/>
      <c r="RBY16" s="289"/>
      <c r="RBZ16" s="289"/>
      <c r="RCA16" s="289"/>
      <c r="RCB16" s="289"/>
      <c r="RCC16" s="289"/>
      <c r="RCD16" s="289"/>
      <c r="RCE16" s="289"/>
      <c r="RCF16" s="289"/>
      <c r="RCG16" s="289"/>
      <c r="RCH16" s="289"/>
      <c r="RCI16" s="289"/>
      <c r="RCJ16" s="289"/>
      <c r="RCK16" s="289"/>
      <c r="RCL16" s="289"/>
      <c r="RCM16" s="289"/>
      <c r="RCN16" s="289"/>
      <c r="RCO16" s="289"/>
      <c r="RCP16" s="289"/>
      <c r="RCQ16" s="289"/>
      <c r="RCR16" s="289"/>
      <c r="RCS16" s="289"/>
      <c r="RCT16" s="289"/>
      <c r="RCU16" s="289"/>
      <c r="RCV16" s="289"/>
      <c r="RCW16" s="289"/>
      <c r="RCX16" s="289"/>
      <c r="RCY16" s="289"/>
      <c r="RCZ16" s="289"/>
      <c r="RDA16" s="289"/>
      <c r="RDB16" s="289"/>
      <c r="RDC16" s="289"/>
      <c r="RDD16" s="289"/>
      <c r="RDE16" s="289"/>
      <c r="RDF16" s="289"/>
      <c r="RDG16" s="289"/>
      <c r="RDH16" s="289"/>
      <c r="RDI16" s="289"/>
      <c r="RDJ16" s="289"/>
      <c r="RDK16" s="289"/>
      <c r="RDL16" s="289"/>
      <c r="RDM16" s="289"/>
      <c r="RDN16" s="289"/>
      <c r="RDO16" s="289"/>
      <c r="RDP16" s="289"/>
      <c r="RDQ16" s="289"/>
      <c r="RDR16" s="289"/>
      <c r="RDS16" s="289"/>
      <c r="RDT16" s="289"/>
      <c r="RDU16" s="289"/>
      <c r="RDV16" s="289"/>
      <c r="RDW16" s="289"/>
      <c r="RDX16" s="289"/>
      <c r="RDY16" s="289"/>
      <c r="RDZ16" s="289"/>
      <c r="REA16" s="289"/>
      <c r="REB16" s="289"/>
      <c r="REC16" s="289"/>
      <c r="RED16" s="289"/>
      <c r="REE16" s="289"/>
      <c r="REF16" s="289"/>
      <c r="REG16" s="289"/>
      <c r="REH16" s="289"/>
      <c r="REI16" s="289"/>
      <c r="REJ16" s="289"/>
      <c r="REK16" s="289"/>
      <c r="REL16" s="289"/>
      <c r="REM16" s="289"/>
      <c r="REN16" s="289"/>
      <c r="REO16" s="289"/>
      <c r="REP16" s="289"/>
      <c r="REQ16" s="289"/>
      <c r="RER16" s="289"/>
      <c r="RES16" s="289"/>
      <c r="RET16" s="289"/>
      <c r="REU16" s="289"/>
      <c r="REV16" s="289"/>
      <c r="REW16" s="289"/>
      <c r="REX16" s="289"/>
      <c r="REY16" s="289"/>
      <c r="REZ16" s="289"/>
      <c r="RFA16" s="289"/>
      <c r="RFB16" s="289"/>
      <c r="RFC16" s="289"/>
      <c r="RFD16" s="289"/>
      <c r="RFE16" s="289"/>
      <c r="RFF16" s="289"/>
      <c r="RFG16" s="289"/>
      <c r="RFH16" s="289"/>
      <c r="RFI16" s="289"/>
      <c r="RFJ16" s="289"/>
      <c r="RFK16" s="289"/>
      <c r="RFL16" s="289"/>
      <c r="RFM16" s="289"/>
      <c r="RFN16" s="289"/>
      <c r="RFO16" s="289"/>
      <c r="RFP16" s="289"/>
      <c r="RFQ16" s="289"/>
      <c r="RFR16" s="289"/>
      <c r="RFS16" s="289"/>
      <c r="RFT16" s="289"/>
      <c r="RFU16" s="289"/>
      <c r="RFV16" s="289"/>
      <c r="RFW16" s="289"/>
      <c r="RFX16" s="289"/>
      <c r="RFY16" s="289"/>
      <c r="RFZ16" s="289"/>
      <c r="RGA16" s="289"/>
      <c r="RGB16" s="289"/>
      <c r="RGC16" s="289"/>
      <c r="RGD16" s="289"/>
      <c r="RGE16" s="289"/>
      <c r="RGF16" s="289"/>
      <c r="RGG16" s="289"/>
      <c r="RGH16" s="289"/>
      <c r="RGI16" s="289"/>
      <c r="RGJ16" s="289"/>
      <c r="RGK16" s="289"/>
      <c r="RGL16" s="289"/>
      <c r="RGM16" s="289"/>
      <c r="RGN16" s="289"/>
      <c r="RGO16" s="289"/>
      <c r="RGP16" s="289"/>
      <c r="RGQ16" s="289"/>
      <c r="RGR16" s="289"/>
      <c r="RGS16" s="289"/>
      <c r="RGT16" s="289"/>
      <c r="RGU16" s="289"/>
      <c r="RGV16" s="289"/>
      <c r="RGW16" s="289"/>
      <c r="RGX16" s="289"/>
      <c r="RGY16" s="289"/>
      <c r="RGZ16" s="289"/>
      <c r="RHA16" s="289"/>
      <c r="RHB16" s="289"/>
      <c r="RHC16" s="289"/>
      <c r="RHD16" s="289"/>
      <c r="RHE16" s="289"/>
      <c r="RHF16" s="289"/>
      <c r="RHG16" s="289"/>
      <c r="RHH16" s="289"/>
      <c r="RHI16" s="289"/>
      <c r="RHJ16" s="289"/>
      <c r="RHK16" s="289"/>
      <c r="RHL16" s="289"/>
      <c r="RHM16" s="289"/>
      <c r="RHN16" s="289"/>
      <c r="RHO16" s="289"/>
      <c r="RHP16" s="289"/>
      <c r="RHQ16" s="289"/>
      <c r="RHR16" s="289"/>
      <c r="RHS16" s="289"/>
      <c r="RHT16" s="289"/>
      <c r="RHU16" s="289"/>
      <c r="RHV16" s="289"/>
      <c r="RHW16" s="289"/>
      <c r="RHX16" s="289"/>
      <c r="RHY16" s="289"/>
      <c r="RHZ16" s="289"/>
      <c r="RIA16" s="289"/>
      <c r="RIB16" s="289"/>
      <c r="RIC16" s="289"/>
      <c r="RID16" s="289"/>
      <c r="RIE16" s="289"/>
      <c r="RIF16" s="289"/>
      <c r="RIG16" s="289"/>
      <c r="RIH16" s="289"/>
      <c r="RII16" s="289"/>
      <c r="RIJ16" s="289"/>
      <c r="RIK16" s="289"/>
      <c r="RIL16" s="289"/>
      <c r="RIM16" s="289"/>
      <c r="RIN16" s="289"/>
      <c r="RIO16" s="289"/>
      <c r="RIP16" s="289"/>
      <c r="RIQ16" s="289"/>
      <c r="RIR16" s="289"/>
      <c r="RIS16" s="289"/>
      <c r="RIT16" s="289"/>
      <c r="RIU16" s="289"/>
      <c r="RIV16" s="289"/>
      <c r="RIW16" s="289"/>
      <c r="RIX16" s="289"/>
      <c r="RIY16" s="289"/>
      <c r="RIZ16" s="289"/>
      <c r="RJA16" s="289"/>
      <c r="RJB16" s="289"/>
      <c r="RJC16" s="289"/>
      <c r="RJD16" s="289"/>
      <c r="RJE16" s="289"/>
      <c r="RJF16" s="289"/>
      <c r="RJG16" s="289"/>
      <c r="RJH16" s="289"/>
      <c r="RJI16" s="289"/>
      <c r="RJJ16" s="289"/>
      <c r="RJK16" s="289"/>
      <c r="RJL16" s="289"/>
      <c r="RJM16" s="289"/>
      <c r="RJN16" s="289"/>
      <c r="RJO16" s="289"/>
      <c r="RJP16" s="289"/>
      <c r="RJQ16" s="289"/>
      <c r="RJR16" s="289"/>
      <c r="RJS16" s="289"/>
      <c r="RJT16" s="289"/>
      <c r="RJU16" s="289"/>
      <c r="RJV16" s="289"/>
      <c r="RJW16" s="289"/>
      <c r="RJX16" s="289"/>
      <c r="RJY16" s="289"/>
      <c r="RJZ16" s="289"/>
      <c r="RKA16" s="289"/>
      <c r="RKB16" s="289"/>
      <c r="RKC16" s="289"/>
      <c r="RKD16" s="289"/>
      <c r="RKE16" s="289"/>
      <c r="RKF16" s="289"/>
      <c r="RKG16" s="289"/>
      <c r="RKH16" s="289"/>
      <c r="RKI16" s="289"/>
      <c r="RKJ16" s="289"/>
      <c r="RKK16" s="289"/>
      <c r="RKL16" s="289"/>
      <c r="RKM16" s="289"/>
      <c r="RKN16" s="289"/>
      <c r="RKO16" s="289"/>
      <c r="RKP16" s="289"/>
      <c r="RKQ16" s="289"/>
      <c r="RKR16" s="289"/>
      <c r="RKS16" s="289"/>
      <c r="RKT16" s="289"/>
      <c r="RKU16" s="289"/>
      <c r="RKV16" s="289"/>
      <c r="RKW16" s="289"/>
      <c r="RKX16" s="289"/>
      <c r="RKY16" s="289"/>
      <c r="RKZ16" s="289"/>
      <c r="RLA16" s="289"/>
      <c r="RLB16" s="289"/>
      <c r="RLC16" s="289"/>
      <c r="RLD16" s="289"/>
      <c r="RLE16" s="289"/>
      <c r="RLF16" s="289"/>
      <c r="RLG16" s="289"/>
      <c r="RLH16" s="289"/>
      <c r="RLI16" s="289"/>
      <c r="RLJ16" s="289"/>
      <c r="RLK16" s="289"/>
      <c r="RLL16" s="289"/>
      <c r="RLM16" s="289"/>
      <c r="RLN16" s="289"/>
      <c r="RLO16" s="289"/>
      <c r="RLP16" s="289"/>
      <c r="RLQ16" s="289"/>
      <c r="RLR16" s="289"/>
      <c r="RLS16" s="289"/>
      <c r="RLT16" s="289"/>
      <c r="RLU16" s="289"/>
      <c r="RLV16" s="289"/>
      <c r="RLW16" s="289"/>
      <c r="RLX16" s="289"/>
      <c r="RLY16" s="289"/>
      <c r="RLZ16" s="289"/>
      <c r="RMA16" s="289"/>
      <c r="RMB16" s="289"/>
      <c r="RMC16" s="289"/>
      <c r="RMD16" s="289"/>
      <c r="RME16" s="289"/>
      <c r="RMF16" s="289"/>
      <c r="RMG16" s="289"/>
      <c r="RMH16" s="289"/>
      <c r="RMI16" s="289"/>
      <c r="RMJ16" s="289"/>
      <c r="RMK16" s="289"/>
      <c r="RML16" s="289"/>
      <c r="RMM16" s="289"/>
      <c r="RMN16" s="289"/>
      <c r="RMO16" s="289"/>
      <c r="RMP16" s="289"/>
      <c r="RMQ16" s="289"/>
      <c r="RMR16" s="289"/>
      <c r="RMS16" s="289"/>
      <c r="RMT16" s="289"/>
      <c r="RMU16" s="289"/>
      <c r="RMV16" s="289"/>
      <c r="RMW16" s="289"/>
      <c r="RMX16" s="289"/>
      <c r="RMY16" s="289"/>
      <c r="RMZ16" s="289"/>
      <c r="RNA16" s="289"/>
      <c r="RNB16" s="289"/>
      <c r="RNC16" s="289"/>
      <c r="RND16" s="289"/>
      <c r="RNE16" s="289"/>
      <c r="RNF16" s="289"/>
      <c r="RNG16" s="289"/>
      <c r="RNH16" s="289"/>
      <c r="RNI16" s="289"/>
      <c r="RNJ16" s="289"/>
      <c r="RNK16" s="289"/>
      <c r="RNL16" s="289"/>
      <c r="RNM16" s="289"/>
      <c r="RNN16" s="289"/>
      <c r="RNO16" s="289"/>
      <c r="RNP16" s="289"/>
      <c r="RNQ16" s="289"/>
      <c r="RNR16" s="289"/>
      <c r="RNS16" s="289"/>
      <c r="RNT16" s="289"/>
      <c r="RNU16" s="289"/>
      <c r="RNV16" s="289"/>
      <c r="RNW16" s="289"/>
      <c r="RNX16" s="289"/>
      <c r="RNY16" s="289"/>
      <c r="RNZ16" s="289"/>
      <c r="ROA16" s="289"/>
      <c r="ROB16" s="289"/>
      <c r="ROC16" s="289"/>
      <c r="ROD16" s="289"/>
      <c r="ROE16" s="289"/>
      <c r="ROF16" s="289"/>
      <c r="ROG16" s="289"/>
      <c r="ROH16" s="289"/>
      <c r="ROI16" s="289"/>
      <c r="ROJ16" s="289"/>
      <c r="ROK16" s="289"/>
      <c r="ROL16" s="289"/>
      <c r="ROM16" s="289"/>
      <c r="RON16" s="289"/>
      <c r="ROO16" s="289"/>
      <c r="ROP16" s="289"/>
      <c r="ROQ16" s="289"/>
      <c r="ROR16" s="289"/>
      <c r="ROS16" s="289"/>
      <c r="ROT16" s="289"/>
      <c r="ROU16" s="289"/>
      <c r="ROV16" s="289"/>
      <c r="ROW16" s="289"/>
      <c r="ROX16" s="289"/>
      <c r="ROY16" s="289"/>
      <c r="ROZ16" s="289"/>
      <c r="RPA16" s="289"/>
      <c r="RPB16" s="289"/>
      <c r="RPC16" s="289"/>
      <c r="RPD16" s="289"/>
      <c r="RPE16" s="289"/>
      <c r="RPF16" s="289"/>
      <c r="RPG16" s="289"/>
      <c r="RPH16" s="289"/>
      <c r="RPI16" s="289"/>
      <c r="RPJ16" s="289"/>
      <c r="RPK16" s="289"/>
      <c r="RPL16" s="289"/>
      <c r="RPM16" s="289"/>
      <c r="RPN16" s="289"/>
      <c r="RPO16" s="289"/>
      <c r="RPP16" s="289"/>
      <c r="RPQ16" s="289"/>
      <c r="RPR16" s="289"/>
      <c r="RPS16" s="289"/>
      <c r="RPT16" s="289"/>
      <c r="RPU16" s="289"/>
      <c r="RPV16" s="289"/>
      <c r="RPW16" s="289"/>
      <c r="RPX16" s="289"/>
      <c r="RPY16" s="289"/>
      <c r="RPZ16" s="289"/>
      <c r="RQA16" s="289"/>
      <c r="RQB16" s="289"/>
      <c r="RQC16" s="289"/>
      <c r="RQD16" s="289"/>
      <c r="RQE16" s="289"/>
      <c r="RQF16" s="289"/>
      <c r="RQG16" s="289"/>
      <c r="RQH16" s="289"/>
      <c r="RQI16" s="289"/>
      <c r="RQJ16" s="289"/>
      <c r="RQK16" s="289"/>
      <c r="RQL16" s="289"/>
      <c r="RQM16" s="289"/>
      <c r="RQN16" s="289"/>
      <c r="RQO16" s="289"/>
      <c r="RQP16" s="289"/>
      <c r="RQQ16" s="289"/>
      <c r="RQR16" s="289"/>
      <c r="RQS16" s="289"/>
      <c r="RQT16" s="289"/>
      <c r="RQU16" s="289"/>
      <c r="RQV16" s="289"/>
      <c r="RQW16" s="289"/>
      <c r="RQX16" s="289"/>
      <c r="RQY16" s="289"/>
      <c r="RQZ16" s="289"/>
      <c r="RRA16" s="289"/>
      <c r="RRB16" s="289"/>
      <c r="RRC16" s="289"/>
      <c r="RRD16" s="289"/>
      <c r="RRE16" s="289"/>
      <c r="RRF16" s="289"/>
      <c r="RRG16" s="289"/>
      <c r="RRH16" s="289"/>
      <c r="RRI16" s="289"/>
      <c r="RRJ16" s="289"/>
      <c r="RRK16" s="289"/>
      <c r="RRL16" s="289"/>
      <c r="RRM16" s="289"/>
      <c r="RRN16" s="289"/>
      <c r="RRO16" s="289"/>
      <c r="RRP16" s="289"/>
      <c r="RRQ16" s="289"/>
      <c r="RRR16" s="289"/>
      <c r="RRS16" s="289"/>
      <c r="RRT16" s="289"/>
      <c r="RRU16" s="289"/>
      <c r="RRV16" s="289"/>
      <c r="RRW16" s="289"/>
      <c r="RRX16" s="289"/>
      <c r="RRY16" s="289"/>
      <c r="RRZ16" s="289"/>
      <c r="RSA16" s="289"/>
      <c r="RSB16" s="289"/>
      <c r="RSC16" s="289"/>
      <c r="RSD16" s="289"/>
      <c r="RSE16" s="289"/>
      <c r="RSF16" s="289"/>
      <c r="RSG16" s="289"/>
      <c r="RSH16" s="289"/>
      <c r="RSI16" s="289"/>
      <c r="RSJ16" s="289"/>
      <c r="RSK16" s="289"/>
      <c r="RSL16" s="289"/>
      <c r="RSM16" s="289"/>
      <c r="RSN16" s="289"/>
      <c r="RSO16" s="289"/>
      <c r="RSP16" s="289"/>
      <c r="RSQ16" s="289"/>
      <c r="RSR16" s="289"/>
      <c r="RSS16" s="289"/>
      <c r="RST16" s="289"/>
      <c r="RSU16" s="289"/>
      <c r="RSV16" s="289"/>
      <c r="RSW16" s="289"/>
      <c r="RSX16" s="289"/>
      <c r="RSY16" s="289"/>
      <c r="RSZ16" s="289"/>
      <c r="RTA16" s="289"/>
      <c r="RTB16" s="289"/>
      <c r="RTC16" s="289"/>
      <c r="RTD16" s="289"/>
      <c r="RTE16" s="289"/>
      <c r="RTF16" s="289"/>
      <c r="RTG16" s="289"/>
      <c r="RTH16" s="289"/>
      <c r="RTI16" s="289"/>
      <c r="RTJ16" s="289"/>
      <c r="RTK16" s="289"/>
      <c r="RTL16" s="289"/>
      <c r="RTM16" s="289"/>
      <c r="RTN16" s="289"/>
      <c r="RTO16" s="289"/>
      <c r="RTP16" s="289"/>
      <c r="RTQ16" s="289"/>
      <c r="RTR16" s="289"/>
      <c r="RTS16" s="289"/>
      <c r="RTT16" s="289"/>
      <c r="RTU16" s="289"/>
      <c r="RTV16" s="289"/>
      <c r="RTW16" s="289"/>
      <c r="RTX16" s="289"/>
      <c r="RTY16" s="289"/>
      <c r="RTZ16" s="289"/>
      <c r="RUA16" s="289"/>
      <c r="RUB16" s="289"/>
      <c r="RUC16" s="289"/>
      <c r="RUD16" s="289"/>
      <c r="RUE16" s="289"/>
      <c r="RUF16" s="289"/>
      <c r="RUG16" s="289"/>
      <c r="RUH16" s="289"/>
      <c r="RUI16" s="289"/>
      <c r="RUJ16" s="289"/>
      <c r="RUK16" s="289"/>
      <c r="RUL16" s="289"/>
      <c r="RUM16" s="289"/>
      <c r="RUN16" s="289"/>
      <c r="RUO16" s="289"/>
      <c r="RUP16" s="289"/>
      <c r="RUQ16" s="289"/>
      <c r="RUR16" s="289"/>
      <c r="RUS16" s="289"/>
      <c r="RUT16" s="289"/>
      <c r="RUU16" s="289"/>
      <c r="RUV16" s="289"/>
      <c r="RUW16" s="289"/>
      <c r="RUX16" s="289"/>
      <c r="RUY16" s="289"/>
      <c r="RUZ16" s="289"/>
      <c r="RVA16" s="289"/>
      <c r="RVB16" s="289"/>
      <c r="RVC16" s="289"/>
      <c r="RVD16" s="289"/>
      <c r="RVE16" s="289"/>
      <c r="RVF16" s="289"/>
      <c r="RVG16" s="289"/>
      <c r="RVH16" s="289"/>
      <c r="RVI16" s="289"/>
      <c r="RVJ16" s="289"/>
      <c r="RVK16" s="289"/>
      <c r="RVL16" s="289"/>
      <c r="RVM16" s="289"/>
      <c r="RVN16" s="289"/>
      <c r="RVO16" s="289"/>
      <c r="RVP16" s="289"/>
      <c r="RVQ16" s="289"/>
      <c r="RVR16" s="289"/>
      <c r="RVS16" s="289"/>
      <c r="RVT16" s="289"/>
      <c r="RVU16" s="289"/>
      <c r="RVV16" s="289"/>
      <c r="RVW16" s="289"/>
      <c r="RVX16" s="289"/>
      <c r="RVY16" s="289"/>
      <c r="RVZ16" s="289"/>
      <c r="RWA16" s="289"/>
      <c r="RWB16" s="289"/>
      <c r="RWC16" s="289"/>
      <c r="RWD16" s="289"/>
      <c r="RWE16" s="289"/>
      <c r="RWF16" s="289"/>
      <c r="RWG16" s="289"/>
      <c r="RWH16" s="289"/>
      <c r="RWI16" s="289"/>
      <c r="RWJ16" s="289"/>
      <c r="RWK16" s="289"/>
      <c r="RWL16" s="289"/>
      <c r="RWM16" s="289"/>
      <c r="RWN16" s="289"/>
      <c r="RWO16" s="289"/>
      <c r="RWP16" s="289"/>
      <c r="RWQ16" s="289"/>
      <c r="RWR16" s="289"/>
      <c r="RWS16" s="289"/>
      <c r="RWT16" s="289"/>
      <c r="RWU16" s="289"/>
      <c r="RWV16" s="289"/>
      <c r="RWW16" s="289"/>
      <c r="RWX16" s="289"/>
      <c r="RWY16" s="289"/>
      <c r="RWZ16" s="289"/>
      <c r="RXA16" s="289"/>
      <c r="RXB16" s="289"/>
      <c r="RXC16" s="289"/>
      <c r="RXD16" s="289"/>
      <c r="RXE16" s="289"/>
      <c r="RXF16" s="289"/>
      <c r="RXG16" s="289"/>
      <c r="RXH16" s="289"/>
      <c r="RXI16" s="289"/>
      <c r="RXJ16" s="289"/>
      <c r="RXK16" s="289"/>
      <c r="RXL16" s="289"/>
      <c r="RXM16" s="289"/>
      <c r="RXN16" s="289"/>
      <c r="RXO16" s="289"/>
      <c r="RXP16" s="289"/>
      <c r="RXQ16" s="289"/>
      <c r="RXR16" s="289"/>
      <c r="RXS16" s="289"/>
      <c r="RXT16" s="289"/>
      <c r="RXU16" s="289"/>
      <c r="RXV16" s="289"/>
      <c r="RXW16" s="289"/>
      <c r="RXX16" s="289"/>
      <c r="RXY16" s="289"/>
      <c r="RXZ16" s="289"/>
      <c r="RYA16" s="289"/>
      <c r="RYB16" s="289"/>
      <c r="RYC16" s="289"/>
      <c r="RYD16" s="289"/>
      <c r="RYE16" s="289"/>
      <c r="RYF16" s="289"/>
      <c r="RYG16" s="289"/>
      <c r="RYH16" s="289"/>
      <c r="RYI16" s="289"/>
      <c r="RYJ16" s="289"/>
      <c r="RYK16" s="289"/>
      <c r="RYL16" s="289"/>
      <c r="RYM16" s="289"/>
      <c r="RYN16" s="289"/>
      <c r="RYO16" s="289"/>
      <c r="RYP16" s="289"/>
      <c r="RYQ16" s="289"/>
      <c r="RYR16" s="289"/>
      <c r="RYS16" s="289"/>
      <c r="RYT16" s="289"/>
      <c r="RYU16" s="289"/>
      <c r="RYV16" s="289"/>
      <c r="RYW16" s="289"/>
      <c r="RYX16" s="289"/>
      <c r="RYY16" s="289"/>
      <c r="RYZ16" s="289"/>
      <c r="RZA16" s="289"/>
      <c r="RZB16" s="289"/>
      <c r="RZC16" s="289"/>
      <c r="RZD16" s="289"/>
      <c r="RZE16" s="289"/>
      <c r="RZF16" s="289"/>
      <c r="RZG16" s="289"/>
      <c r="RZH16" s="289"/>
      <c r="RZI16" s="289"/>
      <c r="RZJ16" s="289"/>
      <c r="RZK16" s="289"/>
      <c r="RZL16" s="289"/>
      <c r="RZM16" s="289"/>
      <c r="RZN16" s="289"/>
      <c r="RZO16" s="289"/>
      <c r="RZP16" s="289"/>
      <c r="RZQ16" s="289"/>
      <c r="RZR16" s="289"/>
      <c r="RZS16" s="289"/>
      <c r="RZT16" s="289"/>
      <c r="RZU16" s="289"/>
      <c r="RZV16" s="289"/>
      <c r="RZW16" s="289"/>
      <c r="RZX16" s="289"/>
      <c r="RZY16" s="289"/>
      <c r="RZZ16" s="289"/>
      <c r="SAA16" s="289"/>
      <c r="SAB16" s="289"/>
      <c r="SAC16" s="289"/>
      <c r="SAD16" s="289"/>
      <c r="SAE16" s="289"/>
      <c r="SAF16" s="289"/>
      <c r="SAG16" s="289"/>
      <c r="SAH16" s="289"/>
      <c r="SAI16" s="289"/>
      <c r="SAJ16" s="289"/>
      <c r="SAK16" s="289"/>
      <c r="SAL16" s="289"/>
      <c r="SAM16" s="289"/>
      <c r="SAN16" s="289"/>
      <c r="SAO16" s="289"/>
      <c r="SAP16" s="289"/>
      <c r="SAQ16" s="289"/>
      <c r="SAR16" s="289"/>
      <c r="SAS16" s="289"/>
      <c r="SAT16" s="289"/>
      <c r="SAU16" s="289"/>
      <c r="SAV16" s="289"/>
      <c r="SAW16" s="289"/>
      <c r="SAX16" s="289"/>
      <c r="SAY16" s="289"/>
      <c r="SAZ16" s="289"/>
      <c r="SBA16" s="289"/>
      <c r="SBB16" s="289"/>
      <c r="SBC16" s="289"/>
      <c r="SBD16" s="289"/>
      <c r="SBE16" s="289"/>
      <c r="SBF16" s="289"/>
      <c r="SBG16" s="289"/>
      <c r="SBH16" s="289"/>
      <c r="SBI16" s="289"/>
      <c r="SBJ16" s="289"/>
      <c r="SBK16" s="289"/>
      <c r="SBL16" s="289"/>
      <c r="SBM16" s="289"/>
      <c r="SBN16" s="289"/>
      <c r="SBO16" s="289"/>
      <c r="SBP16" s="289"/>
      <c r="SBQ16" s="289"/>
      <c r="SBR16" s="289"/>
      <c r="SBS16" s="289"/>
      <c r="SBT16" s="289"/>
      <c r="SBU16" s="289"/>
      <c r="SBV16" s="289"/>
      <c r="SBW16" s="289"/>
      <c r="SBX16" s="289"/>
      <c r="SBY16" s="289"/>
      <c r="SBZ16" s="289"/>
      <c r="SCA16" s="289"/>
      <c r="SCB16" s="289"/>
      <c r="SCC16" s="289"/>
      <c r="SCD16" s="289"/>
      <c r="SCE16" s="289"/>
      <c r="SCF16" s="289"/>
      <c r="SCG16" s="289"/>
      <c r="SCH16" s="289"/>
      <c r="SCI16" s="289"/>
      <c r="SCJ16" s="289"/>
      <c r="SCK16" s="289"/>
      <c r="SCL16" s="289"/>
      <c r="SCM16" s="289"/>
      <c r="SCN16" s="289"/>
      <c r="SCO16" s="289"/>
      <c r="SCP16" s="289"/>
      <c r="SCQ16" s="289"/>
      <c r="SCR16" s="289"/>
      <c r="SCS16" s="289"/>
      <c r="SCT16" s="289"/>
      <c r="SCU16" s="289"/>
      <c r="SCV16" s="289"/>
      <c r="SCW16" s="289"/>
      <c r="SCX16" s="289"/>
      <c r="SCY16" s="289"/>
      <c r="SCZ16" s="289"/>
      <c r="SDA16" s="289"/>
      <c r="SDB16" s="289"/>
      <c r="SDC16" s="289"/>
      <c r="SDD16" s="289"/>
      <c r="SDE16" s="289"/>
      <c r="SDF16" s="289"/>
      <c r="SDG16" s="289"/>
      <c r="SDH16" s="289"/>
      <c r="SDI16" s="289"/>
      <c r="SDJ16" s="289"/>
      <c r="SDK16" s="289"/>
      <c r="SDL16" s="289"/>
      <c r="SDM16" s="289"/>
      <c r="SDN16" s="289"/>
      <c r="SDO16" s="289"/>
      <c r="SDP16" s="289"/>
      <c r="SDQ16" s="289"/>
      <c r="SDR16" s="289"/>
      <c r="SDS16" s="289"/>
      <c r="SDT16" s="289"/>
      <c r="SDU16" s="289"/>
      <c r="SDV16" s="289"/>
      <c r="SDW16" s="289"/>
      <c r="SDX16" s="289"/>
      <c r="SDY16" s="289"/>
      <c r="SDZ16" s="289"/>
      <c r="SEA16" s="289"/>
      <c r="SEB16" s="289"/>
      <c r="SEC16" s="289"/>
      <c r="SED16" s="289"/>
      <c r="SEE16" s="289"/>
      <c r="SEF16" s="289"/>
      <c r="SEG16" s="289"/>
      <c r="SEH16" s="289"/>
      <c r="SEI16" s="289"/>
      <c r="SEJ16" s="289"/>
      <c r="SEK16" s="289"/>
      <c r="SEL16" s="289"/>
      <c r="SEM16" s="289"/>
      <c r="SEN16" s="289"/>
      <c r="SEO16" s="289"/>
      <c r="SEP16" s="289"/>
      <c r="SEQ16" s="289"/>
      <c r="SER16" s="289"/>
      <c r="SES16" s="289"/>
      <c r="SET16" s="289"/>
      <c r="SEU16" s="289"/>
      <c r="SEV16" s="289"/>
      <c r="SEW16" s="289"/>
      <c r="SEX16" s="289"/>
      <c r="SEY16" s="289"/>
      <c r="SEZ16" s="289"/>
      <c r="SFA16" s="289"/>
      <c r="SFB16" s="289"/>
      <c r="SFC16" s="289"/>
      <c r="SFD16" s="289"/>
      <c r="SFE16" s="289"/>
      <c r="SFF16" s="289"/>
      <c r="SFG16" s="289"/>
      <c r="SFH16" s="289"/>
      <c r="SFI16" s="289"/>
      <c r="SFJ16" s="289"/>
      <c r="SFK16" s="289"/>
      <c r="SFL16" s="289"/>
      <c r="SFM16" s="289"/>
      <c r="SFN16" s="289"/>
      <c r="SFO16" s="289"/>
      <c r="SFP16" s="289"/>
      <c r="SFQ16" s="289"/>
      <c r="SFR16" s="289"/>
      <c r="SFS16" s="289"/>
      <c r="SFT16" s="289"/>
      <c r="SFU16" s="289"/>
      <c r="SFV16" s="289"/>
      <c r="SFW16" s="289"/>
      <c r="SFX16" s="289"/>
      <c r="SFY16" s="289"/>
      <c r="SFZ16" s="289"/>
      <c r="SGA16" s="289"/>
      <c r="SGB16" s="289"/>
      <c r="SGC16" s="289"/>
      <c r="SGD16" s="289"/>
      <c r="SGE16" s="289"/>
      <c r="SGF16" s="289"/>
      <c r="SGG16" s="289"/>
      <c r="SGH16" s="289"/>
      <c r="SGI16" s="289"/>
      <c r="SGJ16" s="289"/>
      <c r="SGK16" s="289"/>
      <c r="SGL16" s="289"/>
      <c r="SGM16" s="289"/>
      <c r="SGN16" s="289"/>
      <c r="SGO16" s="289"/>
      <c r="SGP16" s="289"/>
      <c r="SGQ16" s="289"/>
      <c r="SGR16" s="289"/>
      <c r="SGS16" s="289"/>
      <c r="SGT16" s="289"/>
      <c r="SGU16" s="289"/>
      <c r="SGV16" s="289"/>
      <c r="SGW16" s="289"/>
      <c r="SGX16" s="289"/>
      <c r="SGY16" s="289"/>
      <c r="SGZ16" s="289"/>
      <c r="SHA16" s="289"/>
      <c r="SHB16" s="289"/>
      <c r="SHC16" s="289"/>
      <c r="SHD16" s="289"/>
      <c r="SHE16" s="289"/>
      <c r="SHF16" s="289"/>
      <c r="SHG16" s="289"/>
      <c r="SHH16" s="289"/>
      <c r="SHI16" s="289"/>
      <c r="SHJ16" s="289"/>
      <c r="SHK16" s="289"/>
      <c r="SHL16" s="289"/>
      <c r="SHM16" s="289"/>
      <c r="SHN16" s="289"/>
      <c r="SHO16" s="289"/>
      <c r="SHP16" s="289"/>
      <c r="SHQ16" s="289"/>
      <c r="SHR16" s="289"/>
      <c r="SHS16" s="289"/>
      <c r="SHT16" s="289"/>
      <c r="SHU16" s="289"/>
      <c r="SHV16" s="289"/>
      <c r="SHW16" s="289"/>
      <c r="SHX16" s="289"/>
      <c r="SHY16" s="289"/>
      <c r="SHZ16" s="289"/>
      <c r="SIA16" s="289"/>
      <c r="SIB16" s="289"/>
      <c r="SIC16" s="289"/>
      <c r="SID16" s="289"/>
      <c r="SIE16" s="289"/>
      <c r="SIF16" s="289"/>
      <c r="SIG16" s="289"/>
      <c r="SIH16" s="289"/>
      <c r="SII16" s="289"/>
      <c r="SIJ16" s="289"/>
      <c r="SIK16" s="289"/>
      <c r="SIL16" s="289"/>
      <c r="SIM16" s="289"/>
      <c r="SIN16" s="289"/>
      <c r="SIO16" s="289"/>
      <c r="SIP16" s="289"/>
      <c r="SIQ16" s="289"/>
      <c r="SIR16" s="289"/>
      <c r="SIS16" s="289"/>
      <c r="SIT16" s="289"/>
      <c r="SIU16" s="289"/>
      <c r="SIV16" s="289"/>
      <c r="SIW16" s="289"/>
      <c r="SIX16" s="289"/>
      <c r="SIY16" s="289"/>
      <c r="SIZ16" s="289"/>
      <c r="SJA16" s="289"/>
      <c r="SJB16" s="289"/>
      <c r="SJC16" s="289"/>
      <c r="SJD16" s="289"/>
      <c r="SJE16" s="289"/>
      <c r="SJF16" s="289"/>
      <c r="SJG16" s="289"/>
      <c r="SJH16" s="289"/>
      <c r="SJI16" s="289"/>
      <c r="SJJ16" s="289"/>
      <c r="SJK16" s="289"/>
      <c r="SJL16" s="289"/>
      <c r="SJM16" s="289"/>
      <c r="SJN16" s="289"/>
      <c r="SJO16" s="289"/>
      <c r="SJP16" s="289"/>
      <c r="SJQ16" s="289"/>
      <c r="SJR16" s="289"/>
      <c r="SJS16" s="289"/>
      <c r="SJT16" s="289"/>
      <c r="SJU16" s="289"/>
      <c r="SJV16" s="289"/>
      <c r="SJW16" s="289"/>
      <c r="SJX16" s="289"/>
      <c r="SJY16" s="289"/>
      <c r="SJZ16" s="289"/>
      <c r="SKA16" s="289"/>
      <c r="SKB16" s="289"/>
      <c r="SKC16" s="289"/>
      <c r="SKD16" s="289"/>
      <c r="SKE16" s="289"/>
      <c r="SKF16" s="289"/>
      <c r="SKG16" s="289"/>
      <c r="SKH16" s="289"/>
      <c r="SKI16" s="289"/>
      <c r="SKJ16" s="289"/>
      <c r="SKK16" s="289"/>
      <c r="SKL16" s="289"/>
      <c r="SKM16" s="289"/>
      <c r="SKN16" s="289"/>
      <c r="SKO16" s="289"/>
      <c r="SKP16" s="289"/>
      <c r="SKQ16" s="289"/>
      <c r="SKR16" s="289"/>
      <c r="SKS16" s="289"/>
      <c r="SKT16" s="289"/>
      <c r="SKU16" s="289"/>
      <c r="SKV16" s="289"/>
      <c r="SKW16" s="289"/>
      <c r="SKX16" s="289"/>
      <c r="SKY16" s="289"/>
      <c r="SKZ16" s="289"/>
      <c r="SLA16" s="289"/>
      <c r="SLB16" s="289"/>
      <c r="SLC16" s="289"/>
      <c r="SLD16" s="289"/>
      <c r="SLE16" s="289"/>
      <c r="SLF16" s="289"/>
      <c r="SLG16" s="289"/>
      <c r="SLH16" s="289"/>
      <c r="SLI16" s="289"/>
      <c r="SLJ16" s="289"/>
      <c r="SLK16" s="289"/>
      <c r="SLL16" s="289"/>
      <c r="SLM16" s="289"/>
      <c r="SLN16" s="289"/>
      <c r="SLO16" s="289"/>
      <c r="SLP16" s="289"/>
      <c r="SLQ16" s="289"/>
      <c r="SLR16" s="289"/>
      <c r="SLS16" s="289"/>
      <c r="SLT16" s="289"/>
      <c r="SLU16" s="289"/>
      <c r="SLV16" s="289"/>
      <c r="SLW16" s="289"/>
      <c r="SLX16" s="289"/>
      <c r="SLY16" s="289"/>
      <c r="SLZ16" s="289"/>
      <c r="SMA16" s="289"/>
      <c r="SMB16" s="289"/>
      <c r="SMC16" s="289"/>
      <c r="SMD16" s="289"/>
      <c r="SME16" s="289"/>
      <c r="SMF16" s="289"/>
      <c r="SMG16" s="289"/>
      <c r="SMH16" s="289"/>
      <c r="SMI16" s="289"/>
      <c r="SMJ16" s="289"/>
      <c r="SMK16" s="289"/>
      <c r="SML16" s="289"/>
      <c r="SMM16" s="289"/>
      <c r="SMN16" s="289"/>
      <c r="SMO16" s="289"/>
      <c r="SMP16" s="289"/>
      <c r="SMQ16" s="289"/>
      <c r="SMR16" s="289"/>
      <c r="SMS16" s="289"/>
      <c r="SMT16" s="289"/>
      <c r="SMU16" s="289"/>
      <c r="SMV16" s="289"/>
      <c r="SMW16" s="289"/>
      <c r="SMX16" s="289"/>
      <c r="SMY16" s="289"/>
      <c r="SMZ16" s="289"/>
      <c r="SNA16" s="289"/>
      <c r="SNB16" s="289"/>
      <c r="SNC16" s="289"/>
      <c r="SND16" s="289"/>
      <c r="SNE16" s="289"/>
      <c r="SNF16" s="289"/>
      <c r="SNG16" s="289"/>
      <c r="SNH16" s="289"/>
      <c r="SNI16" s="289"/>
      <c r="SNJ16" s="289"/>
      <c r="SNK16" s="289"/>
      <c r="SNL16" s="289"/>
      <c r="SNM16" s="289"/>
      <c r="SNN16" s="289"/>
      <c r="SNO16" s="289"/>
      <c r="SNP16" s="289"/>
      <c r="SNQ16" s="289"/>
      <c r="SNR16" s="289"/>
      <c r="SNS16" s="289"/>
      <c r="SNT16" s="289"/>
      <c r="SNU16" s="289"/>
      <c r="SNV16" s="289"/>
      <c r="SNW16" s="289"/>
      <c r="SNX16" s="289"/>
      <c r="SNY16" s="289"/>
      <c r="SNZ16" s="289"/>
      <c r="SOA16" s="289"/>
      <c r="SOB16" s="289"/>
      <c r="SOC16" s="289"/>
      <c r="SOD16" s="289"/>
      <c r="SOE16" s="289"/>
      <c r="SOF16" s="289"/>
      <c r="SOG16" s="289"/>
      <c r="SOH16" s="289"/>
      <c r="SOI16" s="289"/>
      <c r="SOJ16" s="289"/>
      <c r="SOK16" s="289"/>
      <c r="SOL16" s="289"/>
      <c r="SOM16" s="289"/>
      <c r="SON16" s="289"/>
      <c r="SOO16" s="289"/>
      <c r="SOP16" s="289"/>
      <c r="SOQ16" s="289"/>
      <c r="SOR16" s="289"/>
      <c r="SOS16" s="289"/>
      <c r="SOT16" s="289"/>
      <c r="SOU16" s="289"/>
      <c r="SOV16" s="289"/>
      <c r="SOW16" s="289"/>
      <c r="SOX16" s="289"/>
      <c r="SOY16" s="289"/>
      <c r="SOZ16" s="289"/>
      <c r="SPA16" s="289"/>
      <c r="SPB16" s="289"/>
      <c r="SPC16" s="289"/>
      <c r="SPD16" s="289"/>
      <c r="SPE16" s="289"/>
      <c r="SPF16" s="289"/>
      <c r="SPG16" s="289"/>
      <c r="SPH16" s="289"/>
      <c r="SPI16" s="289"/>
      <c r="SPJ16" s="289"/>
      <c r="SPK16" s="289"/>
      <c r="SPL16" s="289"/>
      <c r="SPM16" s="289"/>
      <c r="SPN16" s="289"/>
      <c r="SPO16" s="289"/>
      <c r="SPP16" s="289"/>
      <c r="SPQ16" s="289"/>
      <c r="SPR16" s="289"/>
      <c r="SPS16" s="289"/>
      <c r="SPT16" s="289"/>
      <c r="SPU16" s="289"/>
      <c r="SPV16" s="289"/>
      <c r="SPW16" s="289"/>
      <c r="SPX16" s="289"/>
      <c r="SPY16" s="289"/>
      <c r="SPZ16" s="289"/>
      <c r="SQA16" s="289"/>
      <c r="SQB16" s="289"/>
      <c r="SQC16" s="289"/>
      <c r="SQD16" s="289"/>
      <c r="SQE16" s="289"/>
      <c r="SQF16" s="289"/>
      <c r="SQG16" s="289"/>
      <c r="SQH16" s="289"/>
      <c r="SQI16" s="289"/>
      <c r="SQJ16" s="289"/>
      <c r="SQK16" s="289"/>
      <c r="SQL16" s="289"/>
      <c r="SQM16" s="289"/>
      <c r="SQN16" s="289"/>
      <c r="SQO16" s="289"/>
      <c r="SQP16" s="289"/>
      <c r="SQQ16" s="289"/>
      <c r="SQR16" s="289"/>
      <c r="SQS16" s="289"/>
      <c r="SQT16" s="289"/>
      <c r="SQU16" s="289"/>
      <c r="SQV16" s="289"/>
      <c r="SQW16" s="289"/>
      <c r="SQX16" s="289"/>
      <c r="SQY16" s="289"/>
      <c r="SQZ16" s="289"/>
      <c r="SRA16" s="289"/>
      <c r="SRB16" s="289"/>
      <c r="SRC16" s="289"/>
      <c r="SRD16" s="289"/>
      <c r="SRE16" s="289"/>
      <c r="SRF16" s="289"/>
      <c r="SRG16" s="289"/>
      <c r="SRH16" s="289"/>
      <c r="SRI16" s="289"/>
      <c r="SRJ16" s="289"/>
      <c r="SRK16" s="289"/>
      <c r="SRL16" s="289"/>
      <c r="SRM16" s="289"/>
      <c r="SRN16" s="289"/>
      <c r="SRO16" s="289"/>
      <c r="SRP16" s="289"/>
      <c r="SRQ16" s="289"/>
      <c r="SRR16" s="289"/>
      <c r="SRS16" s="289"/>
      <c r="SRT16" s="289"/>
      <c r="SRU16" s="289"/>
      <c r="SRV16" s="289"/>
      <c r="SRW16" s="289"/>
      <c r="SRX16" s="289"/>
      <c r="SRY16" s="289"/>
      <c r="SRZ16" s="289"/>
      <c r="SSA16" s="289"/>
      <c r="SSB16" s="289"/>
      <c r="SSC16" s="289"/>
      <c r="SSD16" s="289"/>
      <c r="SSE16" s="289"/>
      <c r="SSF16" s="289"/>
      <c r="SSG16" s="289"/>
      <c r="SSH16" s="289"/>
      <c r="SSI16" s="289"/>
      <c r="SSJ16" s="289"/>
      <c r="SSK16" s="289"/>
      <c r="SSL16" s="289"/>
      <c r="SSM16" s="289"/>
      <c r="SSN16" s="289"/>
      <c r="SSO16" s="289"/>
      <c r="SSP16" s="289"/>
      <c r="SSQ16" s="289"/>
      <c r="SSR16" s="289"/>
      <c r="SSS16" s="289"/>
      <c r="SST16" s="289"/>
      <c r="SSU16" s="289"/>
      <c r="SSV16" s="289"/>
      <c r="SSW16" s="289"/>
      <c r="SSX16" s="289"/>
      <c r="SSY16" s="289"/>
      <c r="SSZ16" s="289"/>
      <c r="STA16" s="289"/>
      <c r="STB16" s="289"/>
      <c r="STC16" s="289"/>
      <c r="STD16" s="289"/>
      <c r="STE16" s="289"/>
      <c r="STF16" s="289"/>
      <c r="STG16" s="289"/>
      <c r="STH16" s="289"/>
      <c r="STI16" s="289"/>
      <c r="STJ16" s="289"/>
      <c r="STK16" s="289"/>
      <c r="STL16" s="289"/>
      <c r="STM16" s="289"/>
      <c r="STN16" s="289"/>
      <c r="STO16" s="289"/>
      <c r="STP16" s="289"/>
      <c r="STQ16" s="289"/>
      <c r="STR16" s="289"/>
      <c r="STS16" s="289"/>
      <c r="STT16" s="289"/>
      <c r="STU16" s="289"/>
      <c r="STV16" s="289"/>
      <c r="STW16" s="289"/>
      <c r="STX16" s="289"/>
      <c r="STY16" s="289"/>
      <c r="STZ16" s="289"/>
      <c r="SUA16" s="289"/>
      <c r="SUB16" s="289"/>
      <c r="SUC16" s="289"/>
      <c r="SUD16" s="289"/>
      <c r="SUE16" s="289"/>
      <c r="SUF16" s="289"/>
      <c r="SUG16" s="289"/>
      <c r="SUH16" s="289"/>
      <c r="SUI16" s="289"/>
      <c r="SUJ16" s="289"/>
      <c r="SUK16" s="289"/>
      <c r="SUL16" s="289"/>
      <c r="SUM16" s="289"/>
      <c r="SUN16" s="289"/>
      <c r="SUO16" s="289"/>
      <c r="SUP16" s="289"/>
      <c r="SUQ16" s="289"/>
      <c r="SUR16" s="289"/>
      <c r="SUS16" s="289"/>
      <c r="SUT16" s="289"/>
      <c r="SUU16" s="289"/>
      <c r="SUV16" s="289"/>
      <c r="SUW16" s="289"/>
      <c r="SUX16" s="289"/>
      <c r="SUY16" s="289"/>
      <c r="SUZ16" s="289"/>
      <c r="SVA16" s="289"/>
      <c r="SVB16" s="289"/>
      <c r="SVC16" s="289"/>
      <c r="SVD16" s="289"/>
      <c r="SVE16" s="289"/>
      <c r="SVF16" s="289"/>
      <c r="SVG16" s="289"/>
      <c r="SVH16" s="289"/>
      <c r="SVI16" s="289"/>
      <c r="SVJ16" s="289"/>
      <c r="SVK16" s="289"/>
      <c r="SVL16" s="289"/>
      <c r="SVM16" s="289"/>
      <c r="SVN16" s="289"/>
      <c r="SVO16" s="289"/>
      <c r="SVP16" s="289"/>
      <c r="SVQ16" s="289"/>
      <c r="SVR16" s="289"/>
      <c r="SVS16" s="289"/>
      <c r="SVT16" s="289"/>
      <c r="SVU16" s="289"/>
      <c r="SVV16" s="289"/>
      <c r="SVW16" s="289"/>
      <c r="SVX16" s="289"/>
      <c r="SVY16" s="289"/>
      <c r="SVZ16" s="289"/>
      <c r="SWA16" s="289"/>
      <c r="SWB16" s="289"/>
      <c r="SWC16" s="289"/>
      <c r="SWD16" s="289"/>
      <c r="SWE16" s="289"/>
      <c r="SWF16" s="289"/>
      <c r="SWG16" s="289"/>
      <c r="SWH16" s="289"/>
      <c r="SWI16" s="289"/>
      <c r="SWJ16" s="289"/>
      <c r="SWK16" s="289"/>
      <c r="SWL16" s="289"/>
      <c r="SWM16" s="289"/>
      <c r="SWN16" s="289"/>
      <c r="SWO16" s="289"/>
      <c r="SWP16" s="289"/>
      <c r="SWQ16" s="289"/>
      <c r="SWR16" s="289"/>
      <c r="SWS16" s="289"/>
      <c r="SWT16" s="289"/>
      <c r="SWU16" s="289"/>
      <c r="SWV16" s="289"/>
      <c r="SWW16" s="289"/>
      <c r="SWX16" s="289"/>
      <c r="SWY16" s="289"/>
      <c r="SWZ16" s="289"/>
      <c r="SXA16" s="289"/>
      <c r="SXB16" s="289"/>
      <c r="SXC16" s="289"/>
      <c r="SXD16" s="289"/>
      <c r="SXE16" s="289"/>
      <c r="SXF16" s="289"/>
      <c r="SXG16" s="289"/>
      <c r="SXH16" s="289"/>
      <c r="SXI16" s="289"/>
      <c r="SXJ16" s="289"/>
      <c r="SXK16" s="289"/>
      <c r="SXL16" s="289"/>
      <c r="SXM16" s="289"/>
      <c r="SXN16" s="289"/>
      <c r="SXO16" s="289"/>
      <c r="SXP16" s="289"/>
      <c r="SXQ16" s="289"/>
      <c r="SXR16" s="289"/>
      <c r="SXS16" s="289"/>
      <c r="SXT16" s="289"/>
      <c r="SXU16" s="289"/>
      <c r="SXV16" s="289"/>
      <c r="SXW16" s="289"/>
      <c r="SXX16" s="289"/>
      <c r="SXY16" s="289"/>
      <c r="SXZ16" s="289"/>
      <c r="SYA16" s="289"/>
      <c r="SYB16" s="289"/>
      <c r="SYC16" s="289"/>
      <c r="SYD16" s="289"/>
      <c r="SYE16" s="289"/>
      <c r="SYF16" s="289"/>
      <c r="SYG16" s="289"/>
      <c r="SYH16" s="289"/>
      <c r="SYI16" s="289"/>
      <c r="SYJ16" s="289"/>
      <c r="SYK16" s="289"/>
      <c r="SYL16" s="289"/>
      <c r="SYM16" s="289"/>
      <c r="SYN16" s="289"/>
      <c r="SYO16" s="289"/>
      <c r="SYP16" s="289"/>
      <c r="SYQ16" s="289"/>
      <c r="SYR16" s="289"/>
      <c r="SYS16" s="289"/>
      <c r="SYT16" s="289"/>
      <c r="SYU16" s="289"/>
      <c r="SYV16" s="289"/>
      <c r="SYW16" s="289"/>
      <c r="SYX16" s="289"/>
      <c r="SYY16" s="289"/>
      <c r="SYZ16" s="289"/>
      <c r="SZA16" s="289"/>
      <c r="SZB16" s="289"/>
      <c r="SZC16" s="289"/>
      <c r="SZD16" s="289"/>
      <c r="SZE16" s="289"/>
      <c r="SZF16" s="289"/>
      <c r="SZG16" s="289"/>
      <c r="SZH16" s="289"/>
      <c r="SZI16" s="289"/>
      <c r="SZJ16" s="289"/>
      <c r="SZK16" s="289"/>
      <c r="SZL16" s="289"/>
      <c r="SZM16" s="289"/>
      <c r="SZN16" s="289"/>
      <c r="SZO16" s="289"/>
      <c r="SZP16" s="289"/>
      <c r="SZQ16" s="289"/>
      <c r="SZR16" s="289"/>
      <c r="SZS16" s="289"/>
      <c r="SZT16" s="289"/>
      <c r="SZU16" s="289"/>
      <c r="SZV16" s="289"/>
      <c r="SZW16" s="289"/>
      <c r="SZX16" s="289"/>
      <c r="SZY16" s="289"/>
      <c r="SZZ16" s="289"/>
      <c r="TAA16" s="289"/>
      <c r="TAB16" s="289"/>
      <c r="TAC16" s="289"/>
      <c r="TAD16" s="289"/>
      <c r="TAE16" s="289"/>
      <c r="TAF16" s="289"/>
      <c r="TAG16" s="289"/>
      <c r="TAH16" s="289"/>
      <c r="TAI16" s="289"/>
      <c r="TAJ16" s="289"/>
      <c r="TAK16" s="289"/>
      <c r="TAL16" s="289"/>
      <c r="TAM16" s="289"/>
      <c r="TAN16" s="289"/>
      <c r="TAO16" s="289"/>
      <c r="TAP16" s="289"/>
      <c r="TAQ16" s="289"/>
      <c r="TAR16" s="289"/>
      <c r="TAS16" s="289"/>
      <c r="TAT16" s="289"/>
      <c r="TAU16" s="289"/>
      <c r="TAV16" s="289"/>
      <c r="TAW16" s="289"/>
      <c r="TAX16" s="289"/>
      <c r="TAY16" s="289"/>
      <c r="TAZ16" s="289"/>
      <c r="TBA16" s="289"/>
      <c r="TBB16" s="289"/>
      <c r="TBC16" s="289"/>
      <c r="TBD16" s="289"/>
      <c r="TBE16" s="289"/>
      <c r="TBF16" s="289"/>
      <c r="TBG16" s="289"/>
      <c r="TBH16" s="289"/>
      <c r="TBI16" s="289"/>
      <c r="TBJ16" s="289"/>
      <c r="TBK16" s="289"/>
      <c r="TBL16" s="289"/>
      <c r="TBM16" s="289"/>
      <c r="TBN16" s="289"/>
      <c r="TBO16" s="289"/>
      <c r="TBP16" s="289"/>
      <c r="TBQ16" s="289"/>
      <c r="TBR16" s="289"/>
      <c r="TBS16" s="289"/>
      <c r="TBT16" s="289"/>
      <c r="TBU16" s="289"/>
      <c r="TBV16" s="289"/>
      <c r="TBW16" s="289"/>
      <c r="TBX16" s="289"/>
      <c r="TBY16" s="289"/>
      <c r="TBZ16" s="289"/>
      <c r="TCA16" s="289"/>
      <c r="TCB16" s="289"/>
      <c r="TCC16" s="289"/>
      <c r="TCD16" s="289"/>
      <c r="TCE16" s="289"/>
      <c r="TCF16" s="289"/>
      <c r="TCG16" s="289"/>
      <c r="TCH16" s="289"/>
      <c r="TCI16" s="289"/>
      <c r="TCJ16" s="289"/>
      <c r="TCK16" s="289"/>
      <c r="TCL16" s="289"/>
      <c r="TCM16" s="289"/>
      <c r="TCN16" s="289"/>
      <c r="TCO16" s="289"/>
      <c r="TCP16" s="289"/>
      <c r="TCQ16" s="289"/>
      <c r="TCR16" s="289"/>
      <c r="TCS16" s="289"/>
      <c r="TCT16" s="289"/>
      <c r="TCU16" s="289"/>
      <c r="TCV16" s="289"/>
      <c r="TCW16" s="289"/>
      <c r="TCX16" s="289"/>
      <c r="TCY16" s="289"/>
      <c r="TCZ16" s="289"/>
      <c r="TDA16" s="289"/>
      <c r="TDB16" s="289"/>
      <c r="TDC16" s="289"/>
      <c r="TDD16" s="289"/>
      <c r="TDE16" s="289"/>
      <c r="TDF16" s="289"/>
      <c r="TDG16" s="289"/>
      <c r="TDH16" s="289"/>
      <c r="TDI16" s="289"/>
      <c r="TDJ16" s="289"/>
      <c r="TDK16" s="289"/>
      <c r="TDL16" s="289"/>
      <c r="TDM16" s="289"/>
      <c r="TDN16" s="289"/>
      <c r="TDO16" s="289"/>
      <c r="TDP16" s="289"/>
      <c r="TDQ16" s="289"/>
      <c r="TDR16" s="289"/>
      <c r="TDS16" s="289"/>
      <c r="TDT16" s="289"/>
      <c r="TDU16" s="289"/>
      <c r="TDV16" s="289"/>
      <c r="TDW16" s="289"/>
      <c r="TDX16" s="289"/>
      <c r="TDY16" s="289"/>
      <c r="TDZ16" s="289"/>
      <c r="TEA16" s="289"/>
      <c r="TEB16" s="289"/>
      <c r="TEC16" s="289"/>
      <c r="TED16" s="289"/>
      <c r="TEE16" s="289"/>
      <c r="TEF16" s="289"/>
      <c r="TEG16" s="289"/>
      <c r="TEH16" s="289"/>
      <c r="TEI16" s="289"/>
      <c r="TEJ16" s="289"/>
      <c r="TEK16" s="289"/>
      <c r="TEL16" s="289"/>
      <c r="TEM16" s="289"/>
      <c r="TEN16" s="289"/>
      <c r="TEO16" s="289"/>
      <c r="TEP16" s="289"/>
      <c r="TEQ16" s="289"/>
      <c r="TER16" s="289"/>
      <c r="TES16" s="289"/>
      <c r="TET16" s="289"/>
      <c r="TEU16" s="289"/>
      <c r="TEV16" s="289"/>
      <c r="TEW16" s="289"/>
      <c r="TEX16" s="289"/>
      <c r="TEY16" s="289"/>
      <c r="TEZ16" s="289"/>
      <c r="TFA16" s="289"/>
      <c r="TFB16" s="289"/>
      <c r="TFC16" s="289"/>
      <c r="TFD16" s="289"/>
      <c r="TFE16" s="289"/>
      <c r="TFF16" s="289"/>
      <c r="TFG16" s="289"/>
      <c r="TFH16" s="289"/>
      <c r="TFI16" s="289"/>
      <c r="TFJ16" s="289"/>
      <c r="TFK16" s="289"/>
      <c r="TFL16" s="289"/>
      <c r="TFM16" s="289"/>
      <c r="TFN16" s="289"/>
      <c r="TFO16" s="289"/>
      <c r="TFP16" s="289"/>
      <c r="TFQ16" s="289"/>
      <c r="TFR16" s="289"/>
      <c r="TFS16" s="289"/>
      <c r="TFT16" s="289"/>
      <c r="TFU16" s="289"/>
      <c r="TFV16" s="289"/>
      <c r="TFW16" s="289"/>
      <c r="TFX16" s="289"/>
      <c r="TFY16" s="289"/>
      <c r="TFZ16" s="289"/>
      <c r="TGA16" s="289"/>
      <c r="TGB16" s="289"/>
      <c r="TGC16" s="289"/>
      <c r="TGD16" s="289"/>
      <c r="TGE16" s="289"/>
      <c r="TGF16" s="289"/>
      <c r="TGG16" s="289"/>
      <c r="TGH16" s="289"/>
      <c r="TGI16" s="289"/>
      <c r="TGJ16" s="289"/>
      <c r="TGK16" s="289"/>
      <c r="TGL16" s="289"/>
      <c r="TGM16" s="289"/>
      <c r="TGN16" s="289"/>
      <c r="TGO16" s="289"/>
      <c r="TGP16" s="289"/>
      <c r="TGQ16" s="289"/>
      <c r="TGR16" s="289"/>
      <c r="TGS16" s="289"/>
      <c r="TGT16" s="289"/>
      <c r="TGU16" s="289"/>
      <c r="TGV16" s="289"/>
      <c r="TGW16" s="289"/>
      <c r="TGX16" s="289"/>
      <c r="TGY16" s="289"/>
      <c r="TGZ16" s="289"/>
      <c r="THA16" s="289"/>
      <c r="THB16" s="289"/>
      <c r="THC16" s="289"/>
      <c r="THD16" s="289"/>
      <c r="THE16" s="289"/>
      <c r="THF16" s="289"/>
      <c r="THG16" s="289"/>
      <c r="THH16" s="289"/>
      <c r="THI16" s="289"/>
      <c r="THJ16" s="289"/>
      <c r="THK16" s="289"/>
      <c r="THL16" s="289"/>
      <c r="THM16" s="289"/>
      <c r="THN16" s="289"/>
      <c r="THO16" s="289"/>
      <c r="THP16" s="289"/>
      <c r="THQ16" s="289"/>
      <c r="THR16" s="289"/>
      <c r="THS16" s="289"/>
      <c r="THT16" s="289"/>
      <c r="THU16" s="289"/>
      <c r="THV16" s="289"/>
      <c r="THW16" s="289"/>
      <c r="THX16" s="289"/>
      <c r="THY16" s="289"/>
      <c r="THZ16" s="289"/>
      <c r="TIA16" s="289"/>
      <c r="TIB16" s="289"/>
      <c r="TIC16" s="289"/>
      <c r="TID16" s="289"/>
      <c r="TIE16" s="289"/>
      <c r="TIF16" s="289"/>
      <c r="TIG16" s="289"/>
      <c r="TIH16" s="289"/>
      <c r="TII16" s="289"/>
      <c r="TIJ16" s="289"/>
      <c r="TIK16" s="289"/>
      <c r="TIL16" s="289"/>
      <c r="TIM16" s="289"/>
      <c r="TIN16" s="289"/>
      <c r="TIO16" s="289"/>
      <c r="TIP16" s="289"/>
      <c r="TIQ16" s="289"/>
      <c r="TIR16" s="289"/>
      <c r="TIS16" s="289"/>
      <c r="TIT16" s="289"/>
      <c r="TIU16" s="289"/>
      <c r="TIV16" s="289"/>
      <c r="TIW16" s="289"/>
      <c r="TIX16" s="289"/>
      <c r="TIY16" s="289"/>
      <c r="TIZ16" s="289"/>
      <c r="TJA16" s="289"/>
      <c r="TJB16" s="289"/>
      <c r="TJC16" s="289"/>
      <c r="TJD16" s="289"/>
      <c r="TJE16" s="289"/>
      <c r="TJF16" s="289"/>
      <c r="TJG16" s="289"/>
      <c r="TJH16" s="289"/>
      <c r="TJI16" s="289"/>
      <c r="TJJ16" s="289"/>
      <c r="TJK16" s="289"/>
      <c r="TJL16" s="289"/>
      <c r="TJM16" s="289"/>
      <c r="TJN16" s="289"/>
      <c r="TJO16" s="289"/>
      <c r="TJP16" s="289"/>
      <c r="TJQ16" s="289"/>
      <c r="TJR16" s="289"/>
      <c r="TJS16" s="289"/>
      <c r="TJT16" s="289"/>
      <c r="TJU16" s="289"/>
      <c r="TJV16" s="289"/>
      <c r="TJW16" s="289"/>
      <c r="TJX16" s="289"/>
      <c r="TJY16" s="289"/>
      <c r="TJZ16" s="289"/>
      <c r="TKA16" s="289"/>
      <c r="TKB16" s="289"/>
      <c r="TKC16" s="289"/>
      <c r="TKD16" s="289"/>
      <c r="TKE16" s="289"/>
      <c r="TKF16" s="289"/>
      <c r="TKG16" s="289"/>
      <c r="TKH16" s="289"/>
      <c r="TKI16" s="289"/>
      <c r="TKJ16" s="289"/>
      <c r="TKK16" s="289"/>
      <c r="TKL16" s="289"/>
      <c r="TKM16" s="289"/>
      <c r="TKN16" s="289"/>
      <c r="TKO16" s="289"/>
      <c r="TKP16" s="289"/>
      <c r="TKQ16" s="289"/>
      <c r="TKR16" s="289"/>
      <c r="TKS16" s="289"/>
      <c r="TKT16" s="289"/>
      <c r="TKU16" s="289"/>
      <c r="TKV16" s="289"/>
      <c r="TKW16" s="289"/>
      <c r="TKX16" s="289"/>
      <c r="TKY16" s="289"/>
      <c r="TKZ16" s="289"/>
      <c r="TLA16" s="289"/>
      <c r="TLB16" s="289"/>
      <c r="TLC16" s="289"/>
      <c r="TLD16" s="289"/>
      <c r="TLE16" s="289"/>
      <c r="TLF16" s="289"/>
      <c r="TLG16" s="289"/>
      <c r="TLH16" s="289"/>
      <c r="TLI16" s="289"/>
      <c r="TLJ16" s="289"/>
      <c r="TLK16" s="289"/>
      <c r="TLL16" s="289"/>
      <c r="TLM16" s="289"/>
      <c r="TLN16" s="289"/>
      <c r="TLO16" s="289"/>
      <c r="TLP16" s="289"/>
      <c r="TLQ16" s="289"/>
      <c r="TLR16" s="289"/>
      <c r="TLS16" s="289"/>
      <c r="TLT16" s="289"/>
      <c r="TLU16" s="289"/>
      <c r="TLV16" s="289"/>
      <c r="TLW16" s="289"/>
      <c r="TLX16" s="289"/>
      <c r="TLY16" s="289"/>
      <c r="TLZ16" s="289"/>
      <c r="TMA16" s="289"/>
      <c r="TMB16" s="289"/>
      <c r="TMC16" s="289"/>
      <c r="TMD16" s="289"/>
      <c r="TME16" s="289"/>
      <c r="TMF16" s="289"/>
      <c r="TMG16" s="289"/>
      <c r="TMH16" s="289"/>
      <c r="TMI16" s="289"/>
      <c r="TMJ16" s="289"/>
      <c r="TMK16" s="289"/>
      <c r="TML16" s="289"/>
      <c r="TMM16" s="289"/>
      <c r="TMN16" s="289"/>
      <c r="TMO16" s="289"/>
      <c r="TMP16" s="289"/>
      <c r="TMQ16" s="289"/>
      <c r="TMR16" s="289"/>
      <c r="TMS16" s="289"/>
      <c r="TMT16" s="289"/>
      <c r="TMU16" s="289"/>
      <c r="TMV16" s="289"/>
      <c r="TMW16" s="289"/>
      <c r="TMX16" s="289"/>
      <c r="TMY16" s="289"/>
      <c r="TMZ16" s="289"/>
      <c r="TNA16" s="289"/>
      <c r="TNB16" s="289"/>
      <c r="TNC16" s="289"/>
      <c r="TND16" s="289"/>
      <c r="TNE16" s="289"/>
      <c r="TNF16" s="289"/>
      <c r="TNG16" s="289"/>
      <c r="TNH16" s="289"/>
      <c r="TNI16" s="289"/>
      <c r="TNJ16" s="289"/>
      <c r="TNK16" s="289"/>
      <c r="TNL16" s="289"/>
      <c r="TNM16" s="289"/>
      <c r="TNN16" s="289"/>
      <c r="TNO16" s="289"/>
      <c r="TNP16" s="289"/>
      <c r="TNQ16" s="289"/>
      <c r="TNR16" s="289"/>
      <c r="TNS16" s="289"/>
      <c r="TNT16" s="289"/>
      <c r="TNU16" s="289"/>
      <c r="TNV16" s="289"/>
      <c r="TNW16" s="289"/>
      <c r="TNX16" s="289"/>
      <c r="TNY16" s="289"/>
      <c r="TNZ16" s="289"/>
      <c r="TOA16" s="289"/>
      <c r="TOB16" s="289"/>
      <c r="TOC16" s="289"/>
      <c r="TOD16" s="289"/>
      <c r="TOE16" s="289"/>
      <c r="TOF16" s="289"/>
      <c r="TOG16" s="289"/>
      <c r="TOH16" s="289"/>
      <c r="TOI16" s="289"/>
      <c r="TOJ16" s="289"/>
      <c r="TOK16" s="289"/>
      <c r="TOL16" s="289"/>
      <c r="TOM16" s="289"/>
      <c r="TON16" s="289"/>
      <c r="TOO16" s="289"/>
      <c r="TOP16" s="289"/>
      <c r="TOQ16" s="289"/>
      <c r="TOR16" s="289"/>
      <c r="TOS16" s="289"/>
      <c r="TOT16" s="289"/>
      <c r="TOU16" s="289"/>
      <c r="TOV16" s="289"/>
      <c r="TOW16" s="289"/>
      <c r="TOX16" s="289"/>
      <c r="TOY16" s="289"/>
      <c r="TOZ16" s="289"/>
      <c r="TPA16" s="289"/>
      <c r="TPB16" s="289"/>
      <c r="TPC16" s="289"/>
      <c r="TPD16" s="289"/>
      <c r="TPE16" s="289"/>
      <c r="TPF16" s="289"/>
      <c r="TPG16" s="289"/>
      <c r="TPH16" s="289"/>
      <c r="TPI16" s="289"/>
      <c r="TPJ16" s="289"/>
      <c r="TPK16" s="289"/>
      <c r="TPL16" s="289"/>
      <c r="TPM16" s="289"/>
      <c r="TPN16" s="289"/>
      <c r="TPO16" s="289"/>
      <c r="TPP16" s="289"/>
      <c r="TPQ16" s="289"/>
      <c r="TPR16" s="289"/>
      <c r="TPS16" s="289"/>
      <c r="TPT16" s="289"/>
      <c r="TPU16" s="289"/>
      <c r="TPV16" s="289"/>
      <c r="TPW16" s="289"/>
      <c r="TPX16" s="289"/>
      <c r="TPY16" s="289"/>
      <c r="TPZ16" s="289"/>
      <c r="TQA16" s="289"/>
      <c r="TQB16" s="289"/>
      <c r="TQC16" s="289"/>
      <c r="TQD16" s="289"/>
      <c r="TQE16" s="289"/>
      <c r="TQF16" s="289"/>
      <c r="TQG16" s="289"/>
      <c r="TQH16" s="289"/>
      <c r="TQI16" s="289"/>
      <c r="TQJ16" s="289"/>
      <c r="TQK16" s="289"/>
      <c r="TQL16" s="289"/>
      <c r="TQM16" s="289"/>
      <c r="TQN16" s="289"/>
      <c r="TQO16" s="289"/>
      <c r="TQP16" s="289"/>
      <c r="TQQ16" s="289"/>
      <c r="TQR16" s="289"/>
      <c r="TQS16" s="289"/>
      <c r="TQT16" s="289"/>
      <c r="TQU16" s="289"/>
      <c r="TQV16" s="289"/>
      <c r="TQW16" s="289"/>
      <c r="TQX16" s="289"/>
      <c r="TQY16" s="289"/>
      <c r="TQZ16" s="289"/>
      <c r="TRA16" s="289"/>
      <c r="TRB16" s="289"/>
      <c r="TRC16" s="289"/>
      <c r="TRD16" s="289"/>
      <c r="TRE16" s="289"/>
      <c r="TRF16" s="289"/>
      <c r="TRG16" s="289"/>
      <c r="TRH16" s="289"/>
      <c r="TRI16" s="289"/>
      <c r="TRJ16" s="289"/>
      <c r="TRK16" s="289"/>
      <c r="TRL16" s="289"/>
      <c r="TRM16" s="289"/>
      <c r="TRN16" s="289"/>
      <c r="TRO16" s="289"/>
      <c r="TRP16" s="289"/>
      <c r="TRQ16" s="289"/>
      <c r="TRR16" s="289"/>
      <c r="TRS16" s="289"/>
      <c r="TRT16" s="289"/>
      <c r="TRU16" s="289"/>
      <c r="TRV16" s="289"/>
      <c r="TRW16" s="289"/>
      <c r="TRX16" s="289"/>
      <c r="TRY16" s="289"/>
      <c r="TRZ16" s="289"/>
      <c r="TSA16" s="289"/>
      <c r="TSB16" s="289"/>
      <c r="TSC16" s="289"/>
      <c r="TSD16" s="289"/>
      <c r="TSE16" s="289"/>
      <c r="TSF16" s="289"/>
      <c r="TSG16" s="289"/>
      <c r="TSH16" s="289"/>
      <c r="TSI16" s="289"/>
      <c r="TSJ16" s="289"/>
      <c r="TSK16" s="289"/>
      <c r="TSL16" s="289"/>
      <c r="TSM16" s="289"/>
      <c r="TSN16" s="289"/>
      <c r="TSO16" s="289"/>
      <c r="TSP16" s="289"/>
      <c r="TSQ16" s="289"/>
      <c r="TSR16" s="289"/>
      <c r="TSS16" s="289"/>
      <c r="TST16" s="289"/>
      <c r="TSU16" s="289"/>
      <c r="TSV16" s="289"/>
      <c r="TSW16" s="289"/>
      <c r="TSX16" s="289"/>
      <c r="TSY16" s="289"/>
      <c r="TSZ16" s="289"/>
      <c r="TTA16" s="289"/>
      <c r="TTB16" s="289"/>
      <c r="TTC16" s="289"/>
      <c r="TTD16" s="289"/>
      <c r="TTE16" s="289"/>
      <c r="TTF16" s="289"/>
      <c r="TTG16" s="289"/>
      <c r="TTH16" s="289"/>
      <c r="TTI16" s="289"/>
      <c r="TTJ16" s="289"/>
      <c r="TTK16" s="289"/>
      <c r="TTL16" s="289"/>
      <c r="TTM16" s="289"/>
      <c r="TTN16" s="289"/>
      <c r="TTO16" s="289"/>
      <c r="TTP16" s="289"/>
      <c r="TTQ16" s="289"/>
      <c r="TTR16" s="289"/>
      <c r="TTS16" s="289"/>
      <c r="TTT16" s="289"/>
      <c r="TTU16" s="289"/>
      <c r="TTV16" s="289"/>
      <c r="TTW16" s="289"/>
      <c r="TTX16" s="289"/>
      <c r="TTY16" s="289"/>
      <c r="TTZ16" s="289"/>
      <c r="TUA16" s="289"/>
      <c r="TUB16" s="289"/>
      <c r="TUC16" s="289"/>
      <c r="TUD16" s="289"/>
      <c r="TUE16" s="289"/>
      <c r="TUF16" s="289"/>
      <c r="TUG16" s="289"/>
      <c r="TUH16" s="289"/>
      <c r="TUI16" s="289"/>
      <c r="TUJ16" s="289"/>
      <c r="TUK16" s="289"/>
      <c r="TUL16" s="289"/>
      <c r="TUM16" s="289"/>
      <c r="TUN16" s="289"/>
      <c r="TUO16" s="289"/>
      <c r="TUP16" s="289"/>
      <c r="TUQ16" s="289"/>
      <c r="TUR16" s="289"/>
      <c r="TUS16" s="289"/>
      <c r="TUT16" s="289"/>
      <c r="TUU16" s="289"/>
      <c r="TUV16" s="289"/>
      <c r="TUW16" s="289"/>
      <c r="TUX16" s="289"/>
      <c r="TUY16" s="289"/>
      <c r="TUZ16" s="289"/>
      <c r="TVA16" s="289"/>
      <c r="TVB16" s="289"/>
      <c r="TVC16" s="289"/>
      <c r="TVD16" s="289"/>
      <c r="TVE16" s="289"/>
      <c r="TVF16" s="289"/>
      <c r="TVG16" s="289"/>
      <c r="TVH16" s="289"/>
      <c r="TVI16" s="289"/>
      <c r="TVJ16" s="289"/>
      <c r="TVK16" s="289"/>
      <c r="TVL16" s="289"/>
      <c r="TVM16" s="289"/>
      <c r="TVN16" s="289"/>
      <c r="TVO16" s="289"/>
      <c r="TVP16" s="289"/>
      <c r="TVQ16" s="289"/>
      <c r="TVR16" s="289"/>
      <c r="TVS16" s="289"/>
      <c r="TVT16" s="289"/>
      <c r="TVU16" s="289"/>
      <c r="TVV16" s="289"/>
      <c r="TVW16" s="289"/>
      <c r="TVX16" s="289"/>
      <c r="TVY16" s="289"/>
      <c r="TVZ16" s="289"/>
      <c r="TWA16" s="289"/>
      <c r="TWB16" s="289"/>
      <c r="TWC16" s="289"/>
      <c r="TWD16" s="289"/>
      <c r="TWE16" s="289"/>
      <c r="TWF16" s="289"/>
      <c r="TWG16" s="289"/>
      <c r="TWH16" s="289"/>
      <c r="TWI16" s="289"/>
      <c r="TWJ16" s="289"/>
      <c r="TWK16" s="289"/>
      <c r="TWL16" s="289"/>
      <c r="TWM16" s="289"/>
      <c r="TWN16" s="289"/>
      <c r="TWO16" s="289"/>
      <c r="TWP16" s="289"/>
      <c r="TWQ16" s="289"/>
      <c r="TWR16" s="289"/>
      <c r="TWS16" s="289"/>
      <c r="TWT16" s="289"/>
      <c r="TWU16" s="289"/>
      <c r="TWV16" s="289"/>
      <c r="TWW16" s="289"/>
      <c r="TWX16" s="289"/>
      <c r="TWY16" s="289"/>
      <c r="TWZ16" s="289"/>
      <c r="TXA16" s="289"/>
      <c r="TXB16" s="289"/>
      <c r="TXC16" s="289"/>
      <c r="TXD16" s="289"/>
      <c r="TXE16" s="289"/>
      <c r="TXF16" s="289"/>
      <c r="TXG16" s="289"/>
      <c r="TXH16" s="289"/>
      <c r="TXI16" s="289"/>
      <c r="TXJ16" s="289"/>
      <c r="TXK16" s="289"/>
      <c r="TXL16" s="289"/>
      <c r="TXM16" s="289"/>
      <c r="TXN16" s="289"/>
      <c r="TXO16" s="289"/>
      <c r="TXP16" s="289"/>
      <c r="TXQ16" s="289"/>
      <c r="TXR16" s="289"/>
      <c r="TXS16" s="289"/>
      <c r="TXT16" s="289"/>
      <c r="TXU16" s="289"/>
      <c r="TXV16" s="289"/>
      <c r="TXW16" s="289"/>
      <c r="TXX16" s="289"/>
      <c r="TXY16" s="289"/>
      <c r="TXZ16" s="289"/>
      <c r="TYA16" s="289"/>
      <c r="TYB16" s="289"/>
      <c r="TYC16" s="289"/>
      <c r="TYD16" s="289"/>
      <c r="TYE16" s="289"/>
      <c r="TYF16" s="289"/>
      <c r="TYG16" s="289"/>
      <c r="TYH16" s="289"/>
      <c r="TYI16" s="289"/>
      <c r="TYJ16" s="289"/>
      <c r="TYK16" s="289"/>
      <c r="TYL16" s="289"/>
      <c r="TYM16" s="289"/>
      <c r="TYN16" s="289"/>
      <c r="TYO16" s="289"/>
      <c r="TYP16" s="289"/>
      <c r="TYQ16" s="289"/>
      <c r="TYR16" s="289"/>
      <c r="TYS16" s="289"/>
      <c r="TYT16" s="289"/>
      <c r="TYU16" s="289"/>
      <c r="TYV16" s="289"/>
      <c r="TYW16" s="289"/>
      <c r="TYX16" s="289"/>
      <c r="TYY16" s="289"/>
      <c r="TYZ16" s="289"/>
      <c r="TZA16" s="289"/>
      <c r="TZB16" s="289"/>
      <c r="TZC16" s="289"/>
      <c r="TZD16" s="289"/>
      <c r="TZE16" s="289"/>
      <c r="TZF16" s="289"/>
      <c r="TZG16" s="289"/>
      <c r="TZH16" s="289"/>
      <c r="TZI16" s="289"/>
      <c r="TZJ16" s="289"/>
      <c r="TZK16" s="289"/>
      <c r="TZL16" s="289"/>
      <c r="TZM16" s="289"/>
      <c r="TZN16" s="289"/>
      <c r="TZO16" s="289"/>
      <c r="TZP16" s="289"/>
      <c r="TZQ16" s="289"/>
      <c r="TZR16" s="289"/>
      <c r="TZS16" s="289"/>
      <c r="TZT16" s="289"/>
      <c r="TZU16" s="289"/>
      <c r="TZV16" s="289"/>
      <c r="TZW16" s="289"/>
      <c r="TZX16" s="289"/>
      <c r="TZY16" s="289"/>
      <c r="TZZ16" s="289"/>
      <c r="UAA16" s="289"/>
      <c r="UAB16" s="289"/>
      <c r="UAC16" s="289"/>
      <c r="UAD16" s="289"/>
      <c r="UAE16" s="289"/>
      <c r="UAF16" s="289"/>
      <c r="UAG16" s="289"/>
      <c r="UAH16" s="289"/>
      <c r="UAI16" s="289"/>
      <c r="UAJ16" s="289"/>
      <c r="UAK16" s="289"/>
      <c r="UAL16" s="289"/>
      <c r="UAM16" s="289"/>
      <c r="UAN16" s="289"/>
      <c r="UAO16" s="289"/>
      <c r="UAP16" s="289"/>
      <c r="UAQ16" s="289"/>
      <c r="UAR16" s="289"/>
      <c r="UAS16" s="289"/>
      <c r="UAT16" s="289"/>
      <c r="UAU16" s="289"/>
      <c r="UAV16" s="289"/>
      <c r="UAW16" s="289"/>
      <c r="UAX16" s="289"/>
      <c r="UAY16" s="289"/>
      <c r="UAZ16" s="289"/>
      <c r="UBA16" s="289"/>
      <c r="UBB16" s="289"/>
      <c r="UBC16" s="289"/>
      <c r="UBD16" s="289"/>
      <c r="UBE16" s="289"/>
      <c r="UBF16" s="289"/>
      <c r="UBG16" s="289"/>
      <c r="UBH16" s="289"/>
      <c r="UBI16" s="289"/>
      <c r="UBJ16" s="289"/>
      <c r="UBK16" s="289"/>
      <c r="UBL16" s="289"/>
      <c r="UBM16" s="289"/>
      <c r="UBN16" s="289"/>
      <c r="UBO16" s="289"/>
      <c r="UBP16" s="289"/>
      <c r="UBQ16" s="289"/>
      <c r="UBR16" s="289"/>
      <c r="UBS16" s="289"/>
      <c r="UBT16" s="289"/>
      <c r="UBU16" s="289"/>
      <c r="UBV16" s="289"/>
      <c r="UBW16" s="289"/>
      <c r="UBX16" s="289"/>
      <c r="UBY16" s="289"/>
      <c r="UBZ16" s="289"/>
      <c r="UCA16" s="289"/>
      <c r="UCB16" s="289"/>
      <c r="UCC16" s="289"/>
      <c r="UCD16" s="289"/>
      <c r="UCE16" s="289"/>
      <c r="UCF16" s="289"/>
      <c r="UCG16" s="289"/>
      <c r="UCH16" s="289"/>
      <c r="UCI16" s="289"/>
      <c r="UCJ16" s="289"/>
      <c r="UCK16" s="289"/>
      <c r="UCL16" s="289"/>
      <c r="UCM16" s="289"/>
      <c r="UCN16" s="289"/>
      <c r="UCO16" s="289"/>
      <c r="UCP16" s="289"/>
      <c r="UCQ16" s="289"/>
      <c r="UCR16" s="289"/>
      <c r="UCS16" s="289"/>
      <c r="UCT16" s="289"/>
      <c r="UCU16" s="289"/>
      <c r="UCV16" s="289"/>
      <c r="UCW16" s="289"/>
      <c r="UCX16" s="289"/>
      <c r="UCY16" s="289"/>
      <c r="UCZ16" s="289"/>
      <c r="UDA16" s="289"/>
      <c r="UDB16" s="289"/>
      <c r="UDC16" s="289"/>
      <c r="UDD16" s="289"/>
      <c r="UDE16" s="289"/>
      <c r="UDF16" s="289"/>
      <c r="UDG16" s="289"/>
      <c r="UDH16" s="289"/>
      <c r="UDI16" s="289"/>
      <c r="UDJ16" s="289"/>
      <c r="UDK16" s="289"/>
      <c r="UDL16" s="289"/>
      <c r="UDM16" s="289"/>
      <c r="UDN16" s="289"/>
      <c r="UDO16" s="289"/>
      <c r="UDP16" s="289"/>
      <c r="UDQ16" s="289"/>
      <c r="UDR16" s="289"/>
      <c r="UDS16" s="289"/>
      <c r="UDT16" s="289"/>
      <c r="UDU16" s="289"/>
      <c r="UDV16" s="289"/>
      <c r="UDW16" s="289"/>
      <c r="UDX16" s="289"/>
      <c r="UDY16" s="289"/>
      <c r="UDZ16" s="289"/>
      <c r="UEA16" s="289"/>
      <c r="UEB16" s="289"/>
      <c r="UEC16" s="289"/>
      <c r="UED16" s="289"/>
      <c r="UEE16" s="289"/>
      <c r="UEF16" s="289"/>
      <c r="UEG16" s="289"/>
      <c r="UEH16" s="289"/>
      <c r="UEI16" s="289"/>
      <c r="UEJ16" s="289"/>
      <c r="UEK16" s="289"/>
      <c r="UEL16" s="289"/>
      <c r="UEM16" s="289"/>
      <c r="UEN16" s="289"/>
      <c r="UEO16" s="289"/>
      <c r="UEP16" s="289"/>
      <c r="UEQ16" s="289"/>
      <c r="UER16" s="289"/>
      <c r="UES16" s="289"/>
      <c r="UET16" s="289"/>
      <c r="UEU16" s="289"/>
      <c r="UEV16" s="289"/>
      <c r="UEW16" s="289"/>
      <c r="UEX16" s="289"/>
      <c r="UEY16" s="289"/>
      <c r="UEZ16" s="289"/>
      <c r="UFA16" s="289"/>
      <c r="UFB16" s="289"/>
      <c r="UFC16" s="289"/>
      <c r="UFD16" s="289"/>
      <c r="UFE16" s="289"/>
      <c r="UFF16" s="289"/>
      <c r="UFG16" s="289"/>
      <c r="UFH16" s="289"/>
      <c r="UFI16" s="289"/>
      <c r="UFJ16" s="289"/>
      <c r="UFK16" s="289"/>
      <c r="UFL16" s="289"/>
      <c r="UFM16" s="289"/>
      <c r="UFN16" s="289"/>
      <c r="UFO16" s="289"/>
      <c r="UFP16" s="289"/>
      <c r="UFQ16" s="289"/>
      <c r="UFR16" s="289"/>
      <c r="UFS16" s="289"/>
      <c r="UFT16" s="289"/>
      <c r="UFU16" s="289"/>
      <c r="UFV16" s="289"/>
      <c r="UFW16" s="289"/>
      <c r="UFX16" s="289"/>
      <c r="UFY16" s="289"/>
      <c r="UFZ16" s="289"/>
      <c r="UGA16" s="289"/>
      <c r="UGB16" s="289"/>
      <c r="UGC16" s="289"/>
      <c r="UGD16" s="289"/>
      <c r="UGE16" s="289"/>
      <c r="UGF16" s="289"/>
      <c r="UGG16" s="289"/>
      <c r="UGH16" s="289"/>
      <c r="UGI16" s="289"/>
      <c r="UGJ16" s="289"/>
      <c r="UGK16" s="289"/>
      <c r="UGL16" s="289"/>
      <c r="UGM16" s="289"/>
      <c r="UGN16" s="289"/>
      <c r="UGO16" s="289"/>
      <c r="UGP16" s="289"/>
      <c r="UGQ16" s="289"/>
      <c r="UGR16" s="289"/>
      <c r="UGS16" s="289"/>
      <c r="UGT16" s="289"/>
      <c r="UGU16" s="289"/>
      <c r="UGV16" s="289"/>
      <c r="UGW16" s="289"/>
      <c r="UGX16" s="289"/>
      <c r="UGY16" s="289"/>
      <c r="UGZ16" s="289"/>
      <c r="UHA16" s="289"/>
      <c r="UHB16" s="289"/>
      <c r="UHC16" s="289"/>
      <c r="UHD16" s="289"/>
      <c r="UHE16" s="289"/>
      <c r="UHF16" s="289"/>
      <c r="UHG16" s="289"/>
      <c r="UHH16" s="289"/>
      <c r="UHI16" s="289"/>
      <c r="UHJ16" s="289"/>
      <c r="UHK16" s="289"/>
      <c r="UHL16" s="289"/>
      <c r="UHM16" s="289"/>
      <c r="UHN16" s="289"/>
      <c r="UHO16" s="289"/>
      <c r="UHP16" s="289"/>
      <c r="UHQ16" s="289"/>
      <c r="UHR16" s="289"/>
      <c r="UHS16" s="289"/>
      <c r="UHT16" s="289"/>
      <c r="UHU16" s="289"/>
      <c r="UHV16" s="289"/>
      <c r="UHW16" s="289"/>
      <c r="UHX16" s="289"/>
      <c r="UHY16" s="289"/>
      <c r="UHZ16" s="289"/>
      <c r="UIA16" s="289"/>
      <c r="UIB16" s="289"/>
      <c r="UIC16" s="289"/>
      <c r="UID16" s="289"/>
      <c r="UIE16" s="289"/>
      <c r="UIF16" s="289"/>
      <c r="UIG16" s="289"/>
      <c r="UIH16" s="289"/>
      <c r="UII16" s="289"/>
      <c r="UIJ16" s="289"/>
      <c r="UIK16" s="289"/>
      <c r="UIL16" s="289"/>
      <c r="UIM16" s="289"/>
      <c r="UIN16" s="289"/>
      <c r="UIO16" s="289"/>
      <c r="UIP16" s="289"/>
      <c r="UIQ16" s="289"/>
      <c r="UIR16" s="289"/>
      <c r="UIS16" s="289"/>
      <c r="UIT16" s="289"/>
      <c r="UIU16" s="289"/>
      <c r="UIV16" s="289"/>
      <c r="UIW16" s="289"/>
      <c r="UIX16" s="289"/>
      <c r="UIY16" s="289"/>
      <c r="UIZ16" s="289"/>
      <c r="UJA16" s="289"/>
      <c r="UJB16" s="289"/>
      <c r="UJC16" s="289"/>
      <c r="UJD16" s="289"/>
      <c r="UJE16" s="289"/>
      <c r="UJF16" s="289"/>
      <c r="UJG16" s="289"/>
      <c r="UJH16" s="289"/>
      <c r="UJI16" s="289"/>
      <c r="UJJ16" s="289"/>
      <c r="UJK16" s="289"/>
      <c r="UJL16" s="289"/>
      <c r="UJM16" s="289"/>
      <c r="UJN16" s="289"/>
      <c r="UJO16" s="289"/>
      <c r="UJP16" s="289"/>
      <c r="UJQ16" s="289"/>
      <c r="UJR16" s="289"/>
      <c r="UJS16" s="289"/>
      <c r="UJT16" s="289"/>
      <c r="UJU16" s="289"/>
      <c r="UJV16" s="289"/>
      <c r="UJW16" s="289"/>
      <c r="UJX16" s="289"/>
      <c r="UJY16" s="289"/>
      <c r="UJZ16" s="289"/>
      <c r="UKA16" s="289"/>
      <c r="UKB16" s="289"/>
      <c r="UKC16" s="289"/>
      <c r="UKD16" s="289"/>
      <c r="UKE16" s="289"/>
      <c r="UKF16" s="289"/>
      <c r="UKG16" s="289"/>
      <c r="UKH16" s="289"/>
      <c r="UKI16" s="289"/>
      <c r="UKJ16" s="289"/>
      <c r="UKK16" s="289"/>
      <c r="UKL16" s="289"/>
      <c r="UKM16" s="289"/>
      <c r="UKN16" s="289"/>
      <c r="UKO16" s="289"/>
      <c r="UKP16" s="289"/>
      <c r="UKQ16" s="289"/>
      <c r="UKR16" s="289"/>
      <c r="UKS16" s="289"/>
      <c r="UKT16" s="289"/>
      <c r="UKU16" s="289"/>
      <c r="UKV16" s="289"/>
      <c r="UKW16" s="289"/>
      <c r="UKX16" s="289"/>
      <c r="UKY16" s="289"/>
      <c r="UKZ16" s="289"/>
      <c r="ULA16" s="289"/>
      <c r="ULB16" s="289"/>
      <c r="ULC16" s="289"/>
      <c r="ULD16" s="289"/>
      <c r="ULE16" s="289"/>
      <c r="ULF16" s="289"/>
      <c r="ULG16" s="289"/>
      <c r="ULH16" s="289"/>
      <c r="ULI16" s="289"/>
      <c r="ULJ16" s="289"/>
      <c r="ULK16" s="289"/>
      <c r="ULL16" s="289"/>
      <c r="ULM16" s="289"/>
      <c r="ULN16" s="289"/>
      <c r="ULO16" s="289"/>
      <c r="ULP16" s="289"/>
      <c r="ULQ16" s="289"/>
      <c r="ULR16" s="289"/>
      <c r="ULS16" s="289"/>
      <c r="ULT16" s="289"/>
      <c r="ULU16" s="289"/>
      <c r="ULV16" s="289"/>
      <c r="ULW16" s="289"/>
      <c r="ULX16" s="289"/>
      <c r="ULY16" s="289"/>
      <c r="ULZ16" s="289"/>
      <c r="UMA16" s="289"/>
      <c r="UMB16" s="289"/>
      <c r="UMC16" s="289"/>
      <c r="UMD16" s="289"/>
      <c r="UME16" s="289"/>
      <c r="UMF16" s="289"/>
      <c r="UMG16" s="289"/>
      <c r="UMH16" s="289"/>
      <c r="UMI16" s="289"/>
      <c r="UMJ16" s="289"/>
      <c r="UMK16" s="289"/>
      <c r="UML16" s="289"/>
      <c r="UMM16" s="289"/>
      <c r="UMN16" s="289"/>
      <c r="UMO16" s="289"/>
      <c r="UMP16" s="289"/>
      <c r="UMQ16" s="289"/>
      <c r="UMR16" s="289"/>
      <c r="UMS16" s="289"/>
      <c r="UMT16" s="289"/>
      <c r="UMU16" s="289"/>
      <c r="UMV16" s="289"/>
      <c r="UMW16" s="289"/>
      <c r="UMX16" s="289"/>
      <c r="UMY16" s="289"/>
      <c r="UMZ16" s="289"/>
      <c r="UNA16" s="289"/>
      <c r="UNB16" s="289"/>
      <c r="UNC16" s="289"/>
      <c r="UND16" s="289"/>
      <c r="UNE16" s="289"/>
      <c r="UNF16" s="289"/>
      <c r="UNG16" s="289"/>
      <c r="UNH16" s="289"/>
      <c r="UNI16" s="289"/>
      <c r="UNJ16" s="289"/>
      <c r="UNK16" s="289"/>
      <c r="UNL16" s="289"/>
      <c r="UNM16" s="289"/>
      <c r="UNN16" s="289"/>
      <c r="UNO16" s="289"/>
      <c r="UNP16" s="289"/>
      <c r="UNQ16" s="289"/>
      <c r="UNR16" s="289"/>
      <c r="UNS16" s="289"/>
      <c r="UNT16" s="289"/>
      <c r="UNU16" s="289"/>
      <c r="UNV16" s="289"/>
      <c r="UNW16" s="289"/>
      <c r="UNX16" s="289"/>
      <c r="UNY16" s="289"/>
      <c r="UNZ16" s="289"/>
      <c r="UOA16" s="289"/>
      <c r="UOB16" s="289"/>
      <c r="UOC16" s="289"/>
      <c r="UOD16" s="289"/>
      <c r="UOE16" s="289"/>
      <c r="UOF16" s="289"/>
      <c r="UOG16" s="289"/>
      <c r="UOH16" s="289"/>
      <c r="UOI16" s="289"/>
      <c r="UOJ16" s="289"/>
      <c r="UOK16" s="289"/>
      <c r="UOL16" s="289"/>
      <c r="UOM16" s="289"/>
      <c r="UON16" s="289"/>
      <c r="UOO16" s="289"/>
      <c r="UOP16" s="289"/>
      <c r="UOQ16" s="289"/>
      <c r="UOR16" s="289"/>
      <c r="UOS16" s="289"/>
      <c r="UOT16" s="289"/>
      <c r="UOU16" s="289"/>
      <c r="UOV16" s="289"/>
      <c r="UOW16" s="289"/>
      <c r="UOX16" s="289"/>
      <c r="UOY16" s="289"/>
      <c r="UOZ16" s="289"/>
      <c r="UPA16" s="289"/>
      <c r="UPB16" s="289"/>
      <c r="UPC16" s="289"/>
      <c r="UPD16" s="289"/>
      <c r="UPE16" s="289"/>
      <c r="UPF16" s="289"/>
      <c r="UPG16" s="289"/>
      <c r="UPH16" s="289"/>
      <c r="UPI16" s="289"/>
      <c r="UPJ16" s="289"/>
      <c r="UPK16" s="289"/>
      <c r="UPL16" s="289"/>
      <c r="UPM16" s="289"/>
      <c r="UPN16" s="289"/>
      <c r="UPO16" s="289"/>
      <c r="UPP16" s="289"/>
      <c r="UPQ16" s="289"/>
      <c r="UPR16" s="289"/>
      <c r="UPS16" s="289"/>
      <c r="UPT16" s="289"/>
      <c r="UPU16" s="289"/>
      <c r="UPV16" s="289"/>
      <c r="UPW16" s="289"/>
      <c r="UPX16" s="289"/>
      <c r="UPY16" s="289"/>
      <c r="UPZ16" s="289"/>
      <c r="UQA16" s="289"/>
      <c r="UQB16" s="289"/>
      <c r="UQC16" s="289"/>
      <c r="UQD16" s="289"/>
      <c r="UQE16" s="289"/>
      <c r="UQF16" s="289"/>
      <c r="UQG16" s="289"/>
      <c r="UQH16" s="289"/>
      <c r="UQI16" s="289"/>
      <c r="UQJ16" s="289"/>
      <c r="UQK16" s="289"/>
      <c r="UQL16" s="289"/>
      <c r="UQM16" s="289"/>
      <c r="UQN16" s="289"/>
      <c r="UQO16" s="289"/>
      <c r="UQP16" s="289"/>
      <c r="UQQ16" s="289"/>
      <c r="UQR16" s="289"/>
      <c r="UQS16" s="289"/>
      <c r="UQT16" s="289"/>
      <c r="UQU16" s="289"/>
      <c r="UQV16" s="289"/>
      <c r="UQW16" s="289"/>
      <c r="UQX16" s="289"/>
      <c r="UQY16" s="289"/>
      <c r="UQZ16" s="289"/>
      <c r="URA16" s="289"/>
      <c r="URB16" s="289"/>
      <c r="URC16" s="289"/>
      <c r="URD16" s="289"/>
      <c r="URE16" s="289"/>
      <c r="URF16" s="289"/>
      <c r="URG16" s="289"/>
      <c r="URH16" s="289"/>
      <c r="URI16" s="289"/>
      <c r="URJ16" s="289"/>
      <c r="URK16" s="289"/>
      <c r="URL16" s="289"/>
      <c r="URM16" s="289"/>
      <c r="URN16" s="289"/>
      <c r="URO16" s="289"/>
      <c r="URP16" s="289"/>
      <c r="URQ16" s="289"/>
      <c r="URR16" s="289"/>
      <c r="URS16" s="289"/>
      <c r="URT16" s="289"/>
      <c r="URU16" s="289"/>
      <c r="URV16" s="289"/>
      <c r="URW16" s="289"/>
      <c r="URX16" s="289"/>
      <c r="URY16" s="289"/>
      <c r="URZ16" s="289"/>
      <c r="USA16" s="289"/>
      <c r="USB16" s="289"/>
      <c r="USC16" s="289"/>
      <c r="USD16" s="289"/>
      <c r="USE16" s="289"/>
      <c r="USF16" s="289"/>
      <c r="USG16" s="289"/>
      <c r="USH16" s="289"/>
      <c r="USI16" s="289"/>
      <c r="USJ16" s="289"/>
      <c r="USK16" s="289"/>
      <c r="USL16" s="289"/>
      <c r="USM16" s="289"/>
      <c r="USN16" s="289"/>
      <c r="USO16" s="289"/>
      <c r="USP16" s="289"/>
      <c r="USQ16" s="289"/>
      <c r="USR16" s="289"/>
      <c r="USS16" s="289"/>
      <c r="UST16" s="289"/>
      <c r="USU16" s="289"/>
      <c r="USV16" s="289"/>
      <c r="USW16" s="289"/>
      <c r="USX16" s="289"/>
      <c r="USY16" s="289"/>
      <c r="USZ16" s="289"/>
      <c r="UTA16" s="289"/>
      <c r="UTB16" s="289"/>
      <c r="UTC16" s="289"/>
      <c r="UTD16" s="289"/>
      <c r="UTE16" s="289"/>
      <c r="UTF16" s="289"/>
      <c r="UTG16" s="289"/>
      <c r="UTH16" s="289"/>
      <c r="UTI16" s="289"/>
      <c r="UTJ16" s="289"/>
      <c r="UTK16" s="289"/>
      <c r="UTL16" s="289"/>
      <c r="UTM16" s="289"/>
      <c r="UTN16" s="289"/>
      <c r="UTO16" s="289"/>
      <c r="UTP16" s="289"/>
      <c r="UTQ16" s="289"/>
      <c r="UTR16" s="289"/>
      <c r="UTS16" s="289"/>
      <c r="UTT16" s="289"/>
      <c r="UTU16" s="289"/>
      <c r="UTV16" s="289"/>
      <c r="UTW16" s="289"/>
      <c r="UTX16" s="289"/>
      <c r="UTY16" s="289"/>
      <c r="UTZ16" s="289"/>
      <c r="UUA16" s="289"/>
      <c r="UUB16" s="289"/>
      <c r="UUC16" s="289"/>
      <c r="UUD16" s="289"/>
      <c r="UUE16" s="289"/>
      <c r="UUF16" s="289"/>
      <c r="UUG16" s="289"/>
      <c r="UUH16" s="289"/>
      <c r="UUI16" s="289"/>
      <c r="UUJ16" s="289"/>
      <c r="UUK16" s="289"/>
      <c r="UUL16" s="289"/>
      <c r="UUM16" s="289"/>
      <c r="UUN16" s="289"/>
      <c r="UUO16" s="289"/>
      <c r="UUP16" s="289"/>
      <c r="UUQ16" s="289"/>
      <c r="UUR16" s="289"/>
      <c r="UUS16" s="289"/>
      <c r="UUT16" s="289"/>
      <c r="UUU16" s="289"/>
      <c r="UUV16" s="289"/>
      <c r="UUW16" s="289"/>
      <c r="UUX16" s="289"/>
      <c r="UUY16" s="289"/>
      <c r="UUZ16" s="289"/>
      <c r="UVA16" s="289"/>
      <c r="UVB16" s="289"/>
      <c r="UVC16" s="289"/>
      <c r="UVD16" s="289"/>
      <c r="UVE16" s="289"/>
      <c r="UVF16" s="289"/>
      <c r="UVG16" s="289"/>
      <c r="UVH16" s="289"/>
      <c r="UVI16" s="289"/>
      <c r="UVJ16" s="289"/>
      <c r="UVK16" s="289"/>
      <c r="UVL16" s="289"/>
      <c r="UVM16" s="289"/>
      <c r="UVN16" s="289"/>
      <c r="UVO16" s="289"/>
      <c r="UVP16" s="289"/>
      <c r="UVQ16" s="289"/>
      <c r="UVR16" s="289"/>
      <c r="UVS16" s="289"/>
      <c r="UVT16" s="289"/>
      <c r="UVU16" s="289"/>
      <c r="UVV16" s="289"/>
      <c r="UVW16" s="289"/>
      <c r="UVX16" s="289"/>
      <c r="UVY16" s="289"/>
      <c r="UVZ16" s="289"/>
      <c r="UWA16" s="289"/>
      <c r="UWB16" s="289"/>
      <c r="UWC16" s="289"/>
      <c r="UWD16" s="289"/>
      <c r="UWE16" s="289"/>
      <c r="UWF16" s="289"/>
      <c r="UWG16" s="289"/>
      <c r="UWH16" s="289"/>
      <c r="UWI16" s="289"/>
      <c r="UWJ16" s="289"/>
      <c r="UWK16" s="289"/>
      <c r="UWL16" s="289"/>
      <c r="UWM16" s="289"/>
      <c r="UWN16" s="289"/>
      <c r="UWO16" s="289"/>
      <c r="UWP16" s="289"/>
      <c r="UWQ16" s="289"/>
      <c r="UWR16" s="289"/>
      <c r="UWS16" s="289"/>
      <c r="UWT16" s="289"/>
      <c r="UWU16" s="289"/>
      <c r="UWV16" s="289"/>
      <c r="UWW16" s="289"/>
      <c r="UWX16" s="289"/>
      <c r="UWY16" s="289"/>
      <c r="UWZ16" s="289"/>
      <c r="UXA16" s="289"/>
      <c r="UXB16" s="289"/>
      <c r="UXC16" s="289"/>
      <c r="UXD16" s="289"/>
      <c r="UXE16" s="289"/>
      <c r="UXF16" s="289"/>
      <c r="UXG16" s="289"/>
      <c r="UXH16" s="289"/>
      <c r="UXI16" s="289"/>
      <c r="UXJ16" s="289"/>
      <c r="UXK16" s="289"/>
      <c r="UXL16" s="289"/>
      <c r="UXM16" s="289"/>
      <c r="UXN16" s="289"/>
      <c r="UXO16" s="289"/>
      <c r="UXP16" s="289"/>
      <c r="UXQ16" s="289"/>
      <c r="UXR16" s="289"/>
      <c r="UXS16" s="289"/>
      <c r="UXT16" s="289"/>
      <c r="UXU16" s="289"/>
      <c r="UXV16" s="289"/>
      <c r="UXW16" s="289"/>
      <c r="UXX16" s="289"/>
      <c r="UXY16" s="289"/>
      <c r="UXZ16" s="289"/>
      <c r="UYA16" s="289"/>
      <c r="UYB16" s="289"/>
      <c r="UYC16" s="289"/>
      <c r="UYD16" s="289"/>
      <c r="UYE16" s="289"/>
      <c r="UYF16" s="289"/>
      <c r="UYG16" s="289"/>
      <c r="UYH16" s="289"/>
      <c r="UYI16" s="289"/>
      <c r="UYJ16" s="289"/>
      <c r="UYK16" s="289"/>
      <c r="UYL16" s="289"/>
      <c r="UYM16" s="289"/>
      <c r="UYN16" s="289"/>
      <c r="UYO16" s="289"/>
      <c r="UYP16" s="289"/>
      <c r="UYQ16" s="289"/>
      <c r="UYR16" s="289"/>
      <c r="UYS16" s="289"/>
      <c r="UYT16" s="289"/>
      <c r="UYU16" s="289"/>
      <c r="UYV16" s="289"/>
      <c r="UYW16" s="289"/>
      <c r="UYX16" s="289"/>
      <c r="UYY16" s="289"/>
      <c r="UYZ16" s="289"/>
      <c r="UZA16" s="289"/>
      <c r="UZB16" s="289"/>
      <c r="UZC16" s="289"/>
      <c r="UZD16" s="289"/>
      <c r="UZE16" s="289"/>
      <c r="UZF16" s="289"/>
      <c r="UZG16" s="289"/>
      <c r="UZH16" s="289"/>
      <c r="UZI16" s="289"/>
      <c r="UZJ16" s="289"/>
      <c r="UZK16" s="289"/>
      <c r="UZL16" s="289"/>
      <c r="UZM16" s="289"/>
      <c r="UZN16" s="289"/>
      <c r="UZO16" s="289"/>
      <c r="UZP16" s="289"/>
      <c r="UZQ16" s="289"/>
      <c r="UZR16" s="289"/>
      <c r="UZS16" s="289"/>
      <c r="UZT16" s="289"/>
      <c r="UZU16" s="289"/>
      <c r="UZV16" s="289"/>
      <c r="UZW16" s="289"/>
      <c r="UZX16" s="289"/>
      <c r="UZY16" s="289"/>
      <c r="UZZ16" s="289"/>
      <c r="VAA16" s="289"/>
      <c r="VAB16" s="289"/>
      <c r="VAC16" s="289"/>
      <c r="VAD16" s="289"/>
      <c r="VAE16" s="289"/>
      <c r="VAF16" s="289"/>
      <c r="VAG16" s="289"/>
      <c r="VAH16" s="289"/>
      <c r="VAI16" s="289"/>
      <c r="VAJ16" s="289"/>
      <c r="VAK16" s="289"/>
      <c r="VAL16" s="289"/>
      <c r="VAM16" s="289"/>
      <c r="VAN16" s="289"/>
      <c r="VAO16" s="289"/>
      <c r="VAP16" s="289"/>
      <c r="VAQ16" s="289"/>
      <c r="VAR16" s="289"/>
      <c r="VAS16" s="289"/>
      <c r="VAT16" s="289"/>
      <c r="VAU16" s="289"/>
      <c r="VAV16" s="289"/>
      <c r="VAW16" s="289"/>
      <c r="VAX16" s="289"/>
      <c r="VAY16" s="289"/>
      <c r="VAZ16" s="289"/>
      <c r="VBA16" s="289"/>
      <c r="VBB16" s="289"/>
      <c r="VBC16" s="289"/>
      <c r="VBD16" s="289"/>
      <c r="VBE16" s="289"/>
      <c r="VBF16" s="289"/>
      <c r="VBG16" s="289"/>
      <c r="VBH16" s="289"/>
      <c r="VBI16" s="289"/>
      <c r="VBJ16" s="289"/>
      <c r="VBK16" s="289"/>
      <c r="VBL16" s="289"/>
      <c r="VBM16" s="289"/>
      <c r="VBN16" s="289"/>
      <c r="VBO16" s="289"/>
      <c r="VBP16" s="289"/>
      <c r="VBQ16" s="289"/>
      <c r="VBR16" s="289"/>
      <c r="VBS16" s="289"/>
      <c r="VBT16" s="289"/>
      <c r="VBU16" s="289"/>
      <c r="VBV16" s="289"/>
      <c r="VBW16" s="289"/>
      <c r="VBX16" s="289"/>
      <c r="VBY16" s="289"/>
      <c r="VBZ16" s="289"/>
      <c r="VCA16" s="289"/>
      <c r="VCB16" s="289"/>
      <c r="VCC16" s="289"/>
      <c r="VCD16" s="289"/>
      <c r="VCE16" s="289"/>
      <c r="VCF16" s="289"/>
      <c r="VCG16" s="289"/>
      <c r="VCH16" s="289"/>
      <c r="VCI16" s="289"/>
      <c r="VCJ16" s="289"/>
      <c r="VCK16" s="289"/>
      <c r="VCL16" s="289"/>
      <c r="VCM16" s="289"/>
      <c r="VCN16" s="289"/>
      <c r="VCO16" s="289"/>
      <c r="VCP16" s="289"/>
      <c r="VCQ16" s="289"/>
      <c r="VCR16" s="289"/>
      <c r="VCS16" s="289"/>
      <c r="VCT16" s="289"/>
      <c r="VCU16" s="289"/>
      <c r="VCV16" s="289"/>
      <c r="VCW16" s="289"/>
      <c r="VCX16" s="289"/>
      <c r="VCY16" s="289"/>
      <c r="VCZ16" s="289"/>
      <c r="VDA16" s="289"/>
      <c r="VDB16" s="289"/>
      <c r="VDC16" s="289"/>
      <c r="VDD16" s="289"/>
      <c r="VDE16" s="289"/>
      <c r="VDF16" s="289"/>
      <c r="VDG16" s="289"/>
      <c r="VDH16" s="289"/>
      <c r="VDI16" s="289"/>
      <c r="VDJ16" s="289"/>
      <c r="VDK16" s="289"/>
      <c r="VDL16" s="289"/>
      <c r="VDM16" s="289"/>
      <c r="VDN16" s="289"/>
      <c r="VDO16" s="289"/>
      <c r="VDP16" s="289"/>
      <c r="VDQ16" s="289"/>
      <c r="VDR16" s="289"/>
      <c r="VDS16" s="289"/>
      <c r="VDT16" s="289"/>
      <c r="VDU16" s="289"/>
      <c r="VDV16" s="289"/>
      <c r="VDW16" s="289"/>
      <c r="VDX16" s="289"/>
      <c r="VDY16" s="289"/>
      <c r="VDZ16" s="289"/>
      <c r="VEA16" s="289"/>
      <c r="VEB16" s="289"/>
      <c r="VEC16" s="289"/>
      <c r="VED16" s="289"/>
      <c r="VEE16" s="289"/>
      <c r="VEF16" s="289"/>
      <c r="VEG16" s="289"/>
      <c r="VEH16" s="289"/>
      <c r="VEI16" s="289"/>
      <c r="VEJ16" s="289"/>
      <c r="VEK16" s="289"/>
      <c r="VEL16" s="289"/>
      <c r="VEM16" s="289"/>
      <c r="VEN16" s="289"/>
      <c r="VEO16" s="289"/>
      <c r="VEP16" s="289"/>
      <c r="VEQ16" s="289"/>
      <c r="VER16" s="289"/>
      <c r="VES16" s="289"/>
      <c r="VET16" s="289"/>
      <c r="VEU16" s="289"/>
      <c r="VEV16" s="289"/>
      <c r="VEW16" s="289"/>
      <c r="VEX16" s="289"/>
      <c r="VEY16" s="289"/>
      <c r="VEZ16" s="289"/>
      <c r="VFA16" s="289"/>
      <c r="VFB16" s="289"/>
      <c r="VFC16" s="289"/>
      <c r="VFD16" s="289"/>
      <c r="VFE16" s="289"/>
      <c r="VFF16" s="289"/>
      <c r="VFG16" s="289"/>
      <c r="VFH16" s="289"/>
      <c r="VFI16" s="289"/>
      <c r="VFJ16" s="289"/>
      <c r="VFK16" s="289"/>
      <c r="VFL16" s="289"/>
      <c r="VFM16" s="289"/>
      <c r="VFN16" s="289"/>
      <c r="VFO16" s="289"/>
      <c r="VFP16" s="289"/>
      <c r="VFQ16" s="289"/>
      <c r="VFR16" s="289"/>
      <c r="VFS16" s="289"/>
      <c r="VFT16" s="289"/>
      <c r="VFU16" s="289"/>
      <c r="VFV16" s="289"/>
      <c r="VFW16" s="289"/>
      <c r="VFX16" s="289"/>
      <c r="VFY16" s="289"/>
      <c r="VFZ16" s="289"/>
      <c r="VGA16" s="289"/>
      <c r="VGB16" s="289"/>
      <c r="VGC16" s="289"/>
      <c r="VGD16" s="289"/>
      <c r="VGE16" s="289"/>
      <c r="VGF16" s="289"/>
      <c r="VGG16" s="289"/>
      <c r="VGH16" s="289"/>
      <c r="VGI16" s="289"/>
      <c r="VGJ16" s="289"/>
      <c r="VGK16" s="289"/>
      <c r="VGL16" s="289"/>
      <c r="VGM16" s="289"/>
      <c r="VGN16" s="289"/>
      <c r="VGO16" s="289"/>
      <c r="VGP16" s="289"/>
      <c r="VGQ16" s="289"/>
      <c r="VGR16" s="289"/>
      <c r="VGS16" s="289"/>
      <c r="VGT16" s="289"/>
      <c r="VGU16" s="289"/>
      <c r="VGV16" s="289"/>
      <c r="VGW16" s="289"/>
      <c r="VGX16" s="289"/>
      <c r="VGY16" s="289"/>
      <c r="VGZ16" s="289"/>
      <c r="VHA16" s="289"/>
      <c r="VHB16" s="289"/>
      <c r="VHC16" s="289"/>
      <c r="VHD16" s="289"/>
      <c r="VHE16" s="289"/>
      <c r="VHF16" s="289"/>
      <c r="VHG16" s="289"/>
      <c r="VHH16" s="289"/>
      <c r="VHI16" s="289"/>
      <c r="VHJ16" s="289"/>
      <c r="VHK16" s="289"/>
      <c r="VHL16" s="289"/>
      <c r="VHM16" s="289"/>
      <c r="VHN16" s="289"/>
      <c r="VHO16" s="289"/>
      <c r="VHP16" s="289"/>
      <c r="VHQ16" s="289"/>
      <c r="VHR16" s="289"/>
      <c r="VHS16" s="289"/>
      <c r="VHT16" s="289"/>
      <c r="VHU16" s="289"/>
      <c r="VHV16" s="289"/>
      <c r="VHW16" s="289"/>
      <c r="VHX16" s="289"/>
      <c r="VHY16" s="289"/>
      <c r="VHZ16" s="289"/>
      <c r="VIA16" s="289"/>
      <c r="VIB16" s="289"/>
      <c r="VIC16" s="289"/>
      <c r="VID16" s="289"/>
      <c r="VIE16" s="289"/>
      <c r="VIF16" s="289"/>
      <c r="VIG16" s="289"/>
      <c r="VIH16" s="289"/>
      <c r="VII16" s="289"/>
      <c r="VIJ16" s="289"/>
      <c r="VIK16" s="289"/>
      <c r="VIL16" s="289"/>
      <c r="VIM16" s="289"/>
      <c r="VIN16" s="289"/>
      <c r="VIO16" s="289"/>
      <c r="VIP16" s="289"/>
      <c r="VIQ16" s="289"/>
      <c r="VIR16" s="289"/>
      <c r="VIS16" s="289"/>
      <c r="VIT16" s="289"/>
      <c r="VIU16" s="289"/>
      <c r="VIV16" s="289"/>
      <c r="VIW16" s="289"/>
      <c r="VIX16" s="289"/>
      <c r="VIY16" s="289"/>
      <c r="VIZ16" s="289"/>
      <c r="VJA16" s="289"/>
      <c r="VJB16" s="289"/>
      <c r="VJC16" s="289"/>
      <c r="VJD16" s="289"/>
      <c r="VJE16" s="289"/>
      <c r="VJF16" s="289"/>
      <c r="VJG16" s="289"/>
      <c r="VJH16" s="289"/>
      <c r="VJI16" s="289"/>
      <c r="VJJ16" s="289"/>
      <c r="VJK16" s="289"/>
      <c r="VJL16" s="289"/>
      <c r="VJM16" s="289"/>
      <c r="VJN16" s="289"/>
      <c r="VJO16" s="289"/>
      <c r="VJP16" s="289"/>
      <c r="VJQ16" s="289"/>
      <c r="VJR16" s="289"/>
      <c r="VJS16" s="289"/>
      <c r="VJT16" s="289"/>
      <c r="VJU16" s="289"/>
      <c r="VJV16" s="289"/>
      <c r="VJW16" s="289"/>
      <c r="VJX16" s="289"/>
      <c r="VJY16" s="289"/>
      <c r="VJZ16" s="289"/>
      <c r="VKA16" s="289"/>
      <c r="VKB16" s="289"/>
      <c r="VKC16" s="289"/>
      <c r="VKD16" s="289"/>
      <c r="VKE16" s="289"/>
      <c r="VKF16" s="289"/>
      <c r="VKG16" s="289"/>
      <c r="VKH16" s="289"/>
      <c r="VKI16" s="289"/>
      <c r="VKJ16" s="289"/>
      <c r="VKK16" s="289"/>
      <c r="VKL16" s="289"/>
      <c r="VKM16" s="289"/>
      <c r="VKN16" s="289"/>
      <c r="VKO16" s="289"/>
      <c r="VKP16" s="289"/>
      <c r="VKQ16" s="289"/>
      <c r="VKR16" s="289"/>
      <c r="VKS16" s="289"/>
      <c r="VKT16" s="289"/>
      <c r="VKU16" s="289"/>
      <c r="VKV16" s="289"/>
      <c r="VKW16" s="289"/>
      <c r="VKX16" s="289"/>
      <c r="VKY16" s="289"/>
      <c r="VKZ16" s="289"/>
      <c r="VLA16" s="289"/>
      <c r="VLB16" s="289"/>
      <c r="VLC16" s="289"/>
      <c r="VLD16" s="289"/>
      <c r="VLE16" s="289"/>
      <c r="VLF16" s="289"/>
      <c r="VLG16" s="289"/>
      <c r="VLH16" s="289"/>
      <c r="VLI16" s="289"/>
      <c r="VLJ16" s="289"/>
      <c r="VLK16" s="289"/>
      <c r="VLL16" s="289"/>
      <c r="VLM16" s="289"/>
      <c r="VLN16" s="289"/>
      <c r="VLO16" s="289"/>
      <c r="VLP16" s="289"/>
      <c r="VLQ16" s="289"/>
      <c r="VLR16" s="289"/>
      <c r="VLS16" s="289"/>
      <c r="VLT16" s="289"/>
      <c r="VLU16" s="289"/>
      <c r="VLV16" s="289"/>
      <c r="VLW16" s="289"/>
      <c r="VLX16" s="289"/>
      <c r="VLY16" s="289"/>
      <c r="VLZ16" s="289"/>
      <c r="VMA16" s="289"/>
      <c r="VMB16" s="289"/>
      <c r="VMC16" s="289"/>
      <c r="VMD16" s="289"/>
      <c r="VME16" s="289"/>
      <c r="VMF16" s="289"/>
      <c r="VMG16" s="289"/>
      <c r="VMH16" s="289"/>
      <c r="VMI16" s="289"/>
      <c r="VMJ16" s="289"/>
      <c r="VMK16" s="289"/>
      <c r="VML16" s="289"/>
      <c r="VMM16" s="289"/>
      <c r="VMN16" s="289"/>
      <c r="VMO16" s="289"/>
      <c r="VMP16" s="289"/>
      <c r="VMQ16" s="289"/>
      <c r="VMR16" s="289"/>
      <c r="VMS16" s="289"/>
      <c r="VMT16" s="289"/>
      <c r="VMU16" s="289"/>
      <c r="VMV16" s="289"/>
      <c r="VMW16" s="289"/>
      <c r="VMX16" s="289"/>
      <c r="VMY16" s="289"/>
      <c r="VMZ16" s="289"/>
      <c r="VNA16" s="289"/>
      <c r="VNB16" s="289"/>
      <c r="VNC16" s="289"/>
      <c r="VND16" s="289"/>
      <c r="VNE16" s="289"/>
      <c r="VNF16" s="289"/>
      <c r="VNG16" s="289"/>
      <c r="VNH16" s="289"/>
      <c r="VNI16" s="289"/>
      <c r="VNJ16" s="289"/>
      <c r="VNK16" s="289"/>
      <c r="VNL16" s="289"/>
      <c r="VNM16" s="289"/>
      <c r="VNN16" s="289"/>
      <c r="VNO16" s="289"/>
      <c r="VNP16" s="289"/>
      <c r="VNQ16" s="289"/>
      <c r="VNR16" s="289"/>
      <c r="VNS16" s="289"/>
      <c r="VNT16" s="289"/>
      <c r="VNU16" s="289"/>
      <c r="VNV16" s="289"/>
      <c r="VNW16" s="289"/>
      <c r="VNX16" s="289"/>
      <c r="VNY16" s="289"/>
      <c r="VNZ16" s="289"/>
      <c r="VOA16" s="289"/>
      <c r="VOB16" s="289"/>
      <c r="VOC16" s="289"/>
      <c r="VOD16" s="289"/>
      <c r="VOE16" s="289"/>
      <c r="VOF16" s="289"/>
      <c r="VOG16" s="289"/>
      <c r="VOH16" s="289"/>
      <c r="VOI16" s="289"/>
      <c r="VOJ16" s="289"/>
      <c r="VOK16" s="289"/>
      <c r="VOL16" s="289"/>
      <c r="VOM16" s="289"/>
      <c r="VON16" s="289"/>
      <c r="VOO16" s="289"/>
      <c r="VOP16" s="289"/>
      <c r="VOQ16" s="289"/>
      <c r="VOR16" s="289"/>
      <c r="VOS16" s="289"/>
      <c r="VOT16" s="289"/>
      <c r="VOU16" s="289"/>
      <c r="VOV16" s="289"/>
      <c r="VOW16" s="289"/>
      <c r="VOX16" s="289"/>
      <c r="VOY16" s="289"/>
      <c r="VOZ16" s="289"/>
      <c r="VPA16" s="289"/>
      <c r="VPB16" s="289"/>
      <c r="VPC16" s="289"/>
      <c r="VPD16" s="289"/>
      <c r="VPE16" s="289"/>
      <c r="VPF16" s="289"/>
      <c r="VPG16" s="289"/>
      <c r="VPH16" s="289"/>
      <c r="VPI16" s="289"/>
      <c r="VPJ16" s="289"/>
      <c r="VPK16" s="289"/>
      <c r="VPL16" s="289"/>
      <c r="VPM16" s="289"/>
      <c r="VPN16" s="289"/>
      <c r="VPO16" s="289"/>
      <c r="VPP16" s="289"/>
      <c r="VPQ16" s="289"/>
      <c r="VPR16" s="289"/>
      <c r="VPS16" s="289"/>
      <c r="VPT16" s="289"/>
      <c r="VPU16" s="289"/>
      <c r="VPV16" s="289"/>
      <c r="VPW16" s="289"/>
      <c r="VPX16" s="289"/>
      <c r="VPY16" s="289"/>
      <c r="VPZ16" s="289"/>
      <c r="VQA16" s="289"/>
      <c r="VQB16" s="289"/>
      <c r="VQC16" s="289"/>
      <c r="VQD16" s="289"/>
      <c r="VQE16" s="289"/>
      <c r="VQF16" s="289"/>
      <c r="VQG16" s="289"/>
      <c r="VQH16" s="289"/>
      <c r="VQI16" s="289"/>
      <c r="VQJ16" s="289"/>
      <c r="VQK16" s="289"/>
      <c r="VQL16" s="289"/>
      <c r="VQM16" s="289"/>
      <c r="VQN16" s="289"/>
      <c r="VQO16" s="289"/>
      <c r="VQP16" s="289"/>
      <c r="VQQ16" s="289"/>
      <c r="VQR16" s="289"/>
      <c r="VQS16" s="289"/>
      <c r="VQT16" s="289"/>
      <c r="VQU16" s="289"/>
      <c r="VQV16" s="289"/>
      <c r="VQW16" s="289"/>
      <c r="VQX16" s="289"/>
      <c r="VQY16" s="289"/>
      <c r="VQZ16" s="289"/>
      <c r="VRA16" s="289"/>
      <c r="VRB16" s="289"/>
      <c r="VRC16" s="289"/>
      <c r="VRD16" s="289"/>
      <c r="VRE16" s="289"/>
      <c r="VRF16" s="289"/>
      <c r="VRG16" s="289"/>
      <c r="VRH16" s="289"/>
      <c r="VRI16" s="289"/>
      <c r="VRJ16" s="289"/>
      <c r="VRK16" s="289"/>
      <c r="VRL16" s="289"/>
      <c r="VRM16" s="289"/>
      <c r="VRN16" s="289"/>
      <c r="VRO16" s="289"/>
      <c r="VRP16" s="289"/>
      <c r="VRQ16" s="289"/>
      <c r="VRR16" s="289"/>
      <c r="VRS16" s="289"/>
      <c r="VRT16" s="289"/>
      <c r="VRU16" s="289"/>
      <c r="VRV16" s="289"/>
      <c r="VRW16" s="289"/>
      <c r="VRX16" s="289"/>
      <c r="VRY16" s="289"/>
      <c r="VRZ16" s="289"/>
      <c r="VSA16" s="289"/>
      <c r="VSB16" s="289"/>
      <c r="VSC16" s="289"/>
      <c r="VSD16" s="289"/>
      <c r="VSE16" s="289"/>
      <c r="VSF16" s="289"/>
      <c r="VSG16" s="289"/>
      <c r="VSH16" s="289"/>
      <c r="VSI16" s="289"/>
      <c r="VSJ16" s="289"/>
      <c r="VSK16" s="289"/>
      <c r="VSL16" s="289"/>
      <c r="VSM16" s="289"/>
      <c r="VSN16" s="289"/>
      <c r="VSO16" s="289"/>
      <c r="VSP16" s="289"/>
      <c r="VSQ16" s="289"/>
      <c r="VSR16" s="289"/>
      <c r="VSS16" s="289"/>
      <c r="VST16" s="289"/>
      <c r="VSU16" s="289"/>
      <c r="VSV16" s="289"/>
      <c r="VSW16" s="289"/>
      <c r="VSX16" s="289"/>
      <c r="VSY16" s="289"/>
      <c r="VSZ16" s="289"/>
      <c r="VTA16" s="289"/>
      <c r="VTB16" s="289"/>
      <c r="VTC16" s="289"/>
      <c r="VTD16" s="289"/>
      <c r="VTE16" s="289"/>
      <c r="VTF16" s="289"/>
      <c r="VTG16" s="289"/>
      <c r="VTH16" s="289"/>
      <c r="VTI16" s="289"/>
      <c r="VTJ16" s="289"/>
      <c r="VTK16" s="289"/>
      <c r="VTL16" s="289"/>
      <c r="VTM16" s="289"/>
      <c r="VTN16" s="289"/>
      <c r="VTO16" s="289"/>
      <c r="VTP16" s="289"/>
      <c r="VTQ16" s="289"/>
      <c r="VTR16" s="289"/>
      <c r="VTS16" s="289"/>
      <c r="VTT16" s="289"/>
      <c r="VTU16" s="289"/>
      <c r="VTV16" s="289"/>
      <c r="VTW16" s="289"/>
      <c r="VTX16" s="289"/>
      <c r="VTY16" s="289"/>
      <c r="VTZ16" s="289"/>
      <c r="VUA16" s="289"/>
      <c r="VUB16" s="289"/>
      <c r="VUC16" s="289"/>
      <c r="VUD16" s="289"/>
      <c r="VUE16" s="289"/>
      <c r="VUF16" s="289"/>
      <c r="VUG16" s="289"/>
      <c r="VUH16" s="289"/>
      <c r="VUI16" s="289"/>
      <c r="VUJ16" s="289"/>
      <c r="VUK16" s="289"/>
      <c r="VUL16" s="289"/>
      <c r="VUM16" s="289"/>
      <c r="VUN16" s="289"/>
      <c r="VUO16" s="289"/>
      <c r="VUP16" s="289"/>
      <c r="VUQ16" s="289"/>
      <c r="VUR16" s="289"/>
      <c r="VUS16" s="289"/>
      <c r="VUT16" s="289"/>
      <c r="VUU16" s="289"/>
      <c r="VUV16" s="289"/>
      <c r="VUW16" s="289"/>
      <c r="VUX16" s="289"/>
      <c r="VUY16" s="289"/>
      <c r="VUZ16" s="289"/>
      <c r="VVA16" s="289"/>
      <c r="VVB16" s="289"/>
      <c r="VVC16" s="289"/>
      <c r="VVD16" s="289"/>
      <c r="VVE16" s="289"/>
      <c r="VVF16" s="289"/>
      <c r="VVG16" s="289"/>
      <c r="VVH16" s="289"/>
      <c r="VVI16" s="289"/>
      <c r="VVJ16" s="289"/>
      <c r="VVK16" s="289"/>
      <c r="VVL16" s="289"/>
      <c r="VVM16" s="289"/>
      <c r="VVN16" s="289"/>
      <c r="VVO16" s="289"/>
      <c r="VVP16" s="289"/>
      <c r="VVQ16" s="289"/>
      <c r="VVR16" s="289"/>
      <c r="VVS16" s="289"/>
      <c r="VVT16" s="289"/>
      <c r="VVU16" s="289"/>
      <c r="VVV16" s="289"/>
      <c r="VVW16" s="289"/>
      <c r="VVX16" s="289"/>
      <c r="VVY16" s="289"/>
      <c r="VVZ16" s="289"/>
      <c r="VWA16" s="289"/>
      <c r="VWB16" s="289"/>
      <c r="VWC16" s="289"/>
      <c r="VWD16" s="289"/>
      <c r="VWE16" s="289"/>
      <c r="VWF16" s="289"/>
      <c r="VWG16" s="289"/>
      <c r="VWH16" s="289"/>
      <c r="VWI16" s="289"/>
      <c r="VWJ16" s="289"/>
      <c r="VWK16" s="289"/>
      <c r="VWL16" s="289"/>
      <c r="VWM16" s="289"/>
      <c r="VWN16" s="289"/>
      <c r="VWO16" s="289"/>
      <c r="VWP16" s="289"/>
      <c r="VWQ16" s="289"/>
      <c r="VWR16" s="289"/>
      <c r="VWS16" s="289"/>
      <c r="VWT16" s="289"/>
      <c r="VWU16" s="289"/>
      <c r="VWV16" s="289"/>
      <c r="VWW16" s="289"/>
      <c r="VWX16" s="289"/>
      <c r="VWY16" s="289"/>
      <c r="VWZ16" s="289"/>
      <c r="VXA16" s="289"/>
      <c r="VXB16" s="289"/>
      <c r="VXC16" s="289"/>
      <c r="VXD16" s="289"/>
      <c r="VXE16" s="289"/>
      <c r="VXF16" s="289"/>
      <c r="VXG16" s="289"/>
      <c r="VXH16" s="289"/>
      <c r="VXI16" s="289"/>
      <c r="VXJ16" s="289"/>
      <c r="VXK16" s="289"/>
      <c r="VXL16" s="289"/>
      <c r="VXM16" s="289"/>
      <c r="VXN16" s="289"/>
      <c r="VXO16" s="289"/>
      <c r="VXP16" s="289"/>
      <c r="VXQ16" s="289"/>
      <c r="VXR16" s="289"/>
      <c r="VXS16" s="289"/>
      <c r="VXT16" s="289"/>
      <c r="VXU16" s="289"/>
      <c r="VXV16" s="289"/>
      <c r="VXW16" s="289"/>
      <c r="VXX16" s="289"/>
      <c r="VXY16" s="289"/>
      <c r="VXZ16" s="289"/>
      <c r="VYA16" s="289"/>
      <c r="VYB16" s="289"/>
      <c r="VYC16" s="289"/>
      <c r="VYD16" s="289"/>
      <c r="VYE16" s="289"/>
      <c r="VYF16" s="289"/>
      <c r="VYG16" s="289"/>
      <c r="VYH16" s="289"/>
      <c r="VYI16" s="289"/>
      <c r="VYJ16" s="289"/>
      <c r="VYK16" s="289"/>
      <c r="VYL16" s="289"/>
      <c r="VYM16" s="289"/>
      <c r="VYN16" s="289"/>
      <c r="VYO16" s="289"/>
      <c r="VYP16" s="289"/>
      <c r="VYQ16" s="289"/>
      <c r="VYR16" s="289"/>
      <c r="VYS16" s="289"/>
      <c r="VYT16" s="289"/>
      <c r="VYU16" s="289"/>
      <c r="VYV16" s="289"/>
      <c r="VYW16" s="289"/>
      <c r="VYX16" s="289"/>
      <c r="VYY16" s="289"/>
      <c r="VYZ16" s="289"/>
      <c r="VZA16" s="289"/>
      <c r="VZB16" s="289"/>
      <c r="VZC16" s="289"/>
      <c r="VZD16" s="289"/>
      <c r="VZE16" s="289"/>
      <c r="VZF16" s="289"/>
      <c r="VZG16" s="289"/>
      <c r="VZH16" s="289"/>
      <c r="VZI16" s="289"/>
      <c r="VZJ16" s="289"/>
      <c r="VZK16" s="289"/>
      <c r="VZL16" s="289"/>
      <c r="VZM16" s="289"/>
      <c r="VZN16" s="289"/>
      <c r="VZO16" s="289"/>
      <c r="VZP16" s="289"/>
      <c r="VZQ16" s="289"/>
      <c r="VZR16" s="289"/>
      <c r="VZS16" s="289"/>
      <c r="VZT16" s="289"/>
      <c r="VZU16" s="289"/>
      <c r="VZV16" s="289"/>
      <c r="VZW16" s="289"/>
      <c r="VZX16" s="289"/>
      <c r="VZY16" s="289"/>
      <c r="VZZ16" s="289"/>
      <c r="WAA16" s="289"/>
      <c r="WAB16" s="289"/>
      <c r="WAC16" s="289"/>
      <c r="WAD16" s="289"/>
      <c r="WAE16" s="289"/>
      <c r="WAF16" s="289"/>
      <c r="WAG16" s="289"/>
      <c r="WAH16" s="289"/>
      <c r="WAI16" s="289"/>
      <c r="WAJ16" s="289"/>
      <c r="WAK16" s="289"/>
      <c r="WAL16" s="289"/>
      <c r="WAM16" s="289"/>
      <c r="WAN16" s="289"/>
      <c r="WAO16" s="289"/>
      <c r="WAP16" s="289"/>
      <c r="WAQ16" s="289"/>
      <c r="WAR16" s="289"/>
      <c r="WAS16" s="289"/>
      <c r="WAT16" s="289"/>
      <c r="WAU16" s="289"/>
      <c r="WAV16" s="289"/>
      <c r="WAW16" s="289"/>
      <c r="WAX16" s="289"/>
      <c r="WAY16" s="289"/>
      <c r="WAZ16" s="289"/>
      <c r="WBA16" s="289"/>
      <c r="WBB16" s="289"/>
      <c r="WBC16" s="289"/>
      <c r="WBD16" s="289"/>
      <c r="WBE16" s="289"/>
      <c r="WBF16" s="289"/>
      <c r="WBG16" s="289"/>
      <c r="WBH16" s="289"/>
      <c r="WBI16" s="289"/>
      <c r="WBJ16" s="289"/>
      <c r="WBK16" s="289"/>
      <c r="WBL16" s="289"/>
      <c r="WBM16" s="289"/>
      <c r="WBN16" s="289"/>
      <c r="WBO16" s="289"/>
      <c r="WBP16" s="289"/>
      <c r="WBQ16" s="289"/>
      <c r="WBR16" s="289"/>
      <c r="WBS16" s="289"/>
      <c r="WBT16" s="289"/>
      <c r="WBU16" s="289"/>
      <c r="WBV16" s="289"/>
      <c r="WBW16" s="289"/>
      <c r="WBX16" s="289"/>
      <c r="WBY16" s="289"/>
      <c r="WBZ16" s="289"/>
      <c r="WCA16" s="289"/>
      <c r="WCB16" s="289"/>
      <c r="WCC16" s="289"/>
      <c r="WCD16" s="289"/>
      <c r="WCE16" s="289"/>
      <c r="WCF16" s="289"/>
      <c r="WCG16" s="289"/>
      <c r="WCH16" s="289"/>
      <c r="WCI16" s="289"/>
      <c r="WCJ16" s="289"/>
      <c r="WCK16" s="289"/>
      <c r="WCL16" s="289"/>
      <c r="WCM16" s="289"/>
      <c r="WCN16" s="289"/>
      <c r="WCO16" s="289"/>
      <c r="WCP16" s="289"/>
      <c r="WCQ16" s="289"/>
      <c r="WCR16" s="289"/>
      <c r="WCS16" s="289"/>
      <c r="WCT16" s="289"/>
      <c r="WCU16" s="289"/>
      <c r="WCV16" s="289"/>
      <c r="WCW16" s="289"/>
      <c r="WCX16" s="289"/>
      <c r="WCY16" s="289"/>
      <c r="WCZ16" s="289"/>
      <c r="WDA16" s="289"/>
      <c r="WDB16" s="289"/>
      <c r="WDC16" s="289"/>
      <c r="WDD16" s="289"/>
      <c r="WDE16" s="289"/>
      <c r="WDF16" s="289"/>
      <c r="WDG16" s="289"/>
      <c r="WDH16" s="289"/>
      <c r="WDI16" s="289"/>
      <c r="WDJ16" s="289"/>
      <c r="WDK16" s="289"/>
      <c r="WDL16" s="289"/>
      <c r="WDM16" s="289"/>
      <c r="WDN16" s="289"/>
      <c r="WDO16" s="289"/>
      <c r="WDP16" s="289"/>
      <c r="WDQ16" s="289"/>
      <c r="WDR16" s="289"/>
      <c r="WDS16" s="289"/>
      <c r="WDT16" s="289"/>
      <c r="WDU16" s="289"/>
      <c r="WDV16" s="289"/>
      <c r="WDW16" s="289"/>
      <c r="WDX16" s="289"/>
      <c r="WDY16" s="289"/>
      <c r="WDZ16" s="289"/>
      <c r="WEA16" s="289"/>
      <c r="WEB16" s="289"/>
      <c r="WEC16" s="289"/>
      <c r="WED16" s="289"/>
      <c r="WEE16" s="289"/>
      <c r="WEF16" s="289"/>
      <c r="WEG16" s="289"/>
      <c r="WEH16" s="289"/>
      <c r="WEI16" s="289"/>
      <c r="WEJ16" s="289"/>
      <c r="WEK16" s="289"/>
      <c r="WEL16" s="289"/>
      <c r="WEM16" s="289"/>
      <c r="WEN16" s="289"/>
      <c r="WEO16" s="289"/>
      <c r="WEP16" s="289"/>
      <c r="WEQ16" s="289"/>
      <c r="WER16" s="289"/>
      <c r="WES16" s="289"/>
      <c r="WET16" s="289"/>
      <c r="WEU16" s="289"/>
      <c r="WEV16" s="289"/>
      <c r="WEW16" s="289"/>
      <c r="WEX16" s="289"/>
      <c r="WEY16" s="289"/>
      <c r="WEZ16" s="289"/>
      <c r="WFA16" s="289"/>
      <c r="WFB16" s="289"/>
      <c r="WFC16" s="289"/>
      <c r="WFD16" s="289"/>
      <c r="WFE16" s="289"/>
      <c r="WFF16" s="289"/>
      <c r="WFG16" s="289"/>
      <c r="WFH16" s="289"/>
      <c r="WFI16" s="289"/>
      <c r="WFJ16" s="289"/>
      <c r="WFK16" s="289"/>
      <c r="WFL16" s="289"/>
      <c r="WFM16" s="289"/>
      <c r="WFN16" s="289"/>
      <c r="WFO16" s="289"/>
      <c r="WFP16" s="289"/>
      <c r="WFQ16" s="289"/>
      <c r="WFR16" s="289"/>
      <c r="WFS16" s="289"/>
      <c r="WFT16" s="289"/>
      <c r="WFU16" s="289"/>
      <c r="WFV16" s="289"/>
      <c r="WFW16" s="289"/>
      <c r="WFX16" s="289"/>
      <c r="WFY16" s="289"/>
      <c r="WFZ16" s="289"/>
      <c r="WGA16" s="289"/>
      <c r="WGB16" s="289"/>
      <c r="WGC16" s="289"/>
      <c r="WGD16" s="289"/>
      <c r="WGE16" s="289"/>
      <c r="WGF16" s="289"/>
      <c r="WGG16" s="289"/>
      <c r="WGH16" s="289"/>
      <c r="WGI16" s="289"/>
      <c r="WGJ16" s="289"/>
      <c r="WGK16" s="289"/>
      <c r="WGL16" s="289"/>
      <c r="WGM16" s="289"/>
      <c r="WGN16" s="289"/>
      <c r="WGO16" s="289"/>
      <c r="WGP16" s="289"/>
      <c r="WGQ16" s="289"/>
      <c r="WGR16" s="289"/>
      <c r="WGS16" s="289"/>
      <c r="WGT16" s="289"/>
      <c r="WGU16" s="289"/>
      <c r="WGV16" s="289"/>
      <c r="WGW16" s="289"/>
      <c r="WGX16" s="289"/>
      <c r="WGY16" s="289"/>
      <c r="WGZ16" s="289"/>
      <c r="WHA16" s="289"/>
      <c r="WHB16" s="289"/>
      <c r="WHC16" s="289"/>
      <c r="WHD16" s="289"/>
      <c r="WHE16" s="289"/>
      <c r="WHF16" s="289"/>
      <c r="WHG16" s="289"/>
      <c r="WHH16" s="289"/>
      <c r="WHI16" s="289"/>
      <c r="WHJ16" s="289"/>
      <c r="WHK16" s="289"/>
      <c r="WHL16" s="289"/>
      <c r="WHM16" s="289"/>
      <c r="WHN16" s="289"/>
      <c r="WHO16" s="289"/>
      <c r="WHP16" s="289"/>
      <c r="WHQ16" s="289"/>
      <c r="WHR16" s="289"/>
      <c r="WHS16" s="289"/>
      <c r="WHT16" s="289"/>
      <c r="WHU16" s="289"/>
      <c r="WHV16" s="289"/>
      <c r="WHW16" s="289"/>
      <c r="WHX16" s="289"/>
      <c r="WHY16" s="289"/>
      <c r="WHZ16" s="289"/>
      <c r="WIA16" s="289"/>
      <c r="WIB16" s="289"/>
      <c r="WIC16" s="289"/>
      <c r="WID16" s="289"/>
      <c r="WIE16" s="289"/>
      <c r="WIF16" s="289"/>
      <c r="WIG16" s="289"/>
      <c r="WIH16" s="289"/>
      <c r="WII16" s="289"/>
      <c r="WIJ16" s="289"/>
      <c r="WIK16" s="289"/>
      <c r="WIL16" s="289"/>
      <c r="WIM16" s="289"/>
      <c r="WIN16" s="289"/>
      <c r="WIO16" s="289"/>
      <c r="WIP16" s="289"/>
      <c r="WIQ16" s="289"/>
      <c r="WIR16" s="289"/>
      <c r="WIS16" s="289"/>
      <c r="WIT16" s="289"/>
      <c r="WIU16" s="289"/>
      <c r="WIV16" s="289"/>
      <c r="WIW16" s="289"/>
      <c r="WIX16" s="289"/>
      <c r="WIY16" s="289"/>
      <c r="WIZ16" s="289"/>
      <c r="WJA16" s="289"/>
      <c r="WJB16" s="289"/>
      <c r="WJC16" s="289"/>
      <c r="WJD16" s="289"/>
      <c r="WJE16" s="289"/>
      <c r="WJF16" s="289"/>
      <c r="WJG16" s="289"/>
      <c r="WJH16" s="289"/>
      <c r="WJI16" s="289"/>
      <c r="WJJ16" s="289"/>
      <c r="WJK16" s="289"/>
      <c r="WJL16" s="289"/>
      <c r="WJM16" s="289"/>
      <c r="WJN16" s="289"/>
      <c r="WJO16" s="289"/>
      <c r="WJP16" s="289"/>
      <c r="WJQ16" s="289"/>
      <c r="WJR16" s="289"/>
      <c r="WJS16" s="289"/>
      <c r="WJT16" s="289"/>
      <c r="WJU16" s="289"/>
      <c r="WJV16" s="289"/>
      <c r="WJW16" s="289"/>
      <c r="WJX16" s="289"/>
      <c r="WJY16" s="289"/>
      <c r="WJZ16" s="289"/>
      <c r="WKA16" s="289"/>
      <c r="WKB16" s="289"/>
      <c r="WKC16" s="289"/>
      <c r="WKD16" s="289"/>
      <c r="WKE16" s="289"/>
      <c r="WKF16" s="289"/>
      <c r="WKG16" s="289"/>
      <c r="WKH16" s="289"/>
      <c r="WKI16" s="289"/>
      <c r="WKJ16" s="289"/>
      <c r="WKK16" s="289"/>
      <c r="WKL16" s="289"/>
      <c r="WKM16" s="289"/>
      <c r="WKN16" s="289"/>
      <c r="WKO16" s="289"/>
      <c r="WKP16" s="289"/>
      <c r="WKQ16" s="289"/>
      <c r="WKR16" s="289"/>
      <c r="WKS16" s="289"/>
      <c r="WKT16" s="289"/>
      <c r="WKU16" s="289"/>
      <c r="WKV16" s="289"/>
      <c r="WKW16" s="289"/>
      <c r="WKX16" s="289"/>
      <c r="WKY16" s="289"/>
      <c r="WKZ16" s="289"/>
      <c r="WLA16" s="289"/>
      <c r="WLB16" s="289"/>
      <c r="WLC16" s="289"/>
      <c r="WLD16" s="289"/>
      <c r="WLE16" s="289"/>
      <c r="WLF16" s="289"/>
      <c r="WLG16" s="289"/>
      <c r="WLH16" s="289"/>
      <c r="WLI16" s="289"/>
      <c r="WLJ16" s="289"/>
      <c r="WLK16" s="289"/>
      <c r="WLL16" s="289"/>
      <c r="WLM16" s="289"/>
      <c r="WLN16" s="289"/>
      <c r="WLO16" s="289"/>
      <c r="WLP16" s="289"/>
      <c r="WLQ16" s="289"/>
      <c r="WLR16" s="289"/>
      <c r="WLS16" s="289"/>
      <c r="WLT16" s="289"/>
      <c r="WLU16" s="289"/>
      <c r="WLV16" s="289"/>
      <c r="WLW16" s="289"/>
      <c r="WLX16" s="289"/>
      <c r="WLY16" s="289"/>
      <c r="WLZ16" s="289"/>
      <c r="WMA16" s="289"/>
      <c r="WMB16" s="289"/>
      <c r="WMC16" s="289"/>
      <c r="WMD16" s="289"/>
      <c r="WME16" s="289"/>
      <c r="WMF16" s="289"/>
      <c r="WMG16" s="289"/>
      <c r="WMH16" s="289"/>
      <c r="WMI16" s="289"/>
      <c r="WMJ16" s="289"/>
      <c r="WMK16" s="289"/>
      <c r="WML16" s="289"/>
      <c r="WMM16" s="289"/>
      <c r="WMN16" s="289"/>
      <c r="WMO16" s="289"/>
      <c r="WMP16" s="289"/>
      <c r="WMQ16" s="289"/>
      <c r="WMR16" s="289"/>
      <c r="WMS16" s="289"/>
      <c r="WMT16" s="289"/>
      <c r="WMU16" s="289"/>
      <c r="WMV16" s="289"/>
      <c r="WMW16" s="289"/>
      <c r="WMX16" s="289"/>
      <c r="WMY16" s="289"/>
      <c r="WMZ16" s="289"/>
      <c r="WNA16" s="289"/>
      <c r="WNB16" s="289"/>
      <c r="WNC16" s="289"/>
      <c r="WND16" s="289"/>
      <c r="WNE16" s="289"/>
      <c r="WNF16" s="289"/>
      <c r="WNG16" s="289"/>
      <c r="WNH16" s="289"/>
      <c r="WNI16" s="289"/>
      <c r="WNJ16" s="289"/>
      <c r="WNK16" s="289"/>
      <c r="WNL16" s="289"/>
      <c r="WNM16" s="289"/>
      <c r="WNN16" s="289"/>
      <c r="WNO16" s="289"/>
      <c r="WNP16" s="289"/>
      <c r="WNQ16" s="289"/>
      <c r="WNR16" s="289"/>
      <c r="WNS16" s="289"/>
      <c r="WNT16" s="289"/>
      <c r="WNU16" s="289"/>
      <c r="WNV16" s="289"/>
      <c r="WNW16" s="289"/>
      <c r="WNX16" s="289"/>
      <c r="WNY16" s="289"/>
      <c r="WNZ16" s="289"/>
      <c r="WOA16" s="289"/>
      <c r="WOB16" s="289"/>
      <c r="WOC16" s="289"/>
      <c r="WOD16" s="289"/>
      <c r="WOE16" s="289"/>
      <c r="WOF16" s="289"/>
      <c r="WOG16" s="289"/>
      <c r="WOH16" s="289"/>
      <c r="WOI16" s="289"/>
      <c r="WOJ16" s="289"/>
      <c r="WOK16" s="289"/>
      <c r="WOL16" s="289"/>
      <c r="WOM16" s="289"/>
      <c r="WON16" s="289"/>
      <c r="WOO16" s="289"/>
      <c r="WOP16" s="289"/>
      <c r="WOQ16" s="289"/>
      <c r="WOR16" s="289"/>
      <c r="WOS16" s="289"/>
      <c r="WOT16" s="289"/>
      <c r="WOU16" s="289"/>
      <c r="WOV16" s="289"/>
      <c r="WOW16" s="289"/>
      <c r="WOX16" s="289"/>
      <c r="WOY16" s="289"/>
      <c r="WOZ16" s="289"/>
      <c r="WPA16" s="289"/>
      <c r="WPB16" s="289"/>
      <c r="WPC16" s="289"/>
      <c r="WPD16" s="289"/>
      <c r="WPE16" s="289"/>
      <c r="WPF16" s="289"/>
      <c r="WPG16" s="289"/>
      <c r="WPH16" s="289"/>
      <c r="WPI16" s="289"/>
      <c r="WPJ16" s="289"/>
      <c r="WPK16" s="289"/>
      <c r="WPL16" s="289"/>
      <c r="WPM16" s="289"/>
      <c r="WPN16" s="289"/>
      <c r="WPO16" s="289"/>
      <c r="WPP16" s="289"/>
      <c r="WPQ16" s="289"/>
      <c r="WPR16" s="289"/>
      <c r="WPS16" s="289"/>
      <c r="WPT16" s="289"/>
      <c r="WPU16" s="289"/>
      <c r="WPV16" s="289"/>
      <c r="WPW16" s="289"/>
      <c r="WPX16" s="289"/>
      <c r="WPY16" s="289"/>
      <c r="WPZ16" s="289"/>
      <c r="WQA16" s="289"/>
      <c r="WQB16" s="289"/>
      <c r="WQC16" s="289"/>
      <c r="WQD16" s="289"/>
      <c r="WQE16" s="289"/>
      <c r="WQF16" s="289"/>
      <c r="WQG16" s="289"/>
      <c r="WQH16" s="289"/>
      <c r="WQI16" s="289"/>
      <c r="WQJ16" s="289"/>
      <c r="WQK16" s="289"/>
      <c r="WQL16" s="289"/>
      <c r="WQM16" s="289"/>
      <c r="WQN16" s="289"/>
      <c r="WQO16" s="289"/>
      <c r="WQP16" s="289"/>
      <c r="WQQ16" s="289"/>
      <c r="WQR16" s="289"/>
      <c r="WQS16" s="289"/>
      <c r="WQT16" s="289"/>
      <c r="WQU16" s="289"/>
      <c r="WQV16" s="289"/>
      <c r="WQW16" s="289"/>
      <c r="WQX16" s="289"/>
      <c r="WQY16" s="289"/>
      <c r="WQZ16" s="289"/>
      <c r="WRA16" s="289"/>
      <c r="WRB16" s="289"/>
      <c r="WRC16" s="289"/>
      <c r="WRD16" s="289"/>
      <c r="WRE16" s="289"/>
      <c r="WRF16" s="289"/>
      <c r="WRG16" s="289"/>
      <c r="WRH16" s="289"/>
      <c r="WRI16" s="289"/>
      <c r="WRJ16" s="289"/>
      <c r="WRK16" s="289"/>
      <c r="WRL16" s="289"/>
      <c r="WRM16" s="289"/>
      <c r="WRN16" s="289"/>
      <c r="WRO16" s="289"/>
      <c r="WRP16" s="289"/>
      <c r="WRQ16" s="289"/>
      <c r="WRR16" s="289"/>
      <c r="WRS16" s="289"/>
      <c r="WRT16" s="289"/>
      <c r="WRU16" s="289"/>
      <c r="WRV16" s="289"/>
      <c r="WRW16" s="289"/>
      <c r="WRX16" s="289"/>
      <c r="WRY16" s="289"/>
      <c r="WRZ16" s="289"/>
      <c r="WSA16" s="289"/>
      <c r="WSB16" s="289"/>
      <c r="WSC16" s="289"/>
      <c r="WSD16" s="289"/>
      <c r="WSE16" s="289"/>
      <c r="WSF16" s="289"/>
      <c r="WSG16" s="289"/>
      <c r="WSH16" s="289"/>
      <c r="WSI16" s="289"/>
      <c r="WSJ16" s="289"/>
      <c r="WSK16" s="289"/>
      <c r="WSL16" s="289"/>
      <c r="WSM16" s="289"/>
      <c r="WSN16" s="289"/>
      <c r="WSO16" s="289"/>
      <c r="WSP16" s="289"/>
      <c r="WSQ16" s="289"/>
      <c r="WSR16" s="289"/>
      <c r="WSS16" s="289"/>
      <c r="WST16" s="289"/>
      <c r="WSU16" s="289"/>
      <c r="WSV16" s="289"/>
      <c r="WSW16" s="289"/>
      <c r="WSX16" s="289"/>
      <c r="WSY16" s="289"/>
      <c r="WSZ16" s="289"/>
      <c r="WTA16" s="289"/>
      <c r="WTB16" s="289"/>
      <c r="WTC16" s="289"/>
      <c r="WTD16" s="289"/>
      <c r="WTE16" s="289"/>
      <c r="WTF16" s="289"/>
      <c r="WTG16" s="289"/>
      <c r="WTH16" s="289"/>
      <c r="WTI16" s="289"/>
      <c r="WTJ16" s="289"/>
      <c r="WTK16" s="289"/>
      <c r="WTL16" s="289"/>
      <c r="WTM16" s="289"/>
      <c r="WTN16" s="289"/>
      <c r="WTO16" s="289"/>
      <c r="WTP16" s="289"/>
      <c r="WTQ16" s="289"/>
      <c r="WTR16" s="289"/>
      <c r="WTS16" s="289"/>
      <c r="WTT16" s="289"/>
      <c r="WTU16" s="289"/>
      <c r="WTV16" s="289"/>
      <c r="WTW16" s="289"/>
      <c r="WTX16" s="289"/>
      <c r="WTY16" s="289"/>
      <c r="WTZ16" s="289"/>
      <c r="WUA16" s="289"/>
      <c r="WUB16" s="289"/>
      <c r="WUC16" s="289"/>
      <c r="WUD16" s="289"/>
      <c r="WUE16" s="289"/>
      <c r="WUF16" s="289"/>
      <c r="WUG16" s="289"/>
      <c r="WUH16" s="289"/>
      <c r="WUI16" s="289"/>
      <c r="WUJ16" s="289"/>
      <c r="WUK16" s="289"/>
      <c r="WUL16" s="289"/>
      <c r="WUM16" s="289"/>
      <c r="WUN16" s="289"/>
      <c r="WUO16" s="289"/>
      <c r="WUP16" s="289"/>
      <c r="WUQ16" s="289"/>
      <c r="WUR16" s="289"/>
      <c r="WUS16" s="289"/>
      <c r="WUT16" s="289"/>
      <c r="WUU16" s="289"/>
      <c r="WUV16" s="289"/>
      <c r="WUW16" s="289"/>
      <c r="WUX16" s="289"/>
      <c r="WUY16" s="289"/>
      <c r="WUZ16" s="289"/>
      <c r="WVA16" s="289"/>
      <c r="WVB16" s="289"/>
      <c r="WVC16" s="289"/>
      <c r="WVD16" s="289"/>
      <c r="WVE16" s="289"/>
      <c r="WVF16" s="289"/>
      <c r="WVG16" s="289"/>
      <c r="WVH16" s="289"/>
      <c r="WVI16" s="289"/>
      <c r="WVJ16" s="289"/>
      <c r="WVK16" s="289"/>
      <c r="WVL16" s="289"/>
      <c r="WVM16" s="289"/>
      <c r="WVN16" s="289"/>
      <c r="WVO16" s="289"/>
      <c r="WVP16" s="289"/>
      <c r="WVQ16" s="289"/>
      <c r="WVR16" s="289"/>
      <c r="WVS16" s="289"/>
      <c r="WVT16" s="289"/>
      <c r="WVU16" s="289"/>
      <c r="WVV16" s="289"/>
      <c r="WVW16" s="289"/>
      <c r="WVX16" s="289"/>
      <c r="WVY16" s="289"/>
      <c r="WVZ16" s="289"/>
      <c r="WWA16" s="289"/>
      <c r="WWB16" s="289"/>
      <c r="WWC16" s="289"/>
      <c r="WWD16" s="289"/>
      <c r="WWE16" s="289"/>
      <c r="WWF16" s="289"/>
      <c r="WWG16" s="289"/>
      <c r="WWH16" s="289"/>
      <c r="WWI16" s="289"/>
      <c r="WWJ16" s="289"/>
      <c r="WWK16" s="289"/>
      <c r="WWL16" s="289"/>
      <c r="WWM16" s="289"/>
      <c r="WWN16" s="289"/>
      <c r="WWO16" s="289"/>
      <c r="WWP16" s="289"/>
      <c r="WWQ16" s="289"/>
      <c r="WWR16" s="289"/>
      <c r="WWS16" s="289"/>
      <c r="WWT16" s="289"/>
      <c r="WWU16" s="289"/>
      <c r="WWV16" s="289"/>
      <c r="WWW16" s="289"/>
      <c r="WWX16" s="289"/>
      <c r="WWY16" s="289"/>
      <c r="WWZ16" s="289"/>
      <c r="WXA16" s="289"/>
      <c r="WXB16" s="289"/>
      <c r="WXC16" s="289"/>
      <c r="WXD16" s="289"/>
      <c r="WXE16" s="289"/>
      <c r="WXF16" s="289"/>
      <c r="WXG16" s="289"/>
      <c r="WXH16" s="289"/>
      <c r="WXI16" s="289"/>
      <c r="WXJ16" s="289"/>
      <c r="WXK16" s="289"/>
      <c r="WXL16" s="289"/>
      <c r="WXM16" s="289"/>
      <c r="WXN16" s="289"/>
      <c r="WXO16" s="289"/>
      <c r="WXP16" s="289"/>
      <c r="WXQ16" s="289"/>
      <c r="WXR16" s="289"/>
      <c r="WXS16" s="289"/>
      <c r="WXT16" s="289"/>
      <c r="WXU16" s="289"/>
      <c r="WXV16" s="289"/>
      <c r="WXW16" s="289"/>
      <c r="WXX16" s="289"/>
      <c r="WXY16" s="289"/>
      <c r="WXZ16" s="289"/>
      <c r="WYA16" s="289"/>
      <c r="WYB16" s="289"/>
      <c r="WYC16" s="289"/>
      <c r="WYD16" s="289"/>
      <c r="WYE16" s="289"/>
      <c r="WYF16" s="289"/>
      <c r="WYG16" s="289"/>
      <c r="WYH16" s="289"/>
      <c r="WYI16" s="289"/>
      <c r="WYJ16" s="289"/>
      <c r="WYK16" s="289"/>
      <c r="WYL16" s="289"/>
      <c r="WYM16" s="289"/>
      <c r="WYN16" s="289"/>
      <c r="WYO16" s="289"/>
      <c r="WYP16" s="289"/>
      <c r="WYQ16" s="289"/>
      <c r="WYR16" s="289"/>
      <c r="WYS16" s="289"/>
      <c r="WYT16" s="289"/>
      <c r="WYU16" s="289"/>
      <c r="WYV16" s="289"/>
      <c r="WYW16" s="289"/>
      <c r="WYX16" s="289"/>
      <c r="WYY16" s="289"/>
      <c r="WYZ16" s="289"/>
      <c r="WZA16" s="289"/>
      <c r="WZB16" s="289"/>
      <c r="WZC16" s="289"/>
      <c r="WZD16" s="289"/>
      <c r="WZE16" s="289"/>
      <c r="WZF16" s="289"/>
      <c r="WZG16" s="289"/>
      <c r="WZH16" s="289"/>
      <c r="WZI16" s="289"/>
      <c r="WZJ16" s="289"/>
      <c r="WZK16" s="289"/>
      <c r="WZL16" s="289"/>
      <c r="WZM16" s="289"/>
      <c r="WZN16" s="289"/>
      <c r="WZO16" s="289"/>
      <c r="WZP16" s="289"/>
      <c r="WZQ16" s="289"/>
      <c r="WZR16" s="289"/>
      <c r="WZS16" s="289"/>
      <c r="WZT16" s="289"/>
      <c r="WZU16" s="289"/>
      <c r="WZV16" s="289"/>
      <c r="WZW16" s="289"/>
      <c r="WZX16" s="289"/>
      <c r="WZY16" s="289"/>
      <c r="WZZ16" s="289"/>
      <c r="XAA16" s="289"/>
      <c r="XAB16" s="289"/>
      <c r="XAC16" s="289"/>
      <c r="XAD16" s="289"/>
      <c r="XAE16" s="289"/>
      <c r="XAF16" s="289"/>
      <c r="XAG16" s="289"/>
      <c r="XAH16" s="289"/>
      <c r="XAI16" s="289"/>
      <c r="XAJ16" s="289"/>
      <c r="XAK16" s="289"/>
      <c r="XAL16" s="289"/>
      <c r="XAM16" s="289"/>
      <c r="XAN16" s="289"/>
      <c r="XAO16" s="289"/>
      <c r="XAP16" s="289"/>
      <c r="XAQ16" s="289"/>
      <c r="XAR16" s="289"/>
      <c r="XAS16" s="289"/>
      <c r="XAT16" s="289"/>
      <c r="XAU16" s="289"/>
      <c r="XAV16" s="289"/>
      <c r="XAW16" s="289"/>
      <c r="XAX16" s="289"/>
      <c r="XAY16" s="289"/>
      <c r="XAZ16" s="289"/>
      <c r="XBA16" s="289"/>
      <c r="XBB16" s="289"/>
      <c r="XBC16" s="289"/>
      <c r="XBD16" s="289"/>
      <c r="XBE16" s="289"/>
      <c r="XBF16" s="289"/>
      <c r="XBG16" s="289"/>
      <c r="XBH16" s="289"/>
      <c r="XBI16" s="289"/>
      <c r="XBJ16" s="289"/>
      <c r="XBK16" s="289"/>
      <c r="XBL16" s="289"/>
      <c r="XBM16" s="289"/>
      <c r="XBN16" s="289"/>
      <c r="XBO16" s="289"/>
      <c r="XBP16" s="289"/>
      <c r="XBQ16" s="289"/>
      <c r="XBR16" s="289"/>
      <c r="XBS16" s="289"/>
      <c r="XBT16" s="289"/>
      <c r="XBU16" s="289"/>
      <c r="XBV16" s="289"/>
      <c r="XBW16" s="289"/>
      <c r="XBX16" s="289"/>
      <c r="XBY16" s="289"/>
      <c r="XBZ16" s="289"/>
      <c r="XCA16" s="289"/>
      <c r="XCB16" s="289"/>
      <c r="XCC16" s="289"/>
      <c r="XCD16" s="289"/>
      <c r="XCE16" s="289"/>
      <c r="XCF16" s="289"/>
      <c r="XCG16" s="289"/>
      <c r="XCH16" s="289"/>
      <c r="XCI16" s="289"/>
      <c r="XCJ16" s="289"/>
      <c r="XCK16" s="289"/>
      <c r="XCL16" s="289"/>
      <c r="XCM16" s="289"/>
      <c r="XCN16" s="289"/>
      <c r="XCO16" s="289"/>
      <c r="XCP16" s="289"/>
      <c r="XCQ16" s="289"/>
      <c r="XCR16" s="289"/>
      <c r="XCS16" s="289"/>
      <c r="XCT16" s="289"/>
      <c r="XCU16" s="289"/>
      <c r="XCV16" s="289"/>
      <c r="XCW16" s="289"/>
      <c r="XCX16" s="289"/>
      <c r="XCY16" s="289"/>
      <c r="XCZ16" s="289"/>
      <c r="XDA16" s="289"/>
      <c r="XDB16" s="289"/>
      <c r="XDC16" s="289"/>
      <c r="XDD16" s="289"/>
      <c r="XDE16" s="289"/>
      <c r="XDF16" s="289"/>
      <c r="XDG16" s="289"/>
      <c r="XDH16" s="289"/>
      <c r="XDI16" s="289"/>
      <c r="XDJ16" s="289"/>
      <c r="XDK16" s="289"/>
      <c r="XDL16" s="289"/>
      <c r="XDM16" s="289"/>
      <c r="XDN16" s="289"/>
      <c r="XDO16" s="289"/>
      <c r="XDP16" s="289"/>
      <c r="XDQ16" s="289"/>
      <c r="XDR16" s="289"/>
      <c r="XDS16" s="289"/>
      <c r="XDT16" s="289"/>
      <c r="XDU16" s="289"/>
      <c r="XDV16" s="289"/>
      <c r="XDW16" s="289"/>
      <c r="XDX16" s="289"/>
      <c r="XDY16" s="289"/>
      <c r="XDZ16" s="289"/>
      <c r="XEA16" s="289"/>
      <c r="XEB16" s="289"/>
      <c r="XEC16" s="289"/>
      <c r="XED16" s="289"/>
      <c r="XEE16" s="289"/>
      <c r="XEF16" s="289"/>
      <c r="XEG16" s="289"/>
      <c r="XEH16" s="289"/>
      <c r="XEI16" s="289"/>
      <c r="XEJ16" s="289"/>
      <c r="XEK16" s="289"/>
      <c r="XEL16" s="289"/>
      <c r="XEM16" s="289"/>
      <c r="XEN16" s="289"/>
      <c r="XEO16" s="289"/>
      <c r="XEP16" s="289"/>
      <c r="XEQ16" s="289"/>
      <c r="XER16" s="289"/>
      <c r="XES16" s="289"/>
      <c r="XET16" s="289"/>
      <c r="XEU16" s="289"/>
      <c r="XEV16" s="289"/>
      <c r="XEW16" s="289"/>
      <c r="XEX16" s="289"/>
      <c r="XEY16" s="289"/>
      <c r="XEZ16" s="289"/>
      <c r="XFA16" s="289"/>
      <c r="XFB16" s="289"/>
      <c r="XFC16" s="289"/>
      <c r="XFD16" s="289"/>
    </row>
    <row r="17" spans="1:16384" hidden="1" outlineLevel="1" x14ac:dyDescent="0.3">
      <c r="A17" s="15">
        <v>19000441</v>
      </c>
      <c r="B17" s="15" t="s">
        <v>429</v>
      </c>
      <c r="C17" s="24" t="s">
        <v>430</v>
      </c>
      <c r="D17" s="24" t="s">
        <v>412</v>
      </c>
      <c r="E17" s="24" t="s">
        <v>215</v>
      </c>
      <c r="F17" s="117">
        <v>1138726.6666666667</v>
      </c>
      <c r="G17" s="94">
        <f>F17</f>
        <v>1138726.6666666667</v>
      </c>
      <c r="H17" s="118"/>
      <c r="I17" s="35"/>
      <c r="J17" s="117">
        <v>1496918.125</v>
      </c>
      <c r="K17" s="94">
        <f>J17</f>
        <v>1496918.125</v>
      </c>
      <c r="L17" s="118"/>
      <c r="M17" s="35"/>
      <c r="N17" s="117">
        <v>1766754.75</v>
      </c>
      <c r="O17" s="94">
        <f>N17</f>
        <v>1766754.75</v>
      </c>
      <c r="P17" s="118"/>
      <c r="Q17" s="35"/>
      <c r="R17" s="117">
        <v>2129753.4166666665</v>
      </c>
      <c r="S17" s="94">
        <f>R17</f>
        <v>2129753.4166666665</v>
      </c>
      <c r="T17" s="118"/>
      <c r="U17" s="284"/>
      <c r="V17" s="117">
        <v>2689624.5666666669</v>
      </c>
      <c r="W17" s="94">
        <f>V17</f>
        <v>2689624.5666666669</v>
      </c>
      <c r="X17" s="118"/>
      <c r="Y17" s="284"/>
      <c r="Z17" s="117">
        <v>3424040.1020833328</v>
      </c>
      <c r="AA17" s="94">
        <f>Z17</f>
        <v>3424040.1020833328</v>
      </c>
      <c r="AB17" s="118"/>
      <c r="AC17" s="284"/>
      <c r="AD17" s="117">
        <v>4180502.6295833341</v>
      </c>
      <c r="AE17" s="94">
        <f>AD17</f>
        <v>4180502.6295833341</v>
      </c>
      <c r="AF17" s="118"/>
      <c r="AH17" s="117">
        <v>5006465.7437500004</v>
      </c>
      <c r="AI17" s="94">
        <f>AH17</f>
        <v>5006465.7437500004</v>
      </c>
      <c r="AJ17" s="118"/>
      <c r="AK17" s="284"/>
      <c r="AL17" s="117">
        <v>6602967.0645833323</v>
      </c>
      <c r="AM17" s="94">
        <f>AL17</f>
        <v>6602967.0645833323</v>
      </c>
      <c r="AN17" s="118"/>
      <c r="AO17" s="284"/>
      <c r="AP17" s="117">
        <v>9927938.5887499992</v>
      </c>
      <c r="AQ17" s="94">
        <f>AP17</f>
        <v>9927938.5887499992</v>
      </c>
      <c r="AR17" s="118"/>
      <c r="AS17" s="284"/>
      <c r="AT17" s="117">
        <v>9441810.0512500014</v>
      </c>
      <c r="AU17" s="94">
        <f>AT17</f>
        <v>9441810.0512500014</v>
      </c>
      <c r="AV17" s="118"/>
      <c r="AW17" s="284"/>
    </row>
    <row r="18" spans="1:16384" hidden="1" outlineLevel="1" x14ac:dyDescent="0.3">
      <c r="A18" s="15">
        <v>19000451</v>
      </c>
      <c r="B18" s="15" t="s">
        <v>431</v>
      </c>
      <c r="C18" s="24" t="s">
        <v>432</v>
      </c>
      <c r="D18" s="24" t="s">
        <v>412</v>
      </c>
      <c r="E18" s="24" t="s">
        <v>215</v>
      </c>
      <c r="F18" s="117">
        <v>154750</v>
      </c>
      <c r="G18" s="94">
        <f>F18</f>
        <v>154750</v>
      </c>
      <c r="H18" s="118"/>
      <c r="I18" s="35"/>
      <c r="J18" s="117">
        <v>0</v>
      </c>
      <c r="K18" s="94">
        <f>J18</f>
        <v>0</v>
      </c>
      <c r="L18" s="118"/>
      <c r="M18" s="35"/>
      <c r="N18" s="117"/>
      <c r="O18" s="94">
        <f>N18</f>
        <v>0</v>
      </c>
      <c r="P18" s="118"/>
      <c r="Q18" s="35"/>
      <c r="R18" s="117"/>
      <c r="S18" s="94">
        <f>R18</f>
        <v>0</v>
      </c>
      <c r="T18" s="118"/>
      <c r="U18" s="284"/>
      <c r="V18" s="117"/>
      <c r="W18" s="94">
        <f>V18</f>
        <v>0</v>
      </c>
      <c r="X18" s="118"/>
      <c r="Y18" s="284"/>
      <c r="Z18" s="117"/>
      <c r="AA18" s="94">
        <f>Z18</f>
        <v>0</v>
      </c>
      <c r="AB18" s="118"/>
      <c r="AC18" s="284"/>
      <c r="AD18" s="117"/>
      <c r="AE18" s="94">
        <f>AD18</f>
        <v>0</v>
      </c>
      <c r="AF18" s="118"/>
      <c r="AG18" s="174"/>
      <c r="AH18" s="117"/>
      <c r="AI18" s="94">
        <f>AH18</f>
        <v>0</v>
      </c>
      <c r="AJ18" s="118"/>
      <c r="AK18" s="284"/>
      <c r="AL18" s="117"/>
      <c r="AM18" s="94">
        <f>AL18</f>
        <v>0</v>
      </c>
      <c r="AN18" s="118"/>
      <c r="AO18" s="284"/>
      <c r="AP18" s="117"/>
      <c r="AQ18" s="94">
        <f>AP18</f>
        <v>0</v>
      </c>
      <c r="AR18" s="118"/>
      <c r="AS18" s="284"/>
      <c r="AT18" s="117"/>
      <c r="AU18" s="94">
        <f>AT18</f>
        <v>0</v>
      </c>
      <c r="AV18" s="118"/>
      <c r="AW18" s="284"/>
    </row>
    <row r="19" spans="1:16384" hidden="1" outlineLevel="1" x14ac:dyDescent="0.3">
      <c r="A19" s="15">
        <v>19000483</v>
      </c>
      <c r="B19" s="15" t="s">
        <v>433</v>
      </c>
      <c r="C19" s="24" t="s">
        <v>428</v>
      </c>
      <c r="D19" s="24" t="s">
        <v>412</v>
      </c>
      <c r="E19" s="24" t="s">
        <v>422</v>
      </c>
      <c r="F19" s="285"/>
      <c r="G19" s="286"/>
      <c r="H19" s="287"/>
      <c r="I19" s="288"/>
      <c r="J19" s="285"/>
      <c r="K19" s="286"/>
      <c r="L19" s="287"/>
      <c r="M19" s="288"/>
      <c r="N19" s="285"/>
      <c r="O19" s="286"/>
      <c r="P19" s="287"/>
      <c r="Q19" s="288"/>
      <c r="R19" s="285"/>
      <c r="S19" s="286"/>
      <c r="T19" s="287"/>
      <c r="U19" s="288"/>
      <c r="V19" s="285">
        <v>-3272265</v>
      </c>
      <c r="W19" s="286">
        <f>(V19*$W$2)</f>
        <v>-1821515.9817255626</v>
      </c>
      <c r="X19" s="287">
        <f>(V19*$X$2)</f>
        <v>-1450749.0182744374</v>
      </c>
      <c r="Y19" s="288"/>
      <c r="Z19" s="285"/>
      <c r="AA19" s="286"/>
      <c r="AB19" s="287"/>
      <c r="AC19" s="288"/>
      <c r="AD19" s="285"/>
      <c r="AE19" s="286"/>
      <c r="AF19" s="287"/>
      <c r="AG19" s="301"/>
      <c r="AH19" s="285"/>
      <c r="AI19" s="286"/>
      <c r="AJ19" s="287"/>
      <c r="AK19" s="288"/>
      <c r="AL19" s="285"/>
      <c r="AM19" s="286"/>
      <c r="AN19" s="287"/>
      <c r="AO19" s="288"/>
      <c r="AP19" s="285"/>
      <c r="AQ19" s="286"/>
      <c r="AR19" s="287"/>
      <c r="AS19" s="288"/>
      <c r="AT19" s="285"/>
      <c r="AU19" s="286"/>
      <c r="AV19" s="287"/>
      <c r="AW19" s="288"/>
      <c r="AX19" s="289"/>
      <c r="AY19" s="289"/>
      <c r="AZ19" s="289"/>
      <c r="BA19" s="289"/>
      <c r="BB19" s="289"/>
      <c r="BC19" s="289"/>
      <c r="BD19" s="289"/>
      <c r="BE19" s="289"/>
      <c r="BF19" s="289"/>
      <c r="BG19" s="289"/>
      <c r="BH19" s="289"/>
      <c r="BI19" s="289"/>
      <c r="BJ19" s="289"/>
      <c r="BK19" s="289"/>
      <c r="BL19" s="289"/>
      <c r="BM19" s="289"/>
      <c r="BN19" s="289"/>
      <c r="BO19" s="289"/>
      <c r="BP19" s="289"/>
      <c r="BQ19" s="289"/>
      <c r="BR19" s="289"/>
      <c r="BS19" s="289"/>
      <c r="BT19" s="289"/>
      <c r="BU19" s="289"/>
      <c r="BV19" s="289"/>
      <c r="BW19" s="289"/>
      <c r="BX19" s="289"/>
      <c r="BY19" s="289"/>
      <c r="BZ19" s="289"/>
      <c r="CA19" s="289"/>
      <c r="CB19" s="289"/>
      <c r="CC19" s="289"/>
      <c r="CD19" s="289"/>
      <c r="CE19" s="289"/>
      <c r="CF19" s="289"/>
      <c r="CG19" s="289"/>
      <c r="CH19" s="289"/>
      <c r="CI19" s="289"/>
      <c r="CJ19" s="289"/>
      <c r="CK19" s="289"/>
      <c r="CL19" s="289"/>
      <c r="CM19" s="289"/>
      <c r="CN19" s="289"/>
      <c r="CO19" s="289"/>
      <c r="CP19" s="289"/>
      <c r="CQ19" s="289"/>
      <c r="CR19" s="289"/>
      <c r="CS19" s="289"/>
      <c r="CT19" s="289"/>
      <c r="CU19" s="289"/>
      <c r="CV19" s="289"/>
      <c r="CW19" s="289"/>
      <c r="CX19" s="289"/>
      <c r="CY19" s="289"/>
      <c r="CZ19" s="289"/>
      <c r="DA19" s="289"/>
      <c r="DB19" s="289"/>
      <c r="DC19" s="289"/>
      <c r="DD19" s="289"/>
      <c r="DE19" s="289"/>
      <c r="DF19" s="289"/>
      <c r="DG19" s="289"/>
      <c r="DH19" s="289"/>
      <c r="DI19" s="289"/>
      <c r="DJ19" s="289"/>
      <c r="DK19" s="289"/>
      <c r="DL19" s="289"/>
      <c r="DM19" s="289"/>
      <c r="DN19" s="289"/>
      <c r="DO19" s="289"/>
      <c r="DP19" s="289"/>
      <c r="DQ19" s="289"/>
      <c r="DR19" s="289"/>
      <c r="DS19" s="289"/>
      <c r="DT19" s="289"/>
      <c r="DU19" s="289"/>
      <c r="DV19" s="289"/>
      <c r="DW19" s="289"/>
      <c r="DX19" s="289"/>
      <c r="DY19" s="289"/>
      <c r="DZ19" s="289"/>
      <c r="EA19" s="289"/>
      <c r="EB19" s="289"/>
      <c r="EC19" s="289"/>
      <c r="ED19" s="289"/>
      <c r="EE19" s="289"/>
      <c r="EF19" s="289"/>
      <c r="EG19" s="289"/>
      <c r="EH19" s="289"/>
      <c r="EI19" s="289"/>
      <c r="EJ19" s="289"/>
      <c r="EK19" s="289"/>
      <c r="EL19" s="289"/>
      <c r="EM19" s="289"/>
      <c r="EN19" s="289"/>
      <c r="EO19" s="289"/>
      <c r="EP19" s="289"/>
      <c r="EQ19" s="289"/>
      <c r="ER19" s="289"/>
      <c r="ES19" s="289"/>
      <c r="ET19" s="289"/>
      <c r="EU19" s="289"/>
      <c r="EV19" s="289"/>
      <c r="EW19" s="289"/>
      <c r="EX19" s="289"/>
      <c r="EY19" s="289"/>
      <c r="EZ19" s="289"/>
      <c r="FA19" s="289"/>
      <c r="FB19" s="289"/>
      <c r="FC19" s="289"/>
      <c r="FD19" s="289"/>
      <c r="FE19" s="289"/>
      <c r="FF19" s="289"/>
      <c r="FG19" s="289"/>
      <c r="FH19" s="289"/>
      <c r="FI19" s="289"/>
      <c r="FJ19" s="289"/>
      <c r="FK19" s="289"/>
      <c r="FL19" s="289"/>
      <c r="FM19" s="289"/>
      <c r="FN19" s="289"/>
      <c r="FO19" s="289"/>
      <c r="FP19" s="289"/>
      <c r="FQ19" s="289"/>
      <c r="FR19" s="289"/>
      <c r="FS19" s="289"/>
      <c r="FT19" s="289"/>
      <c r="FU19" s="289"/>
      <c r="FV19" s="289"/>
      <c r="FW19" s="289"/>
      <c r="FX19" s="289"/>
      <c r="FY19" s="289"/>
      <c r="FZ19" s="289"/>
      <c r="GA19" s="289"/>
      <c r="GB19" s="289"/>
      <c r="GC19" s="289"/>
      <c r="GD19" s="289"/>
      <c r="GE19" s="289"/>
      <c r="GF19" s="289"/>
      <c r="GG19" s="289"/>
      <c r="GH19" s="289"/>
      <c r="GI19" s="289"/>
      <c r="GJ19" s="289"/>
      <c r="GK19" s="289"/>
      <c r="GL19" s="289"/>
      <c r="GM19" s="289"/>
      <c r="GN19" s="289"/>
      <c r="GO19" s="289"/>
      <c r="GP19" s="289"/>
      <c r="GQ19" s="289"/>
      <c r="GR19" s="289"/>
      <c r="GS19" s="289"/>
      <c r="GT19" s="289"/>
      <c r="GU19" s="289"/>
      <c r="GV19" s="289"/>
      <c r="GW19" s="289"/>
      <c r="GX19" s="289"/>
      <c r="GY19" s="289"/>
      <c r="GZ19" s="289"/>
      <c r="HA19" s="289"/>
      <c r="HB19" s="289"/>
      <c r="HC19" s="289"/>
      <c r="HD19" s="289"/>
      <c r="HE19" s="289"/>
      <c r="HF19" s="289"/>
      <c r="HG19" s="289"/>
      <c r="HH19" s="289"/>
      <c r="HI19" s="289"/>
      <c r="HJ19" s="289"/>
      <c r="HK19" s="289"/>
      <c r="HL19" s="289"/>
      <c r="HM19" s="289"/>
      <c r="HN19" s="289"/>
      <c r="HO19" s="289"/>
      <c r="HP19" s="289"/>
      <c r="HQ19" s="289"/>
      <c r="HR19" s="289"/>
      <c r="HS19" s="289"/>
      <c r="HT19" s="289"/>
      <c r="HU19" s="289"/>
      <c r="HV19" s="289"/>
      <c r="HW19" s="289"/>
      <c r="HX19" s="289"/>
      <c r="HY19" s="289"/>
      <c r="HZ19" s="289"/>
      <c r="IA19" s="289"/>
      <c r="IB19" s="289"/>
      <c r="IC19" s="289"/>
      <c r="ID19" s="289"/>
      <c r="IE19" s="289"/>
      <c r="IF19" s="289"/>
      <c r="IG19" s="289"/>
      <c r="IH19" s="289"/>
      <c r="II19" s="289"/>
      <c r="IJ19" s="289"/>
      <c r="IK19" s="289"/>
      <c r="IL19" s="289"/>
      <c r="IM19" s="289"/>
      <c r="IN19" s="289"/>
      <c r="IO19" s="289"/>
      <c r="IP19" s="289"/>
      <c r="IQ19" s="289"/>
      <c r="IR19" s="289"/>
      <c r="IS19" s="289"/>
      <c r="IT19" s="289"/>
      <c r="IU19" s="289"/>
      <c r="IV19" s="289"/>
      <c r="IW19" s="289"/>
      <c r="IX19" s="289"/>
      <c r="IY19" s="289"/>
      <c r="IZ19" s="289"/>
      <c r="JA19" s="289"/>
      <c r="JB19" s="289"/>
      <c r="JC19" s="289"/>
      <c r="JD19" s="289"/>
      <c r="JE19" s="289"/>
      <c r="JF19" s="289"/>
      <c r="JG19" s="289"/>
      <c r="JH19" s="289"/>
      <c r="JI19" s="289"/>
      <c r="JJ19" s="289"/>
      <c r="JK19" s="289"/>
      <c r="JL19" s="289"/>
      <c r="JM19" s="289"/>
      <c r="JN19" s="289"/>
      <c r="JO19" s="289"/>
      <c r="JP19" s="289"/>
      <c r="JQ19" s="289"/>
      <c r="JR19" s="289"/>
      <c r="JS19" s="289"/>
      <c r="JT19" s="289"/>
      <c r="JU19" s="289"/>
      <c r="JV19" s="289"/>
      <c r="JW19" s="289"/>
      <c r="JX19" s="289"/>
      <c r="JY19" s="289"/>
      <c r="JZ19" s="289"/>
      <c r="KA19" s="289"/>
      <c r="KB19" s="289"/>
      <c r="KC19" s="289"/>
      <c r="KD19" s="289"/>
      <c r="KE19" s="289"/>
      <c r="KF19" s="289"/>
      <c r="KG19" s="289"/>
      <c r="KH19" s="289"/>
      <c r="KI19" s="289"/>
      <c r="KJ19" s="289"/>
      <c r="KK19" s="289"/>
      <c r="KL19" s="289"/>
      <c r="KM19" s="289"/>
      <c r="KN19" s="289"/>
      <c r="KO19" s="289"/>
      <c r="KP19" s="289"/>
      <c r="KQ19" s="289"/>
      <c r="KR19" s="289"/>
      <c r="KS19" s="289"/>
      <c r="KT19" s="289"/>
      <c r="KU19" s="289"/>
      <c r="KV19" s="289"/>
      <c r="KW19" s="289"/>
      <c r="KX19" s="289"/>
      <c r="KY19" s="289"/>
      <c r="KZ19" s="289"/>
      <c r="LA19" s="289"/>
      <c r="LB19" s="289"/>
      <c r="LC19" s="289"/>
      <c r="LD19" s="289"/>
      <c r="LE19" s="289"/>
      <c r="LF19" s="289"/>
      <c r="LG19" s="289"/>
      <c r="LH19" s="289"/>
      <c r="LI19" s="289"/>
      <c r="LJ19" s="289"/>
      <c r="LK19" s="289"/>
      <c r="LL19" s="289"/>
      <c r="LM19" s="289"/>
      <c r="LN19" s="289"/>
      <c r="LO19" s="289"/>
      <c r="LP19" s="289"/>
      <c r="LQ19" s="289"/>
      <c r="LR19" s="289"/>
      <c r="LS19" s="289"/>
      <c r="LT19" s="289"/>
      <c r="LU19" s="289"/>
      <c r="LV19" s="289"/>
      <c r="LW19" s="289"/>
      <c r="LX19" s="289"/>
      <c r="LY19" s="289"/>
      <c r="LZ19" s="289"/>
      <c r="MA19" s="289"/>
      <c r="MB19" s="289"/>
      <c r="MC19" s="289"/>
      <c r="MD19" s="289"/>
      <c r="ME19" s="289"/>
      <c r="MF19" s="289"/>
      <c r="MG19" s="289"/>
      <c r="MH19" s="289"/>
      <c r="MI19" s="289"/>
      <c r="MJ19" s="289"/>
      <c r="MK19" s="289"/>
      <c r="ML19" s="289"/>
      <c r="MM19" s="289"/>
      <c r="MN19" s="289"/>
      <c r="MO19" s="289"/>
      <c r="MP19" s="289"/>
      <c r="MQ19" s="289"/>
      <c r="MR19" s="289"/>
      <c r="MS19" s="289"/>
      <c r="MT19" s="289"/>
      <c r="MU19" s="289"/>
      <c r="MV19" s="289"/>
      <c r="MW19" s="289"/>
      <c r="MX19" s="289"/>
      <c r="MY19" s="289"/>
      <c r="MZ19" s="289"/>
      <c r="NA19" s="289"/>
      <c r="NB19" s="289"/>
      <c r="NC19" s="289"/>
      <c r="ND19" s="289"/>
      <c r="NE19" s="289"/>
      <c r="NF19" s="289"/>
      <c r="NG19" s="289"/>
      <c r="NH19" s="289"/>
      <c r="NI19" s="289"/>
      <c r="NJ19" s="289"/>
      <c r="NK19" s="289"/>
      <c r="NL19" s="289"/>
      <c r="NM19" s="289"/>
      <c r="NN19" s="289"/>
      <c r="NO19" s="289"/>
      <c r="NP19" s="289"/>
      <c r="NQ19" s="289"/>
      <c r="NR19" s="289"/>
      <c r="NS19" s="289"/>
      <c r="NT19" s="289"/>
      <c r="NU19" s="289"/>
      <c r="NV19" s="289"/>
      <c r="NW19" s="289"/>
      <c r="NX19" s="289"/>
      <c r="NY19" s="289"/>
      <c r="NZ19" s="289"/>
      <c r="OA19" s="289"/>
      <c r="OB19" s="289"/>
      <c r="OC19" s="289"/>
      <c r="OD19" s="289"/>
      <c r="OE19" s="289"/>
      <c r="OF19" s="289"/>
      <c r="OG19" s="289"/>
      <c r="OH19" s="289"/>
      <c r="OI19" s="289"/>
      <c r="OJ19" s="289"/>
      <c r="OK19" s="289"/>
      <c r="OL19" s="289"/>
      <c r="OM19" s="289"/>
      <c r="ON19" s="289"/>
      <c r="OO19" s="289"/>
      <c r="OP19" s="289"/>
      <c r="OQ19" s="289"/>
      <c r="OR19" s="289"/>
      <c r="OS19" s="289"/>
      <c r="OT19" s="289"/>
      <c r="OU19" s="289"/>
      <c r="OV19" s="289"/>
      <c r="OW19" s="289"/>
      <c r="OX19" s="289"/>
      <c r="OY19" s="289"/>
      <c r="OZ19" s="289"/>
      <c r="PA19" s="289"/>
      <c r="PB19" s="289"/>
      <c r="PC19" s="289"/>
      <c r="PD19" s="289"/>
      <c r="PE19" s="289"/>
      <c r="PF19" s="289"/>
      <c r="PG19" s="289"/>
      <c r="PH19" s="289"/>
      <c r="PI19" s="289"/>
      <c r="PJ19" s="289"/>
      <c r="PK19" s="289"/>
      <c r="PL19" s="289"/>
      <c r="PM19" s="289"/>
      <c r="PN19" s="289"/>
      <c r="PO19" s="289"/>
      <c r="PP19" s="289"/>
      <c r="PQ19" s="289"/>
      <c r="PR19" s="289"/>
      <c r="PS19" s="289"/>
      <c r="PT19" s="289"/>
      <c r="PU19" s="289"/>
      <c r="PV19" s="289"/>
      <c r="PW19" s="289"/>
      <c r="PX19" s="289"/>
      <c r="PY19" s="289"/>
      <c r="PZ19" s="289"/>
      <c r="QA19" s="289"/>
      <c r="QB19" s="289"/>
      <c r="QC19" s="289"/>
      <c r="QD19" s="289"/>
      <c r="QE19" s="289"/>
      <c r="QF19" s="289"/>
      <c r="QG19" s="289"/>
      <c r="QH19" s="289"/>
      <c r="QI19" s="289"/>
      <c r="QJ19" s="289"/>
      <c r="QK19" s="289"/>
      <c r="QL19" s="289"/>
      <c r="QM19" s="289"/>
      <c r="QN19" s="289"/>
      <c r="QO19" s="289"/>
      <c r="QP19" s="289"/>
      <c r="QQ19" s="289"/>
      <c r="QR19" s="289"/>
      <c r="QS19" s="289"/>
      <c r="QT19" s="289"/>
      <c r="QU19" s="289"/>
      <c r="QV19" s="289"/>
      <c r="QW19" s="289"/>
      <c r="QX19" s="289"/>
      <c r="QY19" s="289"/>
      <c r="QZ19" s="289"/>
      <c r="RA19" s="289"/>
      <c r="RB19" s="289"/>
      <c r="RC19" s="289"/>
      <c r="RD19" s="289"/>
      <c r="RE19" s="289"/>
      <c r="RF19" s="289"/>
      <c r="RG19" s="289"/>
      <c r="RH19" s="289"/>
      <c r="RI19" s="289"/>
      <c r="RJ19" s="289"/>
      <c r="RK19" s="289"/>
      <c r="RL19" s="289"/>
      <c r="RM19" s="289"/>
      <c r="RN19" s="289"/>
      <c r="RO19" s="289"/>
      <c r="RP19" s="289"/>
      <c r="RQ19" s="289"/>
      <c r="RR19" s="289"/>
      <c r="RS19" s="289"/>
      <c r="RT19" s="289"/>
      <c r="RU19" s="289"/>
      <c r="RV19" s="289"/>
      <c r="RW19" s="289"/>
      <c r="RX19" s="289"/>
      <c r="RY19" s="289"/>
      <c r="RZ19" s="289"/>
      <c r="SA19" s="289"/>
      <c r="SB19" s="289"/>
      <c r="SC19" s="289"/>
      <c r="SD19" s="289"/>
      <c r="SE19" s="289"/>
      <c r="SF19" s="289"/>
      <c r="SG19" s="289"/>
      <c r="SH19" s="289"/>
      <c r="SI19" s="289"/>
      <c r="SJ19" s="289"/>
      <c r="SK19" s="289"/>
      <c r="SL19" s="289"/>
      <c r="SM19" s="289"/>
      <c r="SN19" s="289"/>
      <c r="SO19" s="289"/>
      <c r="SP19" s="289"/>
      <c r="SQ19" s="289"/>
      <c r="SR19" s="289"/>
      <c r="SS19" s="289"/>
      <c r="ST19" s="289"/>
      <c r="SU19" s="289"/>
      <c r="SV19" s="289"/>
      <c r="SW19" s="289"/>
      <c r="SX19" s="289"/>
      <c r="SY19" s="289"/>
      <c r="SZ19" s="289"/>
      <c r="TA19" s="289"/>
      <c r="TB19" s="289"/>
      <c r="TC19" s="289"/>
      <c r="TD19" s="289"/>
      <c r="TE19" s="289"/>
      <c r="TF19" s="289"/>
      <c r="TG19" s="289"/>
      <c r="TH19" s="289"/>
      <c r="TI19" s="289"/>
      <c r="TJ19" s="289"/>
      <c r="TK19" s="289"/>
      <c r="TL19" s="289"/>
      <c r="TM19" s="289"/>
      <c r="TN19" s="289"/>
      <c r="TO19" s="289"/>
      <c r="TP19" s="289"/>
      <c r="TQ19" s="289"/>
      <c r="TR19" s="289"/>
      <c r="TS19" s="289"/>
      <c r="TT19" s="289"/>
      <c r="TU19" s="289"/>
      <c r="TV19" s="289"/>
      <c r="TW19" s="289"/>
      <c r="TX19" s="289"/>
      <c r="TY19" s="289"/>
      <c r="TZ19" s="289"/>
      <c r="UA19" s="289"/>
      <c r="UB19" s="289"/>
      <c r="UC19" s="289"/>
      <c r="UD19" s="289"/>
      <c r="UE19" s="289"/>
      <c r="UF19" s="289"/>
      <c r="UG19" s="289"/>
      <c r="UH19" s="289"/>
      <c r="UI19" s="289"/>
      <c r="UJ19" s="289"/>
      <c r="UK19" s="289"/>
      <c r="UL19" s="289"/>
      <c r="UM19" s="289"/>
      <c r="UN19" s="289"/>
      <c r="UO19" s="289"/>
      <c r="UP19" s="289"/>
      <c r="UQ19" s="289"/>
      <c r="UR19" s="289"/>
      <c r="US19" s="289"/>
      <c r="UT19" s="289"/>
      <c r="UU19" s="289"/>
      <c r="UV19" s="289"/>
      <c r="UW19" s="289"/>
      <c r="UX19" s="289"/>
      <c r="UY19" s="289"/>
      <c r="UZ19" s="289"/>
      <c r="VA19" s="289"/>
      <c r="VB19" s="289"/>
      <c r="VC19" s="289"/>
      <c r="VD19" s="289"/>
      <c r="VE19" s="289"/>
      <c r="VF19" s="289"/>
      <c r="VG19" s="289"/>
      <c r="VH19" s="289"/>
      <c r="VI19" s="289"/>
      <c r="VJ19" s="289"/>
      <c r="VK19" s="289"/>
      <c r="VL19" s="289"/>
      <c r="VM19" s="289"/>
      <c r="VN19" s="289"/>
      <c r="VO19" s="289"/>
      <c r="VP19" s="289"/>
      <c r="VQ19" s="289"/>
      <c r="VR19" s="289"/>
      <c r="VS19" s="289"/>
      <c r="VT19" s="289"/>
      <c r="VU19" s="289"/>
      <c r="VV19" s="289"/>
      <c r="VW19" s="289"/>
      <c r="VX19" s="289"/>
      <c r="VY19" s="289"/>
      <c r="VZ19" s="289"/>
      <c r="WA19" s="289"/>
      <c r="WB19" s="289"/>
      <c r="WC19" s="289"/>
      <c r="WD19" s="289"/>
      <c r="WE19" s="289"/>
      <c r="WF19" s="289"/>
      <c r="WG19" s="289"/>
      <c r="WH19" s="289"/>
      <c r="WI19" s="289"/>
      <c r="WJ19" s="289"/>
      <c r="WK19" s="289"/>
      <c r="WL19" s="289"/>
      <c r="WM19" s="289"/>
      <c r="WN19" s="289"/>
      <c r="WO19" s="289"/>
      <c r="WP19" s="289"/>
      <c r="WQ19" s="289"/>
      <c r="WR19" s="289"/>
      <c r="WS19" s="289"/>
      <c r="WT19" s="289"/>
      <c r="WU19" s="289"/>
      <c r="WV19" s="289"/>
      <c r="WW19" s="289"/>
      <c r="WX19" s="289"/>
      <c r="WY19" s="289"/>
      <c r="WZ19" s="289"/>
      <c r="XA19" s="289"/>
      <c r="XB19" s="289"/>
      <c r="XC19" s="289"/>
      <c r="XD19" s="289"/>
      <c r="XE19" s="289"/>
      <c r="XF19" s="289"/>
      <c r="XG19" s="289"/>
      <c r="XH19" s="289"/>
      <c r="XI19" s="289"/>
      <c r="XJ19" s="289"/>
      <c r="XK19" s="289"/>
      <c r="XL19" s="289"/>
      <c r="XM19" s="289"/>
      <c r="XN19" s="289"/>
      <c r="XO19" s="289"/>
      <c r="XP19" s="289"/>
      <c r="XQ19" s="289"/>
      <c r="XR19" s="289"/>
      <c r="XS19" s="289"/>
      <c r="XT19" s="289"/>
      <c r="XU19" s="289"/>
      <c r="XV19" s="289"/>
      <c r="XW19" s="289"/>
      <c r="XX19" s="289"/>
      <c r="XY19" s="289"/>
      <c r="XZ19" s="289"/>
      <c r="YA19" s="289"/>
      <c r="YB19" s="289"/>
      <c r="YC19" s="289"/>
      <c r="YD19" s="289"/>
      <c r="YE19" s="289"/>
      <c r="YF19" s="289"/>
      <c r="YG19" s="289"/>
      <c r="YH19" s="289"/>
      <c r="YI19" s="289"/>
      <c r="YJ19" s="289"/>
      <c r="YK19" s="289"/>
      <c r="YL19" s="289"/>
      <c r="YM19" s="289"/>
      <c r="YN19" s="289"/>
      <c r="YO19" s="289"/>
      <c r="YP19" s="289"/>
      <c r="YQ19" s="289"/>
      <c r="YR19" s="289"/>
      <c r="YS19" s="289"/>
      <c r="YT19" s="289"/>
      <c r="YU19" s="289"/>
      <c r="YV19" s="289"/>
      <c r="YW19" s="289"/>
      <c r="YX19" s="289"/>
      <c r="YY19" s="289"/>
      <c r="YZ19" s="289"/>
      <c r="ZA19" s="289"/>
      <c r="ZB19" s="289"/>
      <c r="ZC19" s="289"/>
      <c r="ZD19" s="289"/>
      <c r="ZE19" s="289"/>
      <c r="ZF19" s="289"/>
      <c r="ZG19" s="289"/>
      <c r="ZH19" s="289"/>
      <c r="ZI19" s="289"/>
      <c r="ZJ19" s="289"/>
      <c r="ZK19" s="289"/>
      <c r="ZL19" s="289"/>
      <c r="ZM19" s="289"/>
      <c r="ZN19" s="289"/>
      <c r="ZO19" s="289"/>
      <c r="ZP19" s="289"/>
      <c r="ZQ19" s="289"/>
      <c r="ZR19" s="289"/>
      <c r="ZS19" s="289"/>
      <c r="ZT19" s="289"/>
      <c r="ZU19" s="289"/>
      <c r="ZV19" s="289"/>
      <c r="ZW19" s="289"/>
      <c r="ZX19" s="289"/>
      <c r="ZY19" s="289"/>
      <c r="ZZ19" s="289"/>
      <c r="AAA19" s="289"/>
      <c r="AAB19" s="289"/>
      <c r="AAC19" s="289"/>
      <c r="AAD19" s="289"/>
      <c r="AAE19" s="289"/>
      <c r="AAF19" s="289"/>
      <c r="AAG19" s="289"/>
      <c r="AAH19" s="289"/>
      <c r="AAI19" s="289"/>
      <c r="AAJ19" s="289"/>
      <c r="AAK19" s="289"/>
      <c r="AAL19" s="289"/>
      <c r="AAM19" s="289"/>
      <c r="AAN19" s="289"/>
      <c r="AAO19" s="289"/>
      <c r="AAP19" s="289"/>
      <c r="AAQ19" s="289"/>
      <c r="AAR19" s="289"/>
      <c r="AAS19" s="289"/>
      <c r="AAT19" s="289"/>
      <c r="AAU19" s="289"/>
      <c r="AAV19" s="289"/>
      <c r="AAW19" s="289"/>
      <c r="AAX19" s="289"/>
      <c r="AAY19" s="289"/>
      <c r="AAZ19" s="289"/>
      <c r="ABA19" s="289"/>
      <c r="ABB19" s="289"/>
      <c r="ABC19" s="289"/>
      <c r="ABD19" s="289"/>
      <c r="ABE19" s="289"/>
      <c r="ABF19" s="289"/>
      <c r="ABG19" s="289"/>
      <c r="ABH19" s="289"/>
      <c r="ABI19" s="289"/>
      <c r="ABJ19" s="289"/>
      <c r="ABK19" s="289"/>
      <c r="ABL19" s="289"/>
      <c r="ABM19" s="289"/>
      <c r="ABN19" s="289"/>
      <c r="ABO19" s="289"/>
      <c r="ABP19" s="289"/>
      <c r="ABQ19" s="289"/>
      <c r="ABR19" s="289"/>
      <c r="ABS19" s="289"/>
      <c r="ABT19" s="289"/>
      <c r="ABU19" s="289"/>
      <c r="ABV19" s="289"/>
      <c r="ABW19" s="289"/>
      <c r="ABX19" s="289"/>
      <c r="ABY19" s="289"/>
      <c r="ABZ19" s="289"/>
      <c r="ACA19" s="289"/>
      <c r="ACB19" s="289"/>
      <c r="ACC19" s="289"/>
      <c r="ACD19" s="289"/>
      <c r="ACE19" s="289"/>
      <c r="ACF19" s="289"/>
      <c r="ACG19" s="289"/>
      <c r="ACH19" s="289"/>
      <c r="ACI19" s="289"/>
      <c r="ACJ19" s="289"/>
      <c r="ACK19" s="289"/>
      <c r="ACL19" s="289"/>
      <c r="ACM19" s="289"/>
      <c r="ACN19" s="289"/>
      <c r="ACO19" s="289"/>
      <c r="ACP19" s="289"/>
      <c r="ACQ19" s="289"/>
      <c r="ACR19" s="289"/>
      <c r="ACS19" s="289"/>
      <c r="ACT19" s="289"/>
      <c r="ACU19" s="289"/>
      <c r="ACV19" s="289"/>
      <c r="ACW19" s="289"/>
      <c r="ACX19" s="289"/>
      <c r="ACY19" s="289"/>
      <c r="ACZ19" s="289"/>
      <c r="ADA19" s="289"/>
      <c r="ADB19" s="289"/>
      <c r="ADC19" s="289"/>
      <c r="ADD19" s="289"/>
      <c r="ADE19" s="289"/>
      <c r="ADF19" s="289"/>
      <c r="ADG19" s="289"/>
      <c r="ADH19" s="289"/>
      <c r="ADI19" s="289"/>
      <c r="ADJ19" s="289"/>
      <c r="ADK19" s="289"/>
      <c r="ADL19" s="289"/>
      <c r="ADM19" s="289"/>
      <c r="ADN19" s="289"/>
      <c r="ADO19" s="289"/>
      <c r="ADP19" s="289"/>
      <c r="ADQ19" s="289"/>
      <c r="ADR19" s="289"/>
      <c r="ADS19" s="289"/>
      <c r="ADT19" s="289"/>
      <c r="ADU19" s="289"/>
      <c r="ADV19" s="289"/>
      <c r="ADW19" s="289"/>
      <c r="ADX19" s="289"/>
      <c r="ADY19" s="289"/>
      <c r="ADZ19" s="289"/>
      <c r="AEA19" s="289"/>
      <c r="AEB19" s="289"/>
      <c r="AEC19" s="289"/>
      <c r="AED19" s="289"/>
      <c r="AEE19" s="289"/>
      <c r="AEF19" s="289"/>
      <c r="AEG19" s="289"/>
      <c r="AEH19" s="289"/>
      <c r="AEI19" s="289"/>
      <c r="AEJ19" s="289"/>
      <c r="AEK19" s="289"/>
      <c r="AEL19" s="289"/>
      <c r="AEM19" s="289"/>
      <c r="AEN19" s="289"/>
      <c r="AEO19" s="289"/>
      <c r="AEP19" s="289"/>
      <c r="AEQ19" s="289"/>
      <c r="AER19" s="289"/>
      <c r="AES19" s="289"/>
      <c r="AET19" s="289"/>
      <c r="AEU19" s="289"/>
      <c r="AEV19" s="289"/>
      <c r="AEW19" s="289"/>
      <c r="AEX19" s="289"/>
      <c r="AEY19" s="289"/>
      <c r="AEZ19" s="289"/>
      <c r="AFA19" s="289"/>
      <c r="AFB19" s="289"/>
      <c r="AFC19" s="289"/>
      <c r="AFD19" s="289"/>
      <c r="AFE19" s="289"/>
      <c r="AFF19" s="289"/>
      <c r="AFG19" s="289"/>
      <c r="AFH19" s="289"/>
      <c r="AFI19" s="289"/>
      <c r="AFJ19" s="289"/>
      <c r="AFK19" s="289"/>
      <c r="AFL19" s="289"/>
      <c r="AFM19" s="289"/>
      <c r="AFN19" s="289"/>
      <c r="AFO19" s="289"/>
      <c r="AFP19" s="289"/>
      <c r="AFQ19" s="289"/>
      <c r="AFR19" s="289"/>
      <c r="AFS19" s="289"/>
      <c r="AFT19" s="289"/>
      <c r="AFU19" s="289"/>
      <c r="AFV19" s="289"/>
      <c r="AFW19" s="289"/>
      <c r="AFX19" s="289"/>
      <c r="AFY19" s="289"/>
      <c r="AFZ19" s="289"/>
      <c r="AGA19" s="289"/>
      <c r="AGB19" s="289"/>
      <c r="AGC19" s="289"/>
      <c r="AGD19" s="289"/>
      <c r="AGE19" s="289"/>
      <c r="AGF19" s="289"/>
      <c r="AGG19" s="289"/>
      <c r="AGH19" s="289"/>
      <c r="AGI19" s="289"/>
      <c r="AGJ19" s="289"/>
      <c r="AGK19" s="289"/>
      <c r="AGL19" s="289"/>
      <c r="AGM19" s="289"/>
      <c r="AGN19" s="289"/>
      <c r="AGO19" s="289"/>
      <c r="AGP19" s="289"/>
      <c r="AGQ19" s="289"/>
      <c r="AGR19" s="289"/>
      <c r="AGS19" s="289"/>
      <c r="AGT19" s="289"/>
      <c r="AGU19" s="289"/>
      <c r="AGV19" s="289"/>
      <c r="AGW19" s="289"/>
      <c r="AGX19" s="289"/>
      <c r="AGY19" s="289"/>
      <c r="AGZ19" s="289"/>
      <c r="AHA19" s="289"/>
      <c r="AHB19" s="289"/>
      <c r="AHC19" s="289"/>
      <c r="AHD19" s="289"/>
      <c r="AHE19" s="289"/>
      <c r="AHF19" s="289"/>
      <c r="AHG19" s="289"/>
      <c r="AHH19" s="289"/>
      <c r="AHI19" s="289"/>
      <c r="AHJ19" s="289"/>
      <c r="AHK19" s="289"/>
      <c r="AHL19" s="289"/>
      <c r="AHM19" s="289"/>
      <c r="AHN19" s="289"/>
      <c r="AHO19" s="289"/>
      <c r="AHP19" s="289"/>
      <c r="AHQ19" s="289"/>
      <c r="AHR19" s="289"/>
      <c r="AHS19" s="289"/>
      <c r="AHT19" s="289"/>
      <c r="AHU19" s="289"/>
      <c r="AHV19" s="289"/>
      <c r="AHW19" s="289"/>
      <c r="AHX19" s="289"/>
      <c r="AHY19" s="289"/>
      <c r="AHZ19" s="289"/>
      <c r="AIA19" s="289"/>
      <c r="AIB19" s="289"/>
      <c r="AIC19" s="289"/>
      <c r="AID19" s="289"/>
      <c r="AIE19" s="289"/>
      <c r="AIF19" s="289"/>
      <c r="AIG19" s="289"/>
      <c r="AIH19" s="289"/>
      <c r="AII19" s="289"/>
      <c r="AIJ19" s="289"/>
      <c r="AIK19" s="289"/>
      <c r="AIL19" s="289"/>
      <c r="AIM19" s="289"/>
      <c r="AIN19" s="289"/>
      <c r="AIO19" s="289"/>
      <c r="AIP19" s="289"/>
      <c r="AIQ19" s="289"/>
      <c r="AIR19" s="289"/>
      <c r="AIS19" s="289"/>
      <c r="AIT19" s="289"/>
      <c r="AIU19" s="289"/>
      <c r="AIV19" s="289"/>
      <c r="AIW19" s="289"/>
      <c r="AIX19" s="289"/>
      <c r="AIY19" s="289"/>
      <c r="AIZ19" s="289"/>
      <c r="AJA19" s="289"/>
      <c r="AJB19" s="289"/>
      <c r="AJC19" s="289"/>
      <c r="AJD19" s="289"/>
      <c r="AJE19" s="289"/>
      <c r="AJF19" s="289"/>
      <c r="AJG19" s="289"/>
      <c r="AJH19" s="289"/>
      <c r="AJI19" s="289"/>
      <c r="AJJ19" s="289"/>
      <c r="AJK19" s="289"/>
      <c r="AJL19" s="289"/>
      <c r="AJM19" s="289"/>
      <c r="AJN19" s="289"/>
      <c r="AJO19" s="289"/>
      <c r="AJP19" s="289"/>
      <c r="AJQ19" s="289"/>
      <c r="AJR19" s="289"/>
      <c r="AJS19" s="289"/>
      <c r="AJT19" s="289"/>
      <c r="AJU19" s="289"/>
      <c r="AJV19" s="289"/>
      <c r="AJW19" s="289"/>
      <c r="AJX19" s="289"/>
      <c r="AJY19" s="289"/>
      <c r="AJZ19" s="289"/>
      <c r="AKA19" s="289"/>
      <c r="AKB19" s="289"/>
      <c r="AKC19" s="289"/>
      <c r="AKD19" s="289"/>
      <c r="AKE19" s="289"/>
      <c r="AKF19" s="289"/>
      <c r="AKG19" s="289"/>
      <c r="AKH19" s="289"/>
      <c r="AKI19" s="289"/>
      <c r="AKJ19" s="289"/>
      <c r="AKK19" s="289"/>
      <c r="AKL19" s="289"/>
      <c r="AKM19" s="289"/>
      <c r="AKN19" s="289"/>
      <c r="AKO19" s="289"/>
      <c r="AKP19" s="289"/>
      <c r="AKQ19" s="289"/>
      <c r="AKR19" s="289"/>
      <c r="AKS19" s="289"/>
      <c r="AKT19" s="289"/>
      <c r="AKU19" s="289"/>
      <c r="AKV19" s="289"/>
      <c r="AKW19" s="289"/>
      <c r="AKX19" s="289"/>
      <c r="AKY19" s="289"/>
      <c r="AKZ19" s="289"/>
      <c r="ALA19" s="289"/>
      <c r="ALB19" s="289"/>
      <c r="ALC19" s="289"/>
      <c r="ALD19" s="289"/>
      <c r="ALE19" s="289"/>
      <c r="ALF19" s="289"/>
      <c r="ALG19" s="289"/>
      <c r="ALH19" s="289"/>
      <c r="ALI19" s="289"/>
      <c r="ALJ19" s="289"/>
      <c r="ALK19" s="289"/>
      <c r="ALL19" s="289"/>
      <c r="ALM19" s="289"/>
      <c r="ALN19" s="289"/>
      <c r="ALO19" s="289"/>
      <c r="ALP19" s="289"/>
      <c r="ALQ19" s="289"/>
      <c r="ALR19" s="289"/>
      <c r="ALS19" s="289"/>
      <c r="ALT19" s="289"/>
      <c r="ALU19" s="289"/>
      <c r="ALV19" s="289"/>
      <c r="ALW19" s="289"/>
      <c r="ALX19" s="289"/>
      <c r="ALY19" s="289"/>
      <c r="ALZ19" s="289"/>
      <c r="AMA19" s="289"/>
      <c r="AMB19" s="289"/>
      <c r="AMC19" s="289"/>
      <c r="AMD19" s="289"/>
      <c r="AME19" s="289"/>
      <c r="AMF19" s="289"/>
      <c r="AMG19" s="289"/>
      <c r="AMH19" s="289"/>
      <c r="AMI19" s="289"/>
      <c r="AMJ19" s="289"/>
      <c r="AMK19" s="289"/>
      <c r="AML19" s="289"/>
      <c r="AMM19" s="289"/>
      <c r="AMN19" s="289"/>
      <c r="AMO19" s="289"/>
      <c r="AMP19" s="289"/>
      <c r="AMQ19" s="289"/>
      <c r="AMR19" s="289"/>
      <c r="AMS19" s="289"/>
      <c r="AMT19" s="289"/>
      <c r="AMU19" s="289"/>
      <c r="AMV19" s="289"/>
      <c r="AMW19" s="289"/>
      <c r="AMX19" s="289"/>
      <c r="AMY19" s="289"/>
      <c r="AMZ19" s="289"/>
      <c r="ANA19" s="289"/>
      <c r="ANB19" s="289"/>
      <c r="ANC19" s="289"/>
      <c r="AND19" s="289"/>
      <c r="ANE19" s="289"/>
      <c r="ANF19" s="289"/>
      <c r="ANG19" s="289"/>
      <c r="ANH19" s="289"/>
      <c r="ANI19" s="289"/>
      <c r="ANJ19" s="289"/>
      <c r="ANK19" s="289"/>
      <c r="ANL19" s="289"/>
      <c r="ANM19" s="289"/>
      <c r="ANN19" s="289"/>
      <c r="ANO19" s="289"/>
      <c r="ANP19" s="289"/>
      <c r="ANQ19" s="289"/>
      <c r="ANR19" s="289"/>
      <c r="ANS19" s="289"/>
      <c r="ANT19" s="289"/>
      <c r="ANU19" s="289"/>
      <c r="ANV19" s="289"/>
      <c r="ANW19" s="289"/>
      <c r="ANX19" s="289"/>
      <c r="ANY19" s="289"/>
      <c r="ANZ19" s="289"/>
      <c r="AOA19" s="289"/>
      <c r="AOB19" s="289"/>
      <c r="AOC19" s="289"/>
      <c r="AOD19" s="289"/>
      <c r="AOE19" s="289"/>
      <c r="AOF19" s="289"/>
      <c r="AOG19" s="289"/>
      <c r="AOH19" s="289"/>
      <c r="AOI19" s="289"/>
      <c r="AOJ19" s="289"/>
      <c r="AOK19" s="289"/>
      <c r="AOL19" s="289"/>
      <c r="AOM19" s="289"/>
      <c r="AON19" s="289"/>
      <c r="AOO19" s="289"/>
      <c r="AOP19" s="289"/>
      <c r="AOQ19" s="289"/>
      <c r="AOR19" s="289"/>
      <c r="AOS19" s="289"/>
      <c r="AOT19" s="289"/>
      <c r="AOU19" s="289"/>
      <c r="AOV19" s="289"/>
      <c r="AOW19" s="289"/>
      <c r="AOX19" s="289"/>
      <c r="AOY19" s="289"/>
      <c r="AOZ19" s="289"/>
      <c r="APA19" s="289"/>
      <c r="APB19" s="289"/>
      <c r="APC19" s="289"/>
      <c r="APD19" s="289"/>
      <c r="APE19" s="289"/>
      <c r="APF19" s="289"/>
      <c r="APG19" s="289"/>
      <c r="APH19" s="289"/>
      <c r="API19" s="289"/>
      <c r="APJ19" s="289"/>
      <c r="APK19" s="289"/>
      <c r="APL19" s="289"/>
      <c r="APM19" s="289"/>
      <c r="APN19" s="289"/>
      <c r="APO19" s="289"/>
      <c r="APP19" s="289"/>
      <c r="APQ19" s="289"/>
      <c r="APR19" s="289"/>
      <c r="APS19" s="289"/>
      <c r="APT19" s="289"/>
      <c r="APU19" s="289"/>
      <c r="APV19" s="289"/>
      <c r="APW19" s="289"/>
      <c r="APX19" s="289"/>
      <c r="APY19" s="289"/>
      <c r="APZ19" s="289"/>
      <c r="AQA19" s="289"/>
      <c r="AQB19" s="289"/>
      <c r="AQC19" s="289"/>
      <c r="AQD19" s="289"/>
      <c r="AQE19" s="289"/>
      <c r="AQF19" s="289"/>
      <c r="AQG19" s="289"/>
      <c r="AQH19" s="289"/>
      <c r="AQI19" s="289"/>
      <c r="AQJ19" s="289"/>
      <c r="AQK19" s="289"/>
      <c r="AQL19" s="289"/>
      <c r="AQM19" s="289"/>
      <c r="AQN19" s="289"/>
      <c r="AQO19" s="289"/>
      <c r="AQP19" s="289"/>
      <c r="AQQ19" s="289"/>
      <c r="AQR19" s="289"/>
      <c r="AQS19" s="289"/>
      <c r="AQT19" s="289"/>
      <c r="AQU19" s="289"/>
      <c r="AQV19" s="289"/>
      <c r="AQW19" s="289"/>
      <c r="AQX19" s="289"/>
      <c r="AQY19" s="289"/>
      <c r="AQZ19" s="289"/>
      <c r="ARA19" s="289"/>
      <c r="ARB19" s="289"/>
      <c r="ARC19" s="289"/>
      <c r="ARD19" s="289"/>
      <c r="ARE19" s="289"/>
      <c r="ARF19" s="289"/>
      <c r="ARG19" s="289"/>
      <c r="ARH19" s="289"/>
      <c r="ARI19" s="289"/>
      <c r="ARJ19" s="289"/>
      <c r="ARK19" s="289"/>
      <c r="ARL19" s="289"/>
      <c r="ARM19" s="289"/>
      <c r="ARN19" s="289"/>
      <c r="ARO19" s="289"/>
      <c r="ARP19" s="289"/>
      <c r="ARQ19" s="289"/>
      <c r="ARR19" s="289"/>
      <c r="ARS19" s="289"/>
      <c r="ART19" s="289"/>
      <c r="ARU19" s="289"/>
      <c r="ARV19" s="289"/>
      <c r="ARW19" s="289"/>
      <c r="ARX19" s="289"/>
      <c r="ARY19" s="289"/>
      <c r="ARZ19" s="289"/>
      <c r="ASA19" s="289"/>
      <c r="ASB19" s="289"/>
      <c r="ASC19" s="289"/>
      <c r="ASD19" s="289"/>
      <c r="ASE19" s="289"/>
      <c r="ASF19" s="289"/>
      <c r="ASG19" s="289"/>
      <c r="ASH19" s="289"/>
      <c r="ASI19" s="289"/>
      <c r="ASJ19" s="289"/>
      <c r="ASK19" s="289"/>
      <c r="ASL19" s="289"/>
      <c r="ASM19" s="289"/>
      <c r="ASN19" s="289"/>
      <c r="ASO19" s="289"/>
      <c r="ASP19" s="289"/>
      <c r="ASQ19" s="289"/>
      <c r="ASR19" s="289"/>
      <c r="ASS19" s="289"/>
      <c r="AST19" s="289"/>
      <c r="ASU19" s="289"/>
      <c r="ASV19" s="289"/>
      <c r="ASW19" s="289"/>
      <c r="ASX19" s="289"/>
      <c r="ASY19" s="289"/>
      <c r="ASZ19" s="289"/>
      <c r="ATA19" s="289"/>
      <c r="ATB19" s="289"/>
      <c r="ATC19" s="289"/>
      <c r="ATD19" s="289"/>
      <c r="ATE19" s="289"/>
      <c r="ATF19" s="289"/>
      <c r="ATG19" s="289"/>
      <c r="ATH19" s="289"/>
      <c r="ATI19" s="289"/>
      <c r="ATJ19" s="289"/>
      <c r="ATK19" s="289"/>
      <c r="ATL19" s="289"/>
      <c r="ATM19" s="289"/>
      <c r="ATN19" s="289"/>
      <c r="ATO19" s="289"/>
      <c r="ATP19" s="289"/>
      <c r="ATQ19" s="289"/>
      <c r="ATR19" s="289"/>
      <c r="ATS19" s="289"/>
      <c r="ATT19" s="289"/>
      <c r="ATU19" s="289"/>
      <c r="ATV19" s="289"/>
      <c r="ATW19" s="289"/>
      <c r="ATX19" s="289"/>
      <c r="ATY19" s="289"/>
      <c r="ATZ19" s="289"/>
      <c r="AUA19" s="289"/>
      <c r="AUB19" s="289"/>
      <c r="AUC19" s="289"/>
      <c r="AUD19" s="289"/>
      <c r="AUE19" s="289"/>
      <c r="AUF19" s="289"/>
      <c r="AUG19" s="289"/>
      <c r="AUH19" s="289"/>
      <c r="AUI19" s="289"/>
      <c r="AUJ19" s="289"/>
      <c r="AUK19" s="289"/>
      <c r="AUL19" s="289"/>
      <c r="AUM19" s="289"/>
      <c r="AUN19" s="289"/>
      <c r="AUO19" s="289"/>
      <c r="AUP19" s="289"/>
      <c r="AUQ19" s="289"/>
      <c r="AUR19" s="289"/>
      <c r="AUS19" s="289"/>
      <c r="AUT19" s="289"/>
      <c r="AUU19" s="289"/>
      <c r="AUV19" s="289"/>
      <c r="AUW19" s="289"/>
      <c r="AUX19" s="289"/>
      <c r="AUY19" s="289"/>
      <c r="AUZ19" s="289"/>
      <c r="AVA19" s="289"/>
      <c r="AVB19" s="289"/>
      <c r="AVC19" s="289"/>
      <c r="AVD19" s="289"/>
      <c r="AVE19" s="289"/>
      <c r="AVF19" s="289"/>
      <c r="AVG19" s="289"/>
      <c r="AVH19" s="289"/>
      <c r="AVI19" s="289"/>
      <c r="AVJ19" s="289"/>
      <c r="AVK19" s="289"/>
      <c r="AVL19" s="289"/>
      <c r="AVM19" s="289"/>
      <c r="AVN19" s="289"/>
      <c r="AVO19" s="289"/>
      <c r="AVP19" s="289"/>
      <c r="AVQ19" s="289"/>
      <c r="AVR19" s="289"/>
      <c r="AVS19" s="289"/>
      <c r="AVT19" s="289"/>
      <c r="AVU19" s="289"/>
      <c r="AVV19" s="289"/>
      <c r="AVW19" s="289"/>
      <c r="AVX19" s="289"/>
      <c r="AVY19" s="289"/>
      <c r="AVZ19" s="289"/>
      <c r="AWA19" s="289"/>
      <c r="AWB19" s="289"/>
      <c r="AWC19" s="289"/>
      <c r="AWD19" s="289"/>
      <c r="AWE19" s="289"/>
      <c r="AWF19" s="289"/>
      <c r="AWG19" s="289"/>
      <c r="AWH19" s="289"/>
      <c r="AWI19" s="289"/>
      <c r="AWJ19" s="289"/>
      <c r="AWK19" s="289"/>
      <c r="AWL19" s="289"/>
      <c r="AWM19" s="289"/>
      <c r="AWN19" s="289"/>
      <c r="AWO19" s="289"/>
      <c r="AWP19" s="289"/>
      <c r="AWQ19" s="289"/>
      <c r="AWR19" s="289"/>
      <c r="AWS19" s="289"/>
      <c r="AWT19" s="289"/>
      <c r="AWU19" s="289"/>
      <c r="AWV19" s="289"/>
      <c r="AWW19" s="289"/>
      <c r="AWX19" s="289"/>
      <c r="AWY19" s="289"/>
      <c r="AWZ19" s="289"/>
      <c r="AXA19" s="289"/>
      <c r="AXB19" s="289"/>
      <c r="AXC19" s="289"/>
      <c r="AXD19" s="289"/>
      <c r="AXE19" s="289"/>
      <c r="AXF19" s="289"/>
      <c r="AXG19" s="289"/>
      <c r="AXH19" s="289"/>
      <c r="AXI19" s="289"/>
      <c r="AXJ19" s="289"/>
      <c r="AXK19" s="289"/>
      <c r="AXL19" s="289"/>
      <c r="AXM19" s="289"/>
      <c r="AXN19" s="289"/>
      <c r="AXO19" s="289"/>
      <c r="AXP19" s="289"/>
      <c r="AXQ19" s="289"/>
      <c r="AXR19" s="289"/>
      <c r="AXS19" s="289"/>
      <c r="AXT19" s="289"/>
      <c r="AXU19" s="289"/>
      <c r="AXV19" s="289"/>
      <c r="AXW19" s="289"/>
      <c r="AXX19" s="289"/>
      <c r="AXY19" s="289"/>
      <c r="AXZ19" s="289"/>
      <c r="AYA19" s="289"/>
      <c r="AYB19" s="289"/>
      <c r="AYC19" s="289"/>
      <c r="AYD19" s="289"/>
      <c r="AYE19" s="289"/>
      <c r="AYF19" s="289"/>
      <c r="AYG19" s="289"/>
      <c r="AYH19" s="289"/>
      <c r="AYI19" s="289"/>
      <c r="AYJ19" s="289"/>
      <c r="AYK19" s="289"/>
      <c r="AYL19" s="289"/>
      <c r="AYM19" s="289"/>
      <c r="AYN19" s="289"/>
      <c r="AYO19" s="289"/>
      <c r="AYP19" s="289"/>
      <c r="AYQ19" s="289"/>
      <c r="AYR19" s="289"/>
      <c r="AYS19" s="289"/>
      <c r="AYT19" s="289"/>
      <c r="AYU19" s="289"/>
      <c r="AYV19" s="289"/>
      <c r="AYW19" s="289"/>
      <c r="AYX19" s="289"/>
      <c r="AYY19" s="289"/>
      <c r="AYZ19" s="289"/>
      <c r="AZA19" s="289"/>
      <c r="AZB19" s="289"/>
      <c r="AZC19" s="289"/>
      <c r="AZD19" s="289"/>
      <c r="AZE19" s="289"/>
      <c r="AZF19" s="289"/>
      <c r="AZG19" s="289"/>
      <c r="AZH19" s="289"/>
      <c r="AZI19" s="289"/>
      <c r="AZJ19" s="289"/>
      <c r="AZK19" s="289"/>
      <c r="AZL19" s="289"/>
      <c r="AZM19" s="289"/>
      <c r="AZN19" s="289"/>
      <c r="AZO19" s="289"/>
      <c r="AZP19" s="289"/>
      <c r="AZQ19" s="289"/>
      <c r="AZR19" s="289"/>
      <c r="AZS19" s="289"/>
      <c r="AZT19" s="289"/>
      <c r="AZU19" s="289"/>
      <c r="AZV19" s="289"/>
      <c r="AZW19" s="289"/>
      <c r="AZX19" s="289"/>
      <c r="AZY19" s="289"/>
      <c r="AZZ19" s="289"/>
      <c r="BAA19" s="289"/>
      <c r="BAB19" s="289"/>
      <c r="BAC19" s="289"/>
      <c r="BAD19" s="289"/>
      <c r="BAE19" s="289"/>
      <c r="BAF19" s="289"/>
      <c r="BAG19" s="289"/>
      <c r="BAH19" s="289"/>
      <c r="BAI19" s="289"/>
      <c r="BAJ19" s="289"/>
      <c r="BAK19" s="289"/>
      <c r="BAL19" s="289"/>
      <c r="BAM19" s="289"/>
      <c r="BAN19" s="289"/>
      <c r="BAO19" s="289"/>
      <c r="BAP19" s="289"/>
      <c r="BAQ19" s="289"/>
      <c r="BAR19" s="289"/>
      <c r="BAS19" s="289"/>
      <c r="BAT19" s="289"/>
      <c r="BAU19" s="289"/>
      <c r="BAV19" s="289"/>
      <c r="BAW19" s="289"/>
      <c r="BAX19" s="289"/>
      <c r="BAY19" s="289"/>
      <c r="BAZ19" s="289"/>
      <c r="BBA19" s="289"/>
      <c r="BBB19" s="289"/>
      <c r="BBC19" s="289"/>
      <c r="BBD19" s="289"/>
      <c r="BBE19" s="289"/>
      <c r="BBF19" s="289"/>
      <c r="BBG19" s="289"/>
      <c r="BBH19" s="289"/>
      <c r="BBI19" s="289"/>
      <c r="BBJ19" s="289"/>
      <c r="BBK19" s="289"/>
      <c r="BBL19" s="289"/>
      <c r="BBM19" s="289"/>
      <c r="BBN19" s="289"/>
      <c r="BBO19" s="289"/>
      <c r="BBP19" s="289"/>
      <c r="BBQ19" s="289"/>
      <c r="BBR19" s="289"/>
      <c r="BBS19" s="289"/>
      <c r="BBT19" s="289"/>
      <c r="BBU19" s="289"/>
      <c r="BBV19" s="289"/>
      <c r="BBW19" s="289"/>
      <c r="BBX19" s="289"/>
      <c r="BBY19" s="289"/>
      <c r="BBZ19" s="289"/>
      <c r="BCA19" s="289"/>
      <c r="BCB19" s="289"/>
      <c r="BCC19" s="289"/>
      <c r="BCD19" s="289"/>
      <c r="BCE19" s="289"/>
      <c r="BCF19" s="289"/>
      <c r="BCG19" s="289"/>
      <c r="BCH19" s="289"/>
      <c r="BCI19" s="289"/>
      <c r="BCJ19" s="289"/>
      <c r="BCK19" s="289"/>
      <c r="BCL19" s="289"/>
      <c r="BCM19" s="289"/>
      <c r="BCN19" s="289"/>
      <c r="BCO19" s="289"/>
      <c r="BCP19" s="289"/>
      <c r="BCQ19" s="289"/>
      <c r="BCR19" s="289"/>
      <c r="BCS19" s="289"/>
      <c r="BCT19" s="289"/>
      <c r="BCU19" s="289"/>
      <c r="BCV19" s="289"/>
      <c r="BCW19" s="289"/>
      <c r="BCX19" s="289"/>
      <c r="BCY19" s="289"/>
      <c r="BCZ19" s="289"/>
      <c r="BDA19" s="289"/>
      <c r="BDB19" s="289"/>
      <c r="BDC19" s="289"/>
      <c r="BDD19" s="289"/>
      <c r="BDE19" s="289"/>
      <c r="BDF19" s="289"/>
      <c r="BDG19" s="289"/>
      <c r="BDH19" s="289"/>
      <c r="BDI19" s="289"/>
      <c r="BDJ19" s="289"/>
      <c r="BDK19" s="289"/>
      <c r="BDL19" s="289"/>
      <c r="BDM19" s="289"/>
      <c r="BDN19" s="289"/>
      <c r="BDO19" s="289"/>
      <c r="BDP19" s="289"/>
      <c r="BDQ19" s="289"/>
      <c r="BDR19" s="289"/>
      <c r="BDS19" s="289"/>
      <c r="BDT19" s="289"/>
      <c r="BDU19" s="289"/>
      <c r="BDV19" s="289"/>
      <c r="BDW19" s="289"/>
      <c r="BDX19" s="289"/>
      <c r="BDY19" s="289"/>
      <c r="BDZ19" s="289"/>
      <c r="BEA19" s="289"/>
      <c r="BEB19" s="289"/>
      <c r="BEC19" s="289"/>
      <c r="BED19" s="289"/>
      <c r="BEE19" s="289"/>
      <c r="BEF19" s="289"/>
      <c r="BEG19" s="289"/>
      <c r="BEH19" s="289"/>
      <c r="BEI19" s="289"/>
      <c r="BEJ19" s="289"/>
      <c r="BEK19" s="289"/>
      <c r="BEL19" s="289"/>
      <c r="BEM19" s="289"/>
      <c r="BEN19" s="289"/>
      <c r="BEO19" s="289"/>
      <c r="BEP19" s="289"/>
      <c r="BEQ19" s="289"/>
      <c r="BER19" s="289"/>
      <c r="BES19" s="289"/>
      <c r="BET19" s="289"/>
      <c r="BEU19" s="289"/>
      <c r="BEV19" s="289"/>
      <c r="BEW19" s="289"/>
      <c r="BEX19" s="289"/>
      <c r="BEY19" s="289"/>
      <c r="BEZ19" s="289"/>
      <c r="BFA19" s="289"/>
      <c r="BFB19" s="289"/>
      <c r="BFC19" s="289"/>
      <c r="BFD19" s="289"/>
      <c r="BFE19" s="289"/>
      <c r="BFF19" s="289"/>
      <c r="BFG19" s="289"/>
      <c r="BFH19" s="289"/>
      <c r="BFI19" s="289"/>
      <c r="BFJ19" s="289"/>
      <c r="BFK19" s="289"/>
      <c r="BFL19" s="289"/>
      <c r="BFM19" s="289"/>
      <c r="BFN19" s="289"/>
      <c r="BFO19" s="289"/>
      <c r="BFP19" s="289"/>
      <c r="BFQ19" s="289"/>
      <c r="BFR19" s="289"/>
      <c r="BFS19" s="289"/>
      <c r="BFT19" s="289"/>
      <c r="BFU19" s="289"/>
      <c r="BFV19" s="289"/>
      <c r="BFW19" s="289"/>
      <c r="BFX19" s="289"/>
      <c r="BFY19" s="289"/>
      <c r="BFZ19" s="289"/>
      <c r="BGA19" s="289"/>
      <c r="BGB19" s="289"/>
      <c r="BGC19" s="289"/>
      <c r="BGD19" s="289"/>
      <c r="BGE19" s="289"/>
      <c r="BGF19" s="289"/>
      <c r="BGG19" s="289"/>
      <c r="BGH19" s="289"/>
      <c r="BGI19" s="289"/>
      <c r="BGJ19" s="289"/>
      <c r="BGK19" s="289"/>
      <c r="BGL19" s="289"/>
      <c r="BGM19" s="289"/>
      <c r="BGN19" s="289"/>
      <c r="BGO19" s="289"/>
      <c r="BGP19" s="289"/>
      <c r="BGQ19" s="289"/>
      <c r="BGR19" s="289"/>
      <c r="BGS19" s="289"/>
      <c r="BGT19" s="289"/>
      <c r="BGU19" s="289"/>
      <c r="BGV19" s="289"/>
      <c r="BGW19" s="289"/>
      <c r="BGX19" s="289"/>
      <c r="BGY19" s="289"/>
      <c r="BGZ19" s="289"/>
      <c r="BHA19" s="289"/>
      <c r="BHB19" s="289"/>
      <c r="BHC19" s="289"/>
      <c r="BHD19" s="289"/>
      <c r="BHE19" s="289"/>
      <c r="BHF19" s="289"/>
      <c r="BHG19" s="289"/>
      <c r="BHH19" s="289"/>
      <c r="BHI19" s="289"/>
      <c r="BHJ19" s="289"/>
      <c r="BHK19" s="289"/>
      <c r="BHL19" s="289"/>
      <c r="BHM19" s="289"/>
      <c r="BHN19" s="289"/>
      <c r="BHO19" s="289"/>
      <c r="BHP19" s="289"/>
      <c r="BHQ19" s="289"/>
      <c r="BHR19" s="289"/>
      <c r="BHS19" s="289"/>
      <c r="BHT19" s="289"/>
      <c r="BHU19" s="289"/>
      <c r="BHV19" s="289"/>
      <c r="BHW19" s="289"/>
      <c r="BHX19" s="289"/>
      <c r="BHY19" s="289"/>
      <c r="BHZ19" s="289"/>
      <c r="BIA19" s="289"/>
      <c r="BIB19" s="289"/>
      <c r="BIC19" s="289"/>
      <c r="BID19" s="289"/>
      <c r="BIE19" s="289"/>
      <c r="BIF19" s="289"/>
      <c r="BIG19" s="289"/>
      <c r="BIH19" s="289"/>
      <c r="BII19" s="289"/>
      <c r="BIJ19" s="289"/>
      <c r="BIK19" s="289"/>
      <c r="BIL19" s="289"/>
      <c r="BIM19" s="289"/>
      <c r="BIN19" s="289"/>
      <c r="BIO19" s="289"/>
      <c r="BIP19" s="289"/>
      <c r="BIQ19" s="289"/>
      <c r="BIR19" s="289"/>
      <c r="BIS19" s="289"/>
      <c r="BIT19" s="289"/>
      <c r="BIU19" s="289"/>
      <c r="BIV19" s="289"/>
      <c r="BIW19" s="289"/>
      <c r="BIX19" s="289"/>
      <c r="BIY19" s="289"/>
      <c r="BIZ19" s="289"/>
      <c r="BJA19" s="289"/>
      <c r="BJB19" s="289"/>
      <c r="BJC19" s="289"/>
      <c r="BJD19" s="289"/>
      <c r="BJE19" s="289"/>
      <c r="BJF19" s="289"/>
      <c r="BJG19" s="289"/>
      <c r="BJH19" s="289"/>
      <c r="BJI19" s="289"/>
      <c r="BJJ19" s="289"/>
      <c r="BJK19" s="289"/>
      <c r="BJL19" s="289"/>
      <c r="BJM19" s="289"/>
      <c r="BJN19" s="289"/>
      <c r="BJO19" s="289"/>
      <c r="BJP19" s="289"/>
      <c r="BJQ19" s="289"/>
      <c r="BJR19" s="289"/>
      <c r="BJS19" s="289"/>
      <c r="BJT19" s="289"/>
      <c r="BJU19" s="289"/>
      <c r="BJV19" s="289"/>
      <c r="BJW19" s="289"/>
      <c r="BJX19" s="289"/>
      <c r="BJY19" s="289"/>
      <c r="BJZ19" s="289"/>
      <c r="BKA19" s="289"/>
      <c r="BKB19" s="289"/>
      <c r="BKC19" s="289"/>
      <c r="BKD19" s="289"/>
      <c r="BKE19" s="289"/>
      <c r="BKF19" s="289"/>
      <c r="BKG19" s="289"/>
      <c r="BKH19" s="289"/>
      <c r="BKI19" s="289"/>
      <c r="BKJ19" s="289"/>
      <c r="BKK19" s="289"/>
      <c r="BKL19" s="289"/>
      <c r="BKM19" s="289"/>
      <c r="BKN19" s="289"/>
      <c r="BKO19" s="289"/>
      <c r="BKP19" s="289"/>
      <c r="BKQ19" s="289"/>
      <c r="BKR19" s="289"/>
      <c r="BKS19" s="289"/>
      <c r="BKT19" s="289"/>
      <c r="BKU19" s="289"/>
      <c r="BKV19" s="289"/>
      <c r="BKW19" s="289"/>
      <c r="BKX19" s="289"/>
      <c r="BKY19" s="289"/>
      <c r="BKZ19" s="289"/>
      <c r="BLA19" s="289"/>
      <c r="BLB19" s="289"/>
      <c r="BLC19" s="289"/>
      <c r="BLD19" s="289"/>
      <c r="BLE19" s="289"/>
      <c r="BLF19" s="289"/>
      <c r="BLG19" s="289"/>
      <c r="BLH19" s="289"/>
      <c r="BLI19" s="289"/>
      <c r="BLJ19" s="289"/>
      <c r="BLK19" s="289"/>
      <c r="BLL19" s="289"/>
      <c r="BLM19" s="289"/>
      <c r="BLN19" s="289"/>
      <c r="BLO19" s="289"/>
      <c r="BLP19" s="289"/>
      <c r="BLQ19" s="289"/>
      <c r="BLR19" s="289"/>
      <c r="BLS19" s="289"/>
      <c r="BLT19" s="289"/>
      <c r="BLU19" s="289"/>
      <c r="BLV19" s="289"/>
      <c r="BLW19" s="289"/>
      <c r="BLX19" s="289"/>
      <c r="BLY19" s="289"/>
      <c r="BLZ19" s="289"/>
      <c r="BMA19" s="289"/>
      <c r="BMB19" s="289"/>
      <c r="BMC19" s="289"/>
      <c r="BMD19" s="289"/>
      <c r="BME19" s="289"/>
      <c r="BMF19" s="289"/>
      <c r="BMG19" s="289"/>
      <c r="BMH19" s="289"/>
      <c r="BMI19" s="289"/>
      <c r="BMJ19" s="289"/>
      <c r="BMK19" s="289"/>
      <c r="BML19" s="289"/>
      <c r="BMM19" s="289"/>
      <c r="BMN19" s="289"/>
      <c r="BMO19" s="289"/>
      <c r="BMP19" s="289"/>
      <c r="BMQ19" s="289"/>
      <c r="BMR19" s="289"/>
      <c r="BMS19" s="289"/>
      <c r="BMT19" s="289"/>
      <c r="BMU19" s="289"/>
      <c r="BMV19" s="289"/>
      <c r="BMW19" s="289"/>
      <c r="BMX19" s="289"/>
      <c r="BMY19" s="289"/>
      <c r="BMZ19" s="289"/>
      <c r="BNA19" s="289"/>
      <c r="BNB19" s="289"/>
      <c r="BNC19" s="289"/>
      <c r="BND19" s="289"/>
      <c r="BNE19" s="289"/>
      <c r="BNF19" s="289"/>
      <c r="BNG19" s="289"/>
      <c r="BNH19" s="289"/>
      <c r="BNI19" s="289"/>
      <c r="BNJ19" s="289"/>
      <c r="BNK19" s="289"/>
      <c r="BNL19" s="289"/>
      <c r="BNM19" s="289"/>
      <c r="BNN19" s="289"/>
      <c r="BNO19" s="289"/>
      <c r="BNP19" s="289"/>
      <c r="BNQ19" s="289"/>
      <c r="BNR19" s="289"/>
      <c r="BNS19" s="289"/>
      <c r="BNT19" s="289"/>
      <c r="BNU19" s="289"/>
      <c r="BNV19" s="289"/>
      <c r="BNW19" s="289"/>
      <c r="BNX19" s="289"/>
      <c r="BNY19" s="289"/>
      <c r="BNZ19" s="289"/>
      <c r="BOA19" s="289"/>
      <c r="BOB19" s="289"/>
      <c r="BOC19" s="289"/>
      <c r="BOD19" s="289"/>
      <c r="BOE19" s="289"/>
      <c r="BOF19" s="289"/>
      <c r="BOG19" s="289"/>
      <c r="BOH19" s="289"/>
      <c r="BOI19" s="289"/>
      <c r="BOJ19" s="289"/>
      <c r="BOK19" s="289"/>
      <c r="BOL19" s="289"/>
      <c r="BOM19" s="289"/>
      <c r="BON19" s="289"/>
      <c r="BOO19" s="289"/>
      <c r="BOP19" s="289"/>
      <c r="BOQ19" s="289"/>
      <c r="BOR19" s="289"/>
      <c r="BOS19" s="289"/>
      <c r="BOT19" s="289"/>
      <c r="BOU19" s="289"/>
      <c r="BOV19" s="289"/>
      <c r="BOW19" s="289"/>
      <c r="BOX19" s="289"/>
      <c r="BOY19" s="289"/>
      <c r="BOZ19" s="289"/>
      <c r="BPA19" s="289"/>
      <c r="BPB19" s="289"/>
      <c r="BPC19" s="289"/>
      <c r="BPD19" s="289"/>
      <c r="BPE19" s="289"/>
      <c r="BPF19" s="289"/>
      <c r="BPG19" s="289"/>
      <c r="BPH19" s="289"/>
      <c r="BPI19" s="289"/>
      <c r="BPJ19" s="289"/>
      <c r="BPK19" s="289"/>
      <c r="BPL19" s="289"/>
      <c r="BPM19" s="289"/>
      <c r="BPN19" s="289"/>
      <c r="BPO19" s="289"/>
      <c r="BPP19" s="289"/>
      <c r="BPQ19" s="289"/>
      <c r="BPR19" s="289"/>
      <c r="BPS19" s="289"/>
      <c r="BPT19" s="289"/>
      <c r="BPU19" s="289"/>
      <c r="BPV19" s="289"/>
      <c r="BPW19" s="289"/>
      <c r="BPX19" s="289"/>
      <c r="BPY19" s="289"/>
      <c r="BPZ19" s="289"/>
      <c r="BQA19" s="289"/>
      <c r="BQB19" s="289"/>
      <c r="BQC19" s="289"/>
      <c r="BQD19" s="289"/>
      <c r="BQE19" s="289"/>
      <c r="BQF19" s="289"/>
      <c r="BQG19" s="289"/>
      <c r="BQH19" s="289"/>
      <c r="BQI19" s="289"/>
      <c r="BQJ19" s="289"/>
      <c r="BQK19" s="289"/>
      <c r="BQL19" s="289"/>
      <c r="BQM19" s="289"/>
      <c r="BQN19" s="289"/>
      <c r="BQO19" s="289"/>
      <c r="BQP19" s="289"/>
      <c r="BQQ19" s="289"/>
      <c r="BQR19" s="289"/>
      <c r="BQS19" s="289"/>
      <c r="BQT19" s="289"/>
      <c r="BQU19" s="289"/>
      <c r="BQV19" s="289"/>
      <c r="BQW19" s="289"/>
      <c r="BQX19" s="289"/>
      <c r="BQY19" s="289"/>
      <c r="BQZ19" s="289"/>
      <c r="BRA19" s="289"/>
      <c r="BRB19" s="289"/>
      <c r="BRC19" s="289"/>
      <c r="BRD19" s="289"/>
      <c r="BRE19" s="289"/>
      <c r="BRF19" s="289"/>
      <c r="BRG19" s="289"/>
      <c r="BRH19" s="289"/>
      <c r="BRI19" s="289"/>
      <c r="BRJ19" s="289"/>
      <c r="BRK19" s="289"/>
      <c r="BRL19" s="289"/>
      <c r="BRM19" s="289"/>
      <c r="BRN19" s="289"/>
      <c r="BRO19" s="289"/>
      <c r="BRP19" s="289"/>
      <c r="BRQ19" s="289"/>
      <c r="BRR19" s="289"/>
      <c r="BRS19" s="289"/>
      <c r="BRT19" s="289"/>
      <c r="BRU19" s="289"/>
      <c r="BRV19" s="289"/>
      <c r="BRW19" s="289"/>
      <c r="BRX19" s="289"/>
      <c r="BRY19" s="289"/>
      <c r="BRZ19" s="289"/>
      <c r="BSA19" s="289"/>
      <c r="BSB19" s="289"/>
      <c r="BSC19" s="289"/>
      <c r="BSD19" s="289"/>
      <c r="BSE19" s="289"/>
      <c r="BSF19" s="289"/>
      <c r="BSG19" s="289"/>
      <c r="BSH19" s="289"/>
      <c r="BSI19" s="289"/>
      <c r="BSJ19" s="289"/>
      <c r="BSK19" s="289"/>
      <c r="BSL19" s="289"/>
      <c r="BSM19" s="289"/>
      <c r="BSN19" s="289"/>
      <c r="BSO19" s="289"/>
      <c r="BSP19" s="289"/>
      <c r="BSQ19" s="289"/>
      <c r="BSR19" s="289"/>
      <c r="BSS19" s="289"/>
      <c r="BST19" s="289"/>
      <c r="BSU19" s="289"/>
      <c r="BSV19" s="289"/>
      <c r="BSW19" s="289"/>
      <c r="BSX19" s="289"/>
      <c r="BSY19" s="289"/>
      <c r="BSZ19" s="289"/>
      <c r="BTA19" s="289"/>
      <c r="BTB19" s="289"/>
      <c r="BTC19" s="289"/>
      <c r="BTD19" s="289"/>
      <c r="BTE19" s="289"/>
      <c r="BTF19" s="289"/>
      <c r="BTG19" s="289"/>
      <c r="BTH19" s="289"/>
      <c r="BTI19" s="289"/>
      <c r="BTJ19" s="289"/>
      <c r="BTK19" s="289"/>
      <c r="BTL19" s="289"/>
      <c r="BTM19" s="289"/>
      <c r="BTN19" s="289"/>
      <c r="BTO19" s="289"/>
      <c r="BTP19" s="289"/>
      <c r="BTQ19" s="289"/>
      <c r="BTR19" s="289"/>
      <c r="BTS19" s="289"/>
      <c r="BTT19" s="289"/>
      <c r="BTU19" s="289"/>
      <c r="BTV19" s="289"/>
      <c r="BTW19" s="289"/>
      <c r="BTX19" s="289"/>
      <c r="BTY19" s="289"/>
      <c r="BTZ19" s="289"/>
      <c r="BUA19" s="289"/>
      <c r="BUB19" s="289"/>
      <c r="BUC19" s="289"/>
      <c r="BUD19" s="289"/>
      <c r="BUE19" s="289"/>
      <c r="BUF19" s="289"/>
      <c r="BUG19" s="289"/>
      <c r="BUH19" s="289"/>
      <c r="BUI19" s="289"/>
      <c r="BUJ19" s="289"/>
      <c r="BUK19" s="289"/>
      <c r="BUL19" s="289"/>
      <c r="BUM19" s="289"/>
      <c r="BUN19" s="289"/>
      <c r="BUO19" s="289"/>
      <c r="BUP19" s="289"/>
      <c r="BUQ19" s="289"/>
      <c r="BUR19" s="289"/>
      <c r="BUS19" s="289"/>
      <c r="BUT19" s="289"/>
      <c r="BUU19" s="289"/>
      <c r="BUV19" s="289"/>
      <c r="BUW19" s="289"/>
      <c r="BUX19" s="289"/>
      <c r="BUY19" s="289"/>
      <c r="BUZ19" s="289"/>
      <c r="BVA19" s="289"/>
      <c r="BVB19" s="289"/>
      <c r="BVC19" s="289"/>
      <c r="BVD19" s="289"/>
      <c r="BVE19" s="289"/>
      <c r="BVF19" s="289"/>
      <c r="BVG19" s="289"/>
      <c r="BVH19" s="289"/>
      <c r="BVI19" s="289"/>
      <c r="BVJ19" s="289"/>
      <c r="BVK19" s="289"/>
      <c r="BVL19" s="289"/>
      <c r="BVM19" s="289"/>
      <c r="BVN19" s="289"/>
      <c r="BVO19" s="289"/>
      <c r="BVP19" s="289"/>
      <c r="BVQ19" s="289"/>
      <c r="BVR19" s="289"/>
      <c r="BVS19" s="289"/>
      <c r="BVT19" s="289"/>
      <c r="BVU19" s="289"/>
      <c r="BVV19" s="289"/>
      <c r="BVW19" s="289"/>
      <c r="BVX19" s="289"/>
      <c r="BVY19" s="289"/>
      <c r="BVZ19" s="289"/>
      <c r="BWA19" s="289"/>
      <c r="BWB19" s="289"/>
      <c r="BWC19" s="289"/>
      <c r="BWD19" s="289"/>
      <c r="BWE19" s="289"/>
      <c r="BWF19" s="289"/>
      <c r="BWG19" s="289"/>
      <c r="BWH19" s="289"/>
      <c r="BWI19" s="289"/>
      <c r="BWJ19" s="289"/>
      <c r="BWK19" s="289"/>
      <c r="BWL19" s="289"/>
      <c r="BWM19" s="289"/>
      <c r="BWN19" s="289"/>
      <c r="BWO19" s="289"/>
      <c r="BWP19" s="289"/>
      <c r="BWQ19" s="289"/>
      <c r="BWR19" s="289"/>
      <c r="BWS19" s="289"/>
      <c r="BWT19" s="289"/>
      <c r="BWU19" s="289"/>
      <c r="BWV19" s="289"/>
      <c r="BWW19" s="289"/>
      <c r="BWX19" s="289"/>
      <c r="BWY19" s="289"/>
      <c r="BWZ19" s="289"/>
      <c r="BXA19" s="289"/>
      <c r="BXB19" s="289"/>
      <c r="BXC19" s="289"/>
      <c r="BXD19" s="289"/>
      <c r="BXE19" s="289"/>
      <c r="BXF19" s="289"/>
      <c r="BXG19" s="289"/>
      <c r="BXH19" s="289"/>
      <c r="BXI19" s="289"/>
      <c r="BXJ19" s="289"/>
      <c r="BXK19" s="289"/>
      <c r="BXL19" s="289"/>
      <c r="BXM19" s="289"/>
      <c r="BXN19" s="289"/>
      <c r="BXO19" s="289"/>
      <c r="BXP19" s="289"/>
      <c r="BXQ19" s="289"/>
      <c r="BXR19" s="289"/>
      <c r="BXS19" s="289"/>
      <c r="BXT19" s="289"/>
      <c r="BXU19" s="289"/>
      <c r="BXV19" s="289"/>
      <c r="BXW19" s="289"/>
      <c r="BXX19" s="289"/>
      <c r="BXY19" s="289"/>
      <c r="BXZ19" s="289"/>
      <c r="BYA19" s="289"/>
      <c r="BYB19" s="289"/>
      <c r="BYC19" s="289"/>
      <c r="BYD19" s="289"/>
      <c r="BYE19" s="289"/>
      <c r="BYF19" s="289"/>
      <c r="BYG19" s="289"/>
      <c r="BYH19" s="289"/>
      <c r="BYI19" s="289"/>
      <c r="BYJ19" s="289"/>
      <c r="BYK19" s="289"/>
      <c r="BYL19" s="289"/>
      <c r="BYM19" s="289"/>
      <c r="BYN19" s="289"/>
      <c r="BYO19" s="289"/>
      <c r="BYP19" s="289"/>
      <c r="BYQ19" s="289"/>
      <c r="BYR19" s="289"/>
      <c r="BYS19" s="289"/>
      <c r="BYT19" s="289"/>
      <c r="BYU19" s="289"/>
      <c r="BYV19" s="289"/>
      <c r="BYW19" s="289"/>
      <c r="BYX19" s="289"/>
      <c r="BYY19" s="289"/>
      <c r="BYZ19" s="289"/>
      <c r="BZA19" s="289"/>
      <c r="BZB19" s="289"/>
      <c r="BZC19" s="289"/>
      <c r="BZD19" s="289"/>
      <c r="BZE19" s="289"/>
      <c r="BZF19" s="289"/>
      <c r="BZG19" s="289"/>
      <c r="BZH19" s="289"/>
      <c r="BZI19" s="289"/>
      <c r="BZJ19" s="289"/>
      <c r="BZK19" s="289"/>
      <c r="BZL19" s="289"/>
      <c r="BZM19" s="289"/>
      <c r="BZN19" s="289"/>
      <c r="BZO19" s="289"/>
      <c r="BZP19" s="289"/>
      <c r="BZQ19" s="289"/>
      <c r="BZR19" s="289"/>
      <c r="BZS19" s="289"/>
      <c r="BZT19" s="289"/>
      <c r="BZU19" s="289"/>
      <c r="BZV19" s="289"/>
      <c r="BZW19" s="289"/>
      <c r="BZX19" s="289"/>
      <c r="BZY19" s="289"/>
      <c r="BZZ19" s="289"/>
      <c r="CAA19" s="289"/>
      <c r="CAB19" s="289"/>
      <c r="CAC19" s="289"/>
      <c r="CAD19" s="289"/>
      <c r="CAE19" s="289"/>
      <c r="CAF19" s="289"/>
      <c r="CAG19" s="289"/>
      <c r="CAH19" s="289"/>
      <c r="CAI19" s="289"/>
      <c r="CAJ19" s="289"/>
      <c r="CAK19" s="289"/>
      <c r="CAL19" s="289"/>
      <c r="CAM19" s="289"/>
      <c r="CAN19" s="289"/>
      <c r="CAO19" s="289"/>
      <c r="CAP19" s="289"/>
      <c r="CAQ19" s="289"/>
      <c r="CAR19" s="289"/>
      <c r="CAS19" s="289"/>
      <c r="CAT19" s="289"/>
      <c r="CAU19" s="289"/>
      <c r="CAV19" s="289"/>
      <c r="CAW19" s="289"/>
      <c r="CAX19" s="289"/>
      <c r="CAY19" s="289"/>
      <c r="CAZ19" s="289"/>
      <c r="CBA19" s="289"/>
      <c r="CBB19" s="289"/>
      <c r="CBC19" s="289"/>
      <c r="CBD19" s="289"/>
      <c r="CBE19" s="289"/>
      <c r="CBF19" s="289"/>
      <c r="CBG19" s="289"/>
      <c r="CBH19" s="289"/>
      <c r="CBI19" s="289"/>
      <c r="CBJ19" s="289"/>
      <c r="CBK19" s="289"/>
      <c r="CBL19" s="289"/>
      <c r="CBM19" s="289"/>
      <c r="CBN19" s="289"/>
      <c r="CBO19" s="289"/>
      <c r="CBP19" s="289"/>
      <c r="CBQ19" s="289"/>
      <c r="CBR19" s="289"/>
      <c r="CBS19" s="289"/>
      <c r="CBT19" s="289"/>
      <c r="CBU19" s="289"/>
      <c r="CBV19" s="289"/>
      <c r="CBW19" s="289"/>
      <c r="CBX19" s="289"/>
      <c r="CBY19" s="289"/>
      <c r="CBZ19" s="289"/>
      <c r="CCA19" s="289"/>
      <c r="CCB19" s="289"/>
      <c r="CCC19" s="289"/>
      <c r="CCD19" s="289"/>
      <c r="CCE19" s="289"/>
      <c r="CCF19" s="289"/>
      <c r="CCG19" s="289"/>
      <c r="CCH19" s="289"/>
      <c r="CCI19" s="289"/>
      <c r="CCJ19" s="289"/>
      <c r="CCK19" s="289"/>
      <c r="CCL19" s="289"/>
      <c r="CCM19" s="289"/>
      <c r="CCN19" s="289"/>
      <c r="CCO19" s="289"/>
      <c r="CCP19" s="289"/>
      <c r="CCQ19" s="289"/>
      <c r="CCR19" s="289"/>
      <c r="CCS19" s="289"/>
      <c r="CCT19" s="289"/>
      <c r="CCU19" s="289"/>
      <c r="CCV19" s="289"/>
      <c r="CCW19" s="289"/>
      <c r="CCX19" s="289"/>
      <c r="CCY19" s="289"/>
      <c r="CCZ19" s="289"/>
      <c r="CDA19" s="289"/>
      <c r="CDB19" s="289"/>
      <c r="CDC19" s="289"/>
      <c r="CDD19" s="289"/>
      <c r="CDE19" s="289"/>
      <c r="CDF19" s="289"/>
      <c r="CDG19" s="289"/>
      <c r="CDH19" s="289"/>
      <c r="CDI19" s="289"/>
      <c r="CDJ19" s="289"/>
      <c r="CDK19" s="289"/>
      <c r="CDL19" s="289"/>
      <c r="CDM19" s="289"/>
      <c r="CDN19" s="289"/>
      <c r="CDO19" s="289"/>
      <c r="CDP19" s="289"/>
      <c r="CDQ19" s="289"/>
      <c r="CDR19" s="289"/>
      <c r="CDS19" s="289"/>
      <c r="CDT19" s="289"/>
      <c r="CDU19" s="289"/>
      <c r="CDV19" s="289"/>
      <c r="CDW19" s="289"/>
      <c r="CDX19" s="289"/>
      <c r="CDY19" s="289"/>
      <c r="CDZ19" s="289"/>
      <c r="CEA19" s="289"/>
      <c r="CEB19" s="289"/>
      <c r="CEC19" s="289"/>
      <c r="CED19" s="289"/>
      <c r="CEE19" s="289"/>
      <c r="CEF19" s="289"/>
      <c r="CEG19" s="289"/>
      <c r="CEH19" s="289"/>
      <c r="CEI19" s="289"/>
      <c r="CEJ19" s="289"/>
      <c r="CEK19" s="289"/>
      <c r="CEL19" s="289"/>
      <c r="CEM19" s="289"/>
      <c r="CEN19" s="289"/>
      <c r="CEO19" s="289"/>
      <c r="CEP19" s="289"/>
      <c r="CEQ19" s="289"/>
      <c r="CER19" s="289"/>
      <c r="CES19" s="289"/>
      <c r="CET19" s="289"/>
      <c r="CEU19" s="289"/>
      <c r="CEV19" s="289"/>
      <c r="CEW19" s="289"/>
      <c r="CEX19" s="289"/>
      <c r="CEY19" s="289"/>
      <c r="CEZ19" s="289"/>
      <c r="CFA19" s="289"/>
      <c r="CFB19" s="289"/>
      <c r="CFC19" s="289"/>
      <c r="CFD19" s="289"/>
      <c r="CFE19" s="289"/>
      <c r="CFF19" s="289"/>
      <c r="CFG19" s="289"/>
      <c r="CFH19" s="289"/>
      <c r="CFI19" s="289"/>
      <c r="CFJ19" s="289"/>
      <c r="CFK19" s="289"/>
      <c r="CFL19" s="289"/>
      <c r="CFM19" s="289"/>
      <c r="CFN19" s="289"/>
      <c r="CFO19" s="289"/>
      <c r="CFP19" s="289"/>
      <c r="CFQ19" s="289"/>
      <c r="CFR19" s="289"/>
      <c r="CFS19" s="289"/>
      <c r="CFT19" s="289"/>
      <c r="CFU19" s="289"/>
      <c r="CFV19" s="289"/>
      <c r="CFW19" s="289"/>
      <c r="CFX19" s="289"/>
      <c r="CFY19" s="289"/>
      <c r="CFZ19" s="289"/>
      <c r="CGA19" s="289"/>
      <c r="CGB19" s="289"/>
      <c r="CGC19" s="289"/>
      <c r="CGD19" s="289"/>
      <c r="CGE19" s="289"/>
      <c r="CGF19" s="289"/>
      <c r="CGG19" s="289"/>
      <c r="CGH19" s="289"/>
      <c r="CGI19" s="289"/>
      <c r="CGJ19" s="289"/>
      <c r="CGK19" s="289"/>
      <c r="CGL19" s="289"/>
      <c r="CGM19" s="289"/>
      <c r="CGN19" s="289"/>
      <c r="CGO19" s="289"/>
      <c r="CGP19" s="289"/>
      <c r="CGQ19" s="289"/>
      <c r="CGR19" s="289"/>
      <c r="CGS19" s="289"/>
      <c r="CGT19" s="289"/>
      <c r="CGU19" s="289"/>
      <c r="CGV19" s="289"/>
      <c r="CGW19" s="289"/>
      <c r="CGX19" s="289"/>
      <c r="CGY19" s="289"/>
      <c r="CGZ19" s="289"/>
      <c r="CHA19" s="289"/>
      <c r="CHB19" s="289"/>
      <c r="CHC19" s="289"/>
      <c r="CHD19" s="289"/>
      <c r="CHE19" s="289"/>
      <c r="CHF19" s="289"/>
      <c r="CHG19" s="289"/>
      <c r="CHH19" s="289"/>
      <c r="CHI19" s="289"/>
      <c r="CHJ19" s="289"/>
      <c r="CHK19" s="289"/>
      <c r="CHL19" s="289"/>
      <c r="CHM19" s="289"/>
      <c r="CHN19" s="289"/>
      <c r="CHO19" s="289"/>
      <c r="CHP19" s="289"/>
      <c r="CHQ19" s="289"/>
      <c r="CHR19" s="289"/>
      <c r="CHS19" s="289"/>
      <c r="CHT19" s="289"/>
      <c r="CHU19" s="289"/>
      <c r="CHV19" s="289"/>
      <c r="CHW19" s="289"/>
      <c r="CHX19" s="289"/>
      <c r="CHY19" s="289"/>
      <c r="CHZ19" s="289"/>
      <c r="CIA19" s="289"/>
      <c r="CIB19" s="289"/>
      <c r="CIC19" s="289"/>
      <c r="CID19" s="289"/>
      <c r="CIE19" s="289"/>
      <c r="CIF19" s="289"/>
      <c r="CIG19" s="289"/>
      <c r="CIH19" s="289"/>
      <c r="CII19" s="289"/>
      <c r="CIJ19" s="289"/>
      <c r="CIK19" s="289"/>
      <c r="CIL19" s="289"/>
      <c r="CIM19" s="289"/>
      <c r="CIN19" s="289"/>
      <c r="CIO19" s="289"/>
      <c r="CIP19" s="289"/>
      <c r="CIQ19" s="289"/>
      <c r="CIR19" s="289"/>
      <c r="CIS19" s="289"/>
      <c r="CIT19" s="289"/>
      <c r="CIU19" s="289"/>
      <c r="CIV19" s="289"/>
      <c r="CIW19" s="289"/>
      <c r="CIX19" s="289"/>
      <c r="CIY19" s="289"/>
      <c r="CIZ19" s="289"/>
      <c r="CJA19" s="289"/>
      <c r="CJB19" s="289"/>
      <c r="CJC19" s="289"/>
      <c r="CJD19" s="289"/>
      <c r="CJE19" s="289"/>
      <c r="CJF19" s="289"/>
      <c r="CJG19" s="289"/>
      <c r="CJH19" s="289"/>
      <c r="CJI19" s="289"/>
      <c r="CJJ19" s="289"/>
      <c r="CJK19" s="289"/>
      <c r="CJL19" s="289"/>
      <c r="CJM19" s="289"/>
      <c r="CJN19" s="289"/>
      <c r="CJO19" s="289"/>
      <c r="CJP19" s="289"/>
      <c r="CJQ19" s="289"/>
      <c r="CJR19" s="289"/>
      <c r="CJS19" s="289"/>
      <c r="CJT19" s="289"/>
      <c r="CJU19" s="289"/>
      <c r="CJV19" s="289"/>
      <c r="CJW19" s="289"/>
      <c r="CJX19" s="289"/>
      <c r="CJY19" s="289"/>
      <c r="CJZ19" s="289"/>
      <c r="CKA19" s="289"/>
      <c r="CKB19" s="289"/>
      <c r="CKC19" s="289"/>
      <c r="CKD19" s="289"/>
      <c r="CKE19" s="289"/>
      <c r="CKF19" s="289"/>
      <c r="CKG19" s="289"/>
      <c r="CKH19" s="289"/>
      <c r="CKI19" s="289"/>
      <c r="CKJ19" s="289"/>
      <c r="CKK19" s="289"/>
      <c r="CKL19" s="289"/>
      <c r="CKM19" s="289"/>
      <c r="CKN19" s="289"/>
      <c r="CKO19" s="289"/>
      <c r="CKP19" s="289"/>
      <c r="CKQ19" s="289"/>
      <c r="CKR19" s="289"/>
      <c r="CKS19" s="289"/>
      <c r="CKT19" s="289"/>
      <c r="CKU19" s="289"/>
      <c r="CKV19" s="289"/>
      <c r="CKW19" s="289"/>
      <c r="CKX19" s="289"/>
      <c r="CKY19" s="289"/>
      <c r="CKZ19" s="289"/>
      <c r="CLA19" s="289"/>
      <c r="CLB19" s="289"/>
      <c r="CLC19" s="289"/>
      <c r="CLD19" s="289"/>
      <c r="CLE19" s="289"/>
      <c r="CLF19" s="289"/>
      <c r="CLG19" s="289"/>
      <c r="CLH19" s="289"/>
      <c r="CLI19" s="289"/>
      <c r="CLJ19" s="289"/>
      <c r="CLK19" s="289"/>
      <c r="CLL19" s="289"/>
      <c r="CLM19" s="289"/>
      <c r="CLN19" s="289"/>
      <c r="CLO19" s="289"/>
      <c r="CLP19" s="289"/>
      <c r="CLQ19" s="289"/>
      <c r="CLR19" s="289"/>
      <c r="CLS19" s="289"/>
      <c r="CLT19" s="289"/>
      <c r="CLU19" s="289"/>
      <c r="CLV19" s="289"/>
      <c r="CLW19" s="289"/>
      <c r="CLX19" s="289"/>
      <c r="CLY19" s="289"/>
      <c r="CLZ19" s="289"/>
      <c r="CMA19" s="289"/>
      <c r="CMB19" s="289"/>
      <c r="CMC19" s="289"/>
      <c r="CMD19" s="289"/>
      <c r="CME19" s="289"/>
      <c r="CMF19" s="289"/>
      <c r="CMG19" s="289"/>
      <c r="CMH19" s="289"/>
      <c r="CMI19" s="289"/>
      <c r="CMJ19" s="289"/>
      <c r="CMK19" s="289"/>
      <c r="CML19" s="289"/>
      <c r="CMM19" s="289"/>
      <c r="CMN19" s="289"/>
      <c r="CMO19" s="289"/>
      <c r="CMP19" s="289"/>
      <c r="CMQ19" s="289"/>
      <c r="CMR19" s="289"/>
      <c r="CMS19" s="289"/>
      <c r="CMT19" s="289"/>
      <c r="CMU19" s="289"/>
      <c r="CMV19" s="289"/>
      <c r="CMW19" s="289"/>
      <c r="CMX19" s="289"/>
      <c r="CMY19" s="289"/>
      <c r="CMZ19" s="289"/>
      <c r="CNA19" s="289"/>
      <c r="CNB19" s="289"/>
      <c r="CNC19" s="289"/>
      <c r="CND19" s="289"/>
      <c r="CNE19" s="289"/>
      <c r="CNF19" s="289"/>
      <c r="CNG19" s="289"/>
      <c r="CNH19" s="289"/>
      <c r="CNI19" s="289"/>
      <c r="CNJ19" s="289"/>
      <c r="CNK19" s="289"/>
      <c r="CNL19" s="289"/>
      <c r="CNM19" s="289"/>
      <c r="CNN19" s="289"/>
      <c r="CNO19" s="289"/>
      <c r="CNP19" s="289"/>
      <c r="CNQ19" s="289"/>
      <c r="CNR19" s="289"/>
      <c r="CNS19" s="289"/>
      <c r="CNT19" s="289"/>
      <c r="CNU19" s="289"/>
      <c r="CNV19" s="289"/>
      <c r="CNW19" s="289"/>
      <c r="CNX19" s="289"/>
      <c r="CNY19" s="289"/>
      <c r="CNZ19" s="289"/>
      <c r="COA19" s="289"/>
      <c r="COB19" s="289"/>
      <c r="COC19" s="289"/>
      <c r="COD19" s="289"/>
      <c r="COE19" s="289"/>
      <c r="COF19" s="289"/>
      <c r="COG19" s="289"/>
      <c r="COH19" s="289"/>
      <c r="COI19" s="289"/>
      <c r="COJ19" s="289"/>
      <c r="COK19" s="289"/>
      <c r="COL19" s="289"/>
      <c r="COM19" s="289"/>
      <c r="CON19" s="289"/>
      <c r="COO19" s="289"/>
      <c r="COP19" s="289"/>
      <c r="COQ19" s="289"/>
      <c r="COR19" s="289"/>
      <c r="COS19" s="289"/>
      <c r="COT19" s="289"/>
      <c r="COU19" s="289"/>
      <c r="COV19" s="289"/>
      <c r="COW19" s="289"/>
      <c r="COX19" s="289"/>
      <c r="COY19" s="289"/>
      <c r="COZ19" s="289"/>
      <c r="CPA19" s="289"/>
      <c r="CPB19" s="289"/>
      <c r="CPC19" s="289"/>
      <c r="CPD19" s="289"/>
      <c r="CPE19" s="289"/>
      <c r="CPF19" s="289"/>
      <c r="CPG19" s="289"/>
      <c r="CPH19" s="289"/>
      <c r="CPI19" s="289"/>
      <c r="CPJ19" s="289"/>
      <c r="CPK19" s="289"/>
      <c r="CPL19" s="289"/>
      <c r="CPM19" s="289"/>
      <c r="CPN19" s="289"/>
      <c r="CPO19" s="289"/>
      <c r="CPP19" s="289"/>
      <c r="CPQ19" s="289"/>
      <c r="CPR19" s="289"/>
      <c r="CPS19" s="289"/>
      <c r="CPT19" s="289"/>
      <c r="CPU19" s="289"/>
      <c r="CPV19" s="289"/>
      <c r="CPW19" s="289"/>
      <c r="CPX19" s="289"/>
      <c r="CPY19" s="289"/>
      <c r="CPZ19" s="289"/>
      <c r="CQA19" s="289"/>
      <c r="CQB19" s="289"/>
      <c r="CQC19" s="289"/>
      <c r="CQD19" s="289"/>
      <c r="CQE19" s="289"/>
      <c r="CQF19" s="289"/>
      <c r="CQG19" s="289"/>
      <c r="CQH19" s="289"/>
      <c r="CQI19" s="289"/>
      <c r="CQJ19" s="289"/>
      <c r="CQK19" s="289"/>
      <c r="CQL19" s="289"/>
      <c r="CQM19" s="289"/>
      <c r="CQN19" s="289"/>
      <c r="CQO19" s="289"/>
      <c r="CQP19" s="289"/>
      <c r="CQQ19" s="289"/>
      <c r="CQR19" s="289"/>
      <c r="CQS19" s="289"/>
      <c r="CQT19" s="289"/>
      <c r="CQU19" s="289"/>
      <c r="CQV19" s="289"/>
      <c r="CQW19" s="289"/>
      <c r="CQX19" s="289"/>
      <c r="CQY19" s="289"/>
      <c r="CQZ19" s="289"/>
      <c r="CRA19" s="289"/>
      <c r="CRB19" s="289"/>
      <c r="CRC19" s="289"/>
      <c r="CRD19" s="289"/>
      <c r="CRE19" s="289"/>
      <c r="CRF19" s="289"/>
      <c r="CRG19" s="289"/>
      <c r="CRH19" s="289"/>
      <c r="CRI19" s="289"/>
      <c r="CRJ19" s="289"/>
      <c r="CRK19" s="289"/>
      <c r="CRL19" s="289"/>
      <c r="CRM19" s="289"/>
      <c r="CRN19" s="289"/>
      <c r="CRO19" s="289"/>
      <c r="CRP19" s="289"/>
      <c r="CRQ19" s="289"/>
      <c r="CRR19" s="289"/>
      <c r="CRS19" s="289"/>
      <c r="CRT19" s="289"/>
      <c r="CRU19" s="289"/>
      <c r="CRV19" s="289"/>
      <c r="CRW19" s="289"/>
      <c r="CRX19" s="289"/>
      <c r="CRY19" s="289"/>
      <c r="CRZ19" s="289"/>
      <c r="CSA19" s="289"/>
      <c r="CSB19" s="289"/>
      <c r="CSC19" s="289"/>
      <c r="CSD19" s="289"/>
      <c r="CSE19" s="289"/>
      <c r="CSF19" s="289"/>
      <c r="CSG19" s="289"/>
      <c r="CSH19" s="289"/>
      <c r="CSI19" s="289"/>
      <c r="CSJ19" s="289"/>
      <c r="CSK19" s="289"/>
      <c r="CSL19" s="289"/>
      <c r="CSM19" s="289"/>
      <c r="CSN19" s="289"/>
      <c r="CSO19" s="289"/>
      <c r="CSP19" s="289"/>
      <c r="CSQ19" s="289"/>
      <c r="CSR19" s="289"/>
      <c r="CSS19" s="289"/>
      <c r="CST19" s="289"/>
      <c r="CSU19" s="289"/>
      <c r="CSV19" s="289"/>
      <c r="CSW19" s="289"/>
      <c r="CSX19" s="289"/>
      <c r="CSY19" s="289"/>
      <c r="CSZ19" s="289"/>
      <c r="CTA19" s="289"/>
      <c r="CTB19" s="289"/>
      <c r="CTC19" s="289"/>
      <c r="CTD19" s="289"/>
      <c r="CTE19" s="289"/>
      <c r="CTF19" s="289"/>
      <c r="CTG19" s="289"/>
      <c r="CTH19" s="289"/>
      <c r="CTI19" s="289"/>
      <c r="CTJ19" s="289"/>
      <c r="CTK19" s="289"/>
      <c r="CTL19" s="289"/>
      <c r="CTM19" s="289"/>
      <c r="CTN19" s="289"/>
      <c r="CTO19" s="289"/>
      <c r="CTP19" s="289"/>
      <c r="CTQ19" s="289"/>
      <c r="CTR19" s="289"/>
      <c r="CTS19" s="289"/>
      <c r="CTT19" s="289"/>
      <c r="CTU19" s="289"/>
      <c r="CTV19" s="289"/>
      <c r="CTW19" s="289"/>
      <c r="CTX19" s="289"/>
      <c r="CTY19" s="289"/>
      <c r="CTZ19" s="289"/>
      <c r="CUA19" s="289"/>
      <c r="CUB19" s="289"/>
      <c r="CUC19" s="289"/>
      <c r="CUD19" s="289"/>
      <c r="CUE19" s="289"/>
      <c r="CUF19" s="289"/>
      <c r="CUG19" s="289"/>
      <c r="CUH19" s="289"/>
      <c r="CUI19" s="289"/>
      <c r="CUJ19" s="289"/>
      <c r="CUK19" s="289"/>
      <c r="CUL19" s="289"/>
      <c r="CUM19" s="289"/>
      <c r="CUN19" s="289"/>
      <c r="CUO19" s="289"/>
      <c r="CUP19" s="289"/>
      <c r="CUQ19" s="289"/>
      <c r="CUR19" s="289"/>
      <c r="CUS19" s="289"/>
      <c r="CUT19" s="289"/>
      <c r="CUU19" s="289"/>
      <c r="CUV19" s="289"/>
      <c r="CUW19" s="289"/>
      <c r="CUX19" s="289"/>
      <c r="CUY19" s="289"/>
      <c r="CUZ19" s="289"/>
      <c r="CVA19" s="289"/>
      <c r="CVB19" s="289"/>
      <c r="CVC19" s="289"/>
      <c r="CVD19" s="289"/>
      <c r="CVE19" s="289"/>
      <c r="CVF19" s="289"/>
      <c r="CVG19" s="289"/>
      <c r="CVH19" s="289"/>
      <c r="CVI19" s="289"/>
      <c r="CVJ19" s="289"/>
      <c r="CVK19" s="289"/>
      <c r="CVL19" s="289"/>
      <c r="CVM19" s="289"/>
      <c r="CVN19" s="289"/>
      <c r="CVO19" s="289"/>
      <c r="CVP19" s="289"/>
      <c r="CVQ19" s="289"/>
      <c r="CVR19" s="289"/>
      <c r="CVS19" s="289"/>
      <c r="CVT19" s="289"/>
      <c r="CVU19" s="289"/>
      <c r="CVV19" s="289"/>
      <c r="CVW19" s="289"/>
      <c r="CVX19" s="289"/>
      <c r="CVY19" s="289"/>
      <c r="CVZ19" s="289"/>
      <c r="CWA19" s="289"/>
      <c r="CWB19" s="289"/>
      <c r="CWC19" s="289"/>
      <c r="CWD19" s="289"/>
      <c r="CWE19" s="289"/>
      <c r="CWF19" s="289"/>
      <c r="CWG19" s="289"/>
      <c r="CWH19" s="289"/>
      <c r="CWI19" s="289"/>
      <c r="CWJ19" s="289"/>
      <c r="CWK19" s="289"/>
      <c r="CWL19" s="289"/>
      <c r="CWM19" s="289"/>
      <c r="CWN19" s="289"/>
      <c r="CWO19" s="289"/>
      <c r="CWP19" s="289"/>
      <c r="CWQ19" s="289"/>
      <c r="CWR19" s="289"/>
      <c r="CWS19" s="289"/>
      <c r="CWT19" s="289"/>
      <c r="CWU19" s="289"/>
      <c r="CWV19" s="289"/>
      <c r="CWW19" s="289"/>
      <c r="CWX19" s="289"/>
      <c r="CWY19" s="289"/>
      <c r="CWZ19" s="289"/>
      <c r="CXA19" s="289"/>
      <c r="CXB19" s="289"/>
      <c r="CXC19" s="289"/>
      <c r="CXD19" s="289"/>
      <c r="CXE19" s="289"/>
      <c r="CXF19" s="289"/>
      <c r="CXG19" s="289"/>
      <c r="CXH19" s="289"/>
      <c r="CXI19" s="289"/>
      <c r="CXJ19" s="289"/>
      <c r="CXK19" s="289"/>
      <c r="CXL19" s="289"/>
      <c r="CXM19" s="289"/>
      <c r="CXN19" s="289"/>
      <c r="CXO19" s="289"/>
      <c r="CXP19" s="289"/>
      <c r="CXQ19" s="289"/>
      <c r="CXR19" s="289"/>
      <c r="CXS19" s="289"/>
      <c r="CXT19" s="289"/>
      <c r="CXU19" s="289"/>
      <c r="CXV19" s="289"/>
      <c r="CXW19" s="289"/>
      <c r="CXX19" s="289"/>
      <c r="CXY19" s="289"/>
      <c r="CXZ19" s="289"/>
      <c r="CYA19" s="289"/>
      <c r="CYB19" s="289"/>
      <c r="CYC19" s="289"/>
      <c r="CYD19" s="289"/>
      <c r="CYE19" s="289"/>
      <c r="CYF19" s="289"/>
      <c r="CYG19" s="289"/>
      <c r="CYH19" s="289"/>
      <c r="CYI19" s="289"/>
      <c r="CYJ19" s="289"/>
      <c r="CYK19" s="289"/>
      <c r="CYL19" s="289"/>
      <c r="CYM19" s="289"/>
      <c r="CYN19" s="289"/>
      <c r="CYO19" s="289"/>
      <c r="CYP19" s="289"/>
      <c r="CYQ19" s="289"/>
      <c r="CYR19" s="289"/>
      <c r="CYS19" s="289"/>
      <c r="CYT19" s="289"/>
      <c r="CYU19" s="289"/>
      <c r="CYV19" s="289"/>
      <c r="CYW19" s="289"/>
      <c r="CYX19" s="289"/>
      <c r="CYY19" s="289"/>
      <c r="CYZ19" s="289"/>
      <c r="CZA19" s="289"/>
      <c r="CZB19" s="289"/>
      <c r="CZC19" s="289"/>
      <c r="CZD19" s="289"/>
      <c r="CZE19" s="289"/>
      <c r="CZF19" s="289"/>
      <c r="CZG19" s="289"/>
      <c r="CZH19" s="289"/>
      <c r="CZI19" s="289"/>
      <c r="CZJ19" s="289"/>
      <c r="CZK19" s="289"/>
      <c r="CZL19" s="289"/>
      <c r="CZM19" s="289"/>
      <c r="CZN19" s="289"/>
      <c r="CZO19" s="289"/>
      <c r="CZP19" s="289"/>
      <c r="CZQ19" s="289"/>
      <c r="CZR19" s="289"/>
      <c r="CZS19" s="289"/>
      <c r="CZT19" s="289"/>
      <c r="CZU19" s="289"/>
      <c r="CZV19" s="289"/>
      <c r="CZW19" s="289"/>
      <c r="CZX19" s="289"/>
      <c r="CZY19" s="289"/>
      <c r="CZZ19" s="289"/>
      <c r="DAA19" s="289"/>
      <c r="DAB19" s="289"/>
      <c r="DAC19" s="289"/>
      <c r="DAD19" s="289"/>
      <c r="DAE19" s="289"/>
      <c r="DAF19" s="289"/>
      <c r="DAG19" s="289"/>
      <c r="DAH19" s="289"/>
      <c r="DAI19" s="289"/>
      <c r="DAJ19" s="289"/>
      <c r="DAK19" s="289"/>
      <c r="DAL19" s="289"/>
      <c r="DAM19" s="289"/>
      <c r="DAN19" s="289"/>
      <c r="DAO19" s="289"/>
      <c r="DAP19" s="289"/>
      <c r="DAQ19" s="289"/>
      <c r="DAR19" s="289"/>
      <c r="DAS19" s="289"/>
      <c r="DAT19" s="289"/>
      <c r="DAU19" s="289"/>
      <c r="DAV19" s="289"/>
      <c r="DAW19" s="289"/>
      <c r="DAX19" s="289"/>
      <c r="DAY19" s="289"/>
      <c r="DAZ19" s="289"/>
      <c r="DBA19" s="289"/>
      <c r="DBB19" s="289"/>
      <c r="DBC19" s="289"/>
      <c r="DBD19" s="289"/>
      <c r="DBE19" s="289"/>
      <c r="DBF19" s="289"/>
      <c r="DBG19" s="289"/>
      <c r="DBH19" s="289"/>
      <c r="DBI19" s="289"/>
      <c r="DBJ19" s="289"/>
      <c r="DBK19" s="289"/>
      <c r="DBL19" s="289"/>
      <c r="DBM19" s="289"/>
      <c r="DBN19" s="289"/>
      <c r="DBO19" s="289"/>
      <c r="DBP19" s="289"/>
      <c r="DBQ19" s="289"/>
      <c r="DBR19" s="289"/>
      <c r="DBS19" s="289"/>
      <c r="DBT19" s="289"/>
      <c r="DBU19" s="289"/>
      <c r="DBV19" s="289"/>
      <c r="DBW19" s="289"/>
      <c r="DBX19" s="289"/>
      <c r="DBY19" s="289"/>
      <c r="DBZ19" s="289"/>
      <c r="DCA19" s="289"/>
      <c r="DCB19" s="289"/>
      <c r="DCC19" s="289"/>
      <c r="DCD19" s="289"/>
      <c r="DCE19" s="289"/>
      <c r="DCF19" s="289"/>
      <c r="DCG19" s="289"/>
      <c r="DCH19" s="289"/>
      <c r="DCI19" s="289"/>
      <c r="DCJ19" s="289"/>
      <c r="DCK19" s="289"/>
      <c r="DCL19" s="289"/>
      <c r="DCM19" s="289"/>
      <c r="DCN19" s="289"/>
      <c r="DCO19" s="289"/>
      <c r="DCP19" s="289"/>
      <c r="DCQ19" s="289"/>
      <c r="DCR19" s="289"/>
      <c r="DCS19" s="289"/>
      <c r="DCT19" s="289"/>
      <c r="DCU19" s="289"/>
      <c r="DCV19" s="289"/>
      <c r="DCW19" s="289"/>
      <c r="DCX19" s="289"/>
      <c r="DCY19" s="289"/>
      <c r="DCZ19" s="289"/>
      <c r="DDA19" s="289"/>
      <c r="DDB19" s="289"/>
      <c r="DDC19" s="289"/>
      <c r="DDD19" s="289"/>
      <c r="DDE19" s="289"/>
      <c r="DDF19" s="289"/>
      <c r="DDG19" s="289"/>
      <c r="DDH19" s="289"/>
      <c r="DDI19" s="289"/>
      <c r="DDJ19" s="289"/>
      <c r="DDK19" s="289"/>
      <c r="DDL19" s="289"/>
      <c r="DDM19" s="289"/>
      <c r="DDN19" s="289"/>
      <c r="DDO19" s="289"/>
      <c r="DDP19" s="289"/>
      <c r="DDQ19" s="289"/>
      <c r="DDR19" s="289"/>
      <c r="DDS19" s="289"/>
      <c r="DDT19" s="289"/>
      <c r="DDU19" s="289"/>
      <c r="DDV19" s="289"/>
      <c r="DDW19" s="289"/>
      <c r="DDX19" s="289"/>
      <c r="DDY19" s="289"/>
      <c r="DDZ19" s="289"/>
      <c r="DEA19" s="289"/>
      <c r="DEB19" s="289"/>
      <c r="DEC19" s="289"/>
      <c r="DED19" s="289"/>
      <c r="DEE19" s="289"/>
      <c r="DEF19" s="289"/>
      <c r="DEG19" s="289"/>
      <c r="DEH19" s="289"/>
      <c r="DEI19" s="289"/>
      <c r="DEJ19" s="289"/>
      <c r="DEK19" s="289"/>
      <c r="DEL19" s="289"/>
      <c r="DEM19" s="289"/>
      <c r="DEN19" s="289"/>
      <c r="DEO19" s="289"/>
      <c r="DEP19" s="289"/>
      <c r="DEQ19" s="289"/>
      <c r="DER19" s="289"/>
      <c r="DES19" s="289"/>
      <c r="DET19" s="289"/>
      <c r="DEU19" s="289"/>
      <c r="DEV19" s="289"/>
      <c r="DEW19" s="289"/>
      <c r="DEX19" s="289"/>
      <c r="DEY19" s="289"/>
      <c r="DEZ19" s="289"/>
      <c r="DFA19" s="289"/>
      <c r="DFB19" s="289"/>
      <c r="DFC19" s="289"/>
      <c r="DFD19" s="289"/>
      <c r="DFE19" s="289"/>
      <c r="DFF19" s="289"/>
      <c r="DFG19" s="289"/>
      <c r="DFH19" s="289"/>
      <c r="DFI19" s="289"/>
      <c r="DFJ19" s="289"/>
      <c r="DFK19" s="289"/>
      <c r="DFL19" s="289"/>
      <c r="DFM19" s="289"/>
      <c r="DFN19" s="289"/>
      <c r="DFO19" s="289"/>
      <c r="DFP19" s="289"/>
      <c r="DFQ19" s="289"/>
      <c r="DFR19" s="289"/>
      <c r="DFS19" s="289"/>
      <c r="DFT19" s="289"/>
      <c r="DFU19" s="289"/>
      <c r="DFV19" s="289"/>
      <c r="DFW19" s="289"/>
      <c r="DFX19" s="289"/>
      <c r="DFY19" s="289"/>
      <c r="DFZ19" s="289"/>
      <c r="DGA19" s="289"/>
      <c r="DGB19" s="289"/>
      <c r="DGC19" s="289"/>
      <c r="DGD19" s="289"/>
      <c r="DGE19" s="289"/>
      <c r="DGF19" s="289"/>
      <c r="DGG19" s="289"/>
      <c r="DGH19" s="289"/>
      <c r="DGI19" s="289"/>
      <c r="DGJ19" s="289"/>
      <c r="DGK19" s="289"/>
      <c r="DGL19" s="289"/>
      <c r="DGM19" s="289"/>
      <c r="DGN19" s="289"/>
      <c r="DGO19" s="289"/>
      <c r="DGP19" s="289"/>
      <c r="DGQ19" s="289"/>
      <c r="DGR19" s="289"/>
      <c r="DGS19" s="289"/>
      <c r="DGT19" s="289"/>
      <c r="DGU19" s="289"/>
      <c r="DGV19" s="289"/>
      <c r="DGW19" s="289"/>
      <c r="DGX19" s="289"/>
      <c r="DGY19" s="289"/>
      <c r="DGZ19" s="289"/>
      <c r="DHA19" s="289"/>
      <c r="DHB19" s="289"/>
      <c r="DHC19" s="289"/>
      <c r="DHD19" s="289"/>
      <c r="DHE19" s="289"/>
      <c r="DHF19" s="289"/>
      <c r="DHG19" s="289"/>
      <c r="DHH19" s="289"/>
      <c r="DHI19" s="289"/>
      <c r="DHJ19" s="289"/>
      <c r="DHK19" s="289"/>
      <c r="DHL19" s="289"/>
      <c r="DHM19" s="289"/>
      <c r="DHN19" s="289"/>
      <c r="DHO19" s="289"/>
      <c r="DHP19" s="289"/>
      <c r="DHQ19" s="289"/>
      <c r="DHR19" s="289"/>
      <c r="DHS19" s="289"/>
      <c r="DHT19" s="289"/>
      <c r="DHU19" s="289"/>
      <c r="DHV19" s="289"/>
      <c r="DHW19" s="289"/>
      <c r="DHX19" s="289"/>
      <c r="DHY19" s="289"/>
      <c r="DHZ19" s="289"/>
      <c r="DIA19" s="289"/>
      <c r="DIB19" s="289"/>
      <c r="DIC19" s="289"/>
      <c r="DID19" s="289"/>
      <c r="DIE19" s="289"/>
      <c r="DIF19" s="289"/>
      <c r="DIG19" s="289"/>
      <c r="DIH19" s="289"/>
      <c r="DII19" s="289"/>
      <c r="DIJ19" s="289"/>
      <c r="DIK19" s="289"/>
      <c r="DIL19" s="289"/>
      <c r="DIM19" s="289"/>
      <c r="DIN19" s="289"/>
      <c r="DIO19" s="289"/>
      <c r="DIP19" s="289"/>
      <c r="DIQ19" s="289"/>
      <c r="DIR19" s="289"/>
      <c r="DIS19" s="289"/>
      <c r="DIT19" s="289"/>
      <c r="DIU19" s="289"/>
      <c r="DIV19" s="289"/>
      <c r="DIW19" s="289"/>
      <c r="DIX19" s="289"/>
      <c r="DIY19" s="289"/>
      <c r="DIZ19" s="289"/>
      <c r="DJA19" s="289"/>
      <c r="DJB19" s="289"/>
      <c r="DJC19" s="289"/>
      <c r="DJD19" s="289"/>
      <c r="DJE19" s="289"/>
      <c r="DJF19" s="289"/>
      <c r="DJG19" s="289"/>
      <c r="DJH19" s="289"/>
      <c r="DJI19" s="289"/>
      <c r="DJJ19" s="289"/>
      <c r="DJK19" s="289"/>
      <c r="DJL19" s="289"/>
      <c r="DJM19" s="289"/>
      <c r="DJN19" s="289"/>
      <c r="DJO19" s="289"/>
      <c r="DJP19" s="289"/>
      <c r="DJQ19" s="289"/>
      <c r="DJR19" s="289"/>
      <c r="DJS19" s="289"/>
      <c r="DJT19" s="289"/>
      <c r="DJU19" s="289"/>
      <c r="DJV19" s="289"/>
      <c r="DJW19" s="289"/>
      <c r="DJX19" s="289"/>
      <c r="DJY19" s="289"/>
      <c r="DJZ19" s="289"/>
      <c r="DKA19" s="289"/>
      <c r="DKB19" s="289"/>
      <c r="DKC19" s="289"/>
      <c r="DKD19" s="289"/>
      <c r="DKE19" s="289"/>
      <c r="DKF19" s="289"/>
      <c r="DKG19" s="289"/>
      <c r="DKH19" s="289"/>
      <c r="DKI19" s="289"/>
      <c r="DKJ19" s="289"/>
      <c r="DKK19" s="289"/>
      <c r="DKL19" s="289"/>
      <c r="DKM19" s="289"/>
      <c r="DKN19" s="289"/>
      <c r="DKO19" s="289"/>
      <c r="DKP19" s="289"/>
      <c r="DKQ19" s="289"/>
      <c r="DKR19" s="289"/>
      <c r="DKS19" s="289"/>
      <c r="DKT19" s="289"/>
      <c r="DKU19" s="289"/>
      <c r="DKV19" s="289"/>
      <c r="DKW19" s="289"/>
      <c r="DKX19" s="289"/>
      <c r="DKY19" s="289"/>
      <c r="DKZ19" s="289"/>
      <c r="DLA19" s="289"/>
      <c r="DLB19" s="289"/>
      <c r="DLC19" s="289"/>
      <c r="DLD19" s="289"/>
      <c r="DLE19" s="289"/>
      <c r="DLF19" s="289"/>
      <c r="DLG19" s="289"/>
      <c r="DLH19" s="289"/>
      <c r="DLI19" s="289"/>
      <c r="DLJ19" s="289"/>
      <c r="DLK19" s="289"/>
      <c r="DLL19" s="289"/>
      <c r="DLM19" s="289"/>
      <c r="DLN19" s="289"/>
      <c r="DLO19" s="289"/>
      <c r="DLP19" s="289"/>
      <c r="DLQ19" s="289"/>
      <c r="DLR19" s="289"/>
      <c r="DLS19" s="289"/>
      <c r="DLT19" s="289"/>
      <c r="DLU19" s="289"/>
      <c r="DLV19" s="289"/>
      <c r="DLW19" s="289"/>
      <c r="DLX19" s="289"/>
      <c r="DLY19" s="289"/>
      <c r="DLZ19" s="289"/>
      <c r="DMA19" s="289"/>
      <c r="DMB19" s="289"/>
      <c r="DMC19" s="289"/>
      <c r="DMD19" s="289"/>
      <c r="DME19" s="289"/>
      <c r="DMF19" s="289"/>
      <c r="DMG19" s="289"/>
      <c r="DMH19" s="289"/>
      <c r="DMI19" s="289"/>
      <c r="DMJ19" s="289"/>
      <c r="DMK19" s="289"/>
      <c r="DML19" s="289"/>
      <c r="DMM19" s="289"/>
      <c r="DMN19" s="289"/>
      <c r="DMO19" s="289"/>
      <c r="DMP19" s="289"/>
      <c r="DMQ19" s="289"/>
      <c r="DMR19" s="289"/>
      <c r="DMS19" s="289"/>
      <c r="DMT19" s="289"/>
      <c r="DMU19" s="289"/>
      <c r="DMV19" s="289"/>
      <c r="DMW19" s="289"/>
      <c r="DMX19" s="289"/>
      <c r="DMY19" s="289"/>
      <c r="DMZ19" s="289"/>
      <c r="DNA19" s="289"/>
      <c r="DNB19" s="289"/>
      <c r="DNC19" s="289"/>
      <c r="DND19" s="289"/>
      <c r="DNE19" s="289"/>
      <c r="DNF19" s="289"/>
      <c r="DNG19" s="289"/>
      <c r="DNH19" s="289"/>
      <c r="DNI19" s="289"/>
      <c r="DNJ19" s="289"/>
      <c r="DNK19" s="289"/>
      <c r="DNL19" s="289"/>
      <c r="DNM19" s="289"/>
      <c r="DNN19" s="289"/>
      <c r="DNO19" s="289"/>
      <c r="DNP19" s="289"/>
      <c r="DNQ19" s="289"/>
      <c r="DNR19" s="289"/>
      <c r="DNS19" s="289"/>
      <c r="DNT19" s="289"/>
      <c r="DNU19" s="289"/>
      <c r="DNV19" s="289"/>
      <c r="DNW19" s="289"/>
      <c r="DNX19" s="289"/>
      <c r="DNY19" s="289"/>
      <c r="DNZ19" s="289"/>
      <c r="DOA19" s="289"/>
      <c r="DOB19" s="289"/>
      <c r="DOC19" s="289"/>
      <c r="DOD19" s="289"/>
      <c r="DOE19" s="289"/>
      <c r="DOF19" s="289"/>
      <c r="DOG19" s="289"/>
      <c r="DOH19" s="289"/>
      <c r="DOI19" s="289"/>
      <c r="DOJ19" s="289"/>
      <c r="DOK19" s="289"/>
      <c r="DOL19" s="289"/>
      <c r="DOM19" s="289"/>
      <c r="DON19" s="289"/>
      <c r="DOO19" s="289"/>
      <c r="DOP19" s="289"/>
      <c r="DOQ19" s="289"/>
      <c r="DOR19" s="289"/>
      <c r="DOS19" s="289"/>
      <c r="DOT19" s="289"/>
      <c r="DOU19" s="289"/>
      <c r="DOV19" s="289"/>
      <c r="DOW19" s="289"/>
      <c r="DOX19" s="289"/>
      <c r="DOY19" s="289"/>
      <c r="DOZ19" s="289"/>
      <c r="DPA19" s="289"/>
      <c r="DPB19" s="289"/>
      <c r="DPC19" s="289"/>
      <c r="DPD19" s="289"/>
      <c r="DPE19" s="289"/>
      <c r="DPF19" s="289"/>
      <c r="DPG19" s="289"/>
      <c r="DPH19" s="289"/>
      <c r="DPI19" s="289"/>
      <c r="DPJ19" s="289"/>
      <c r="DPK19" s="289"/>
      <c r="DPL19" s="289"/>
      <c r="DPM19" s="289"/>
      <c r="DPN19" s="289"/>
      <c r="DPO19" s="289"/>
      <c r="DPP19" s="289"/>
      <c r="DPQ19" s="289"/>
      <c r="DPR19" s="289"/>
      <c r="DPS19" s="289"/>
      <c r="DPT19" s="289"/>
      <c r="DPU19" s="289"/>
      <c r="DPV19" s="289"/>
      <c r="DPW19" s="289"/>
      <c r="DPX19" s="289"/>
      <c r="DPY19" s="289"/>
      <c r="DPZ19" s="289"/>
      <c r="DQA19" s="289"/>
      <c r="DQB19" s="289"/>
      <c r="DQC19" s="289"/>
      <c r="DQD19" s="289"/>
      <c r="DQE19" s="289"/>
      <c r="DQF19" s="289"/>
      <c r="DQG19" s="289"/>
      <c r="DQH19" s="289"/>
      <c r="DQI19" s="289"/>
      <c r="DQJ19" s="289"/>
      <c r="DQK19" s="289"/>
      <c r="DQL19" s="289"/>
      <c r="DQM19" s="289"/>
      <c r="DQN19" s="289"/>
      <c r="DQO19" s="289"/>
      <c r="DQP19" s="289"/>
      <c r="DQQ19" s="289"/>
      <c r="DQR19" s="289"/>
      <c r="DQS19" s="289"/>
      <c r="DQT19" s="289"/>
      <c r="DQU19" s="289"/>
      <c r="DQV19" s="289"/>
      <c r="DQW19" s="289"/>
      <c r="DQX19" s="289"/>
      <c r="DQY19" s="289"/>
      <c r="DQZ19" s="289"/>
      <c r="DRA19" s="289"/>
      <c r="DRB19" s="289"/>
      <c r="DRC19" s="289"/>
      <c r="DRD19" s="289"/>
      <c r="DRE19" s="289"/>
      <c r="DRF19" s="289"/>
      <c r="DRG19" s="289"/>
      <c r="DRH19" s="289"/>
      <c r="DRI19" s="289"/>
      <c r="DRJ19" s="289"/>
      <c r="DRK19" s="289"/>
      <c r="DRL19" s="289"/>
      <c r="DRM19" s="289"/>
      <c r="DRN19" s="289"/>
      <c r="DRO19" s="289"/>
      <c r="DRP19" s="289"/>
      <c r="DRQ19" s="289"/>
      <c r="DRR19" s="289"/>
      <c r="DRS19" s="289"/>
      <c r="DRT19" s="289"/>
      <c r="DRU19" s="289"/>
      <c r="DRV19" s="289"/>
      <c r="DRW19" s="289"/>
      <c r="DRX19" s="289"/>
      <c r="DRY19" s="289"/>
      <c r="DRZ19" s="289"/>
      <c r="DSA19" s="289"/>
      <c r="DSB19" s="289"/>
      <c r="DSC19" s="289"/>
      <c r="DSD19" s="289"/>
      <c r="DSE19" s="289"/>
      <c r="DSF19" s="289"/>
      <c r="DSG19" s="289"/>
      <c r="DSH19" s="289"/>
      <c r="DSI19" s="289"/>
      <c r="DSJ19" s="289"/>
      <c r="DSK19" s="289"/>
      <c r="DSL19" s="289"/>
      <c r="DSM19" s="289"/>
      <c r="DSN19" s="289"/>
      <c r="DSO19" s="289"/>
      <c r="DSP19" s="289"/>
      <c r="DSQ19" s="289"/>
      <c r="DSR19" s="289"/>
      <c r="DSS19" s="289"/>
      <c r="DST19" s="289"/>
      <c r="DSU19" s="289"/>
      <c r="DSV19" s="289"/>
      <c r="DSW19" s="289"/>
      <c r="DSX19" s="289"/>
      <c r="DSY19" s="289"/>
      <c r="DSZ19" s="289"/>
      <c r="DTA19" s="289"/>
      <c r="DTB19" s="289"/>
      <c r="DTC19" s="289"/>
      <c r="DTD19" s="289"/>
      <c r="DTE19" s="289"/>
      <c r="DTF19" s="289"/>
      <c r="DTG19" s="289"/>
      <c r="DTH19" s="289"/>
      <c r="DTI19" s="289"/>
      <c r="DTJ19" s="289"/>
      <c r="DTK19" s="289"/>
      <c r="DTL19" s="289"/>
      <c r="DTM19" s="289"/>
      <c r="DTN19" s="289"/>
      <c r="DTO19" s="289"/>
      <c r="DTP19" s="289"/>
      <c r="DTQ19" s="289"/>
      <c r="DTR19" s="289"/>
      <c r="DTS19" s="289"/>
      <c r="DTT19" s="289"/>
      <c r="DTU19" s="289"/>
      <c r="DTV19" s="289"/>
      <c r="DTW19" s="289"/>
      <c r="DTX19" s="289"/>
      <c r="DTY19" s="289"/>
      <c r="DTZ19" s="289"/>
      <c r="DUA19" s="289"/>
      <c r="DUB19" s="289"/>
      <c r="DUC19" s="289"/>
      <c r="DUD19" s="289"/>
      <c r="DUE19" s="289"/>
      <c r="DUF19" s="289"/>
      <c r="DUG19" s="289"/>
      <c r="DUH19" s="289"/>
      <c r="DUI19" s="289"/>
      <c r="DUJ19" s="289"/>
      <c r="DUK19" s="289"/>
      <c r="DUL19" s="289"/>
      <c r="DUM19" s="289"/>
      <c r="DUN19" s="289"/>
      <c r="DUO19" s="289"/>
      <c r="DUP19" s="289"/>
      <c r="DUQ19" s="289"/>
      <c r="DUR19" s="289"/>
      <c r="DUS19" s="289"/>
      <c r="DUT19" s="289"/>
      <c r="DUU19" s="289"/>
      <c r="DUV19" s="289"/>
      <c r="DUW19" s="289"/>
      <c r="DUX19" s="289"/>
      <c r="DUY19" s="289"/>
      <c r="DUZ19" s="289"/>
      <c r="DVA19" s="289"/>
      <c r="DVB19" s="289"/>
      <c r="DVC19" s="289"/>
      <c r="DVD19" s="289"/>
      <c r="DVE19" s="289"/>
      <c r="DVF19" s="289"/>
      <c r="DVG19" s="289"/>
      <c r="DVH19" s="289"/>
      <c r="DVI19" s="289"/>
      <c r="DVJ19" s="289"/>
      <c r="DVK19" s="289"/>
      <c r="DVL19" s="289"/>
      <c r="DVM19" s="289"/>
      <c r="DVN19" s="289"/>
      <c r="DVO19" s="289"/>
      <c r="DVP19" s="289"/>
      <c r="DVQ19" s="289"/>
      <c r="DVR19" s="289"/>
      <c r="DVS19" s="289"/>
      <c r="DVT19" s="289"/>
      <c r="DVU19" s="289"/>
      <c r="DVV19" s="289"/>
      <c r="DVW19" s="289"/>
      <c r="DVX19" s="289"/>
      <c r="DVY19" s="289"/>
      <c r="DVZ19" s="289"/>
      <c r="DWA19" s="289"/>
      <c r="DWB19" s="289"/>
      <c r="DWC19" s="289"/>
      <c r="DWD19" s="289"/>
      <c r="DWE19" s="289"/>
      <c r="DWF19" s="289"/>
      <c r="DWG19" s="289"/>
      <c r="DWH19" s="289"/>
      <c r="DWI19" s="289"/>
      <c r="DWJ19" s="289"/>
      <c r="DWK19" s="289"/>
      <c r="DWL19" s="289"/>
      <c r="DWM19" s="289"/>
      <c r="DWN19" s="289"/>
      <c r="DWO19" s="289"/>
      <c r="DWP19" s="289"/>
      <c r="DWQ19" s="289"/>
      <c r="DWR19" s="289"/>
      <c r="DWS19" s="289"/>
      <c r="DWT19" s="289"/>
      <c r="DWU19" s="289"/>
      <c r="DWV19" s="289"/>
      <c r="DWW19" s="289"/>
      <c r="DWX19" s="289"/>
      <c r="DWY19" s="289"/>
      <c r="DWZ19" s="289"/>
      <c r="DXA19" s="289"/>
      <c r="DXB19" s="289"/>
      <c r="DXC19" s="289"/>
      <c r="DXD19" s="289"/>
      <c r="DXE19" s="289"/>
      <c r="DXF19" s="289"/>
      <c r="DXG19" s="289"/>
      <c r="DXH19" s="289"/>
      <c r="DXI19" s="289"/>
      <c r="DXJ19" s="289"/>
      <c r="DXK19" s="289"/>
      <c r="DXL19" s="289"/>
      <c r="DXM19" s="289"/>
      <c r="DXN19" s="289"/>
      <c r="DXO19" s="289"/>
      <c r="DXP19" s="289"/>
      <c r="DXQ19" s="289"/>
      <c r="DXR19" s="289"/>
      <c r="DXS19" s="289"/>
      <c r="DXT19" s="289"/>
      <c r="DXU19" s="289"/>
      <c r="DXV19" s="289"/>
      <c r="DXW19" s="289"/>
      <c r="DXX19" s="289"/>
      <c r="DXY19" s="289"/>
      <c r="DXZ19" s="289"/>
      <c r="DYA19" s="289"/>
      <c r="DYB19" s="289"/>
      <c r="DYC19" s="289"/>
      <c r="DYD19" s="289"/>
      <c r="DYE19" s="289"/>
      <c r="DYF19" s="289"/>
      <c r="DYG19" s="289"/>
      <c r="DYH19" s="289"/>
      <c r="DYI19" s="289"/>
      <c r="DYJ19" s="289"/>
      <c r="DYK19" s="289"/>
      <c r="DYL19" s="289"/>
      <c r="DYM19" s="289"/>
      <c r="DYN19" s="289"/>
      <c r="DYO19" s="289"/>
      <c r="DYP19" s="289"/>
      <c r="DYQ19" s="289"/>
      <c r="DYR19" s="289"/>
      <c r="DYS19" s="289"/>
      <c r="DYT19" s="289"/>
      <c r="DYU19" s="289"/>
      <c r="DYV19" s="289"/>
      <c r="DYW19" s="289"/>
      <c r="DYX19" s="289"/>
      <c r="DYY19" s="289"/>
      <c r="DYZ19" s="289"/>
      <c r="DZA19" s="289"/>
      <c r="DZB19" s="289"/>
      <c r="DZC19" s="289"/>
      <c r="DZD19" s="289"/>
      <c r="DZE19" s="289"/>
      <c r="DZF19" s="289"/>
      <c r="DZG19" s="289"/>
      <c r="DZH19" s="289"/>
      <c r="DZI19" s="289"/>
      <c r="DZJ19" s="289"/>
      <c r="DZK19" s="289"/>
      <c r="DZL19" s="289"/>
      <c r="DZM19" s="289"/>
      <c r="DZN19" s="289"/>
      <c r="DZO19" s="289"/>
      <c r="DZP19" s="289"/>
      <c r="DZQ19" s="289"/>
      <c r="DZR19" s="289"/>
      <c r="DZS19" s="289"/>
      <c r="DZT19" s="289"/>
      <c r="DZU19" s="289"/>
      <c r="DZV19" s="289"/>
      <c r="DZW19" s="289"/>
      <c r="DZX19" s="289"/>
      <c r="DZY19" s="289"/>
      <c r="DZZ19" s="289"/>
      <c r="EAA19" s="289"/>
      <c r="EAB19" s="289"/>
      <c r="EAC19" s="289"/>
      <c r="EAD19" s="289"/>
      <c r="EAE19" s="289"/>
      <c r="EAF19" s="289"/>
      <c r="EAG19" s="289"/>
      <c r="EAH19" s="289"/>
      <c r="EAI19" s="289"/>
      <c r="EAJ19" s="289"/>
      <c r="EAK19" s="289"/>
      <c r="EAL19" s="289"/>
      <c r="EAM19" s="289"/>
      <c r="EAN19" s="289"/>
      <c r="EAO19" s="289"/>
      <c r="EAP19" s="289"/>
      <c r="EAQ19" s="289"/>
      <c r="EAR19" s="289"/>
      <c r="EAS19" s="289"/>
      <c r="EAT19" s="289"/>
      <c r="EAU19" s="289"/>
      <c r="EAV19" s="289"/>
      <c r="EAW19" s="289"/>
      <c r="EAX19" s="289"/>
      <c r="EAY19" s="289"/>
      <c r="EAZ19" s="289"/>
      <c r="EBA19" s="289"/>
      <c r="EBB19" s="289"/>
      <c r="EBC19" s="289"/>
      <c r="EBD19" s="289"/>
      <c r="EBE19" s="289"/>
      <c r="EBF19" s="289"/>
      <c r="EBG19" s="289"/>
      <c r="EBH19" s="289"/>
      <c r="EBI19" s="289"/>
      <c r="EBJ19" s="289"/>
      <c r="EBK19" s="289"/>
      <c r="EBL19" s="289"/>
      <c r="EBM19" s="289"/>
      <c r="EBN19" s="289"/>
      <c r="EBO19" s="289"/>
      <c r="EBP19" s="289"/>
      <c r="EBQ19" s="289"/>
      <c r="EBR19" s="289"/>
      <c r="EBS19" s="289"/>
      <c r="EBT19" s="289"/>
      <c r="EBU19" s="289"/>
      <c r="EBV19" s="289"/>
      <c r="EBW19" s="289"/>
      <c r="EBX19" s="289"/>
      <c r="EBY19" s="289"/>
      <c r="EBZ19" s="289"/>
      <c r="ECA19" s="289"/>
      <c r="ECB19" s="289"/>
      <c r="ECC19" s="289"/>
      <c r="ECD19" s="289"/>
      <c r="ECE19" s="289"/>
      <c r="ECF19" s="289"/>
      <c r="ECG19" s="289"/>
      <c r="ECH19" s="289"/>
      <c r="ECI19" s="289"/>
      <c r="ECJ19" s="289"/>
      <c r="ECK19" s="289"/>
      <c r="ECL19" s="289"/>
      <c r="ECM19" s="289"/>
      <c r="ECN19" s="289"/>
      <c r="ECO19" s="289"/>
      <c r="ECP19" s="289"/>
      <c r="ECQ19" s="289"/>
      <c r="ECR19" s="289"/>
      <c r="ECS19" s="289"/>
      <c r="ECT19" s="289"/>
      <c r="ECU19" s="289"/>
      <c r="ECV19" s="289"/>
      <c r="ECW19" s="289"/>
      <c r="ECX19" s="289"/>
      <c r="ECY19" s="289"/>
      <c r="ECZ19" s="289"/>
      <c r="EDA19" s="289"/>
      <c r="EDB19" s="289"/>
      <c r="EDC19" s="289"/>
      <c r="EDD19" s="289"/>
      <c r="EDE19" s="289"/>
      <c r="EDF19" s="289"/>
      <c r="EDG19" s="289"/>
      <c r="EDH19" s="289"/>
      <c r="EDI19" s="289"/>
      <c r="EDJ19" s="289"/>
      <c r="EDK19" s="289"/>
      <c r="EDL19" s="289"/>
      <c r="EDM19" s="289"/>
      <c r="EDN19" s="289"/>
      <c r="EDO19" s="289"/>
      <c r="EDP19" s="289"/>
      <c r="EDQ19" s="289"/>
      <c r="EDR19" s="289"/>
      <c r="EDS19" s="289"/>
      <c r="EDT19" s="289"/>
      <c r="EDU19" s="289"/>
      <c r="EDV19" s="289"/>
      <c r="EDW19" s="289"/>
      <c r="EDX19" s="289"/>
      <c r="EDY19" s="289"/>
      <c r="EDZ19" s="289"/>
      <c r="EEA19" s="289"/>
      <c r="EEB19" s="289"/>
      <c r="EEC19" s="289"/>
      <c r="EED19" s="289"/>
      <c r="EEE19" s="289"/>
      <c r="EEF19" s="289"/>
      <c r="EEG19" s="289"/>
      <c r="EEH19" s="289"/>
      <c r="EEI19" s="289"/>
      <c r="EEJ19" s="289"/>
      <c r="EEK19" s="289"/>
      <c r="EEL19" s="289"/>
      <c r="EEM19" s="289"/>
      <c r="EEN19" s="289"/>
      <c r="EEO19" s="289"/>
      <c r="EEP19" s="289"/>
      <c r="EEQ19" s="289"/>
      <c r="EER19" s="289"/>
      <c r="EES19" s="289"/>
      <c r="EET19" s="289"/>
      <c r="EEU19" s="289"/>
      <c r="EEV19" s="289"/>
      <c r="EEW19" s="289"/>
      <c r="EEX19" s="289"/>
      <c r="EEY19" s="289"/>
      <c r="EEZ19" s="289"/>
      <c r="EFA19" s="289"/>
      <c r="EFB19" s="289"/>
      <c r="EFC19" s="289"/>
      <c r="EFD19" s="289"/>
      <c r="EFE19" s="289"/>
      <c r="EFF19" s="289"/>
      <c r="EFG19" s="289"/>
      <c r="EFH19" s="289"/>
      <c r="EFI19" s="289"/>
      <c r="EFJ19" s="289"/>
      <c r="EFK19" s="289"/>
      <c r="EFL19" s="289"/>
      <c r="EFM19" s="289"/>
      <c r="EFN19" s="289"/>
      <c r="EFO19" s="289"/>
      <c r="EFP19" s="289"/>
      <c r="EFQ19" s="289"/>
      <c r="EFR19" s="289"/>
      <c r="EFS19" s="289"/>
      <c r="EFT19" s="289"/>
      <c r="EFU19" s="289"/>
      <c r="EFV19" s="289"/>
      <c r="EFW19" s="289"/>
      <c r="EFX19" s="289"/>
      <c r="EFY19" s="289"/>
      <c r="EFZ19" s="289"/>
      <c r="EGA19" s="289"/>
      <c r="EGB19" s="289"/>
      <c r="EGC19" s="289"/>
      <c r="EGD19" s="289"/>
      <c r="EGE19" s="289"/>
      <c r="EGF19" s="289"/>
      <c r="EGG19" s="289"/>
      <c r="EGH19" s="289"/>
      <c r="EGI19" s="289"/>
      <c r="EGJ19" s="289"/>
      <c r="EGK19" s="289"/>
      <c r="EGL19" s="289"/>
      <c r="EGM19" s="289"/>
      <c r="EGN19" s="289"/>
      <c r="EGO19" s="289"/>
      <c r="EGP19" s="289"/>
      <c r="EGQ19" s="289"/>
      <c r="EGR19" s="289"/>
      <c r="EGS19" s="289"/>
      <c r="EGT19" s="289"/>
      <c r="EGU19" s="289"/>
      <c r="EGV19" s="289"/>
      <c r="EGW19" s="289"/>
      <c r="EGX19" s="289"/>
      <c r="EGY19" s="289"/>
      <c r="EGZ19" s="289"/>
      <c r="EHA19" s="289"/>
      <c r="EHB19" s="289"/>
      <c r="EHC19" s="289"/>
      <c r="EHD19" s="289"/>
      <c r="EHE19" s="289"/>
      <c r="EHF19" s="289"/>
      <c r="EHG19" s="289"/>
      <c r="EHH19" s="289"/>
      <c r="EHI19" s="289"/>
      <c r="EHJ19" s="289"/>
      <c r="EHK19" s="289"/>
      <c r="EHL19" s="289"/>
      <c r="EHM19" s="289"/>
      <c r="EHN19" s="289"/>
      <c r="EHO19" s="289"/>
      <c r="EHP19" s="289"/>
      <c r="EHQ19" s="289"/>
      <c r="EHR19" s="289"/>
      <c r="EHS19" s="289"/>
      <c r="EHT19" s="289"/>
      <c r="EHU19" s="289"/>
      <c r="EHV19" s="289"/>
      <c r="EHW19" s="289"/>
      <c r="EHX19" s="289"/>
      <c r="EHY19" s="289"/>
      <c r="EHZ19" s="289"/>
      <c r="EIA19" s="289"/>
      <c r="EIB19" s="289"/>
      <c r="EIC19" s="289"/>
      <c r="EID19" s="289"/>
      <c r="EIE19" s="289"/>
      <c r="EIF19" s="289"/>
      <c r="EIG19" s="289"/>
      <c r="EIH19" s="289"/>
      <c r="EII19" s="289"/>
      <c r="EIJ19" s="289"/>
      <c r="EIK19" s="289"/>
      <c r="EIL19" s="289"/>
      <c r="EIM19" s="289"/>
      <c r="EIN19" s="289"/>
      <c r="EIO19" s="289"/>
      <c r="EIP19" s="289"/>
      <c r="EIQ19" s="289"/>
      <c r="EIR19" s="289"/>
      <c r="EIS19" s="289"/>
      <c r="EIT19" s="289"/>
      <c r="EIU19" s="289"/>
      <c r="EIV19" s="289"/>
      <c r="EIW19" s="289"/>
      <c r="EIX19" s="289"/>
      <c r="EIY19" s="289"/>
      <c r="EIZ19" s="289"/>
      <c r="EJA19" s="289"/>
      <c r="EJB19" s="289"/>
      <c r="EJC19" s="289"/>
      <c r="EJD19" s="289"/>
      <c r="EJE19" s="289"/>
      <c r="EJF19" s="289"/>
      <c r="EJG19" s="289"/>
      <c r="EJH19" s="289"/>
      <c r="EJI19" s="289"/>
      <c r="EJJ19" s="289"/>
      <c r="EJK19" s="289"/>
      <c r="EJL19" s="289"/>
      <c r="EJM19" s="289"/>
      <c r="EJN19" s="289"/>
      <c r="EJO19" s="289"/>
      <c r="EJP19" s="289"/>
      <c r="EJQ19" s="289"/>
      <c r="EJR19" s="289"/>
      <c r="EJS19" s="289"/>
      <c r="EJT19" s="289"/>
      <c r="EJU19" s="289"/>
      <c r="EJV19" s="289"/>
      <c r="EJW19" s="289"/>
      <c r="EJX19" s="289"/>
      <c r="EJY19" s="289"/>
      <c r="EJZ19" s="289"/>
      <c r="EKA19" s="289"/>
      <c r="EKB19" s="289"/>
      <c r="EKC19" s="289"/>
      <c r="EKD19" s="289"/>
      <c r="EKE19" s="289"/>
      <c r="EKF19" s="289"/>
      <c r="EKG19" s="289"/>
      <c r="EKH19" s="289"/>
      <c r="EKI19" s="289"/>
      <c r="EKJ19" s="289"/>
      <c r="EKK19" s="289"/>
      <c r="EKL19" s="289"/>
      <c r="EKM19" s="289"/>
      <c r="EKN19" s="289"/>
      <c r="EKO19" s="289"/>
      <c r="EKP19" s="289"/>
      <c r="EKQ19" s="289"/>
      <c r="EKR19" s="289"/>
      <c r="EKS19" s="289"/>
      <c r="EKT19" s="289"/>
      <c r="EKU19" s="289"/>
      <c r="EKV19" s="289"/>
      <c r="EKW19" s="289"/>
      <c r="EKX19" s="289"/>
      <c r="EKY19" s="289"/>
      <c r="EKZ19" s="289"/>
      <c r="ELA19" s="289"/>
      <c r="ELB19" s="289"/>
      <c r="ELC19" s="289"/>
      <c r="ELD19" s="289"/>
      <c r="ELE19" s="289"/>
      <c r="ELF19" s="289"/>
      <c r="ELG19" s="289"/>
      <c r="ELH19" s="289"/>
      <c r="ELI19" s="289"/>
      <c r="ELJ19" s="289"/>
      <c r="ELK19" s="289"/>
      <c r="ELL19" s="289"/>
      <c r="ELM19" s="289"/>
      <c r="ELN19" s="289"/>
      <c r="ELO19" s="289"/>
      <c r="ELP19" s="289"/>
      <c r="ELQ19" s="289"/>
      <c r="ELR19" s="289"/>
      <c r="ELS19" s="289"/>
      <c r="ELT19" s="289"/>
      <c r="ELU19" s="289"/>
      <c r="ELV19" s="289"/>
      <c r="ELW19" s="289"/>
      <c r="ELX19" s="289"/>
      <c r="ELY19" s="289"/>
      <c r="ELZ19" s="289"/>
      <c r="EMA19" s="289"/>
      <c r="EMB19" s="289"/>
      <c r="EMC19" s="289"/>
      <c r="EMD19" s="289"/>
      <c r="EME19" s="289"/>
      <c r="EMF19" s="289"/>
      <c r="EMG19" s="289"/>
      <c r="EMH19" s="289"/>
      <c r="EMI19" s="289"/>
      <c r="EMJ19" s="289"/>
      <c r="EMK19" s="289"/>
      <c r="EML19" s="289"/>
      <c r="EMM19" s="289"/>
      <c r="EMN19" s="289"/>
      <c r="EMO19" s="289"/>
      <c r="EMP19" s="289"/>
      <c r="EMQ19" s="289"/>
      <c r="EMR19" s="289"/>
      <c r="EMS19" s="289"/>
      <c r="EMT19" s="289"/>
      <c r="EMU19" s="289"/>
      <c r="EMV19" s="289"/>
      <c r="EMW19" s="289"/>
      <c r="EMX19" s="289"/>
      <c r="EMY19" s="289"/>
      <c r="EMZ19" s="289"/>
      <c r="ENA19" s="289"/>
      <c r="ENB19" s="289"/>
      <c r="ENC19" s="289"/>
      <c r="END19" s="289"/>
      <c r="ENE19" s="289"/>
      <c r="ENF19" s="289"/>
      <c r="ENG19" s="289"/>
      <c r="ENH19" s="289"/>
      <c r="ENI19" s="289"/>
      <c r="ENJ19" s="289"/>
      <c r="ENK19" s="289"/>
      <c r="ENL19" s="289"/>
      <c r="ENM19" s="289"/>
      <c r="ENN19" s="289"/>
      <c r="ENO19" s="289"/>
      <c r="ENP19" s="289"/>
      <c r="ENQ19" s="289"/>
      <c r="ENR19" s="289"/>
      <c r="ENS19" s="289"/>
      <c r="ENT19" s="289"/>
      <c r="ENU19" s="289"/>
      <c r="ENV19" s="289"/>
      <c r="ENW19" s="289"/>
      <c r="ENX19" s="289"/>
      <c r="ENY19" s="289"/>
      <c r="ENZ19" s="289"/>
      <c r="EOA19" s="289"/>
      <c r="EOB19" s="289"/>
      <c r="EOC19" s="289"/>
      <c r="EOD19" s="289"/>
      <c r="EOE19" s="289"/>
      <c r="EOF19" s="289"/>
      <c r="EOG19" s="289"/>
      <c r="EOH19" s="289"/>
      <c r="EOI19" s="289"/>
      <c r="EOJ19" s="289"/>
      <c r="EOK19" s="289"/>
      <c r="EOL19" s="289"/>
      <c r="EOM19" s="289"/>
      <c r="EON19" s="289"/>
      <c r="EOO19" s="289"/>
      <c r="EOP19" s="289"/>
      <c r="EOQ19" s="289"/>
      <c r="EOR19" s="289"/>
      <c r="EOS19" s="289"/>
      <c r="EOT19" s="289"/>
      <c r="EOU19" s="289"/>
      <c r="EOV19" s="289"/>
      <c r="EOW19" s="289"/>
      <c r="EOX19" s="289"/>
      <c r="EOY19" s="289"/>
      <c r="EOZ19" s="289"/>
      <c r="EPA19" s="289"/>
      <c r="EPB19" s="289"/>
      <c r="EPC19" s="289"/>
      <c r="EPD19" s="289"/>
      <c r="EPE19" s="289"/>
      <c r="EPF19" s="289"/>
      <c r="EPG19" s="289"/>
      <c r="EPH19" s="289"/>
      <c r="EPI19" s="289"/>
      <c r="EPJ19" s="289"/>
      <c r="EPK19" s="289"/>
      <c r="EPL19" s="289"/>
      <c r="EPM19" s="289"/>
      <c r="EPN19" s="289"/>
      <c r="EPO19" s="289"/>
      <c r="EPP19" s="289"/>
      <c r="EPQ19" s="289"/>
      <c r="EPR19" s="289"/>
      <c r="EPS19" s="289"/>
      <c r="EPT19" s="289"/>
      <c r="EPU19" s="289"/>
      <c r="EPV19" s="289"/>
      <c r="EPW19" s="289"/>
      <c r="EPX19" s="289"/>
      <c r="EPY19" s="289"/>
      <c r="EPZ19" s="289"/>
      <c r="EQA19" s="289"/>
      <c r="EQB19" s="289"/>
      <c r="EQC19" s="289"/>
      <c r="EQD19" s="289"/>
      <c r="EQE19" s="289"/>
      <c r="EQF19" s="289"/>
      <c r="EQG19" s="289"/>
      <c r="EQH19" s="289"/>
      <c r="EQI19" s="289"/>
      <c r="EQJ19" s="289"/>
      <c r="EQK19" s="289"/>
      <c r="EQL19" s="289"/>
      <c r="EQM19" s="289"/>
      <c r="EQN19" s="289"/>
      <c r="EQO19" s="289"/>
      <c r="EQP19" s="289"/>
      <c r="EQQ19" s="289"/>
      <c r="EQR19" s="289"/>
      <c r="EQS19" s="289"/>
      <c r="EQT19" s="289"/>
      <c r="EQU19" s="289"/>
      <c r="EQV19" s="289"/>
      <c r="EQW19" s="289"/>
      <c r="EQX19" s="289"/>
      <c r="EQY19" s="289"/>
      <c r="EQZ19" s="289"/>
      <c r="ERA19" s="289"/>
      <c r="ERB19" s="289"/>
      <c r="ERC19" s="289"/>
      <c r="ERD19" s="289"/>
      <c r="ERE19" s="289"/>
      <c r="ERF19" s="289"/>
      <c r="ERG19" s="289"/>
      <c r="ERH19" s="289"/>
      <c r="ERI19" s="289"/>
      <c r="ERJ19" s="289"/>
      <c r="ERK19" s="289"/>
      <c r="ERL19" s="289"/>
      <c r="ERM19" s="289"/>
      <c r="ERN19" s="289"/>
      <c r="ERO19" s="289"/>
      <c r="ERP19" s="289"/>
      <c r="ERQ19" s="289"/>
      <c r="ERR19" s="289"/>
      <c r="ERS19" s="289"/>
      <c r="ERT19" s="289"/>
      <c r="ERU19" s="289"/>
      <c r="ERV19" s="289"/>
      <c r="ERW19" s="289"/>
      <c r="ERX19" s="289"/>
      <c r="ERY19" s="289"/>
      <c r="ERZ19" s="289"/>
      <c r="ESA19" s="289"/>
      <c r="ESB19" s="289"/>
      <c r="ESC19" s="289"/>
      <c r="ESD19" s="289"/>
      <c r="ESE19" s="289"/>
      <c r="ESF19" s="289"/>
      <c r="ESG19" s="289"/>
      <c r="ESH19" s="289"/>
      <c r="ESI19" s="289"/>
      <c r="ESJ19" s="289"/>
      <c r="ESK19" s="289"/>
      <c r="ESL19" s="289"/>
      <c r="ESM19" s="289"/>
      <c r="ESN19" s="289"/>
      <c r="ESO19" s="289"/>
      <c r="ESP19" s="289"/>
      <c r="ESQ19" s="289"/>
      <c r="ESR19" s="289"/>
      <c r="ESS19" s="289"/>
      <c r="EST19" s="289"/>
      <c r="ESU19" s="289"/>
      <c r="ESV19" s="289"/>
      <c r="ESW19" s="289"/>
      <c r="ESX19" s="289"/>
      <c r="ESY19" s="289"/>
      <c r="ESZ19" s="289"/>
      <c r="ETA19" s="289"/>
      <c r="ETB19" s="289"/>
      <c r="ETC19" s="289"/>
      <c r="ETD19" s="289"/>
      <c r="ETE19" s="289"/>
      <c r="ETF19" s="289"/>
      <c r="ETG19" s="289"/>
      <c r="ETH19" s="289"/>
      <c r="ETI19" s="289"/>
      <c r="ETJ19" s="289"/>
      <c r="ETK19" s="289"/>
      <c r="ETL19" s="289"/>
      <c r="ETM19" s="289"/>
      <c r="ETN19" s="289"/>
      <c r="ETO19" s="289"/>
      <c r="ETP19" s="289"/>
      <c r="ETQ19" s="289"/>
      <c r="ETR19" s="289"/>
      <c r="ETS19" s="289"/>
      <c r="ETT19" s="289"/>
      <c r="ETU19" s="289"/>
      <c r="ETV19" s="289"/>
      <c r="ETW19" s="289"/>
      <c r="ETX19" s="289"/>
      <c r="ETY19" s="289"/>
      <c r="ETZ19" s="289"/>
      <c r="EUA19" s="289"/>
      <c r="EUB19" s="289"/>
      <c r="EUC19" s="289"/>
      <c r="EUD19" s="289"/>
      <c r="EUE19" s="289"/>
      <c r="EUF19" s="289"/>
      <c r="EUG19" s="289"/>
      <c r="EUH19" s="289"/>
      <c r="EUI19" s="289"/>
      <c r="EUJ19" s="289"/>
      <c r="EUK19" s="289"/>
      <c r="EUL19" s="289"/>
      <c r="EUM19" s="289"/>
      <c r="EUN19" s="289"/>
      <c r="EUO19" s="289"/>
      <c r="EUP19" s="289"/>
      <c r="EUQ19" s="289"/>
      <c r="EUR19" s="289"/>
      <c r="EUS19" s="289"/>
      <c r="EUT19" s="289"/>
      <c r="EUU19" s="289"/>
      <c r="EUV19" s="289"/>
      <c r="EUW19" s="289"/>
      <c r="EUX19" s="289"/>
      <c r="EUY19" s="289"/>
      <c r="EUZ19" s="289"/>
      <c r="EVA19" s="289"/>
      <c r="EVB19" s="289"/>
      <c r="EVC19" s="289"/>
      <c r="EVD19" s="289"/>
      <c r="EVE19" s="289"/>
      <c r="EVF19" s="289"/>
      <c r="EVG19" s="289"/>
      <c r="EVH19" s="289"/>
      <c r="EVI19" s="289"/>
      <c r="EVJ19" s="289"/>
      <c r="EVK19" s="289"/>
      <c r="EVL19" s="289"/>
      <c r="EVM19" s="289"/>
      <c r="EVN19" s="289"/>
      <c r="EVO19" s="289"/>
      <c r="EVP19" s="289"/>
      <c r="EVQ19" s="289"/>
      <c r="EVR19" s="289"/>
      <c r="EVS19" s="289"/>
      <c r="EVT19" s="289"/>
      <c r="EVU19" s="289"/>
      <c r="EVV19" s="289"/>
      <c r="EVW19" s="289"/>
      <c r="EVX19" s="289"/>
      <c r="EVY19" s="289"/>
      <c r="EVZ19" s="289"/>
      <c r="EWA19" s="289"/>
      <c r="EWB19" s="289"/>
      <c r="EWC19" s="289"/>
      <c r="EWD19" s="289"/>
      <c r="EWE19" s="289"/>
      <c r="EWF19" s="289"/>
      <c r="EWG19" s="289"/>
      <c r="EWH19" s="289"/>
      <c r="EWI19" s="289"/>
      <c r="EWJ19" s="289"/>
      <c r="EWK19" s="289"/>
      <c r="EWL19" s="289"/>
      <c r="EWM19" s="289"/>
      <c r="EWN19" s="289"/>
      <c r="EWO19" s="289"/>
      <c r="EWP19" s="289"/>
      <c r="EWQ19" s="289"/>
      <c r="EWR19" s="289"/>
      <c r="EWS19" s="289"/>
      <c r="EWT19" s="289"/>
      <c r="EWU19" s="289"/>
      <c r="EWV19" s="289"/>
      <c r="EWW19" s="289"/>
      <c r="EWX19" s="289"/>
      <c r="EWY19" s="289"/>
      <c r="EWZ19" s="289"/>
      <c r="EXA19" s="289"/>
      <c r="EXB19" s="289"/>
      <c r="EXC19" s="289"/>
      <c r="EXD19" s="289"/>
      <c r="EXE19" s="289"/>
      <c r="EXF19" s="289"/>
      <c r="EXG19" s="289"/>
      <c r="EXH19" s="289"/>
      <c r="EXI19" s="289"/>
      <c r="EXJ19" s="289"/>
      <c r="EXK19" s="289"/>
      <c r="EXL19" s="289"/>
      <c r="EXM19" s="289"/>
      <c r="EXN19" s="289"/>
      <c r="EXO19" s="289"/>
      <c r="EXP19" s="289"/>
      <c r="EXQ19" s="289"/>
      <c r="EXR19" s="289"/>
      <c r="EXS19" s="289"/>
      <c r="EXT19" s="289"/>
      <c r="EXU19" s="289"/>
      <c r="EXV19" s="289"/>
      <c r="EXW19" s="289"/>
      <c r="EXX19" s="289"/>
      <c r="EXY19" s="289"/>
      <c r="EXZ19" s="289"/>
      <c r="EYA19" s="289"/>
      <c r="EYB19" s="289"/>
      <c r="EYC19" s="289"/>
      <c r="EYD19" s="289"/>
      <c r="EYE19" s="289"/>
      <c r="EYF19" s="289"/>
      <c r="EYG19" s="289"/>
      <c r="EYH19" s="289"/>
      <c r="EYI19" s="289"/>
      <c r="EYJ19" s="289"/>
      <c r="EYK19" s="289"/>
      <c r="EYL19" s="289"/>
      <c r="EYM19" s="289"/>
      <c r="EYN19" s="289"/>
      <c r="EYO19" s="289"/>
      <c r="EYP19" s="289"/>
      <c r="EYQ19" s="289"/>
      <c r="EYR19" s="289"/>
      <c r="EYS19" s="289"/>
      <c r="EYT19" s="289"/>
      <c r="EYU19" s="289"/>
      <c r="EYV19" s="289"/>
      <c r="EYW19" s="289"/>
      <c r="EYX19" s="289"/>
      <c r="EYY19" s="289"/>
      <c r="EYZ19" s="289"/>
      <c r="EZA19" s="289"/>
      <c r="EZB19" s="289"/>
      <c r="EZC19" s="289"/>
      <c r="EZD19" s="289"/>
      <c r="EZE19" s="289"/>
      <c r="EZF19" s="289"/>
      <c r="EZG19" s="289"/>
      <c r="EZH19" s="289"/>
      <c r="EZI19" s="289"/>
      <c r="EZJ19" s="289"/>
      <c r="EZK19" s="289"/>
      <c r="EZL19" s="289"/>
      <c r="EZM19" s="289"/>
      <c r="EZN19" s="289"/>
      <c r="EZO19" s="289"/>
      <c r="EZP19" s="289"/>
      <c r="EZQ19" s="289"/>
      <c r="EZR19" s="289"/>
      <c r="EZS19" s="289"/>
      <c r="EZT19" s="289"/>
      <c r="EZU19" s="289"/>
      <c r="EZV19" s="289"/>
      <c r="EZW19" s="289"/>
      <c r="EZX19" s="289"/>
      <c r="EZY19" s="289"/>
      <c r="EZZ19" s="289"/>
      <c r="FAA19" s="289"/>
      <c r="FAB19" s="289"/>
      <c r="FAC19" s="289"/>
      <c r="FAD19" s="289"/>
      <c r="FAE19" s="289"/>
      <c r="FAF19" s="289"/>
      <c r="FAG19" s="289"/>
      <c r="FAH19" s="289"/>
      <c r="FAI19" s="289"/>
      <c r="FAJ19" s="289"/>
      <c r="FAK19" s="289"/>
      <c r="FAL19" s="289"/>
      <c r="FAM19" s="289"/>
      <c r="FAN19" s="289"/>
      <c r="FAO19" s="289"/>
      <c r="FAP19" s="289"/>
      <c r="FAQ19" s="289"/>
      <c r="FAR19" s="289"/>
      <c r="FAS19" s="289"/>
      <c r="FAT19" s="289"/>
      <c r="FAU19" s="289"/>
      <c r="FAV19" s="289"/>
      <c r="FAW19" s="289"/>
      <c r="FAX19" s="289"/>
      <c r="FAY19" s="289"/>
      <c r="FAZ19" s="289"/>
      <c r="FBA19" s="289"/>
      <c r="FBB19" s="289"/>
      <c r="FBC19" s="289"/>
      <c r="FBD19" s="289"/>
      <c r="FBE19" s="289"/>
      <c r="FBF19" s="289"/>
      <c r="FBG19" s="289"/>
      <c r="FBH19" s="289"/>
      <c r="FBI19" s="289"/>
      <c r="FBJ19" s="289"/>
      <c r="FBK19" s="289"/>
      <c r="FBL19" s="289"/>
      <c r="FBM19" s="289"/>
      <c r="FBN19" s="289"/>
      <c r="FBO19" s="289"/>
      <c r="FBP19" s="289"/>
      <c r="FBQ19" s="289"/>
      <c r="FBR19" s="289"/>
      <c r="FBS19" s="289"/>
      <c r="FBT19" s="289"/>
      <c r="FBU19" s="289"/>
      <c r="FBV19" s="289"/>
      <c r="FBW19" s="289"/>
      <c r="FBX19" s="289"/>
      <c r="FBY19" s="289"/>
      <c r="FBZ19" s="289"/>
      <c r="FCA19" s="289"/>
      <c r="FCB19" s="289"/>
      <c r="FCC19" s="289"/>
      <c r="FCD19" s="289"/>
      <c r="FCE19" s="289"/>
      <c r="FCF19" s="289"/>
      <c r="FCG19" s="289"/>
      <c r="FCH19" s="289"/>
      <c r="FCI19" s="289"/>
      <c r="FCJ19" s="289"/>
      <c r="FCK19" s="289"/>
      <c r="FCL19" s="289"/>
      <c r="FCM19" s="289"/>
      <c r="FCN19" s="289"/>
      <c r="FCO19" s="289"/>
      <c r="FCP19" s="289"/>
      <c r="FCQ19" s="289"/>
      <c r="FCR19" s="289"/>
      <c r="FCS19" s="289"/>
      <c r="FCT19" s="289"/>
      <c r="FCU19" s="289"/>
      <c r="FCV19" s="289"/>
      <c r="FCW19" s="289"/>
      <c r="FCX19" s="289"/>
      <c r="FCY19" s="289"/>
      <c r="FCZ19" s="289"/>
      <c r="FDA19" s="289"/>
      <c r="FDB19" s="289"/>
      <c r="FDC19" s="289"/>
      <c r="FDD19" s="289"/>
      <c r="FDE19" s="289"/>
      <c r="FDF19" s="289"/>
      <c r="FDG19" s="289"/>
      <c r="FDH19" s="289"/>
      <c r="FDI19" s="289"/>
      <c r="FDJ19" s="289"/>
      <c r="FDK19" s="289"/>
      <c r="FDL19" s="289"/>
      <c r="FDM19" s="289"/>
      <c r="FDN19" s="289"/>
      <c r="FDO19" s="289"/>
      <c r="FDP19" s="289"/>
      <c r="FDQ19" s="289"/>
      <c r="FDR19" s="289"/>
      <c r="FDS19" s="289"/>
      <c r="FDT19" s="289"/>
      <c r="FDU19" s="289"/>
      <c r="FDV19" s="289"/>
      <c r="FDW19" s="289"/>
      <c r="FDX19" s="289"/>
      <c r="FDY19" s="289"/>
      <c r="FDZ19" s="289"/>
      <c r="FEA19" s="289"/>
      <c r="FEB19" s="289"/>
      <c r="FEC19" s="289"/>
      <c r="FED19" s="289"/>
      <c r="FEE19" s="289"/>
      <c r="FEF19" s="289"/>
      <c r="FEG19" s="289"/>
      <c r="FEH19" s="289"/>
      <c r="FEI19" s="289"/>
      <c r="FEJ19" s="289"/>
      <c r="FEK19" s="289"/>
      <c r="FEL19" s="289"/>
      <c r="FEM19" s="289"/>
      <c r="FEN19" s="289"/>
      <c r="FEO19" s="289"/>
      <c r="FEP19" s="289"/>
      <c r="FEQ19" s="289"/>
      <c r="FER19" s="289"/>
      <c r="FES19" s="289"/>
      <c r="FET19" s="289"/>
      <c r="FEU19" s="289"/>
      <c r="FEV19" s="289"/>
      <c r="FEW19" s="289"/>
      <c r="FEX19" s="289"/>
      <c r="FEY19" s="289"/>
      <c r="FEZ19" s="289"/>
      <c r="FFA19" s="289"/>
      <c r="FFB19" s="289"/>
      <c r="FFC19" s="289"/>
      <c r="FFD19" s="289"/>
      <c r="FFE19" s="289"/>
      <c r="FFF19" s="289"/>
      <c r="FFG19" s="289"/>
      <c r="FFH19" s="289"/>
      <c r="FFI19" s="289"/>
      <c r="FFJ19" s="289"/>
      <c r="FFK19" s="289"/>
      <c r="FFL19" s="289"/>
      <c r="FFM19" s="289"/>
      <c r="FFN19" s="289"/>
      <c r="FFO19" s="289"/>
      <c r="FFP19" s="289"/>
      <c r="FFQ19" s="289"/>
      <c r="FFR19" s="289"/>
      <c r="FFS19" s="289"/>
      <c r="FFT19" s="289"/>
      <c r="FFU19" s="289"/>
      <c r="FFV19" s="289"/>
      <c r="FFW19" s="289"/>
      <c r="FFX19" s="289"/>
      <c r="FFY19" s="289"/>
      <c r="FFZ19" s="289"/>
      <c r="FGA19" s="289"/>
      <c r="FGB19" s="289"/>
      <c r="FGC19" s="289"/>
      <c r="FGD19" s="289"/>
      <c r="FGE19" s="289"/>
      <c r="FGF19" s="289"/>
      <c r="FGG19" s="289"/>
      <c r="FGH19" s="289"/>
      <c r="FGI19" s="289"/>
      <c r="FGJ19" s="289"/>
      <c r="FGK19" s="289"/>
      <c r="FGL19" s="289"/>
      <c r="FGM19" s="289"/>
      <c r="FGN19" s="289"/>
      <c r="FGO19" s="289"/>
      <c r="FGP19" s="289"/>
      <c r="FGQ19" s="289"/>
      <c r="FGR19" s="289"/>
      <c r="FGS19" s="289"/>
      <c r="FGT19" s="289"/>
      <c r="FGU19" s="289"/>
      <c r="FGV19" s="289"/>
      <c r="FGW19" s="289"/>
      <c r="FGX19" s="289"/>
      <c r="FGY19" s="289"/>
      <c r="FGZ19" s="289"/>
      <c r="FHA19" s="289"/>
      <c r="FHB19" s="289"/>
      <c r="FHC19" s="289"/>
      <c r="FHD19" s="289"/>
      <c r="FHE19" s="289"/>
      <c r="FHF19" s="289"/>
      <c r="FHG19" s="289"/>
      <c r="FHH19" s="289"/>
      <c r="FHI19" s="289"/>
      <c r="FHJ19" s="289"/>
      <c r="FHK19" s="289"/>
      <c r="FHL19" s="289"/>
      <c r="FHM19" s="289"/>
      <c r="FHN19" s="289"/>
      <c r="FHO19" s="289"/>
      <c r="FHP19" s="289"/>
      <c r="FHQ19" s="289"/>
      <c r="FHR19" s="289"/>
      <c r="FHS19" s="289"/>
      <c r="FHT19" s="289"/>
      <c r="FHU19" s="289"/>
      <c r="FHV19" s="289"/>
      <c r="FHW19" s="289"/>
      <c r="FHX19" s="289"/>
      <c r="FHY19" s="289"/>
      <c r="FHZ19" s="289"/>
      <c r="FIA19" s="289"/>
      <c r="FIB19" s="289"/>
      <c r="FIC19" s="289"/>
      <c r="FID19" s="289"/>
      <c r="FIE19" s="289"/>
      <c r="FIF19" s="289"/>
      <c r="FIG19" s="289"/>
      <c r="FIH19" s="289"/>
      <c r="FII19" s="289"/>
      <c r="FIJ19" s="289"/>
      <c r="FIK19" s="289"/>
      <c r="FIL19" s="289"/>
      <c r="FIM19" s="289"/>
      <c r="FIN19" s="289"/>
      <c r="FIO19" s="289"/>
      <c r="FIP19" s="289"/>
      <c r="FIQ19" s="289"/>
      <c r="FIR19" s="289"/>
      <c r="FIS19" s="289"/>
      <c r="FIT19" s="289"/>
      <c r="FIU19" s="289"/>
      <c r="FIV19" s="289"/>
      <c r="FIW19" s="289"/>
      <c r="FIX19" s="289"/>
      <c r="FIY19" s="289"/>
      <c r="FIZ19" s="289"/>
      <c r="FJA19" s="289"/>
      <c r="FJB19" s="289"/>
      <c r="FJC19" s="289"/>
      <c r="FJD19" s="289"/>
      <c r="FJE19" s="289"/>
      <c r="FJF19" s="289"/>
      <c r="FJG19" s="289"/>
      <c r="FJH19" s="289"/>
      <c r="FJI19" s="289"/>
      <c r="FJJ19" s="289"/>
      <c r="FJK19" s="289"/>
      <c r="FJL19" s="289"/>
      <c r="FJM19" s="289"/>
      <c r="FJN19" s="289"/>
      <c r="FJO19" s="289"/>
      <c r="FJP19" s="289"/>
      <c r="FJQ19" s="289"/>
      <c r="FJR19" s="289"/>
      <c r="FJS19" s="289"/>
      <c r="FJT19" s="289"/>
      <c r="FJU19" s="289"/>
      <c r="FJV19" s="289"/>
      <c r="FJW19" s="289"/>
      <c r="FJX19" s="289"/>
      <c r="FJY19" s="289"/>
      <c r="FJZ19" s="289"/>
      <c r="FKA19" s="289"/>
      <c r="FKB19" s="289"/>
      <c r="FKC19" s="289"/>
      <c r="FKD19" s="289"/>
      <c r="FKE19" s="289"/>
      <c r="FKF19" s="289"/>
      <c r="FKG19" s="289"/>
      <c r="FKH19" s="289"/>
      <c r="FKI19" s="289"/>
      <c r="FKJ19" s="289"/>
      <c r="FKK19" s="289"/>
      <c r="FKL19" s="289"/>
      <c r="FKM19" s="289"/>
      <c r="FKN19" s="289"/>
      <c r="FKO19" s="289"/>
      <c r="FKP19" s="289"/>
      <c r="FKQ19" s="289"/>
      <c r="FKR19" s="289"/>
      <c r="FKS19" s="289"/>
      <c r="FKT19" s="289"/>
      <c r="FKU19" s="289"/>
      <c r="FKV19" s="289"/>
      <c r="FKW19" s="289"/>
      <c r="FKX19" s="289"/>
      <c r="FKY19" s="289"/>
      <c r="FKZ19" s="289"/>
      <c r="FLA19" s="289"/>
      <c r="FLB19" s="289"/>
      <c r="FLC19" s="289"/>
      <c r="FLD19" s="289"/>
      <c r="FLE19" s="289"/>
      <c r="FLF19" s="289"/>
      <c r="FLG19" s="289"/>
      <c r="FLH19" s="289"/>
      <c r="FLI19" s="289"/>
      <c r="FLJ19" s="289"/>
      <c r="FLK19" s="289"/>
      <c r="FLL19" s="289"/>
      <c r="FLM19" s="289"/>
      <c r="FLN19" s="289"/>
      <c r="FLO19" s="289"/>
      <c r="FLP19" s="289"/>
      <c r="FLQ19" s="289"/>
      <c r="FLR19" s="289"/>
      <c r="FLS19" s="289"/>
      <c r="FLT19" s="289"/>
      <c r="FLU19" s="289"/>
      <c r="FLV19" s="289"/>
      <c r="FLW19" s="289"/>
      <c r="FLX19" s="289"/>
      <c r="FLY19" s="289"/>
      <c r="FLZ19" s="289"/>
      <c r="FMA19" s="289"/>
      <c r="FMB19" s="289"/>
      <c r="FMC19" s="289"/>
      <c r="FMD19" s="289"/>
      <c r="FME19" s="289"/>
      <c r="FMF19" s="289"/>
      <c r="FMG19" s="289"/>
      <c r="FMH19" s="289"/>
      <c r="FMI19" s="289"/>
      <c r="FMJ19" s="289"/>
      <c r="FMK19" s="289"/>
      <c r="FML19" s="289"/>
      <c r="FMM19" s="289"/>
      <c r="FMN19" s="289"/>
      <c r="FMO19" s="289"/>
      <c r="FMP19" s="289"/>
      <c r="FMQ19" s="289"/>
      <c r="FMR19" s="289"/>
      <c r="FMS19" s="289"/>
      <c r="FMT19" s="289"/>
      <c r="FMU19" s="289"/>
      <c r="FMV19" s="289"/>
      <c r="FMW19" s="289"/>
      <c r="FMX19" s="289"/>
      <c r="FMY19" s="289"/>
      <c r="FMZ19" s="289"/>
      <c r="FNA19" s="289"/>
      <c r="FNB19" s="289"/>
      <c r="FNC19" s="289"/>
      <c r="FND19" s="289"/>
      <c r="FNE19" s="289"/>
      <c r="FNF19" s="289"/>
      <c r="FNG19" s="289"/>
      <c r="FNH19" s="289"/>
      <c r="FNI19" s="289"/>
      <c r="FNJ19" s="289"/>
      <c r="FNK19" s="289"/>
      <c r="FNL19" s="289"/>
      <c r="FNM19" s="289"/>
      <c r="FNN19" s="289"/>
      <c r="FNO19" s="289"/>
      <c r="FNP19" s="289"/>
      <c r="FNQ19" s="289"/>
      <c r="FNR19" s="289"/>
      <c r="FNS19" s="289"/>
      <c r="FNT19" s="289"/>
      <c r="FNU19" s="289"/>
      <c r="FNV19" s="289"/>
      <c r="FNW19" s="289"/>
      <c r="FNX19" s="289"/>
      <c r="FNY19" s="289"/>
      <c r="FNZ19" s="289"/>
      <c r="FOA19" s="289"/>
      <c r="FOB19" s="289"/>
      <c r="FOC19" s="289"/>
      <c r="FOD19" s="289"/>
      <c r="FOE19" s="289"/>
      <c r="FOF19" s="289"/>
      <c r="FOG19" s="289"/>
      <c r="FOH19" s="289"/>
      <c r="FOI19" s="289"/>
      <c r="FOJ19" s="289"/>
      <c r="FOK19" s="289"/>
      <c r="FOL19" s="289"/>
      <c r="FOM19" s="289"/>
      <c r="FON19" s="289"/>
      <c r="FOO19" s="289"/>
      <c r="FOP19" s="289"/>
      <c r="FOQ19" s="289"/>
      <c r="FOR19" s="289"/>
      <c r="FOS19" s="289"/>
      <c r="FOT19" s="289"/>
      <c r="FOU19" s="289"/>
      <c r="FOV19" s="289"/>
      <c r="FOW19" s="289"/>
      <c r="FOX19" s="289"/>
      <c r="FOY19" s="289"/>
      <c r="FOZ19" s="289"/>
      <c r="FPA19" s="289"/>
      <c r="FPB19" s="289"/>
      <c r="FPC19" s="289"/>
      <c r="FPD19" s="289"/>
      <c r="FPE19" s="289"/>
      <c r="FPF19" s="289"/>
      <c r="FPG19" s="289"/>
      <c r="FPH19" s="289"/>
      <c r="FPI19" s="289"/>
      <c r="FPJ19" s="289"/>
      <c r="FPK19" s="289"/>
      <c r="FPL19" s="289"/>
      <c r="FPM19" s="289"/>
      <c r="FPN19" s="289"/>
      <c r="FPO19" s="289"/>
      <c r="FPP19" s="289"/>
      <c r="FPQ19" s="289"/>
      <c r="FPR19" s="289"/>
      <c r="FPS19" s="289"/>
      <c r="FPT19" s="289"/>
      <c r="FPU19" s="289"/>
      <c r="FPV19" s="289"/>
      <c r="FPW19" s="289"/>
      <c r="FPX19" s="289"/>
      <c r="FPY19" s="289"/>
      <c r="FPZ19" s="289"/>
      <c r="FQA19" s="289"/>
      <c r="FQB19" s="289"/>
      <c r="FQC19" s="289"/>
      <c r="FQD19" s="289"/>
      <c r="FQE19" s="289"/>
      <c r="FQF19" s="289"/>
      <c r="FQG19" s="289"/>
      <c r="FQH19" s="289"/>
      <c r="FQI19" s="289"/>
      <c r="FQJ19" s="289"/>
      <c r="FQK19" s="289"/>
      <c r="FQL19" s="289"/>
      <c r="FQM19" s="289"/>
      <c r="FQN19" s="289"/>
      <c r="FQO19" s="289"/>
      <c r="FQP19" s="289"/>
      <c r="FQQ19" s="289"/>
      <c r="FQR19" s="289"/>
      <c r="FQS19" s="289"/>
      <c r="FQT19" s="289"/>
      <c r="FQU19" s="289"/>
      <c r="FQV19" s="289"/>
      <c r="FQW19" s="289"/>
      <c r="FQX19" s="289"/>
      <c r="FQY19" s="289"/>
      <c r="FQZ19" s="289"/>
      <c r="FRA19" s="289"/>
      <c r="FRB19" s="289"/>
      <c r="FRC19" s="289"/>
      <c r="FRD19" s="289"/>
      <c r="FRE19" s="289"/>
      <c r="FRF19" s="289"/>
      <c r="FRG19" s="289"/>
      <c r="FRH19" s="289"/>
      <c r="FRI19" s="289"/>
      <c r="FRJ19" s="289"/>
      <c r="FRK19" s="289"/>
      <c r="FRL19" s="289"/>
      <c r="FRM19" s="289"/>
      <c r="FRN19" s="289"/>
      <c r="FRO19" s="289"/>
      <c r="FRP19" s="289"/>
      <c r="FRQ19" s="289"/>
      <c r="FRR19" s="289"/>
      <c r="FRS19" s="289"/>
      <c r="FRT19" s="289"/>
      <c r="FRU19" s="289"/>
      <c r="FRV19" s="289"/>
      <c r="FRW19" s="289"/>
      <c r="FRX19" s="289"/>
      <c r="FRY19" s="289"/>
      <c r="FRZ19" s="289"/>
      <c r="FSA19" s="289"/>
      <c r="FSB19" s="289"/>
      <c r="FSC19" s="289"/>
      <c r="FSD19" s="289"/>
      <c r="FSE19" s="289"/>
      <c r="FSF19" s="289"/>
      <c r="FSG19" s="289"/>
      <c r="FSH19" s="289"/>
      <c r="FSI19" s="289"/>
      <c r="FSJ19" s="289"/>
      <c r="FSK19" s="289"/>
      <c r="FSL19" s="289"/>
      <c r="FSM19" s="289"/>
      <c r="FSN19" s="289"/>
      <c r="FSO19" s="289"/>
      <c r="FSP19" s="289"/>
      <c r="FSQ19" s="289"/>
      <c r="FSR19" s="289"/>
      <c r="FSS19" s="289"/>
      <c r="FST19" s="289"/>
      <c r="FSU19" s="289"/>
      <c r="FSV19" s="289"/>
      <c r="FSW19" s="289"/>
      <c r="FSX19" s="289"/>
      <c r="FSY19" s="289"/>
      <c r="FSZ19" s="289"/>
      <c r="FTA19" s="289"/>
      <c r="FTB19" s="289"/>
      <c r="FTC19" s="289"/>
      <c r="FTD19" s="289"/>
      <c r="FTE19" s="289"/>
      <c r="FTF19" s="289"/>
      <c r="FTG19" s="289"/>
      <c r="FTH19" s="289"/>
      <c r="FTI19" s="289"/>
      <c r="FTJ19" s="289"/>
      <c r="FTK19" s="289"/>
      <c r="FTL19" s="289"/>
      <c r="FTM19" s="289"/>
      <c r="FTN19" s="289"/>
      <c r="FTO19" s="289"/>
      <c r="FTP19" s="289"/>
      <c r="FTQ19" s="289"/>
      <c r="FTR19" s="289"/>
      <c r="FTS19" s="289"/>
      <c r="FTT19" s="289"/>
      <c r="FTU19" s="289"/>
      <c r="FTV19" s="289"/>
      <c r="FTW19" s="289"/>
      <c r="FTX19" s="289"/>
      <c r="FTY19" s="289"/>
      <c r="FTZ19" s="289"/>
      <c r="FUA19" s="289"/>
      <c r="FUB19" s="289"/>
      <c r="FUC19" s="289"/>
      <c r="FUD19" s="289"/>
      <c r="FUE19" s="289"/>
      <c r="FUF19" s="289"/>
      <c r="FUG19" s="289"/>
      <c r="FUH19" s="289"/>
      <c r="FUI19" s="289"/>
      <c r="FUJ19" s="289"/>
      <c r="FUK19" s="289"/>
      <c r="FUL19" s="289"/>
      <c r="FUM19" s="289"/>
      <c r="FUN19" s="289"/>
      <c r="FUO19" s="289"/>
      <c r="FUP19" s="289"/>
      <c r="FUQ19" s="289"/>
      <c r="FUR19" s="289"/>
      <c r="FUS19" s="289"/>
      <c r="FUT19" s="289"/>
      <c r="FUU19" s="289"/>
      <c r="FUV19" s="289"/>
      <c r="FUW19" s="289"/>
      <c r="FUX19" s="289"/>
      <c r="FUY19" s="289"/>
      <c r="FUZ19" s="289"/>
      <c r="FVA19" s="289"/>
      <c r="FVB19" s="289"/>
      <c r="FVC19" s="289"/>
      <c r="FVD19" s="289"/>
      <c r="FVE19" s="289"/>
      <c r="FVF19" s="289"/>
      <c r="FVG19" s="289"/>
      <c r="FVH19" s="289"/>
      <c r="FVI19" s="289"/>
      <c r="FVJ19" s="289"/>
      <c r="FVK19" s="289"/>
      <c r="FVL19" s="289"/>
      <c r="FVM19" s="289"/>
      <c r="FVN19" s="289"/>
      <c r="FVO19" s="289"/>
      <c r="FVP19" s="289"/>
      <c r="FVQ19" s="289"/>
      <c r="FVR19" s="289"/>
      <c r="FVS19" s="289"/>
      <c r="FVT19" s="289"/>
      <c r="FVU19" s="289"/>
      <c r="FVV19" s="289"/>
      <c r="FVW19" s="289"/>
      <c r="FVX19" s="289"/>
      <c r="FVY19" s="289"/>
      <c r="FVZ19" s="289"/>
      <c r="FWA19" s="289"/>
      <c r="FWB19" s="289"/>
      <c r="FWC19" s="289"/>
      <c r="FWD19" s="289"/>
      <c r="FWE19" s="289"/>
      <c r="FWF19" s="289"/>
      <c r="FWG19" s="289"/>
      <c r="FWH19" s="289"/>
      <c r="FWI19" s="289"/>
      <c r="FWJ19" s="289"/>
      <c r="FWK19" s="289"/>
      <c r="FWL19" s="289"/>
      <c r="FWM19" s="289"/>
      <c r="FWN19" s="289"/>
      <c r="FWO19" s="289"/>
      <c r="FWP19" s="289"/>
      <c r="FWQ19" s="289"/>
      <c r="FWR19" s="289"/>
      <c r="FWS19" s="289"/>
      <c r="FWT19" s="289"/>
      <c r="FWU19" s="289"/>
      <c r="FWV19" s="289"/>
      <c r="FWW19" s="289"/>
      <c r="FWX19" s="289"/>
      <c r="FWY19" s="289"/>
      <c r="FWZ19" s="289"/>
      <c r="FXA19" s="289"/>
      <c r="FXB19" s="289"/>
      <c r="FXC19" s="289"/>
      <c r="FXD19" s="289"/>
      <c r="FXE19" s="289"/>
      <c r="FXF19" s="289"/>
      <c r="FXG19" s="289"/>
      <c r="FXH19" s="289"/>
      <c r="FXI19" s="289"/>
      <c r="FXJ19" s="289"/>
      <c r="FXK19" s="289"/>
      <c r="FXL19" s="289"/>
      <c r="FXM19" s="289"/>
      <c r="FXN19" s="289"/>
      <c r="FXO19" s="289"/>
      <c r="FXP19" s="289"/>
      <c r="FXQ19" s="289"/>
      <c r="FXR19" s="289"/>
      <c r="FXS19" s="289"/>
      <c r="FXT19" s="289"/>
      <c r="FXU19" s="289"/>
      <c r="FXV19" s="289"/>
      <c r="FXW19" s="289"/>
      <c r="FXX19" s="289"/>
      <c r="FXY19" s="289"/>
      <c r="FXZ19" s="289"/>
      <c r="FYA19" s="289"/>
      <c r="FYB19" s="289"/>
      <c r="FYC19" s="289"/>
      <c r="FYD19" s="289"/>
      <c r="FYE19" s="289"/>
      <c r="FYF19" s="289"/>
      <c r="FYG19" s="289"/>
      <c r="FYH19" s="289"/>
      <c r="FYI19" s="289"/>
      <c r="FYJ19" s="289"/>
      <c r="FYK19" s="289"/>
      <c r="FYL19" s="289"/>
      <c r="FYM19" s="289"/>
      <c r="FYN19" s="289"/>
      <c r="FYO19" s="289"/>
      <c r="FYP19" s="289"/>
      <c r="FYQ19" s="289"/>
      <c r="FYR19" s="289"/>
      <c r="FYS19" s="289"/>
      <c r="FYT19" s="289"/>
      <c r="FYU19" s="289"/>
      <c r="FYV19" s="289"/>
      <c r="FYW19" s="289"/>
      <c r="FYX19" s="289"/>
      <c r="FYY19" s="289"/>
      <c r="FYZ19" s="289"/>
      <c r="FZA19" s="289"/>
      <c r="FZB19" s="289"/>
      <c r="FZC19" s="289"/>
      <c r="FZD19" s="289"/>
      <c r="FZE19" s="289"/>
      <c r="FZF19" s="289"/>
      <c r="FZG19" s="289"/>
      <c r="FZH19" s="289"/>
      <c r="FZI19" s="289"/>
      <c r="FZJ19" s="289"/>
      <c r="FZK19" s="289"/>
      <c r="FZL19" s="289"/>
      <c r="FZM19" s="289"/>
      <c r="FZN19" s="289"/>
      <c r="FZO19" s="289"/>
      <c r="FZP19" s="289"/>
      <c r="FZQ19" s="289"/>
      <c r="FZR19" s="289"/>
      <c r="FZS19" s="289"/>
      <c r="FZT19" s="289"/>
      <c r="FZU19" s="289"/>
      <c r="FZV19" s="289"/>
      <c r="FZW19" s="289"/>
      <c r="FZX19" s="289"/>
      <c r="FZY19" s="289"/>
      <c r="FZZ19" s="289"/>
      <c r="GAA19" s="289"/>
      <c r="GAB19" s="289"/>
      <c r="GAC19" s="289"/>
      <c r="GAD19" s="289"/>
      <c r="GAE19" s="289"/>
      <c r="GAF19" s="289"/>
      <c r="GAG19" s="289"/>
      <c r="GAH19" s="289"/>
      <c r="GAI19" s="289"/>
      <c r="GAJ19" s="289"/>
      <c r="GAK19" s="289"/>
      <c r="GAL19" s="289"/>
      <c r="GAM19" s="289"/>
      <c r="GAN19" s="289"/>
      <c r="GAO19" s="289"/>
      <c r="GAP19" s="289"/>
      <c r="GAQ19" s="289"/>
      <c r="GAR19" s="289"/>
      <c r="GAS19" s="289"/>
      <c r="GAT19" s="289"/>
      <c r="GAU19" s="289"/>
      <c r="GAV19" s="289"/>
      <c r="GAW19" s="289"/>
      <c r="GAX19" s="289"/>
      <c r="GAY19" s="289"/>
      <c r="GAZ19" s="289"/>
      <c r="GBA19" s="289"/>
      <c r="GBB19" s="289"/>
      <c r="GBC19" s="289"/>
      <c r="GBD19" s="289"/>
      <c r="GBE19" s="289"/>
      <c r="GBF19" s="289"/>
      <c r="GBG19" s="289"/>
      <c r="GBH19" s="289"/>
      <c r="GBI19" s="289"/>
      <c r="GBJ19" s="289"/>
      <c r="GBK19" s="289"/>
      <c r="GBL19" s="289"/>
      <c r="GBM19" s="289"/>
      <c r="GBN19" s="289"/>
      <c r="GBO19" s="289"/>
      <c r="GBP19" s="289"/>
      <c r="GBQ19" s="289"/>
      <c r="GBR19" s="289"/>
      <c r="GBS19" s="289"/>
      <c r="GBT19" s="289"/>
      <c r="GBU19" s="289"/>
      <c r="GBV19" s="289"/>
      <c r="GBW19" s="289"/>
      <c r="GBX19" s="289"/>
      <c r="GBY19" s="289"/>
      <c r="GBZ19" s="289"/>
      <c r="GCA19" s="289"/>
      <c r="GCB19" s="289"/>
      <c r="GCC19" s="289"/>
      <c r="GCD19" s="289"/>
      <c r="GCE19" s="289"/>
      <c r="GCF19" s="289"/>
      <c r="GCG19" s="289"/>
      <c r="GCH19" s="289"/>
      <c r="GCI19" s="289"/>
      <c r="GCJ19" s="289"/>
      <c r="GCK19" s="289"/>
      <c r="GCL19" s="289"/>
      <c r="GCM19" s="289"/>
      <c r="GCN19" s="289"/>
      <c r="GCO19" s="289"/>
      <c r="GCP19" s="289"/>
      <c r="GCQ19" s="289"/>
      <c r="GCR19" s="289"/>
      <c r="GCS19" s="289"/>
      <c r="GCT19" s="289"/>
      <c r="GCU19" s="289"/>
      <c r="GCV19" s="289"/>
      <c r="GCW19" s="289"/>
      <c r="GCX19" s="289"/>
      <c r="GCY19" s="289"/>
      <c r="GCZ19" s="289"/>
      <c r="GDA19" s="289"/>
      <c r="GDB19" s="289"/>
      <c r="GDC19" s="289"/>
      <c r="GDD19" s="289"/>
      <c r="GDE19" s="289"/>
      <c r="GDF19" s="289"/>
      <c r="GDG19" s="289"/>
      <c r="GDH19" s="289"/>
      <c r="GDI19" s="289"/>
      <c r="GDJ19" s="289"/>
      <c r="GDK19" s="289"/>
      <c r="GDL19" s="289"/>
      <c r="GDM19" s="289"/>
      <c r="GDN19" s="289"/>
      <c r="GDO19" s="289"/>
      <c r="GDP19" s="289"/>
      <c r="GDQ19" s="289"/>
      <c r="GDR19" s="289"/>
      <c r="GDS19" s="289"/>
      <c r="GDT19" s="289"/>
      <c r="GDU19" s="289"/>
      <c r="GDV19" s="289"/>
      <c r="GDW19" s="289"/>
      <c r="GDX19" s="289"/>
      <c r="GDY19" s="289"/>
      <c r="GDZ19" s="289"/>
      <c r="GEA19" s="289"/>
      <c r="GEB19" s="289"/>
      <c r="GEC19" s="289"/>
      <c r="GED19" s="289"/>
      <c r="GEE19" s="289"/>
      <c r="GEF19" s="289"/>
      <c r="GEG19" s="289"/>
      <c r="GEH19" s="289"/>
      <c r="GEI19" s="289"/>
      <c r="GEJ19" s="289"/>
      <c r="GEK19" s="289"/>
      <c r="GEL19" s="289"/>
      <c r="GEM19" s="289"/>
      <c r="GEN19" s="289"/>
      <c r="GEO19" s="289"/>
      <c r="GEP19" s="289"/>
      <c r="GEQ19" s="289"/>
      <c r="GER19" s="289"/>
      <c r="GES19" s="289"/>
      <c r="GET19" s="289"/>
      <c r="GEU19" s="289"/>
      <c r="GEV19" s="289"/>
      <c r="GEW19" s="289"/>
      <c r="GEX19" s="289"/>
      <c r="GEY19" s="289"/>
      <c r="GEZ19" s="289"/>
      <c r="GFA19" s="289"/>
      <c r="GFB19" s="289"/>
      <c r="GFC19" s="289"/>
      <c r="GFD19" s="289"/>
      <c r="GFE19" s="289"/>
      <c r="GFF19" s="289"/>
      <c r="GFG19" s="289"/>
      <c r="GFH19" s="289"/>
      <c r="GFI19" s="289"/>
      <c r="GFJ19" s="289"/>
      <c r="GFK19" s="289"/>
      <c r="GFL19" s="289"/>
      <c r="GFM19" s="289"/>
      <c r="GFN19" s="289"/>
      <c r="GFO19" s="289"/>
      <c r="GFP19" s="289"/>
      <c r="GFQ19" s="289"/>
      <c r="GFR19" s="289"/>
      <c r="GFS19" s="289"/>
      <c r="GFT19" s="289"/>
      <c r="GFU19" s="289"/>
      <c r="GFV19" s="289"/>
      <c r="GFW19" s="289"/>
      <c r="GFX19" s="289"/>
      <c r="GFY19" s="289"/>
      <c r="GFZ19" s="289"/>
      <c r="GGA19" s="289"/>
      <c r="GGB19" s="289"/>
      <c r="GGC19" s="289"/>
      <c r="GGD19" s="289"/>
      <c r="GGE19" s="289"/>
      <c r="GGF19" s="289"/>
      <c r="GGG19" s="289"/>
      <c r="GGH19" s="289"/>
      <c r="GGI19" s="289"/>
      <c r="GGJ19" s="289"/>
      <c r="GGK19" s="289"/>
      <c r="GGL19" s="289"/>
      <c r="GGM19" s="289"/>
      <c r="GGN19" s="289"/>
      <c r="GGO19" s="289"/>
      <c r="GGP19" s="289"/>
      <c r="GGQ19" s="289"/>
      <c r="GGR19" s="289"/>
      <c r="GGS19" s="289"/>
      <c r="GGT19" s="289"/>
      <c r="GGU19" s="289"/>
      <c r="GGV19" s="289"/>
      <c r="GGW19" s="289"/>
      <c r="GGX19" s="289"/>
      <c r="GGY19" s="289"/>
      <c r="GGZ19" s="289"/>
      <c r="GHA19" s="289"/>
      <c r="GHB19" s="289"/>
      <c r="GHC19" s="289"/>
      <c r="GHD19" s="289"/>
      <c r="GHE19" s="289"/>
      <c r="GHF19" s="289"/>
      <c r="GHG19" s="289"/>
      <c r="GHH19" s="289"/>
      <c r="GHI19" s="289"/>
      <c r="GHJ19" s="289"/>
      <c r="GHK19" s="289"/>
      <c r="GHL19" s="289"/>
      <c r="GHM19" s="289"/>
      <c r="GHN19" s="289"/>
      <c r="GHO19" s="289"/>
      <c r="GHP19" s="289"/>
      <c r="GHQ19" s="289"/>
      <c r="GHR19" s="289"/>
      <c r="GHS19" s="289"/>
      <c r="GHT19" s="289"/>
      <c r="GHU19" s="289"/>
      <c r="GHV19" s="289"/>
      <c r="GHW19" s="289"/>
      <c r="GHX19" s="289"/>
      <c r="GHY19" s="289"/>
      <c r="GHZ19" s="289"/>
      <c r="GIA19" s="289"/>
      <c r="GIB19" s="289"/>
      <c r="GIC19" s="289"/>
      <c r="GID19" s="289"/>
      <c r="GIE19" s="289"/>
      <c r="GIF19" s="289"/>
      <c r="GIG19" s="289"/>
      <c r="GIH19" s="289"/>
      <c r="GII19" s="289"/>
      <c r="GIJ19" s="289"/>
      <c r="GIK19" s="289"/>
      <c r="GIL19" s="289"/>
      <c r="GIM19" s="289"/>
      <c r="GIN19" s="289"/>
      <c r="GIO19" s="289"/>
      <c r="GIP19" s="289"/>
      <c r="GIQ19" s="289"/>
      <c r="GIR19" s="289"/>
      <c r="GIS19" s="289"/>
      <c r="GIT19" s="289"/>
      <c r="GIU19" s="289"/>
      <c r="GIV19" s="289"/>
      <c r="GIW19" s="289"/>
      <c r="GIX19" s="289"/>
      <c r="GIY19" s="289"/>
      <c r="GIZ19" s="289"/>
      <c r="GJA19" s="289"/>
      <c r="GJB19" s="289"/>
      <c r="GJC19" s="289"/>
      <c r="GJD19" s="289"/>
      <c r="GJE19" s="289"/>
      <c r="GJF19" s="289"/>
      <c r="GJG19" s="289"/>
      <c r="GJH19" s="289"/>
      <c r="GJI19" s="289"/>
      <c r="GJJ19" s="289"/>
      <c r="GJK19" s="289"/>
      <c r="GJL19" s="289"/>
      <c r="GJM19" s="289"/>
      <c r="GJN19" s="289"/>
      <c r="GJO19" s="289"/>
      <c r="GJP19" s="289"/>
      <c r="GJQ19" s="289"/>
      <c r="GJR19" s="289"/>
      <c r="GJS19" s="289"/>
      <c r="GJT19" s="289"/>
      <c r="GJU19" s="289"/>
      <c r="GJV19" s="289"/>
      <c r="GJW19" s="289"/>
      <c r="GJX19" s="289"/>
      <c r="GJY19" s="289"/>
      <c r="GJZ19" s="289"/>
      <c r="GKA19" s="289"/>
      <c r="GKB19" s="289"/>
      <c r="GKC19" s="289"/>
      <c r="GKD19" s="289"/>
      <c r="GKE19" s="289"/>
      <c r="GKF19" s="289"/>
      <c r="GKG19" s="289"/>
      <c r="GKH19" s="289"/>
      <c r="GKI19" s="289"/>
      <c r="GKJ19" s="289"/>
      <c r="GKK19" s="289"/>
      <c r="GKL19" s="289"/>
      <c r="GKM19" s="289"/>
      <c r="GKN19" s="289"/>
      <c r="GKO19" s="289"/>
      <c r="GKP19" s="289"/>
      <c r="GKQ19" s="289"/>
      <c r="GKR19" s="289"/>
      <c r="GKS19" s="289"/>
      <c r="GKT19" s="289"/>
      <c r="GKU19" s="289"/>
      <c r="GKV19" s="289"/>
      <c r="GKW19" s="289"/>
      <c r="GKX19" s="289"/>
      <c r="GKY19" s="289"/>
      <c r="GKZ19" s="289"/>
      <c r="GLA19" s="289"/>
      <c r="GLB19" s="289"/>
      <c r="GLC19" s="289"/>
      <c r="GLD19" s="289"/>
      <c r="GLE19" s="289"/>
      <c r="GLF19" s="289"/>
      <c r="GLG19" s="289"/>
      <c r="GLH19" s="289"/>
      <c r="GLI19" s="289"/>
      <c r="GLJ19" s="289"/>
      <c r="GLK19" s="289"/>
      <c r="GLL19" s="289"/>
      <c r="GLM19" s="289"/>
      <c r="GLN19" s="289"/>
      <c r="GLO19" s="289"/>
      <c r="GLP19" s="289"/>
      <c r="GLQ19" s="289"/>
      <c r="GLR19" s="289"/>
      <c r="GLS19" s="289"/>
      <c r="GLT19" s="289"/>
      <c r="GLU19" s="289"/>
      <c r="GLV19" s="289"/>
      <c r="GLW19" s="289"/>
      <c r="GLX19" s="289"/>
      <c r="GLY19" s="289"/>
      <c r="GLZ19" s="289"/>
      <c r="GMA19" s="289"/>
      <c r="GMB19" s="289"/>
      <c r="GMC19" s="289"/>
      <c r="GMD19" s="289"/>
      <c r="GME19" s="289"/>
      <c r="GMF19" s="289"/>
      <c r="GMG19" s="289"/>
      <c r="GMH19" s="289"/>
      <c r="GMI19" s="289"/>
      <c r="GMJ19" s="289"/>
      <c r="GMK19" s="289"/>
      <c r="GML19" s="289"/>
      <c r="GMM19" s="289"/>
      <c r="GMN19" s="289"/>
      <c r="GMO19" s="289"/>
      <c r="GMP19" s="289"/>
      <c r="GMQ19" s="289"/>
      <c r="GMR19" s="289"/>
      <c r="GMS19" s="289"/>
      <c r="GMT19" s="289"/>
      <c r="GMU19" s="289"/>
      <c r="GMV19" s="289"/>
      <c r="GMW19" s="289"/>
      <c r="GMX19" s="289"/>
      <c r="GMY19" s="289"/>
      <c r="GMZ19" s="289"/>
      <c r="GNA19" s="289"/>
      <c r="GNB19" s="289"/>
      <c r="GNC19" s="289"/>
      <c r="GND19" s="289"/>
      <c r="GNE19" s="289"/>
      <c r="GNF19" s="289"/>
      <c r="GNG19" s="289"/>
      <c r="GNH19" s="289"/>
      <c r="GNI19" s="289"/>
      <c r="GNJ19" s="289"/>
      <c r="GNK19" s="289"/>
      <c r="GNL19" s="289"/>
      <c r="GNM19" s="289"/>
      <c r="GNN19" s="289"/>
      <c r="GNO19" s="289"/>
      <c r="GNP19" s="289"/>
      <c r="GNQ19" s="289"/>
      <c r="GNR19" s="289"/>
      <c r="GNS19" s="289"/>
      <c r="GNT19" s="289"/>
      <c r="GNU19" s="289"/>
      <c r="GNV19" s="289"/>
      <c r="GNW19" s="289"/>
      <c r="GNX19" s="289"/>
      <c r="GNY19" s="289"/>
      <c r="GNZ19" s="289"/>
      <c r="GOA19" s="289"/>
      <c r="GOB19" s="289"/>
      <c r="GOC19" s="289"/>
      <c r="GOD19" s="289"/>
      <c r="GOE19" s="289"/>
      <c r="GOF19" s="289"/>
      <c r="GOG19" s="289"/>
      <c r="GOH19" s="289"/>
      <c r="GOI19" s="289"/>
      <c r="GOJ19" s="289"/>
      <c r="GOK19" s="289"/>
      <c r="GOL19" s="289"/>
      <c r="GOM19" s="289"/>
      <c r="GON19" s="289"/>
      <c r="GOO19" s="289"/>
      <c r="GOP19" s="289"/>
      <c r="GOQ19" s="289"/>
      <c r="GOR19" s="289"/>
      <c r="GOS19" s="289"/>
      <c r="GOT19" s="289"/>
      <c r="GOU19" s="289"/>
      <c r="GOV19" s="289"/>
      <c r="GOW19" s="289"/>
      <c r="GOX19" s="289"/>
      <c r="GOY19" s="289"/>
      <c r="GOZ19" s="289"/>
      <c r="GPA19" s="289"/>
      <c r="GPB19" s="289"/>
      <c r="GPC19" s="289"/>
      <c r="GPD19" s="289"/>
      <c r="GPE19" s="289"/>
      <c r="GPF19" s="289"/>
      <c r="GPG19" s="289"/>
      <c r="GPH19" s="289"/>
      <c r="GPI19" s="289"/>
      <c r="GPJ19" s="289"/>
      <c r="GPK19" s="289"/>
      <c r="GPL19" s="289"/>
      <c r="GPM19" s="289"/>
      <c r="GPN19" s="289"/>
      <c r="GPO19" s="289"/>
      <c r="GPP19" s="289"/>
      <c r="GPQ19" s="289"/>
      <c r="GPR19" s="289"/>
      <c r="GPS19" s="289"/>
      <c r="GPT19" s="289"/>
      <c r="GPU19" s="289"/>
      <c r="GPV19" s="289"/>
      <c r="GPW19" s="289"/>
      <c r="GPX19" s="289"/>
      <c r="GPY19" s="289"/>
      <c r="GPZ19" s="289"/>
      <c r="GQA19" s="289"/>
      <c r="GQB19" s="289"/>
      <c r="GQC19" s="289"/>
      <c r="GQD19" s="289"/>
      <c r="GQE19" s="289"/>
      <c r="GQF19" s="289"/>
      <c r="GQG19" s="289"/>
      <c r="GQH19" s="289"/>
      <c r="GQI19" s="289"/>
      <c r="GQJ19" s="289"/>
      <c r="GQK19" s="289"/>
      <c r="GQL19" s="289"/>
      <c r="GQM19" s="289"/>
      <c r="GQN19" s="289"/>
      <c r="GQO19" s="289"/>
      <c r="GQP19" s="289"/>
      <c r="GQQ19" s="289"/>
      <c r="GQR19" s="289"/>
      <c r="GQS19" s="289"/>
      <c r="GQT19" s="289"/>
      <c r="GQU19" s="289"/>
      <c r="GQV19" s="289"/>
      <c r="GQW19" s="289"/>
      <c r="GQX19" s="289"/>
      <c r="GQY19" s="289"/>
      <c r="GQZ19" s="289"/>
      <c r="GRA19" s="289"/>
      <c r="GRB19" s="289"/>
      <c r="GRC19" s="289"/>
      <c r="GRD19" s="289"/>
      <c r="GRE19" s="289"/>
      <c r="GRF19" s="289"/>
      <c r="GRG19" s="289"/>
      <c r="GRH19" s="289"/>
      <c r="GRI19" s="289"/>
      <c r="GRJ19" s="289"/>
      <c r="GRK19" s="289"/>
      <c r="GRL19" s="289"/>
      <c r="GRM19" s="289"/>
      <c r="GRN19" s="289"/>
      <c r="GRO19" s="289"/>
      <c r="GRP19" s="289"/>
      <c r="GRQ19" s="289"/>
      <c r="GRR19" s="289"/>
      <c r="GRS19" s="289"/>
      <c r="GRT19" s="289"/>
      <c r="GRU19" s="289"/>
      <c r="GRV19" s="289"/>
      <c r="GRW19" s="289"/>
      <c r="GRX19" s="289"/>
      <c r="GRY19" s="289"/>
      <c r="GRZ19" s="289"/>
      <c r="GSA19" s="289"/>
      <c r="GSB19" s="289"/>
      <c r="GSC19" s="289"/>
      <c r="GSD19" s="289"/>
      <c r="GSE19" s="289"/>
      <c r="GSF19" s="289"/>
      <c r="GSG19" s="289"/>
      <c r="GSH19" s="289"/>
      <c r="GSI19" s="289"/>
      <c r="GSJ19" s="289"/>
      <c r="GSK19" s="289"/>
      <c r="GSL19" s="289"/>
      <c r="GSM19" s="289"/>
      <c r="GSN19" s="289"/>
      <c r="GSO19" s="289"/>
      <c r="GSP19" s="289"/>
      <c r="GSQ19" s="289"/>
      <c r="GSR19" s="289"/>
      <c r="GSS19" s="289"/>
      <c r="GST19" s="289"/>
      <c r="GSU19" s="289"/>
      <c r="GSV19" s="289"/>
      <c r="GSW19" s="289"/>
      <c r="GSX19" s="289"/>
      <c r="GSY19" s="289"/>
      <c r="GSZ19" s="289"/>
      <c r="GTA19" s="289"/>
      <c r="GTB19" s="289"/>
      <c r="GTC19" s="289"/>
      <c r="GTD19" s="289"/>
      <c r="GTE19" s="289"/>
      <c r="GTF19" s="289"/>
      <c r="GTG19" s="289"/>
      <c r="GTH19" s="289"/>
      <c r="GTI19" s="289"/>
      <c r="GTJ19" s="289"/>
      <c r="GTK19" s="289"/>
      <c r="GTL19" s="289"/>
      <c r="GTM19" s="289"/>
      <c r="GTN19" s="289"/>
      <c r="GTO19" s="289"/>
      <c r="GTP19" s="289"/>
      <c r="GTQ19" s="289"/>
      <c r="GTR19" s="289"/>
      <c r="GTS19" s="289"/>
      <c r="GTT19" s="289"/>
      <c r="GTU19" s="289"/>
      <c r="GTV19" s="289"/>
      <c r="GTW19" s="289"/>
      <c r="GTX19" s="289"/>
      <c r="GTY19" s="289"/>
      <c r="GTZ19" s="289"/>
      <c r="GUA19" s="289"/>
      <c r="GUB19" s="289"/>
      <c r="GUC19" s="289"/>
      <c r="GUD19" s="289"/>
      <c r="GUE19" s="289"/>
      <c r="GUF19" s="289"/>
      <c r="GUG19" s="289"/>
      <c r="GUH19" s="289"/>
      <c r="GUI19" s="289"/>
      <c r="GUJ19" s="289"/>
      <c r="GUK19" s="289"/>
      <c r="GUL19" s="289"/>
      <c r="GUM19" s="289"/>
      <c r="GUN19" s="289"/>
      <c r="GUO19" s="289"/>
      <c r="GUP19" s="289"/>
      <c r="GUQ19" s="289"/>
      <c r="GUR19" s="289"/>
      <c r="GUS19" s="289"/>
      <c r="GUT19" s="289"/>
      <c r="GUU19" s="289"/>
      <c r="GUV19" s="289"/>
      <c r="GUW19" s="289"/>
      <c r="GUX19" s="289"/>
      <c r="GUY19" s="289"/>
      <c r="GUZ19" s="289"/>
      <c r="GVA19" s="289"/>
      <c r="GVB19" s="289"/>
      <c r="GVC19" s="289"/>
      <c r="GVD19" s="289"/>
      <c r="GVE19" s="289"/>
      <c r="GVF19" s="289"/>
      <c r="GVG19" s="289"/>
      <c r="GVH19" s="289"/>
      <c r="GVI19" s="289"/>
      <c r="GVJ19" s="289"/>
      <c r="GVK19" s="289"/>
      <c r="GVL19" s="289"/>
      <c r="GVM19" s="289"/>
      <c r="GVN19" s="289"/>
      <c r="GVO19" s="289"/>
      <c r="GVP19" s="289"/>
      <c r="GVQ19" s="289"/>
      <c r="GVR19" s="289"/>
      <c r="GVS19" s="289"/>
      <c r="GVT19" s="289"/>
      <c r="GVU19" s="289"/>
      <c r="GVV19" s="289"/>
      <c r="GVW19" s="289"/>
      <c r="GVX19" s="289"/>
      <c r="GVY19" s="289"/>
      <c r="GVZ19" s="289"/>
      <c r="GWA19" s="289"/>
      <c r="GWB19" s="289"/>
      <c r="GWC19" s="289"/>
      <c r="GWD19" s="289"/>
      <c r="GWE19" s="289"/>
      <c r="GWF19" s="289"/>
      <c r="GWG19" s="289"/>
      <c r="GWH19" s="289"/>
      <c r="GWI19" s="289"/>
      <c r="GWJ19" s="289"/>
      <c r="GWK19" s="289"/>
      <c r="GWL19" s="289"/>
      <c r="GWM19" s="289"/>
      <c r="GWN19" s="289"/>
      <c r="GWO19" s="289"/>
      <c r="GWP19" s="289"/>
      <c r="GWQ19" s="289"/>
      <c r="GWR19" s="289"/>
      <c r="GWS19" s="289"/>
      <c r="GWT19" s="289"/>
      <c r="GWU19" s="289"/>
      <c r="GWV19" s="289"/>
      <c r="GWW19" s="289"/>
      <c r="GWX19" s="289"/>
      <c r="GWY19" s="289"/>
      <c r="GWZ19" s="289"/>
      <c r="GXA19" s="289"/>
      <c r="GXB19" s="289"/>
      <c r="GXC19" s="289"/>
      <c r="GXD19" s="289"/>
      <c r="GXE19" s="289"/>
      <c r="GXF19" s="289"/>
      <c r="GXG19" s="289"/>
      <c r="GXH19" s="289"/>
      <c r="GXI19" s="289"/>
      <c r="GXJ19" s="289"/>
      <c r="GXK19" s="289"/>
      <c r="GXL19" s="289"/>
      <c r="GXM19" s="289"/>
      <c r="GXN19" s="289"/>
      <c r="GXO19" s="289"/>
      <c r="GXP19" s="289"/>
      <c r="GXQ19" s="289"/>
      <c r="GXR19" s="289"/>
      <c r="GXS19" s="289"/>
      <c r="GXT19" s="289"/>
      <c r="GXU19" s="289"/>
      <c r="GXV19" s="289"/>
      <c r="GXW19" s="289"/>
      <c r="GXX19" s="289"/>
      <c r="GXY19" s="289"/>
      <c r="GXZ19" s="289"/>
      <c r="GYA19" s="289"/>
      <c r="GYB19" s="289"/>
      <c r="GYC19" s="289"/>
      <c r="GYD19" s="289"/>
      <c r="GYE19" s="289"/>
      <c r="GYF19" s="289"/>
      <c r="GYG19" s="289"/>
      <c r="GYH19" s="289"/>
      <c r="GYI19" s="289"/>
      <c r="GYJ19" s="289"/>
      <c r="GYK19" s="289"/>
      <c r="GYL19" s="289"/>
      <c r="GYM19" s="289"/>
      <c r="GYN19" s="289"/>
      <c r="GYO19" s="289"/>
      <c r="GYP19" s="289"/>
      <c r="GYQ19" s="289"/>
      <c r="GYR19" s="289"/>
      <c r="GYS19" s="289"/>
      <c r="GYT19" s="289"/>
      <c r="GYU19" s="289"/>
      <c r="GYV19" s="289"/>
      <c r="GYW19" s="289"/>
      <c r="GYX19" s="289"/>
      <c r="GYY19" s="289"/>
      <c r="GYZ19" s="289"/>
      <c r="GZA19" s="289"/>
      <c r="GZB19" s="289"/>
      <c r="GZC19" s="289"/>
      <c r="GZD19" s="289"/>
      <c r="GZE19" s="289"/>
      <c r="GZF19" s="289"/>
      <c r="GZG19" s="289"/>
      <c r="GZH19" s="289"/>
      <c r="GZI19" s="289"/>
      <c r="GZJ19" s="289"/>
      <c r="GZK19" s="289"/>
      <c r="GZL19" s="289"/>
      <c r="GZM19" s="289"/>
      <c r="GZN19" s="289"/>
      <c r="GZO19" s="289"/>
      <c r="GZP19" s="289"/>
      <c r="GZQ19" s="289"/>
      <c r="GZR19" s="289"/>
      <c r="GZS19" s="289"/>
      <c r="GZT19" s="289"/>
      <c r="GZU19" s="289"/>
      <c r="GZV19" s="289"/>
      <c r="GZW19" s="289"/>
      <c r="GZX19" s="289"/>
      <c r="GZY19" s="289"/>
      <c r="GZZ19" s="289"/>
      <c r="HAA19" s="289"/>
      <c r="HAB19" s="289"/>
      <c r="HAC19" s="289"/>
      <c r="HAD19" s="289"/>
      <c r="HAE19" s="289"/>
      <c r="HAF19" s="289"/>
      <c r="HAG19" s="289"/>
      <c r="HAH19" s="289"/>
      <c r="HAI19" s="289"/>
      <c r="HAJ19" s="289"/>
      <c r="HAK19" s="289"/>
      <c r="HAL19" s="289"/>
      <c r="HAM19" s="289"/>
      <c r="HAN19" s="289"/>
      <c r="HAO19" s="289"/>
      <c r="HAP19" s="289"/>
      <c r="HAQ19" s="289"/>
      <c r="HAR19" s="289"/>
      <c r="HAS19" s="289"/>
      <c r="HAT19" s="289"/>
      <c r="HAU19" s="289"/>
      <c r="HAV19" s="289"/>
      <c r="HAW19" s="289"/>
      <c r="HAX19" s="289"/>
      <c r="HAY19" s="289"/>
      <c r="HAZ19" s="289"/>
      <c r="HBA19" s="289"/>
      <c r="HBB19" s="289"/>
      <c r="HBC19" s="289"/>
      <c r="HBD19" s="289"/>
      <c r="HBE19" s="289"/>
      <c r="HBF19" s="289"/>
      <c r="HBG19" s="289"/>
      <c r="HBH19" s="289"/>
      <c r="HBI19" s="289"/>
      <c r="HBJ19" s="289"/>
      <c r="HBK19" s="289"/>
      <c r="HBL19" s="289"/>
      <c r="HBM19" s="289"/>
      <c r="HBN19" s="289"/>
      <c r="HBO19" s="289"/>
      <c r="HBP19" s="289"/>
      <c r="HBQ19" s="289"/>
      <c r="HBR19" s="289"/>
      <c r="HBS19" s="289"/>
      <c r="HBT19" s="289"/>
      <c r="HBU19" s="289"/>
      <c r="HBV19" s="289"/>
      <c r="HBW19" s="289"/>
      <c r="HBX19" s="289"/>
      <c r="HBY19" s="289"/>
      <c r="HBZ19" s="289"/>
      <c r="HCA19" s="289"/>
      <c r="HCB19" s="289"/>
      <c r="HCC19" s="289"/>
      <c r="HCD19" s="289"/>
      <c r="HCE19" s="289"/>
      <c r="HCF19" s="289"/>
      <c r="HCG19" s="289"/>
      <c r="HCH19" s="289"/>
      <c r="HCI19" s="289"/>
      <c r="HCJ19" s="289"/>
      <c r="HCK19" s="289"/>
      <c r="HCL19" s="289"/>
      <c r="HCM19" s="289"/>
      <c r="HCN19" s="289"/>
      <c r="HCO19" s="289"/>
      <c r="HCP19" s="289"/>
      <c r="HCQ19" s="289"/>
      <c r="HCR19" s="289"/>
      <c r="HCS19" s="289"/>
      <c r="HCT19" s="289"/>
      <c r="HCU19" s="289"/>
      <c r="HCV19" s="289"/>
      <c r="HCW19" s="289"/>
      <c r="HCX19" s="289"/>
      <c r="HCY19" s="289"/>
      <c r="HCZ19" s="289"/>
      <c r="HDA19" s="289"/>
      <c r="HDB19" s="289"/>
      <c r="HDC19" s="289"/>
      <c r="HDD19" s="289"/>
      <c r="HDE19" s="289"/>
      <c r="HDF19" s="289"/>
      <c r="HDG19" s="289"/>
      <c r="HDH19" s="289"/>
      <c r="HDI19" s="289"/>
      <c r="HDJ19" s="289"/>
      <c r="HDK19" s="289"/>
      <c r="HDL19" s="289"/>
      <c r="HDM19" s="289"/>
      <c r="HDN19" s="289"/>
      <c r="HDO19" s="289"/>
      <c r="HDP19" s="289"/>
      <c r="HDQ19" s="289"/>
      <c r="HDR19" s="289"/>
      <c r="HDS19" s="289"/>
      <c r="HDT19" s="289"/>
      <c r="HDU19" s="289"/>
      <c r="HDV19" s="289"/>
      <c r="HDW19" s="289"/>
      <c r="HDX19" s="289"/>
      <c r="HDY19" s="289"/>
      <c r="HDZ19" s="289"/>
      <c r="HEA19" s="289"/>
      <c r="HEB19" s="289"/>
      <c r="HEC19" s="289"/>
      <c r="HED19" s="289"/>
      <c r="HEE19" s="289"/>
      <c r="HEF19" s="289"/>
      <c r="HEG19" s="289"/>
      <c r="HEH19" s="289"/>
      <c r="HEI19" s="289"/>
      <c r="HEJ19" s="289"/>
      <c r="HEK19" s="289"/>
      <c r="HEL19" s="289"/>
      <c r="HEM19" s="289"/>
      <c r="HEN19" s="289"/>
      <c r="HEO19" s="289"/>
      <c r="HEP19" s="289"/>
      <c r="HEQ19" s="289"/>
      <c r="HER19" s="289"/>
      <c r="HES19" s="289"/>
      <c r="HET19" s="289"/>
      <c r="HEU19" s="289"/>
      <c r="HEV19" s="289"/>
      <c r="HEW19" s="289"/>
      <c r="HEX19" s="289"/>
      <c r="HEY19" s="289"/>
      <c r="HEZ19" s="289"/>
      <c r="HFA19" s="289"/>
      <c r="HFB19" s="289"/>
      <c r="HFC19" s="289"/>
      <c r="HFD19" s="289"/>
      <c r="HFE19" s="289"/>
      <c r="HFF19" s="289"/>
      <c r="HFG19" s="289"/>
      <c r="HFH19" s="289"/>
      <c r="HFI19" s="289"/>
      <c r="HFJ19" s="289"/>
      <c r="HFK19" s="289"/>
      <c r="HFL19" s="289"/>
      <c r="HFM19" s="289"/>
      <c r="HFN19" s="289"/>
      <c r="HFO19" s="289"/>
      <c r="HFP19" s="289"/>
      <c r="HFQ19" s="289"/>
      <c r="HFR19" s="289"/>
      <c r="HFS19" s="289"/>
      <c r="HFT19" s="289"/>
      <c r="HFU19" s="289"/>
      <c r="HFV19" s="289"/>
      <c r="HFW19" s="289"/>
      <c r="HFX19" s="289"/>
      <c r="HFY19" s="289"/>
      <c r="HFZ19" s="289"/>
      <c r="HGA19" s="289"/>
      <c r="HGB19" s="289"/>
      <c r="HGC19" s="289"/>
      <c r="HGD19" s="289"/>
      <c r="HGE19" s="289"/>
      <c r="HGF19" s="289"/>
      <c r="HGG19" s="289"/>
      <c r="HGH19" s="289"/>
      <c r="HGI19" s="289"/>
      <c r="HGJ19" s="289"/>
      <c r="HGK19" s="289"/>
      <c r="HGL19" s="289"/>
      <c r="HGM19" s="289"/>
      <c r="HGN19" s="289"/>
      <c r="HGO19" s="289"/>
      <c r="HGP19" s="289"/>
      <c r="HGQ19" s="289"/>
      <c r="HGR19" s="289"/>
      <c r="HGS19" s="289"/>
      <c r="HGT19" s="289"/>
      <c r="HGU19" s="289"/>
      <c r="HGV19" s="289"/>
      <c r="HGW19" s="289"/>
      <c r="HGX19" s="289"/>
      <c r="HGY19" s="289"/>
      <c r="HGZ19" s="289"/>
      <c r="HHA19" s="289"/>
      <c r="HHB19" s="289"/>
      <c r="HHC19" s="289"/>
      <c r="HHD19" s="289"/>
      <c r="HHE19" s="289"/>
      <c r="HHF19" s="289"/>
      <c r="HHG19" s="289"/>
      <c r="HHH19" s="289"/>
      <c r="HHI19" s="289"/>
      <c r="HHJ19" s="289"/>
      <c r="HHK19" s="289"/>
      <c r="HHL19" s="289"/>
      <c r="HHM19" s="289"/>
      <c r="HHN19" s="289"/>
      <c r="HHO19" s="289"/>
      <c r="HHP19" s="289"/>
      <c r="HHQ19" s="289"/>
      <c r="HHR19" s="289"/>
      <c r="HHS19" s="289"/>
      <c r="HHT19" s="289"/>
      <c r="HHU19" s="289"/>
      <c r="HHV19" s="289"/>
      <c r="HHW19" s="289"/>
      <c r="HHX19" s="289"/>
      <c r="HHY19" s="289"/>
      <c r="HHZ19" s="289"/>
      <c r="HIA19" s="289"/>
      <c r="HIB19" s="289"/>
      <c r="HIC19" s="289"/>
      <c r="HID19" s="289"/>
      <c r="HIE19" s="289"/>
      <c r="HIF19" s="289"/>
      <c r="HIG19" s="289"/>
      <c r="HIH19" s="289"/>
      <c r="HII19" s="289"/>
      <c r="HIJ19" s="289"/>
      <c r="HIK19" s="289"/>
      <c r="HIL19" s="289"/>
      <c r="HIM19" s="289"/>
      <c r="HIN19" s="289"/>
      <c r="HIO19" s="289"/>
      <c r="HIP19" s="289"/>
      <c r="HIQ19" s="289"/>
      <c r="HIR19" s="289"/>
      <c r="HIS19" s="289"/>
      <c r="HIT19" s="289"/>
      <c r="HIU19" s="289"/>
      <c r="HIV19" s="289"/>
      <c r="HIW19" s="289"/>
      <c r="HIX19" s="289"/>
      <c r="HIY19" s="289"/>
      <c r="HIZ19" s="289"/>
      <c r="HJA19" s="289"/>
      <c r="HJB19" s="289"/>
      <c r="HJC19" s="289"/>
      <c r="HJD19" s="289"/>
      <c r="HJE19" s="289"/>
      <c r="HJF19" s="289"/>
      <c r="HJG19" s="289"/>
      <c r="HJH19" s="289"/>
      <c r="HJI19" s="289"/>
      <c r="HJJ19" s="289"/>
      <c r="HJK19" s="289"/>
      <c r="HJL19" s="289"/>
      <c r="HJM19" s="289"/>
      <c r="HJN19" s="289"/>
      <c r="HJO19" s="289"/>
      <c r="HJP19" s="289"/>
      <c r="HJQ19" s="289"/>
      <c r="HJR19" s="289"/>
      <c r="HJS19" s="289"/>
      <c r="HJT19" s="289"/>
      <c r="HJU19" s="289"/>
      <c r="HJV19" s="289"/>
      <c r="HJW19" s="289"/>
      <c r="HJX19" s="289"/>
      <c r="HJY19" s="289"/>
      <c r="HJZ19" s="289"/>
      <c r="HKA19" s="289"/>
      <c r="HKB19" s="289"/>
      <c r="HKC19" s="289"/>
      <c r="HKD19" s="289"/>
      <c r="HKE19" s="289"/>
      <c r="HKF19" s="289"/>
      <c r="HKG19" s="289"/>
      <c r="HKH19" s="289"/>
      <c r="HKI19" s="289"/>
      <c r="HKJ19" s="289"/>
      <c r="HKK19" s="289"/>
      <c r="HKL19" s="289"/>
      <c r="HKM19" s="289"/>
      <c r="HKN19" s="289"/>
      <c r="HKO19" s="289"/>
      <c r="HKP19" s="289"/>
      <c r="HKQ19" s="289"/>
      <c r="HKR19" s="289"/>
      <c r="HKS19" s="289"/>
      <c r="HKT19" s="289"/>
      <c r="HKU19" s="289"/>
      <c r="HKV19" s="289"/>
      <c r="HKW19" s="289"/>
      <c r="HKX19" s="289"/>
      <c r="HKY19" s="289"/>
      <c r="HKZ19" s="289"/>
      <c r="HLA19" s="289"/>
      <c r="HLB19" s="289"/>
      <c r="HLC19" s="289"/>
      <c r="HLD19" s="289"/>
      <c r="HLE19" s="289"/>
      <c r="HLF19" s="289"/>
      <c r="HLG19" s="289"/>
      <c r="HLH19" s="289"/>
      <c r="HLI19" s="289"/>
      <c r="HLJ19" s="289"/>
      <c r="HLK19" s="289"/>
      <c r="HLL19" s="289"/>
      <c r="HLM19" s="289"/>
      <c r="HLN19" s="289"/>
      <c r="HLO19" s="289"/>
      <c r="HLP19" s="289"/>
      <c r="HLQ19" s="289"/>
      <c r="HLR19" s="289"/>
      <c r="HLS19" s="289"/>
      <c r="HLT19" s="289"/>
      <c r="HLU19" s="289"/>
      <c r="HLV19" s="289"/>
      <c r="HLW19" s="289"/>
      <c r="HLX19" s="289"/>
      <c r="HLY19" s="289"/>
      <c r="HLZ19" s="289"/>
      <c r="HMA19" s="289"/>
      <c r="HMB19" s="289"/>
      <c r="HMC19" s="289"/>
      <c r="HMD19" s="289"/>
      <c r="HME19" s="289"/>
      <c r="HMF19" s="289"/>
      <c r="HMG19" s="289"/>
      <c r="HMH19" s="289"/>
      <c r="HMI19" s="289"/>
      <c r="HMJ19" s="289"/>
      <c r="HMK19" s="289"/>
      <c r="HML19" s="289"/>
      <c r="HMM19" s="289"/>
      <c r="HMN19" s="289"/>
      <c r="HMO19" s="289"/>
      <c r="HMP19" s="289"/>
      <c r="HMQ19" s="289"/>
      <c r="HMR19" s="289"/>
      <c r="HMS19" s="289"/>
      <c r="HMT19" s="289"/>
      <c r="HMU19" s="289"/>
      <c r="HMV19" s="289"/>
      <c r="HMW19" s="289"/>
      <c r="HMX19" s="289"/>
      <c r="HMY19" s="289"/>
      <c r="HMZ19" s="289"/>
      <c r="HNA19" s="289"/>
      <c r="HNB19" s="289"/>
      <c r="HNC19" s="289"/>
      <c r="HND19" s="289"/>
      <c r="HNE19" s="289"/>
      <c r="HNF19" s="289"/>
      <c r="HNG19" s="289"/>
      <c r="HNH19" s="289"/>
      <c r="HNI19" s="289"/>
      <c r="HNJ19" s="289"/>
      <c r="HNK19" s="289"/>
      <c r="HNL19" s="289"/>
      <c r="HNM19" s="289"/>
      <c r="HNN19" s="289"/>
      <c r="HNO19" s="289"/>
      <c r="HNP19" s="289"/>
      <c r="HNQ19" s="289"/>
      <c r="HNR19" s="289"/>
      <c r="HNS19" s="289"/>
      <c r="HNT19" s="289"/>
      <c r="HNU19" s="289"/>
      <c r="HNV19" s="289"/>
      <c r="HNW19" s="289"/>
      <c r="HNX19" s="289"/>
      <c r="HNY19" s="289"/>
      <c r="HNZ19" s="289"/>
      <c r="HOA19" s="289"/>
      <c r="HOB19" s="289"/>
      <c r="HOC19" s="289"/>
      <c r="HOD19" s="289"/>
      <c r="HOE19" s="289"/>
      <c r="HOF19" s="289"/>
      <c r="HOG19" s="289"/>
      <c r="HOH19" s="289"/>
      <c r="HOI19" s="289"/>
      <c r="HOJ19" s="289"/>
      <c r="HOK19" s="289"/>
      <c r="HOL19" s="289"/>
      <c r="HOM19" s="289"/>
      <c r="HON19" s="289"/>
      <c r="HOO19" s="289"/>
      <c r="HOP19" s="289"/>
      <c r="HOQ19" s="289"/>
      <c r="HOR19" s="289"/>
      <c r="HOS19" s="289"/>
      <c r="HOT19" s="289"/>
      <c r="HOU19" s="289"/>
      <c r="HOV19" s="289"/>
      <c r="HOW19" s="289"/>
      <c r="HOX19" s="289"/>
      <c r="HOY19" s="289"/>
      <c r="HOZ19" s="289"/>
      <c r="HPA19" s="289"/>
      <c r="HPB19" s="289"/>
      <c r="HPC19" s="289"/>
      <c r="HPD19" s="289"/>
      <c r="HPE19" s="289"/>
      <c r="HPF19" s="289"/>
      <c r="HPG19" s="289"/>
      <c r="HPH19" s="289"/>
      <c r="HPI19" s="289"/>
      <c r="HPJ19" s="289"/>
      <c r="HPK19" s="289"/>
      <c r="HPL19" s="289"/>
      <c r="HPM19" s="289"/>
      <c r="HPN19" s="289"/>
      <c r="HPO19" s="289"/>
      <c r="HPP19" s="289"/>
      <c r="HPQ19" s="289"/>
      <c r="HPR19" s="289"/>
      <c r="HPS19" s="289"/>
      <c r="HPT19" s="289"/>
      <c r="HPU19" s="289"/>
      <c r="HPV19" s="289"/>
      <c r="HPW19" s="289"/>
      <c r="HPX19" s="289"/>
      <c r="HPY19" s="289"/>
      <c r="HPZ19" s="289"/>
      <c r="HQA19" s="289"/>
      <c r="HQB19" s="289"/>
      <c r="HQC19" s="289"/>
      <c r="HQD19" s="289"/>
      <c r="HQE19" s="289"/>
      <c r="HQF19" s="289"/>
      <c r="HQG19" s="289"/>
      <c r="HQH19" s="289"/>
      <c r="HQI19" s="289"/>
      <c r="HQJ19" s="289"/>
      <c r="HQK19" s="289"/>
      <c r="HQL19" s="289"/>
      <c r="HQM19" s="289"/>
      <c r="HQN19" s="289"/>
      <c r="HQO19" s="289"/>
      <c r="HQP19" s="289"/>
      <c r="HQQ19" s="289"/>
      <c r="HQR19" s="289"/>
      <c r="HQS19" s="289"/>
      <c r="HQT19" s="289"/>
      <c r="HQU19" s="289"/>
      <c r="HQV19" s="289"/>
      <c r="HQW19" s="289"/>
      <c r="HQX19" s="289"/>
      <c r="HQY19" s="289"/>
      <c r="HQZ19" s="289"/>
      <c r="HRA19" s="289"/>
      <c r="HRB19" s="289"/>
      <c r="HRC19" s="289"/>
      <c r="HRD19" s="289"/>
      <c r="HRE19" s="289"/>
      <c r="HRF19" s="289"/>
      <c r="HRG19" s="289"/>
      <c r="HRH19" s="289"/>
      <c r="HRI19" s="289"/>
      <c r="HRJ19" s="289"/>
      <c r="HRK19" s="289"/>
      <c r="HRL19" s="289"/>
      <c r="HRM19" s="289"/>
      <c r="HRN19" s="289"/>
      <c r="HRO19" s="289"/>
      <c r="HRP19" s="289"/>
      <c r="HRQ19" s="289"/>
      <c r="HRR19" s="289"/>
      <c r="HRS19" s="289"/>
      <c r="HRT19" s="289"/>
      <c r="HRU19" s="289"/>
      <c r="HRV19" s="289"/>
      <c r="HRW19" s="289"/>
      <c r="HRX19" s="289"/>
      <c r="HRY19" s="289"/>
      <c r="HRZ19" s="289"/>
      <c r="HSA19" s="289"/>
      <c r="HSB19" s="289"/>
      <c r="HSC19" s="289"/>
      <c r="HSD19" s="289"/>
      <c r="HSE19" s="289"/>
      <c r="HSF19" s="289"/>
      <c r="HSG19" s="289"/>
      <c r="HSH19" s="289"/>
      <c r="HSI19" s="289"/>
      <c r="HSJ19" s="289"/>
      <c r="HSK19" s="289"/>
      <c r="HSL19" s="289"/>
      <c r="HSM19" s="289"/>
      <c r="HSN19" s="289"/>
      <c r="HSO19" s="289"/>
      <c r="HSP19" s="289"/>
      <c r="HSQ19" s="289"/>
      <c r="HSR19" s="289"/>
      <c r="HSS19" s="289"/>
      <c r="HST19" s="289"/>
      <c r="HSU19" s="289"/>
      <c r="HSV19" s="289"/>
      <c r="HSW19" s="289"/>
      <c r="HSX19" s="289"/>
      <c r="HSY19" s="289"/>
      <c r="HSZ19" s="289"/>
      <c r="HTA19" s="289"/>
      <c r="HTB19" s="289"/>
      <c r="HTC19" s="289"/>
      <c r="HTD19" s="289"/>
      <c r="HTE19" s="289"/>
      <c r="HTF19" s="289"/>
      <c r="HTG19" s="289"/>
      <c r="HTH19" s="289"/>
      <c r="HTI19" s="289"/>
      <c r="HTJ19" s="289"/>
      <c r="HTK19" s="289"/>
      <c r="HTL19" s="289"/>
      <c r="HTM19" s="289"/>
      <c r="HTN19" s="289"/>
      <c r="HTO19" s="289"/>
      <c r="HTP19" s="289"/>
      <c r="HTQ19" s="289"/>
      <c r="HTR19" s="289"/>
      <c r="HTS19" s="289"/>
      <c r="HTT19" s="289"/>
      <c r="HTU19" s="289"/>
      <c r="HTV19" s="289"/>
      <c r="HTW19" s="289"/>
      <c r="HTX19" s="289"/>
      <c r="HTY19" s="289"/>
      <c r="HTZ19" s="289"/>
      <c r="HUA19" s="289"/>
      <c r="HUB19" s="289"/>
      <c r="HUC19" s="289"/>
      <c r="HUD19" s="289"/>
      <c r="HUE19" s="289"/>
      <c r="HUF19" s="289"/>
      <c r="HUG19" s="289"/>
      <c r="HUH19" s="289"/>
      <c r="HUI19" s="289"/>
      <c r="HUJ19" s="289"/>
      <c r="HUK19" s="289"/>
      <c r="HUL19" s="289"/>
      <c r="HUM19" s="289"/>
      <c r="HUN19" s="289"/>
      <c r="HUO19" s="289"/>
      <c r="HUP19" s="289"/>
      <c r="HUQ19" s="289"/>
      <c r="HUR19" s="289"/>
      <c r="HUS19" s="289"/>
      <c r="HUT19" s="289"/>
      <c r="HUU19" s="289"/>
      <c r="HUV19" s="289"/>
      <c r="HUW19" s="289"/>
      <c r="HUX19" s="289"/>
      <c r="HUY19" s="289"/>
      <c r="HUZ19" s="289"/>
      <c r="HVA19" s="289"/>
      <c r="HVB19" s="289"/>
      <c r="HVC19" s="289"/>
      <c r="HVD19" s="289"/>
      <c r="HVE19" s="289"/>
      <c r="HVF19" s="289"/>
      <c r="HVG19" s="289"/>
      <c r="HVH19" s="289"/>
      <c r="HVI19" s="289"/>
      <c r="HVJ19" s="289"/>
      <c r="HVK19" s="289"/>
      <c r="HVL19" s="289"/>
      <c r="HVM19" s="289"/>
      <c r="HVN19" s="289"/>
      <c r="HVO19" s="289"/>
      <c r="HVP19" s="289"/>
      <c r="HVQ19" s="289"/>
      <c r="HVR19" s="289"/>
      <c r="HVS19" s="289"/>
      <c r="HVT19" s="289"/>
      <c r="HVU19" s="289"/>
      <c r="HVV19" s="289"/>
      <c r="HVW19" s="289"/>
      <c r="HVX19" s="289"/>
      <c r="HVY19" s="289"/>
      <c r="HVZ19" s="289"/>
      <c r="HWA19" s="289"/>
      <c r="HWB19" s="289"/>
      <c r="HWC19" s="289"/>
      <c r="HWD19" s="289"/>
      <c r="HWE19" s="289"/>
      <c r="HWF19" s="289"/>
      <c r="HWG19" s="289"/>
      <c r="HWH19" s="289"/>
      <c r="HWI19" s="289"/>
      <c r="HWJ19" s="289"/>
      <c r="HWK19" s="289"/>
      <c r="HWL19" s="289"/>
      <c r="HWM19" s="289"/>
      <c r="HWN19" s="289"/>
      <c r="HWO19" s="289"/>
      <c r="HWP19" s="289"/>
      <c r="HWQ19" s="289"/>
      <c r="HWR19" s="289"/>
      <c r="HWS19" s="289"/>
      <c r="HWT19" s="289"/>
      <c r="HWU19" s="289"/>
      <c r="HWV19" s="289"/>
      <c r="HWW19" s="289"/>
      <c r="HWX19" s="289"/>
      <c r="HWY19" s="289"/>
      <c r="HWZ19" s="289"/>
      <c r="HXA19" s="289"/>
      <c r="HXB19" s="289"/>
      <c r="HXC19" s="289"/>
      <c r="HXD19" s="289"/>
      <c r="HXE19" s="289"/>
      <c r="HXF19" s="289"/>
      <c r="HXG19" s="289"/>
      <c r="HXH19" s="289"/>
      <c r="HXI19" s="289"/>
      <c r="HXJ19" s="289"/>
      <c r="HXK19" s="289"/>
      <c r="HXL19" s="289"/>
      <c r="HXM19" s="289"/>
      <c r="HXN19" s="289"/>
      <c r="HXO19" s="289"/>
      <c r="HXP19" s="289"/>
      <c r="HXQ19" s="289"/>
      <c r="HXR19" s="289"/>
      <c r="HXS19" s="289"/>
      <c r="HXT19" s="289"/>
      <c r="HXU19" s="289"/>
      <c r="HXV19" s="289"/>
      <c r="HXW19" s="289"/>
      <c r="HXX19" s="289"/>
      <c r="HXY19" s="289"/>
      <c r="HXZ19" s="289"/>
      <c r="HYA19" s="289"/>
      <c r="HYB19" s="289"/>
      <c r="HYC19" s="289"/>
      <c r="HYD19" s="289"/>
      <c r="HYE19" s="289"/>
      <c r="HYF19" s="289"/>
      <c r="HYG19" s="289"/>
      <c r="HYH19" s="289"/>
      <c r="HYI19" s="289"/>
      <c r="HYJ19" s="289"/>
      <c r="HYK19" s="289"/>
      <c r="HYL19" s="289"/>
      <c r="HYM19" s="289"/>
      <c r="HYN19" s="289"/>
      <c r="HYO19" s="289"/>
      <c r="HYP19" s="289"/>
      <c r="HYQ19" s="289"/>
      <c r="HYR19" s="289"/>
      <c r="HYS19" s="289"/>
      <c r="HYT19" s="289"/>
      <c r="HYU19" s="289"/>
      <c r="HYV19" s="289"/>
      <c r="HYW19" s="289"/>
      <c r="HYX19" s="289"/>
      <c r="HYY19" s="289"/>
      <c r="HYZ19" s="289"/>
      <c r="HZA19" s="289"/>
      <c r="HZB19" s="289"/>
      <c r="HZC19" s="289"/>
      <c r="HZD19" s="289"/>
      <c r="HZE19" s="289"/>
      <c r="HZF19" s="289"/>
      <c r="HZG19" s="289"/>
      <c r="HZH19" s="289"/>
      <c r="HZI19" s="289"/>
      <c r="HZJ19" s="289"/>
      <c r="HZK19" s="289"/>
      <c r="HZL19" s="289"/>
      <c r="HZM19" s="289"/>
      <c r="HZN19" s="289"/>
      <c r="HZO19" s="289"/>
      <c r="HZP19" s="289"/>
      <c r="HZQ19" s="289"/>
      <c r="HZR19" s="289"/>
      <c r="HZS19" s="289"/>
      <c r="HZT19" s="289"/>
      <c r="HZU19" s="289"/>
      <c r="HZV19" s="289"/>
      <c r="HZW19" s="289"/>
      <c r="HZX19" s="289"/>
      <c r="HZY19" s="289"/>
      <c r="HZZ19" s="289"/>
      <c r="IAA19" s="289"/>
      <c r="IAB19" s="289"/>
      <c r="IAC19" s="289"/>
      <c r="IAD19" s="289"/>
      <c r="IAE19" s="289"/>
      <c r="IAF19" s="289"/>
      <c r="IAG19" s="289"/>
      <c r="IAH19" s="289"/>
      <c r="IAI19" s="289"/>
      <c r="IAJ19" s="289"/>
      <c r="IAK19" s="289"/>
      <c r="IAL19" s="289"/>
      <c r="IAM19" s="289"/>
      <c r="IAN19" s="289"/>
      <c r="IAO19" s="289"/>
      <c r="IAP19" s="289"/>
      <c r="IAQ19" s="289"/>
      <c r="IAR19" s="289"/>
      <c r="IAS19" s="289"/>
      <c r="IAT19" s="289"/>
      <c r="IAU19" s="289"/>
      <c r="IAV19" s="289"/>
      <c r="IAW19" s="289"/>
      <c r="IAX19" s="289"/>
      <c r="IAY19" s="289"/>
      <c r="IAZ19" s="289"/>
      <c r="IBA19" s="289"/>
      <c r="IBB19" s="289"/>
      <c r="IBC19" s="289"/>
      <c r="IBD19" s="289"/>
      <c r="IBE19" s="289"/>
      <c r="IBF19" s="289"/>
      <c r="IBG19" s="289"/>
      <c r="IBH19" s="289"/>
      <c r="IBI19" s="289"/>
      <c r="IBJ19" s="289"/>
      <c r="IBK19" s="289"/>
      <c r="IBL19" s="289"/>
      <c r="IBM19" s="289"/>
      <c r="IBN19" s="289"/>
      <c r="IBO19" s="289"/>
      <c r="IBP19" s="289"/>
      <c r="IBQ19" s="289"/>
      <c r="IBR19" s="289"/>
      <c r="IBS19" s="289"/>
      <c r="IBT19" s="289"/>
      <c r="IBU19" s="289"/>
      <c r="IBV19" s="289"/>
      <c r="IBW19" s="289"/>
      <c r="IBX19" s="289"/>
      <c r="IBY19" s="289"/>
      <c r="IBZ19" s="289"/>
      <c r="ICA19" s="289"/>
      <c r="ICB19" s="289"/>
      <c r="ICC19" s="289"/>
      <c r="ICD19" s="289"/>
      <c r="ICE19" s="289"/>
      <c r="ICF19" s="289"/>
      <c r="ICG19" s="289"/>
      <c r="ICH19" s="289"/>
      <c r="ICI19" s="289"/>
      <c r="ICJ19" s="289"/>
      <c r="ICK19" s="289"/>
      <c r="ICL19" s="289"/>
      <c r="ICM19" s="289"/>
      <c r="ICN19" s="289"/>
      <c r="ICO19" s="289"/>
      <c r="ICP19" s="289"/>
      <c r="ICQ19" s="289"/>
      <c r="ICR19" s="289"/>
      <c r="ICS19" s="289"/>
      <c r="ICT19" s="289"/>
      <c r="ICU19" s="289"/>
      <c r="ICV19" s="289"/>
      <c r="ICW19" s="289"/>
      <c r="ICX19" s="289"/>
      <c r="ICY19" s="289"/>
      <c r="ICZ19" s="289"/>
      <c r="IDA19" s="289"/>
      <c r="IDB19" s="289"/>
      <c r="IDC19" s="289"/>
      <c r="IDD19" s="289"/>
      <c r="IDE19" s="289"/>
      <c r="IDF19" s="289"/>
      <c r="IDG19" s="289"/>
      <c r="IDH19" s="289"/>
      <c r="IDI19" s="289"/>
      <c r="IDJ19" s="289"/>
      <c r="IDK19" s="289"/>
      <c r="IDL19" s="289"/>
      <c r="IDM19" s="289"/>
      <c r="IDN19" s="289"/>
      <c r="IDO19" s="289"/>
      <c r="IDP19" s="289"/>
      <c r="IDQ19" s="289"/>
      <c r="IDR19" s="289"/>
      <c r="IDS19" s="289"/>
      <c r="IDT19" s="289"/>
      <c r="IDU19" s="289"/>
      <c r="IDV19" s="289"/>
      <c r="IDW19" s="289"/>
      <c r="IDX19" s="289"/>
      <c r="IDY19" s="289"/>
      <c r="IDZ19" s="289"/>
      <c r="IEA19" s="289"/>
      <c r="IEB19" s="289"/>
      <c r="IEC19" s="289"/>
      <c r="IED19" s="289"/>
      <c r="IEE19" s="289"/>
      <c r="IEF19" s="289"/>
      <c r="IEG19" s="289"/>
      <c r="IEH19" s="289"/>
      <c r="IEI19" s="289"/>
      <c r="IEJ19" s="289"/>
      <c r="IEK19" s="289"/>
      <c r="IEL19" s="289"/>
      <c r="IEM19" s="289"/>
      <c r="IEN19" s="289"/>
      <c r="IEO19" s="289"/>
      <c r="IEP19" s="289"/>
      <c r="IEQ19" s="289"/>
      <c r="IER19" s="289"/>
      <c r="IES19" s="289"/>
      <c r="IET19" s="289"/>
      <c r="IEU19" s="289"/>
      <c r="IEV19" s="289"/>
      <c r="IEW19" s="289"/>
      <c r="IEX19" s="289"/>
      <c r="IEY19" s="289"/>
      <c r="IEZ19" s="289"/>
      <c r="IFA19" s="289"/>
      <c r="IFB19" s="289"/>
      <c r="IFC19" s="289"/>
      <c r="IFD19" s="289"/>
      <c r="IFE19" s="289"/>
      <c r="IFF19" s="289"/>
      <c r="IFG19" s="289"/>
      <c r="IFH19" s="289"/>
      <c r="IFI19" s="289"/>
      <c r="IFJ19" s="289"/>
      <c r="IFK19" s="289"/>
      <c r="IFL19" s="289"/>
      <c r="IFM19" s="289"/>
      <c r="IFN19" s="289"/>
      <c r="IFO19" s="289"/>
      <c r="IFP19" s="289"/>
      <c r="IFQ19" s="289"/>
      <c r="IFR19" s="289"/>
      <c r="IFS19" s="289"/>
      <c r="IFT19" s="289"/>
      <c r="IFU19" s="289"/>
      <c r="IFV19" s="289"/>
      <c r="IFW19" s="289"/>
      <c r="IFX19" s="289"/>
      <c r="IFY19" s="289"/>
      <c r="IFZ19" s="289"/>
      <c r="IGA19" s="289"/>
      <c r="IGB19" s="289"/>
      <c r="IGC19" s="289"/>
      <c r="IGD19" s="289"/>
      <c r="IGE19" s="289"/>
      <c r="IGF19" s="289"/>
      <c r="IGG19" s="289"/>
      <c r="IGH19" s="289"/>
      <c r="IGI19" s="289"/>
      <c r="IGJ19" s="289"/>
      <c r="IGK19" s="289"/>
      <c r="IGL19" s="289"/>
      <c r="IGM19" s="289"/>
      <c r="IGN19" s="289"/>
      <c r="IGO19" s="289"/>
      <c r="IGP19" s="289"/>
      <c r="IGQ19" s="289"/>
      <c r="IGR19" s="289"/>
      <c r="IGS19" s="289"/>
      <c r="IGT19" s="289"/>
      <c r="IGU19" s="289"/>
      <c r="IGV19" s="289"/>
      <c r="IGW19" s="289"/>
      <c r="IGX19" s="289"/>
      <c r="IGY19" s="289"/>
      <c r="IGZ19" s="289"/>
      <c r="IHA19" s="289"/>
      <c r="IHB19" s="289"/>
      <c r="IHC19" s="289"/>
      <c r="IHD19" s="289"/>
      <c r="IHE19" s="289"/>
      <c r="IHF19" s="289"/>
      <c r="IHG19" s="289"/>
      <c r="IHH19" s="289"/>
      <c r="IHI19" s="289"/>
      <c r="IHJ19" s="289"/>
      <c r="IHK19" s="289"/>
      <c r="IHL19" s="289"/>
      <c r="IHM19" s="289"/>
      <c r="IHN19" s="289"/>
      <c r="IHO19" s="289"/>
      <c r="IHP19" s="289"/>
      <c r="IHQ19" s="289"/>
      <c r="IHR19" s="289"/>
      <c r="IHS19" s="289"/>
      <c r="IHT19" s="289"/>
      <c r="IHU19" s="289"/>
      <c r="IHV19" s="289"/>
      <c r="IHW19" s="289"/>
      <c r="IHX19" s="289"/>
      <c r="IHY19" s="289"/>
      <c r="IHZ19" s="289"/>
      <c r="IIA19" s="289"/>
      <c r="IIB19" s="289"/>
      <c r="IIC19" s="289"/>
      <c r="IID19" s="289"/>
      <c r="IIE19" s="289"/>
      <c r="IIF19" s="289"/>
      <c r="IIG19" s="289"/>
      <c r="IIH19" s="289"/>
      <c r="III19" s="289"/>
      <c r="IIJ19" s="289"/>
      <c r="IIK19" s="289"/>
      <c r="IIL19" s="289"/>
      <c r="IIM19" s="289"/>
      <c r="IIN19" s="289"/>
      <c r="IIO19" s="289"/>
      <c r="IIP19" s="289"/>
      <c r="IIQ19" s="289"/>
      <c r="IIR19" s="289"/>
      <c r="IIS19" s="289"/>
      <c r="IIT19" s="289"/>
      <c r="IIU19" s="289"/>
      <c r="IIV19" s="289"/>
      <c r="IIW19" s="289"/>
      <c r="IIX19" s="289"/>
      <c r="IIY19" s="289"/>
      <c r="IIZ19" s="289"/>
      <c r="IJA19" s="289"/>
      <c r="IJB19" s="289"/>
      <c r="IJC19" s="289"/>
      <c r="IJD19" s="289"/>
      <c r="IJE19" s="289"/>
      <c r="IJF19" s="289"/>
      <c r="IJG19" s="289"/>
      <c r="IJH19" s="289"/>
      <c r="IJI19" s="289"/>
      <c r="IJJ19" s="289"/>
      <c r="IJK19" s="289"/>
      <c r="IJL19" s="289"/>
      <c r="IJM19" s="289"/>
      <c r="IJN19" s="289"/>
      <c r="IJO19" s="289"/>
      <c r="IJP19" s="289"/>
      <c r="IJQ19" s="289"/>
      <c r="IJR19" s="289"/>
      <c r="IJS19" s="289"/>
      <c r="IJT19" s="289"/>
      <c r="IJU19" s="289"/>
      <c r="IJV19" s="289"/>
      <c r="IJW19" s="289"/>
      <c r="IJX19" s="289"/>
      <c r="IJY19" s="289"/>
      <c r="IJZ19" s="289"/>
      <c r="IKA19" s="289"/>
      <c r="IKB19" s="289"/>
      <c r="IKC19" s="289"/>
      <c r="IKD19" s="289"/>
      <c r="IKE19" s="289"/>
      <c r="IKF19" s="289"/>
      <c r="IKG19" s="289"/>
      <c r="IKH19" s="289"/>
      <c r="IKI19" s="289"/>
      <c r="IKJ19" s="289"/>
      <c r="IKK19" s="289"/>
      <c r="IKL19" s="289"/>
      <c r="IKM19" s="289"/>
      <c r="IKN19" s="289"/>
      <c r="IKO19" s="289"/>
      <c r="IKP19" s="289"/>
      <c r="IKQ19" s="289"/>
      <c r="IKR19" s="289"/>
      <c r="IKS19" s="289"/>
      <c r="IKT19" s="289"/>
      <c r="IKU19" s="289"/>
      <c r="IKV19" s="289"/>
      <c r="IKW19" s="289"/>
      <c r="IKX19" s="289"/>
      <c r="IKY19" s="289"/>
      <c r="IKZ19" s="289"/>
      <c r="ILA19" s="289"/>
      <c r="ILB19" s="289"/>
      <c r="ILC19" s="289"/>
      <c r="ILD19" s="289"/>
      <c r="ILE19" s="289"/>
      <c r="ILF19" s="289"/>
      <c r="ILG19" s="289"/>
      <c r="ILH19" s="289"/>
      <c r="ILI19" s="289"/>
      <c r="ILJ19" s="289"/>
      <c r="ILK19" s="289"/>
      <c r="ILL19" s="289"/>
      <c r="ILM19" s="289"/>
      <c r="ILN19" s="289"/>
      <c r="ILO19" s="289"/>
      <c r="ILP19" s="289"/>
      <c r="ILQ19" s="289"/>
      <c r="ILR19" s="289"/>
      <c r="ILS19" s="289"/>
      <c r="ILT19" s="289"/>
      <c r="ILU19" s="289"/>
      <c r="ILV19" s="289"/>
      <c r="ILW19" s="289"/>
      <c r="ILX19" s="289"/>
      <c r="ILY19" s="289"/>
      <c r="ILZ19" s="289"/>
      <c r="IMA19" s="289"/>
      <c r="IMB19" s="289"/>
      <c r="IMC19" s="289"/>
      <c r="IMD19" s="289"/>
      <c r="IME19" s="289"/>
      <c r="IMF19" s="289"/>
      <c r="IMG19" s="289"/>
      <c r="IMH19" s="289"/>
      <c r="IMI19" s="289"/>
      <c r="IMJ19" s="289"/>
      <c r="IMK19" s="289"/>
      <c r="IML19" s="289"/>
      <c r="IMM19" s="289"/>
      <c r="IMN19" s="289"/>
      <c r="IMO19" s="289"/>
      <c r="IMP19" s="289"/>
      <c r="IMQ19" s="289"/>
      <c r="IMR19" s="289"/>
      <c r="IMS19" s="289"/>
      <c r="IMT19" s="289"/>
      <c r="IMU19" s="289"/>
      <c r="IMV19" s="289"/>
      <c r="IMW19" s="289"/>
      <c r="IMX19" s="289"/>
      <c r="IMY19" s="289"/>
      <c r="IMZ19" s="289"/>
      <c r="INA19" s="289"/>
      <c r="INB19" s="289"/>
      <c r="INC19" s="289"/>
      <c r="IND19" s="289"/>
      <c r="INE19" s="289"/>
      <c r="INF19" s="289"/>
      <c r="ING19" s="289"/>
      <c r="INH19" s="289"/>
      <c r="INI19" s="289"/>
      <c r="INJ19" s="289"/>
      <c r="INK19" s="289"/>
      <c r="INL19" s="289"/>
      <c r="INM19" s="289"/>
      <c r="INN19" s="289"/>
      <c r="INO19" s="289"/>
      <c r="INP19" s="289"/>
      <c r="INQ19" s="289"/>
      <c r="INR19" s="289"/>
      <c r="INS19" s="289"/>
      <c r="INT19" s="289"/>
      <c r="INU19" s="289"/>
      <c r="INV19" s="289"/>
      <c r="INW19" s="289"/>
      <c r="INX19" s="289"/>
      <c r="INY19" s="289"/>
      <c r="INZ19" s="289"/>
      <c r="IOA19" s="289"/>
      <c r="IOB19" s="289"/>
      <c r="IOC19" s="289"/>
      <c r="IOD19" s="289"/>
      <c r="IOE19" s="289"/>
      <c r="IOF19" s="289"/>
      <c r="IOG19" s="289"/>
      <c r="IOH19" s="289"/>
      <c r="IOI19" s="289"/>
      <c r="IOJ19" s="289"/>
      <c r="IOK19" s="289"/>
      <c r="IOL19" s="289"/>
      <c r="IOM19" s="289"/>
      <c r="ION19" s="289"/>
      <c r="IOO19" s="289"/>
      <c r="IOP19" s="289"/>
      <c r="IOQ19" s="289"/>
      <c r="IOR19" s="289"/>
      <c r="IOS19" s="289"/>
      <c r="IOT19" s="289"/>
      <c r="IOU19" s="289"/>
      <c r="IOV19" s="289"/>
      <c r="IOW19" s="289"/>
      <c r="IOX19" s="289"/>
      <c r="IOY19" s="289"/>
      <c r="IOZ19" s="289"/>
      <c r="IPA19" s="289"/>
      <c r="IPB19" s="289"/>
      <c r="IPC19" s="289"/>
      <c r="IPD19" s="289"/>
      <c r="IPE19" s="289"/>
      <c r="IPF19" s="289"/>
      <c r="IPG19" s="289"/>
      <c r="IPH19" s="289"/>
      <c r="IPI19" s="289"/>
      <c r="IPJ19" s="289"/>
      <c r="IPK19" s="289"/>
      <c r="IPL19" s="289"/>
      <c r="IPM19" s="289"/>
      <c r="IPN19" s="289"/>
      <c r="IPO19" s="289"/>
      <c r="IPP19" s="289"/>
      <c r="IPQ19" s="289"/>
      <c r="IPR19" s="289"/>
      <c r="IPS19" s="289"/>
      <c r="IPT19" s="289"/>
      <c r="IPU19" s="289"/>
      <c r="IPV19" s="289"/>
      <c r="IPW19" s="289"/>
      <c r="IPX19" s="289"/>
      <c r="IPY19" s="289"/>
      <c r="IPZ19" s="289"/>
      <c r="IQA19" s="289"/>
      <c r="IQB19" s="289"/>
      <c r="IQC19" s="289"/>
      <c r="IQD19" s="289"/>
      <c r="IQE19" s="289"/>
      <c r="IQF19" s="289"/>
      <c r="IQG19" s="289"/>
      <c r="IQH19" s="289"/>
      <c r="IQI19" s="289"/>
      <c r="IQJ19" s="289"/>
      <c r="IQK19" s="289"/>
      <c r="IQL19" s="289"/>
      <c r="IQM19" s="289"/>
      <c r="IQN19" s="289"/>
      <c r="IQO19" s="289"/>
      <c r="IQP19" s="289"/>
      <c r="IQQ19" s="289"/>
      <c r="IQR19" s="289"/>
      <c r="IQS19" s="289"/>
      <c r="IQT19" s="289"/>
      <c r="IQU19" s="289"/>
      <c r="IQV19" s="289"/>
      <c r="IQW19" s="289"/>
      <c r="IQX19" s="289"/>
      <c r="IQY19" s="289"/>
      <c r="IQZ19" s="289"/>
      <c r="IRA19" s="289"/>
      <c r="IRB19" s="289"/>
      <c r="IRC19" s="289"/>
      <c r="IRD19" s="289"/>
      <c r="IRE19" s="289"/>
      <c r="IRF19" s="289"/>
      <c r="IRG19" s="289"/>
      <c r="IRH19" s="289"/>
      <c r="IRI19" s="289"/>
      <c r="IRJ19" s="289"/>
      <c r="IRK19" s="289"/>
      <c r="IRL19" s="289"/>
      <c r="IRM19" s="289"/>
      <c r="IRN19" s="289"/>
      <c r="IRO19" s="289"/>
      <c r="IRP19" s="289"/>
      <c r="IRQ19" s="289"/>
      <c r="IRR19" s="289"/>
      <c r="IRS19" s="289"/>
      <c r="IRT19" s="289"/>
      <c r="IRU19" s="289"/>
      <c r="IRV19" s="289"/>
      <c r="IRW19" s="289"/>
      <c r="IRX19" s="289"/>
      <c r="IRY19" s="289"/>
      <c r="IRZ19" s="289"/>
      <c r="ISA19" s="289"/>
      <c r="ISB19" s="289"/>
      <c r="ISC19" s="289"/>
      <c r="ISD19" s="289"/>
      <c r="ISE19" s="289"/>
      <c r="ISF19" s="289"/>
      <c r="ISG19" s="289"/>
      <c r="ISH19" s="289"/>
      <c r="ISI19" s="289"/>
      <c r="ISJ19" s="289"/>
      <c r="ISK19" s="289"/>
      <c r="ISL19" s="289"/>
      <c r="ISM19" s="289"/>
      <c r="ISN19" s="289"/>
      <c r="ISO19" s="289"/>
      <c r="ISP19" s="289"/>
      <c r="ISQ19" s="289"/>
      <c r="ISR19" s="289"/>
      <c r="ISS19" s="289"/>
      <c r="IST19" s="289"/>
      <c r="ISU19" s="289"/>
      <c r="ISV19" s="289"/>
      <c r="ISW19" s="289"/>
      <c r="ISX19" s="289"/>
      <c r="ISY19" s="289"/>
      <c r="ISZ19" s="289"/>
      <c r="ITA19" s="289"/>
      <c r="ITB19" s="289"/>
      <c r="ITC19" s="289"/>
      <c r="ITD19" s="289"/>
      <c r="ITE19" s="289"/>
      <c r="ITF19" s="289"/>
      <c r="ITG19" s="289"/>
      <c r="ITH19" s="289"/>
      <c r="ITI19" s="289"/>
      <c r="ITJ19" s="289"/>
      <c r="ITK19" s="289"/>
      <c r="ITL19" s="289"/>
      <c r="ITM19" s="289"/>
      <c r="ITN19" s="289"/>
      <c r="ITO19" s="289"/>
      <c r="ITP19" s="289"/>
      <c r="ITQ19" s="289"/>
      <c r="ITR19" s="289"/>
      <c r="ITS19" s="289"/>
      <c r="ITT19" s="289"/>
      <c r="ITU19" s="289"/>
      <c r="ITV19" s="289"/>
      <c r="ITW19" s="289"/>
      <c r="ITX19" s="289"/>
      <c r="ITY19" s="289"/>
      <c r="ITZ19" s="289"/>
      <c r="IUA19" s="289"/>
      <c r="IUB19" s="289"/>
      <c r="IUC19" s="289"/>
      <c r="IUD19" s="289"/>
      <c r="IUE19" s="289"/>
      <c r="IUF19" s="289"/>
      <c r="IUG19" s="289"/>
      <c r="IUH19" s="289"/>
      <c r="IUI19" s="289"/>
      <c r="IUJ19" s="289"/>
      <c r="IUK19" s="289"/>
      <c r="IUL19" s="289"/>
      <c r="IUM19" s="289"/>
      <c r="IUN19" s="289"/>
      <c r="IUO19" s="289"/>
      <c r="IUP19" s="289"/>
      <c r="IUQ19" s="289"/>
      <c r="IUR19" s="289"/>
      <c r="IUS19" s="289"/>
      <c r="IUT19" s="289"/>
      <c r="IUU19" s="289"/>
      <c r="IUV19" s="289"/>
      <c r="IUW19" s="289"/>
      <c r="IUX19" s="289"/>
      <c r="IUY19" s="289"/>
      <c r="IUZ19" s="289"/>
      <c r="IVA19" s="289"/>
      <c r="IVB19" s="289"/>
      <c r="IVC19" s="289"/>
      <c r="IVD19" s="289"/>
      <c r="IVE19" s="289"/>
      <c r="IVF19" s="289"/>
      <c r="IVG19" s="289"/>
      <c r="IVH19" s="289"/>
      <c r="IVI19" s="289"/>
      <c r="IVJ19" s="289"/>
      <c r="IVK19" s="289"/>
      <c r="IVL19" s="289"/>
      <c r="IVM19" s="289"/>
      <c r="IVN19" s="289"/>
      <c r="IVO19" s="289"/>
      <c r="IVP19" s="289"/>
      <c r="IVQ19" s="289"/>
      <c r="IVR19" s="289"/>
      <c r="IVS19" s="289"/>
      <c r="IVT19" s="289"/>
      <c r="IVU19" s="289"/>
      <c r="IVV19" s="289"/>
      <c r="IVW19" s="289"/>
      <c r="IVX19" s="289"/>
      <c r="IVY19" s="289"/>
      <c r="IVZ19" s="289"/>
      <c r="IWA19" s="289"/>
      <c r="IWB19" s="289"/>
      <c r="IWC19" s="289"/>
      <c r="IWD19" s="289"/>
      <c r="IWE19" s="289"/>
      <c r="IWF19" s="289"/>
      <c r="IWG19" s="289"/>
      <c r="IWH19" s="289"/>
      <c r="IWI19" s="289"/>
      <c r="IWJ19" s="289"/>
      <c r="IWK19" s="289"/>
      <c r="IWL19" s="289"/>
      <c r="IWM19" s="289"/>
      <c r="IWN19" s="289"/>
      <c r="IWO19" s="289"/>
      <c r="IWP19" s="289"/>
      <c r="IWQ19" s="289"/>
      <c r="IWR19" s="289"/>
      <c r="IWS19" s="289"/>
      <c r="IWT19" s="289"/>
      <c r="IWU19" s="289"/>
      <c r="IWV19" s="289"/>
      <c r="IWW19" s="289"/>
      <c r="IWX19" s="289"/>
      <c r="IWY19" s="289"/>
      <c r="IWZ19" s="289"/>
      <c r="IXA19" s="289"/>
      <c r="IXB19" s="289"/>
      <c r="IXC19" s="289"/>
      <c r="IXD19" s="289"/>
      <c r="IXE19" s="289"/>
      <c r="IXF19" s="289"/>
      <c r="IXG19" s="289"/>
      <c r="IXH19" s="289"/>
      <c r="IXI19" s="289"/>
      <c r="IXJ19" s="289"/>
      <c r="IXK19" s="289"/>
      <c r="IXL19" s="289"/>
      <c r="IXM19" s="289"/>
      <c r="IXN19" s="289"/>
      <c r="IXO19" s="289"/>
      <c r="IXP19" s="289"/>
      <c r="IXQ19" s="289"/>
      <c r="IXR19" s="289"/>
      <c r="IXS19" s="289"/>
      <c r="IXT19" s="289"/>
      <c r="IXU19" s="289"/>
      <c r="IXV19" s="289"/>
      <c r="IXW19" s="289"/>
      <c r="IXX19" s="289"/>
      <c r="IXY19" s="289"/>
      <c r="IXZ19" s="289"/>
      <c r="IYA19" s="289"/>
      <c r="IYB19" s="289"/>
      <c r="IYC19" s="289"/>
      <c r="IYD19" s="289"/>
      <c r="IYE19" s="289"/>
      <c r="IYF19" s="289"/>
      <c r="IYG19" s="289"/>
      <c r="IYH19" s="289"/>
      <c r="IYI19" s="289"/>
      <c r="IYJ19" s="289"/>
      <c r="IYK19" s="289"/>
      <c r="IYL19" s="289"/>
      <c r="IYM19" s="289"/>
      <c r="IYN19" s="289"/>
      <c r="IYO19" s="289"/>
      <c r="IYP19" s="289"/>
      <c r="IYQ19" s="289"/>
      <c r="IYR19" s="289"/>
      <c r="IYS19" s="289"/>
      <c r="IYT19" s="289"/>
      <c r="IYU19" s="289"/>
      <c r="IYV19" s="289"/>
      <c r="IYW19" s="289"/>
      <c r="IYX19" s="289"/>
      <c r="IYY19" s="289"/>
      <c r="IYZ19" s="289"/>
      <c r="IZA19" s="289"/>
      <c r="IZB19" s="289"/>
      <c r="IZC19" s="289"/>
      <c r="IZD19" s="289"/>
      <c r="IZE19" s="289"/>
      <c r="IZF19" s="289"/>
      <c r="IZG19" s="289"/>
      <c r="IZH19" s="289"/>
      <c r="IZI19" s="289"/>
      <c r="IZJ19" s="289"/>
      <c r="IZK19" s="289"/>
      <c r="IZL19" s="289"/>
      <c r="IZM19" s="289"/>
      <c r="IZN19" s="289"/>
      <c r="IZO19" s="289"/>
      <c r="IZP19" s="289"/>
      <c r="IZQ19" s="289"/>
      <c r="IZR19" s="289"/>
      <c r="IZS19" s="289"/>
      <c r="IZT19" s="289"/>
      <c r="IZU19" s="289"/>
      <c r="IZV19" s="289"/>
      <c r="IZW19" s="289"/>
      <c r="IZX19" s="289"/>
      <c r="IZY19" s="289"/>
      <c r="IZZ19" s="289"/>
      <c r="JAA19" s="289"/>
      <c r="JAB19" s="289"/>
      <c r="JAC19" s="289"/>
      <c r="JAD19" s="289"/>
      <c r="JAE19" s="289"/>
      <c r="JAF19" s="289"/>
      <c r="JAG19" s="289"/>
      <c r="JAH19" s="289"/>
      <c r="JAI19" s="289"/>
      <c r="JAJ19" s="289"/>
      <c r="JAK19" s="289"/>
      <c r="JAL19" s="289"/>
      <c r="JAM19" s="289"/>
      <c r="JAN19" s="289"/>
      <c r="JAO19" s="289"/>
      <c r="JAP19" s="289"/>
      <c r="JAQ19" s="289"/>
      <c r="JAR19" s="289"/>
      <c r="JAS19" s="289"/>
      <c r="JAT19" s="289"/>
      <c r="JAU19" s="289"/>
      <c r="JAV19" s="289"/>
      <c r="JAW19" s="289"/>
      <c r="JAX19" s="289"/>
      <c r="JAY19" s="289"/>
      <c r="JAZ19" s="289"/>
      <c r="JBA19" s="289"/>
      <c r="JBB19" s="289"/>
      <c r="JBC19" s="289"/>
      <c r="JBD19" s="289"/>
      <c r="JBE19" s="289"/>
      <c r="JBF19" s="289"/>
      <c r="JBG19" s="289"/>
      <c r="JBH19" s="289"/>
      <c r="JBI19" s="289"/>
      <c r="JBJ19" s="289"/>
      <c r="JBK19" s="289"/>
      <c r="JBL19" s="289"/>
      <c r="JBM19" s="289"/>
      <c r="JBN19" s="289"/>
      <c r="JBO19" s="289"/>
      <c r="JBP19" s="289"/>
      <c r="JBQ19" s="289"/>
      <c r="JBR19" s="289"/>
      <c r="JBS19" s="289"/>
      <c r="JBT19" s="289"/>
      <c r="JBU19" s="289"/>
      <c r="JBV19" s="289"/>
      <c r="JBW19" s="289"/>
      <c r="JBX19" s="289"/>
      <c r="JBY19" s="289"/>
      <c r="JBZ19" s="289"/>
      <c r="JCA19" s="289"/>
      <c r="JCB19" s="289"/>
      <c r="JCC19" s="289"/>
      <c r="JCD19" s="289"/>
      <c r="JCE19" s="289"/>
      <c r="JCF19" s="289"/>
      <c r="JCG19" s="289"/>
      <c r="JCH19" s="289"/>
      <c r="JCI19" s="289"/>
      <c r="JCJ19" s="289"/>
      <c r="JCK19" s="289"/>
      <c r="JCL19" s="289"/>
      <c r="JCM19" s="289"/>
      <c r="JCN19" s="289"/>
      <c r="JCO19" s="289"/>
      <c r="JCP19" s="289"/>
      <c r="JCQ19" s="289"/>
      <c r="JCR19" s="289"/>
      <c r="JCS19" s="289"/>
      <c r="JCT19" s="289"/>
      <c r="JCU19" s="289"/>
      <c r="JCV19" s="289"/>
      <c r="JCW19" s="289"/>
      <c r="JCX19" s="289"/>
      <c r="JCY19" s="289"/>
      <c r="JCZ19" s="289"/>
      <c r="JDA19" s="289"/>
      <c r="JDB19" s="289"/>
      <c r="JDC19" s="289"/>
      <c r="JDD19" s="289"/>
      <c r="JDE19" s="289"/>
      <c r="JDF19" s="289"/>
      <c r="JDG19" s="289"/>
      <c r="JDH19" s="289"/>
      <c r="JDI19" s="289"/>
      <c r="JDJ19" s="289"/>
      <c r="JDK19" s="289"/>
      <c r="JDL19" s="289"/>
      <c r="JDM19" s="289"/>
      <c r="JDN19" s="289"/>
      <c r="JDO19" s="289"/>
      <c r="JDP19" s="289"/>
      <c r="JDQ19" s="289"/>
      <c r="JDR19" s="289"/>
      <c r="JDS19" s="289"/>
      <c r="JDT19" s="289"/>
      <c r="JDU19" s="289"/>
      <c r="JDV19" s="289"/>
      <c r="JDW19" s="289"/>
      <c r="JDX19" s="289"/>
      <c r="JDY19" s="289"/>
      <c r="JDZ19" s="289"/>
      <c r="JEA19" s="289"/>
      <c r="JEB19" s="289"/>
      <c r="JEC19" s="289"/>
      <c r="JED19" s="289"/>
      <c r="JEE19" s="289"/>
      <c r="JEF19" s="289"/>
      <c r="JEG19" s="289"/>
      <c r="JEH19" s="289"/>
      <c r="JEI19" s="289"/>
      <c r="JEJ19" s="289"/>
      <c r="JEK19" s="289"/>
      <c r="JEL19" s="289"/>
      <c r="JEM19" s="289"/>
      <c r="JEN19" s="289"/>
      <c r="JEO19" s="289"/>
      <c r="JEP19" s="289"/>
      <c r="JEQ19" s="289"/>
      <c r="JER19" s="289"/>
      <c r="JES19" s="289"/>
      <c r="JET19" s="289"/>
      <c r="JEU19" s="289"/>
      <c r="JEV19" s="289"/>
      <c r="JEW19" s="289"/>
      <c r="JEX19" s="289"/>
      <c r="JEY19" s="289"/>
      <c r="JEZ19" s="289"/>
      <c r="JFA19" s="289"/>
      <c r="JFB19" s="289"/>
      <c r="JFC19" s="289"/>
      <c r="JFD19" s="289"/>
      <c r="JFE19" s="289"/>
      <c r="JFF19" s="289"/>
      <c r="JFG19" s="289"/>
      <c r="JFH19" s="289"/>
      <c r="JFI19" s="289"/>
      <c r="JFJ19" s="289"/>
      <c r="JFK19" s="289"/>
      <c r="JFL19" s="289"/>
      <c r="JFM19" s="289"/>
      <c r="JFN19" s="289"/>
      <c r="JFO19" s="289"/>
      <c r="JFP19" s="289"/>
      <c r="JFQ19" s="289"/>
      <c r="JFR19" s="289"/>
      <c r="JFS19" s="289"/>
      <c r="JFT19" s="289"/>
      <c r="JFU19" s="289"/>
      <c r="JFV19" s="289"/>
      <c r="JFW19" s="289"/>
      <c r="JFX19" s="289"/>
      <c r="JFY19" s="289"/>
      <c r="JFZ19" s="289"/>
      <c r="JGA19" s="289"/>
      <c r="JGB19" s="289"/>
      <c r="JGC19" s="289"/>
      <c r="JGD19" s="289"/>
      <c r="JGE19" s="289"/>
      <c r="JGF19" s="289"/>
      <c r="JGG19" s="289"/>
      <c r="JGH19" s="289"/>
      <c r="JGI19" s="289"/>
      <c r="JGJ19" s="289"/>
      <c r="JGK19" s="289"/>
      <c r="JGL19" s="289"/>
      <c r="JGM19" s="289"/>
      <c r="JGN19" s="289"/>
      <c r="JGO19" s="289"/>
      <c r="JGP19" s="289"/>
      <c r="JGQ19" s="289"/>
      <c r="JGR19" s="289"/>
      <c r="JGS19" s="289"/>
      <c r="JGT19" s="289"/>
      <c r="JGU19" s="289"/>
      <c r="JGV19" s="289"/>
      <c r="JGW19" s="289"/>
      <c r="JGX19" s="289"/>
      <c r="JGY19" s="289"/>
      <c r="JGZ19" s="289"/>
      <c r="JHA19" s="289"/>
      <c r="JHB19" s="289"/>
      <c r="JHC19" s="289"/>
      <c r="JHD19" s="289"/>
      <c r="JHE19" s="289"/>
      <c r="JHF19" s="289"/>
      <c r="JHG19" s="289"/>
      <c r="JHH19" s="289"/>
      <c r="JHI19" s="289"/>
      <c r="JHJ19" s="289"/>
      <c r="JHK19" s="289"/>
      <c r="JHL19" s="289"/>
      <c r="JHM19" s="289"/>
      <c r="JHN19" s="289"/>
      <c r="JHO19" s="289"/>
      <c r="JHP19" s="289"/>
      <c r="JHQ19" s="289"/>
      <c r="JHR19" s="289"/>
      <c r="JHS19" s="289"/>
      <c r="JHT19" s="289"/>
      <c r="JHU19" s="289"/>
      <c r="JHV19" s="289"/>
      <c r="JHW19" s="289"/>
      <c r="JHX19" s="289"/>
      <c r="JHY19" s="289"/>
      <c r="JHZ19" s="289"/>
      <c r="JIA19" s="289"/>
      <c r="JIB19" s="289"/>
      <c r="JIC19" s="289"/>
      <c r="JID19" s="289"/>
      <c r="JIE19" s="289"/>
      <c r="JIF19" s="289"/>
      <c r="JIG19" s="289"/>
      <c r="JIH19" s="289"/>
      <c r="JII19" s="289"/>
      <c r="JIJ19" s="289"/>
      <c r="JIK19" s="289"/>
      <c r="JIL19" s="289"/>
      <c r="JIM19" s="289"/>
      <c r="JIN19" s="289"/>
      <c r="JIO19" s="289"/>
      <c r="JIP19" s="289"/>
      <c r="JIQ19" s="289"/>
      <c r="JIR19" s="289"/>
      <c r="JIS19" s="289"/>
      <c r="JIT19" s="289"/>
      <c r="JIU19" s="289"/>
      <c r="JIV19" s="289"/>
      <c r="JIW19" s="289"/>
      <c r="JIX19" s="289"/>
      <c r="JIY19" s="289"/>
      <c r="JIZ19" s="289"/>
      <c r="JJA19" s="289"/>
      <c r="JJB19" s="289"/>
      <c r="JJC19" s="289"/>
      <c r="JJD19" s="289"/>
      <c r="JJE19" s="289"/>
      <c r="JJF19" s="289"/>
      <c r="JJG19" s="289"/>
      <c r="JJH19" s="289"/>
      <c r="JJI19" s="289"/>
      <c r="JJJ19" s="289"/>
      <c r="JJK19" s="289"/>
      <c r="JJL19" s="289"/>
      <c r="JJM19" s="289"/>
      <c r="JJN19" s="289"/>
      <c r="JJO19" s="289"/>
      <c r="JJP19" s="289"/>
      <c r="JJQ19" s="289"/>
      <c r="JJR19" s="289"/>
      <c r="JJS19" s="289"/>
      <c r="JJT19" s="289"/>
      <c r="JJU19" s="289"/>
      <c r="JJV19" s="289"/>
      <c r="JJW19" s="289"/>
      <c r="JJX19" s="289"/>
      <c r="JJY19" s="289"/>
      <c r="JJZ19" s="289"/>
      <c r="JKA19" s="289"/>
      <c r="JKB19" s="289"/>
      <c r="JKC19" s="289"/>
      <c r="JKD19" s="289"/>
      <c r="JKE19" s="289"/>
      <c r="JKF19" s="289"/>
      <c r="JKG19" s="289"/>
      <c r="JKH19" s="289"/>
      <c r="JKI19" s="289"/>
      <c r="JKJ19" s="289"/>
      <c r="JKK19" s="289"/>
      <c r="JKL19" s="289"/>
      <c r="JKM19" s="289"/>
      <c r="JKN19" s="289"/>
      <c r="JKO19" s="289"/>
      <c r="JKP19" s="289"/>
      <c r="JKQ19" s="289"/>
      <c r="JKR19" s="289"/>
      <c r="JKS19" s="289"/>
      <c r="JKT19" s="289"/>
      <c r="JKU19" s="289"/>
      <c r="JKV19" s="289"/>
      <c r="JKW19" s="289"/>
      <c r="JKX19" s="289"/>
      <c r="JKY19" s="289"/>
      <c r="JKZ19" s="289"/>
      <c r="JLA19" s="289"/>
      <c r="JLB19" s="289"/>
      <c r="JLC19" s="289"/>
      <c r="JLD19" s="289"/>
      <c r="JLE19" s="289"/>
      <c r="JLF19" s="289"/>
      <c r="JLG19" s="289"/>
      <c r="JLH19" s="289"/>
      <c r="JLI19" s="289"/>
      <c r="JLJ19" s="289"/>
      <c r="JLK19" s="289"/>
      <c r="JLL19" s="289"/>
      <c r="JLM19" s="289"/>
      <c r="JLN19" s="289"/>
      <c r="JLO19" s="289"/>
      <c r="JLP19" s="289"/>
      <c r="JLQ19" s="289"/>
      <c r="JLR19" s="289"/>
      <c r="JLS19" s="289"/>
      <c r="JLT19" s="289"/>
      <c r="JLU19" s="289"/>
      <c r="JLV19" s="289"/>
      <c r="JLW19" s="289"/>
      <c r="JLX19" s="289"/>
      <c r="JLY19" s="289"/>
      <c r="JLZ19" s="289"/>
      <c r="JMA19" s="289"/>
      <c r="JMB19" s="289"/>
      <c r="JMC19" s="289"/>
      <c r="JMD19" s="289"/>
      <c r="JME19" s="289"/>
      <c r="JMF19" s="289"/>
      <c r="JMG19" s="289"/>
      <c r="JMH19" s="289"/>
      <c r="JMI19" s="289"/>
      <c r="JMJ19" s="289"/>
      <c r="JMK19" s="289"/>
      <c r="JML19" s="289"/>
      <c r="JMM19" s="289"/>
      <c r="JMN19" s="289"/>
      <c r="JMO19" s="289"/>
      <c r="JMP19" s="289"/>
      <c r="JMQ19" s="289"/>
      <c r="JMR19" s="289"/>
      <c r="JMS19" s="289"/>
      <c r="JMT19" s="289"/>
      <c r="JMU19" s="289"/>
      <c r="JMV19" s="289"/>
      <c r="JMW19" s="289"/>
      <c r="JMX19" s="289"/>
      <c r="JMY19" s="289"/>
      <c r="JMZ19" s="289"/>
      <c r="JNA19" s="289"/>
      <c r="JNB19" s="289"/>
      <c r="JNC19" s="289"/>
      <c r="JND19" s="289"/>
      <c r="JNE19" s="289"/>
      <c r="JNF19" s="289"/>
      <c r="JNG19" s="289"/>
      <c r="JNH19" s="289"/>
      <c r="JNI19" s="289"/>
      <c r="JNJ19" s="289"/>
      <c r="JNK19" s="289"/>
      <c r="JNL19" s="289"/>
      <c r="JNM19" s="289"/>
      <c r="JNN19" s="289"/>
      <c r="JNO19" s="289"/>
      <c r="JNP19" s="289"/>
      <c r="JNQ19" s="289"/>
      <c r="JNR19" s="289"/>
      <c r="JNS19" s="289"/>
      <c r="JNT19" s="289"/>
      <c r="JNU19" s="289"/>
      <c r="JNV19" s="289"/>
      <c r="JNW19" s="289"/>
      <c r="JNX19" s="289"/>
      <c r="JNY19" s="289"/>
      <c r="JNZ19" s="289"/>
      <c r="JOA19" s="289"/>
      <c r="JOB19" s="289"/>
      <c r="JOC19" s="289"/>
      <c r="JOD19" s="289"/>
      <c r="JOE19" s="289"/>
      <c r="JOF19" s="289"/>
      <c r="JOG19" s="289"/>
      <c r="JOH19" s="289"/>
      <c r="JOI19" s="289"/>
      <c r="JOJ19" s="289"/>
      <c r="JOK19" s="289"/>
      <c r="JOL19" s="289"/>
      <c r="JOM19" s="289"/>
      <c r="JON19" s="289"/>
      <c r="JOO19" s="289"/>
      <c r="JOP19" s="289"/>
      <c r="JOQ19" s="289"/>
      <c r="JOR19" s="289"/>
      <c r="JOS19" s="289"/>
      <c r="JOT19" s="289"/>
      <c r="JOU19" s="289"/>
      <c r="JOV19" s="289"/>
      <c r="JOW19" s="289"/>
      <c r="JOX19" s="289"/>
      <c r="JOY19" s="289"/>
      <c r="JOZ19" s="289"/>
      <c r="JPA19" s="289"/>
      <c r="JPB19" s="289"/>
      <c r="JPC19" s="289"/>
      <c r="JPD19" s="289"/>
      <c r="JPE19" s="289"/>
      <c r="JPF19" s="289"/>
      <c r="JPG19" s="289"/>
      <c r="JPH19" s="289"/>
      <c r="JPI19" s="289"/>
      <c r="JPJ19" s="289"/>
      <c r="JPK19" s="289"/>
      <c r="JPL19" s="289"/>
      <c r="JPM19" s="289"/>
      <c r="JPN19" s="289"/>
      <c r="JPO19" s="289"/>
      <c r="JPP19" s="289"/>
      <c r="JPQ19" s="289"/>
      <c r="JPR19" s="289"/>
      <c r="JPS19" s="289"/>
      <c r="JPT19" s="289"/>
      <c r="JPU19" s="289"/>
      <c r="JPV19" s="289"/>
      <c r="JPW19" s="289"/>
      <c r="JPX19" s="289"/>
      <c r="JPY19" s="289"/>
      <c r="JPZ19" s="289"/>
      <c r="JQA19" s="289"/>
      <c r="JQB19" s="289"/>
      <c r="JQC19" s="289"/>
      <c r="JQD19" s="289"/>
      <c r="JQE19" s="289"/>
      <c r="JQF19" s="289"/>
      <c r="JQG19" s="289"/>
      <c r="JQH19" s="289"/>
      <c r="JQI19" s="289"/>
      <c r="JQJ19" s="289"/>
      <c r="JQK19" s="289"/>
      <c r="JQL19" s="289"/>
      <c r="JQM19" s="289"/>
      <c r="JQN19" s="289"/>
      <c r="JQO19" s="289"/>
      <c r="JQP19" s="289"/>
      <c r="JQQ19" s="289"/>
      <c r="JQR19" s="289"/>
      <c r="JQS19" s="289"/>
      <c r="JQT19" s="289"/>
      <c r="JQU19" s="289"/>
      <c r="JQV19" s="289"/>
      <c r="JQW19" s="289"/>
      <c r="JQX19" s="289"/>
      <c r="JQY19" s="289"/>
      <c r="JQZ19" s="289"/>
      <c r="JRA19" s="289"/>
      <c r="JRB19" s="289"/>
      <c r="JRC19" s="289"/>
      <c r="JRD19" s="289"/>
      <c r="JRE19" s="289"/>
      <c r="JRF19" s="289"/>
      <c r="JRG19" s="289"/>
      <c r="JRH19" s="289"/>
      <c r="JRI19" s="289"/>
      <c r="JRJ19" s="289"/>
      <c r="JRK19" s="289"/>
      <c r="JRL19" s="289"/>
      <c r="JRM19" s="289"/>
      <c r="JRN19" s="289"/>
      <c r="JRO19" s="289"/>
      <c r="JRP19" s="289"/>
      <c r="JRQ19" s="289"/>
      <c r="JRR19" s="289"/>
      <c r="JRS19" s="289"/>
      <c r="JRT19" s="289"/>
      <c r="JRU19" s="289"/>
      <c r="JRV19" s="289"/>
      <c r="JRW19" s="289"/>
      <c r="JRX19" s="289"/>
      <c r="JRY19" s="289"/>
      <c r="JRZ19" s="289"/>
      <c r="JSA19" s="289"/>
      <c r="JSB19" s="289"/>
      <c r="JSC19" s="289"/>
      <c r="JSD19" s="289"/>
      <c r="JSE19" s="289"/>
      <c r="JSF19" s="289"/>
      <c r="JSG19" s="289"/>
      <c r="JSH19" s="289"/>
      <c r="JSI19" s="289"/>
      <c r="JSJ19" s="289"/>
      <c r="JSK19" s="289"/>
      <c r="JSL19" s="289"/>
      <c r="JSM19" s="289"/>
      <c r="JSN19" s="289"/>
      <c r="JSO19" s="289"/>
      <c r="JSP19" s="289"/>
      <c r="JSQ19" s="289"/>
      <c r="JSR19" s="289"/>
      <c r="JSS19" s="289"/>
      <c r="JST19" s="289"/>
      <c r="JSU19" s="289"/>
      <c r="JSV19" s="289"/>
      <c r="JSW19" s="289"/>
      <c r="JSX19" s="289"/>
      <c r="JSY19" s="289"/>
      <c r="JSZ19" s="289"/>
      <c r="JTA19" s="289"/>
      <c r="JTB19" s="289"/>
      <c r="JTC19" s="289"/>
      <c r="JTD19" s="289"/>
      <c r="JTE19" s="289"/>
      <c r="JTF19" s="289"/>
      <c r="JTG19" s="289"/>
      <c r="JTH19" s="289"/>
      <c r="JTI19" s="289"/>
      <c r="JTJ19" s="289"/>
      <c r="JTK19" s="289"/>
      <c r="JTL19" s="289"/>
      <c r="JTM19" s="289"/>
      <c r="JTN19" s="289"/>
      <c r="JTO19" s="289"/>
      <c r="JTP19" s="289"/>
      <c r="JTQ19" s="289"/>
      <c r="JTR19" s="289"/>
      <c r="JTS19" s="289"/>
      <c r="JTT19" s="289"/>
      <c r="JTU19" s="289"/>
      <c r="JTV19" s="289"/>
      <c r="JTW19" s="289"/>
      <c r="JTX19" s="289"/>
      <c r="JTY19" s="289"/>
      <c r="JTZ19" s="289"/>
      <c r="JUA19" s="289"/>
      <c r="JUB19" s="289"/>
      <c r="JUC19" s="289"/>
      <c r="JUD19" s="289"/>
      <c r="JUE19" s="289"/>
      <c r="JUF19" s="289"/>
      <c r="JUG19" s="289"/>
      <c r="JUH19" s="289"/>
      <c r="JUI19" s="289"/>
      <c r="JUJ19" s="289"/>
      <c r="JUK19" s="289"/>
      <c r="JUL19" s="289"/>
      <c r="JUM19" s="289"/>
      <c r="JUN19" s="289"/>
      <c r="JUO19" s="289"/>
      <c r="JUP19" s="289"/>
      <c r="JUQ19" s="289"/>
      <c r="JUR19" s="289"/>
      <c r="JUS19" s="289"/>
      <c r="JUT19" s="289"/>
      <c r="JUU19" s="289"/>
      <c r="JUV19" s="289"/>
      <c r="JUW19" s="289"/>
      <c r="JUX19" s="289"/>
      <c r="JUY19" s="289"/>
      <c r="JUZ19" s="289"/>
      <c r="JVA19" s="289"/>
      <c r="JVB19" s="289"/>
      <c r="JVC19" s="289"/>
      <c r="JVD19" s="289"/>
      <c r="JVE19" s="289"/>
      <c r="JVF19" s="289"/>
      <c r="JVG19" s="289"/>
      <c r="JVH19" s="289"/>
      <c r="JVI19" s="289"/>
      <c r="JVJ19" s="289"/>
      <c r="JVK19" s="289"/>
      <c r="JVL19" s="289"/>
      <c r="JVM19" s="289"/>
      <c r="JVN19" s="289"/>
      <c r="JVO19" s="289"/>
      <c r="JVP19" s="289"/>
      <c r="JVQ19" s="289"/>
      <c r="JVR19" s="289"/>
      <c r="JVS19" s="289"/>
      <c r="JVT19" s="289"/>
      <c r="JVU19" s="289"/>
      <c r="JVV19" s="289"/>
      <c r="JVW19" s="289"/>
      <c r="JVX19" s="289"/>
      <c r="JVY19" s="289"/>
      <c r="JVZ19" s="289"/>
      <c r="JWA19" s="289"/>
      <c r="JWB19" s="289"/>
      <c r="JWC19" s="289"/>
      <c r="JWD19" s="289"/>
      <c r="JWE19" s="289"/>
      <c r="JWF19" s="289"/>
      <c r="JWG19" s="289"/>
      <c r="JWH19" s="289"/>
      <c r="JWI19" s="289"/>
      <c r="JWJ19" s="289"/>
      <c r="JWK19" s="289"/>
      <c r="JWL19" s="289"/>
      <c r="JWM19" s="289"/>
      <c r="JWN19" s="289"/>
      <c r="JWO19" s="289"/>
      <c r="JWP19" s="289"/>
      <c r="JWQ19" s="289"/>
      <c r="JWR19" s="289"/>
      <c r="JWS19" s="289"/>
      <c r="JWT19" s="289"/>
      <c r="JWU19" s="289"/>
      <c r="JWV19" s="289"/>
      <c r="JWW19" s="289"/>
      <c r="JWX19" s="289"/>
      <c r="JWY19" s="289"/>
      <c r="JWZ19" s="289"/>
      <c r="JXA19" s="289"/>
      <c r="JXB19" s="289"/>
      <c r="JXC19" s="289"/>
      <c r="JXD19" s="289"/>
      <c r="JXE19" s="289"/>
      <c r="JXF19" s="289"/>
      <c r="JXG19" s="289"/>
      <c r="JXH19" s="289"/>
      <c r="JXI19" s="289"/>
      <c r="JXJ19" s="289"/>
      <c r="JXK19" s="289"/>
      <c r="JXL19" s="289"/>
      <c r="JXM19" s="289"/>
      <c r="JXN19" s="289"/>
      <c r="JXO19" s="289"/>
      <c r="JXP19" s="289"/>
      <c r="JXQ19" s="289"/>
      <c r="JXR19" s="289"/>
      <c r="JXS19" s="289"/>
      <c r="JXT19" s="289"/>
      <c r="JXU19" s="289"/>
      <c r="JXV19" s="289"/>
      <c r="JXW19" s="289"/>
      <c r="JXX19" s="289"/>
      <c r="JXY19" s="289"/>
      <c r="JXZ19" s="289"/>
      <c r="JYA19" s="289"/>
      <c r="JYB19" s="289"/>
      <c r="JYC19" s="289"/>
      <c r="JYD19" s="289"/>
      <c r="JYE19" s="289"/>
      <c r="JYF19" s="289"/>
      <c r="JYG19" s="289"/>
      <c r="JYH19" s="289"/>
      <c r="JYI19" s="289"/>
      <c r="JYJ19" s="289"/>
      <c r="JYK19" s="289"/>
      <c r="JYL19" s="289"/>
      <c r="JYM19" s="289"/>
      <c r="JYN19" s="289"/>
      <c r="JYO19" s="289"/>
      <c r="JYP19" s="289"/>
      <c r="JYQ19" s="289"/>
      <c r="JYR19" s="289"/>
      <c r="JYS19" s="289"/>
      <c r="JYT19" s="289"/>
      <c r="JYU19" s="289"/>
      <c r="JYV19" s="289"/>
      <c r="JYW19" s="289"/>
      <c r="JYX19" s="289"/>
      <c r="JYY19" s="289"/>
      <c r="JYZ19" s="289"/>
      <c r="JZA19" s="289"/>
      <c r="JZB19" s="289"/>
      <c r="JZC19" s="289"/>
      <c r="JZD19" s="289"/>
      <c r="JZE19" s="289"/>
      <c r="JZF19" s="289"/>
      <c r="JZG19" s="289"/>
      <c r="JZH19" s="289"/>
      <c r="JZI19" s="289"/>
      <c r="JZJ19" s="289"/>
      <c r="JZK19" s="289"/>
      <c r="JZL19" s="289"/>
      <c r="JZM19" s="289"/>
      <c r="JZN19" s="289"/>
      <c r="JZO19" s="289"/>
      <c r="JZP19" s="289"/>
      <c r="JZQ19" s="289"/>
      <c r="JZR19" s="289"/>
      <c r="JZS19" s="289"/>
      <c r="JZT19" s="289"/>
      <c r="JZU19" s="289"/>
      <c r="JZV19" s="289"/>
      <c r="JZW19" s="289"/>
      <c r="JZX19" s="289"/>
      <c r="JZY19" s="289"/>
      <c r="JZZ19" s="289"/>
      <c r="KAA19" s="289"/>
      <c r="KAB19" s="289"/>
      <c r="KAC19" s="289"/>
      <c r="KAD19" s="289"/>
      <c r="KAE19" s="289"/>
      <c r="KAF19" s="289"/>
      <c r="KAG19" s="289"/>
      <c r="KAH19" s="289"/>
      <c r="KAI19" s="289"/>
      <c r="KAJ19" s="289"/>
      <c r="KAK19" s="289"/>
      <c r="KAL19" s="289"/>
      <c r="KAM19" s="289"/>
      <c r="KAN19" s="289"/>
      <c r="KAO19" s="289"/>
      <c r="KAP19" s="289"/>
      <c r="KAQ19" s="289"/>
      <c r="KAR19" s="289"/>
      <c r="KAS19" s="289"/>
      <c r="KAT19" s="289"/>
      <c r="KAU19" s="289"/>
      <c r="KAV19" s="289"/>
      <c r="KAW19" s="289"/>
      <c r="KAX19" s="289"/>
      <c r="KAY19" s="289"/>
      <c r="KAZ19" s="289"/>
      <c r="KBA19" s="289"/>
      <c r="KBB19" s="289"/>
      <c r="KBC19" s="289"/>
      <c r="KBD19" s="289"/>
      <c r="KBE19" s="289"/>
      <c r="KBF19" s="289"/>
      <c r="KBG19" s="289"/>
      <c r="KBH19" s="289"/>
      <c r="KBI19" s="289"/>
      <c r="KBJ19" s="289"/>
      <c r="KBK19" s="289"/>
      <c r="KBL19" s="289"/>
      <c r="KBM19" s="289"/>
      <c r="KBN19" s="289"/>
      <c r="KBO19" s="289"/>
      <c r="KBP19" s="289"/>
      <c r="KBQ19" s="289"/>
      <c r="KBR19" s="289"/>
      <c r="KBS19" s="289"/>
      <c r="KBT19" s="289"/>
      <c r="KBU19" s="289"/>
      <c r="KBV19" s="289"/>
      <c r="KBW19" s="289"/>
      <c r="KBX19" s="289"/>
      <c r="KBY19" s="289"/>
      <c r="KBZ19" s="289"/>
      <c r="KCA19" s="289"/>
      <c r="KCB19" s="289"/>
      <c r="KCC19" s="289"/>
      <c r="KCD19" s="289"/>
      <c r="KCE19" s="289"/>
      <c r="KCF19" s="289"/>
      <c r="KCG19" s="289"/>
      <c r="KCH19" s="289"/>
      <c r="KCI19" s="289"/>
      <c r="KCJ19" s="289"/>
      <c r="KCK19" s="289"/>
      <c r="KCL19" s="289"/>
      <c r="KCM19" s="289"/>
      <c r="KCN19" s="289"/>
      <c r="KCO19" s="289"/>
      <c r="KCP19" s="289"/>
      <c r="KCQ19" s="289"/>
      <c r="KCR19" s="289"/>
      <c r="KCS19" s="289"/>
      <c r="KCT19" s="289"/>
      <c r="KCU19" s="289"/>
      <c r="KCV19" s="289"/>
      <c r="KCW19" s="289"/>
      <c r="KCX19" s="289"/>
      <c r="KCY19" s="289"/>
      <c r="KCZ19" s="289"/>
      <c r="KDA19" s="289"/>
      <c r="KDB19" s="289"/>
      <c r="KDC19" s="289"/>
      <c r="KDD19" s="289"/>
      <c r="KDE19" s="289"/>
      <c r="KDF19" s="289"/>
      <c r="KDG19" s="289"/>
      <c r="KDH19" s="289"/>
      <c r="KDI19" s="289"/>
      <c r="KDJ19" s="289"/>
      <c r="KDK19" s="289"/>
      <c r="KDL19" s="289"/>
      <c r="KDM19" s="289"/>
      <c r="KDN19" s="289"/>
      <c r="KDO19" s="289"/>
      <c r="KDP19" s="289"/>
      <c r="KDQ19" s="289"/>
      <c r="KDR19" s="289"/>
      <c r="KDS19" s="289"/>
      <c r="KDT19" s="289"/>
      <c r="KDU19" s="289"/>
      <c r="KDV19" s="289"/>
      <c r="KDW19" s="289"/>
      <c r="KDX19" s="289"/>
      <c r="KDY19" s="289"/>
      <c r="KDZ19" s="289"/>
      <c r="KEA19" s="289"/>
      <c r="KEB19" s="289"/>
      <c r="KEC19" s="289"/>
      <c r="KED19" s="289"/>
      <c r="KEE19" s="289"/>
      <c r="KEF19" s="289"/>
      <c r="KEG19" s="289"/>
      <c r="KEH19" s="289"/>
      <c r="KEI19" s="289"/>
      <c r="KEJ19" s="289"/>
      <c r="KEK19" s="289"/>
      <c r="KEL19" s="289"/>
      <c r="KEM19" s="289"/>
      <c r="KEN19" s="289"/>
      <c r="KEO19" s="289"/>
      <c r="KEP19" s="289"/>
      <c r="KEQ19" s="289"/>
      <c r="KER19" s="289"/>
      <c r="KES19" s="289"/>
      <c r="KET19" s="289"/>
      <c r="KEU19" s="289"/>
      <c r="KEV19" s="289"/>
      <c r="KEW19" s="289"/>
      <c r="KEX19" s="289"/>
      <c r="KEY19" s="289"/>
      <c r="KEZ19" s="289"/>
      <c r="KFA19" s="289"/>
      <c r="KFB19" s="289"/>
      <c r="KFC19" s="289"/>
      <c r="KFD19" s="289"/>
      <c r="KFE19" s="289"/>
      <c r="KFF19" s="289"/>
      <c r="KFG19" s="289"/>
      <c r="KFH19" s="289"/>
      <c r="KFI19" s="289"/>
      <c r="KFJ19" s="289"/>
      <c r="KFK19" s="289"/>
      <c r="KFL19" s="289"/>
      <c r="KFM19" s="289"/>
      <c r="KFN19" s="289"/>
      <c r="KFO19" s="289"/>
      <c r="KFP19" s="289"/>
      <c r="KFQ19" s="289"/>
      <c r="KFR19" s="289"/>
      <c r="KFS19" s="289"/>
      <c r="KFT19" s="289"/>
      <c r="KFU19" s="289"/>
      <c r="KFV19" s="289"/>
      <c r="KFW19" s="289"/>
      <c r="KFX19" s="289"/>
      <c r="KFY19" s="289"/>
      <c r="KFZ19" s="289"/>
      <c r="KGA19" s="289"/>
      <c r="KGB19" s="289"/>
      <c r="KGC19" s="289"/>
      <c r="KGD19" s="289"/>
      <c r="KGE19" s="289"/>
      <c r="KGF19" s="289"/>
      <c r="KGG19" s="289"/>
      <c r="KGH19" s="289"/>
      <c r="KGI19" s="289"/>
      <c r="KGJ19" s="289"/>
      <c r="KGK19" s="289"/>
      <c r="KGL19" s="289"/>
      <c r="KGM19" s="289"/>
      <c r="KGN19" s="289"/>
      <c r="KGO19" s="289"/>
      <c r="KGP19" s="289"/>
      <c r="KGQ19" s="289"/>
      <c r="KGR19" s="289"/>
      <c r="KGS19" s="289"/>
      <c r="KGT19" s="289"/>
      <c r="KGU19" s="289"/>
      <c r="KGV19" s="289"/>
      <c r="KGW19" s="289"/>
      <c r="KGX19" s="289"/>
      <c r="KGY19" s="289"/>
      <c r="KGZ19" s="289"/>
      <c r="KHA19" s="289"/>
      <c r="KHB19" s="289"/>
      <c r="KHC19" s="289"/>
      <c r="KHD19" s="289"/>
      <c r="KHE19" s="289"/>
      <c r="KHF19" s="289"/>
      <c r="KHG19" s="289"/>
      <c r="KHH19" s="289"/>
      <c r="KHI19" s="289"/>
      <c r="KHJ19" s="289"/>
      <c r="KHK19" s="289"/>
      <c r="KHL19" s="289"/>
      <c r="KHM19" s="289"/>
      <c r="KHN19" s="289"/>
      <c r="KHO19" s="289"/>
      <c r="KHP19" s="289"/>
      <c r="KHQ19" s="289"/>
      <c r="KHR19" s="289"/>
      <c r="KHS19" s="289"/>
      <c r="KHT19" s="289"/>
      <c r="KHU19" s="289"/>
      <c r="KHV19" s="289"/>
      <c r="KHW19" s="289"/>
      <c r="KHX19" s="289"/>
      <c r="KHY19" s="289"/>
      <c r="KHZ19" s="289"/>
      <c r="KIA19" s="289"/>
      <c r="KIB19" s="289"/>
      <c r="KIC19" s="289"/>
      <c r="KID19" s="289"/>
      <c r="KIE19" s="289"/>
      <c r="KIF19" s="289"/>
      <c r="KIG19" s="289"/>
      <c r="KIH19" s="289"/>
      <c r="KII19" s="289"/>
      <c r="KIJ19" s="289"/>
      <c r="KIK19" s="289"/>
      <c r="KIL19" s="289"/>
      <c r="KIM19" s="289"/>
      <c r="KIN19" s="289"/>
      <c r="KIO19" s="289"/>
      <c r="KIP19" s="289"/>
      <c r="KIQ19" s="289"/>
      <c r="KIR19" s="289"/>
      <c r="KIS19" s="289"/>
      <c r="KIT19" s="289"/>
      <c r="KIU19" s="289"/>
      <c r="KIV19" s="289"/>
      <c r="KIW19" s="289"/>
      <c r="KIX19" s="289"/>
      <c r="KIY19" s="289"/>
      <c r="KIZ19" s="289"/>
      <c r="KJA19" s="289"/>
      <c r="KJB19" s="289"/>
      <c r="KJC19" s="289"/>
      <c r="KJD19" s="289"/>
      <c r="KJE19" s="289"/>
      <c r="KJF19" s="289"/>
      <c r="KJG19" s="289"/>
      <c r="KJH19" s="289"/>
      <c r="KJI19" s="289"/>
      <c r="KJJ19" s="289"/>
      <c r="KJK19" s="289"/>
      <c r="KJL19" s="289"/>
      <c r="KJM19" s="289"/>
      <c r="KJN19" s="289"/>
      <c r="KJO19" s="289"/>
      <c r="KJP19" s="289"/>
      <c r="KJQ19" s="289"/>
      <c r="KJR19" s="289"/>
      <c r="KJS19" s="289"/>
      <c r="KJT19" s="289"/>
      <c r="KJU19" s="289"/>
      <c r="KJV19" s="289"/>
      <c r="KJW19" s="289"/>
      <c r="KJX19" s="289"/>
      <c r="KJY19" s="289"/>
      <c r="KJZ19" s="289"/>
      <c r="KKA19" s="289"/>
      <c r="KKB19" s="289"/>
      <c r="KKC19" s="289"/>
      <c r="KKD19" s="289"/>
      <c r="KKE19" s="289"/>
      <c r="KKF19" s="289"/>
      <c r="KKG19" s="289"/>
      <c r="KKH19" s="289"/>
      <c r="KKI19" s="289"/>
      <c r="KKJ19" s="289"/>
      <c r="KKK19" s="289"/>
      <c r="KKL19" s="289"/>
      <c r="KKM19" s="289"/>
      <c r="KKN19" s="289"/>
      <c r="KKO19" s="289"/>
      <c r="KKP19" s="289"/>
      <c r="KKQ19" s="289"/>
      <c r="KKR19" s="289"/>
      <c r="KKS19" s="289"/>
      <c r="KKT19" s="289"/>
      <c r="KKU19" s="289"/>
      <c r="KKV19" s="289"/>
      <c r="KKW19" s="289"/>
      <c r="KKX19" s="289"/>
      <c r="KKY19" s="289"/>
      <c r="KKZ19" s="289"/>
      <c r="KLA19" s="289"/>
      <c r="KLB19" s="289"/>
      <c r="KLC19" s="289"/>
      <c r="KLD19" s="289"/>
      <c r="KLE19" s="289"/>
      <c r="KLF19" s="289"/>
      <c r="KLG19" s="289"/>
      <c r="KLH19" s="289"/>
      <c r="KLI19" s="289"/>
      <c r="KLJ19" s="289"/>
      <c r="KLK19" s="289"/>
      <c r="KLL19" s="289"/>
      <c r="KLM19" s="289"/>
      <c r="KLN19" s="289"/>
      <c r="KLO19" s="289"/>
      <c r="KLP19" s="289"/>
      <c r="KLQ19" s="289"/>
      <c r="KLR19" s="289"/>
      <c r="KLS19" s="289"/>
      <c r="KLT19" s="289"/>
      <c r="KLU19" s="289"/>
      <c r="KLV19" s="289"/>
      <c r="KLW19" s="289"/>
      <c r="KLX19" s="289"/>
      <c r="KLY19" s="289"/>
      <c r="KLZ19" s="289"/>
      <c r="KMA19" s="289"/>
      <c r="KMB19" s="289"/>
      <c r="KMC19" s="289"/>
      <c r="KMD19" s="289"/>
      <c r="KME19" s="289"/>
      <c r="KMF19" s="289"/>
      <c r="KMG19" s="289"/>
      <c r="KMH19" s="289"/>
      <c r="KMI19" s="289"/>
      <c r="KMJ19" s="289"/>
      <c r="KMK19" s="289"/>
      <c r="KML19" s="289"/>
      <c r="KMM19" s="289"/>
      <c r="KMN19" s="289"/>
      <c r="KMO19" s="289"/>
      <c r="KMP19" s="289"/>
      <c r="KMQ19" s="289"/>
      <c r="KMR19" s="289"/>
      <c r="KMS19" s="289"/>
      <c r="KMT19" s="289"/>
      <c r="KMU19" s="289"/>
      <c r="KMV19" s="289"/>
      <c r="KMW19" s="289"/>
      <c r="KMX19" s="289"/>
      <c r="KMY19" s="289"/>
      <c r="KMZ19" s="289"/>
      <c r="KNA19" s="289"/>
      <c r="KNB19" s="289"/>
      <c r="KNC19" s="289"/>
      <c r="KND19" s="289"/>
      <c r="KNE19" s="289"/>
      <c r="KNF19" s="289"/>
      <c r="KNG19" s="289"/>
      <c r="KNH19" s="289"/>
      <c r="KNI19" s="289"/>
      <c r="KNJ19" s="289"/>
      <c r="KNK19" s="289"/>
      <c r="KNL19" s="289"/>
      <c r="KNM19" s="289"/>
      <c r="KNN19" s="289"/>
      <c r="KNO19" s="289"/>
      <c r="KNP19" s="289"/>
      <c r="KNQ19" s="289"/>
      <c r="KNR19" s="289"/>
      <c r="KNS19" s="289"/>
      <c r="KNT19" s="289"/>
      <c r="KNU19" s="289"/>
      <c r="KNV19" s="289"/>
      <c r="KNW19" s="289"/>
      <c r="KNX19" s="289"/>
      <c r="KNY19" s="289"/>
      <c r="KNZ19" s="289"/>
      <c r="KOA19" s="289"/>
      <c r="KOB19" s="289"/>
      <c r="KOC19" s="289"/>
      <c r="KOD19" s="289"/>
      <c r="KOE19" s="289"/>
      <c r="KOF19" s="289"/>
      <c r="KOG19" s="289"/>
      <c r="KOH19" s="289"/>
      <c r="KOI19" s="289"/>
      <c r="KOJ19" s="289"/>
      <c r="KOK19" s="289"/>
      <c r="KOL19" s="289"/>
      <c r="KOM19" s="289"/>
      <c r="KON19" s="289"/>
      <c r="KOO19" s="289"/>
      <c r="KOP19" s="289"/>
      <c r="KOQ19" s="289"/>
      <c r="KOR19" s="289"/>
      <c r="KOS19" s="289"/>
      <c r="KOT19" s="289"/>
      <c r="KOU19" s="289"/>
      <c r="KOV19" s="289"/>
      <c r="KOW19" s="289"/>
      <c r="KOX19" s="289"/>
      <c r="KOY19" s="289"/>
      <c r="KOZ19" s="289"/>
      <c r="KPA19" s="289"/>
      <c r="KPB19" s="289"/>
      <c r="KPC19" s="289"/>
      <c r="KPD19" s="289"/>
      <c r="KPE19" s="289"/>
      <c r="KPF19" s="289"/>
      <c r="KPG19" s="289"/>
      <c r="KPH19" s="289"/>
      <c r="KPI19" s="289"/>
      <c r="KPJ19" s="289"/>
      <c r="KPK19" s="289"/>
      <c r="KPL19" s="289"/>
      <c r="KPM19" s="289"/>
      <c r="KPN19" s="289"/>
      <c r="KPO19" s="289"/>
      <c r="KPP19" s="289"/>
      <c r="KPQ19" s="289"/>
      <c r="KPR19" s="289"/>
      <c r="KPS19" s="289"/>
      <c r="KPT19" s="289"/>
      <c r="KPU19" s="289"/>
      <c r="KPV19" s="289"/>
      <c r="KPW19" s="289"/>
      <c r="KPX19" s="289"/>
      <c r="KPY19" s="289"/>
      <c r="KPZ19" s="289"/>
      <c r="KQA19" s="289"/>
      <c r="KQB19" s="289"/>
      <c r="KQC19" s="289"/>
      <c r="KQD19" s="289"/>
      <c r="KQE19" s="289"/>
      <c r="KQF19" s="289"/>
      <c r="KQG19" s="289"/>
      <c r="KQH19" s="289"/>
      <c r="KQI19" s="289"/>
      <c r="KQJ19" s="289"/>
      <c r="KQK19" s="289"/>
      <c r="KQL19" s="289"/>
      <c r="KQM19" s="289"/>
      <c r="KQN19" s="289"/>
      <c r="KQO19" s="289"/>
      <c r="KQP19" s="289"/>
      <c r="KQQ19" s="289"/>
      <c r="KQR19" s="289"/>
      <c r="KQS19" s="289"/>
      <c r="KQT19" s="289"/>
      <c r="KQU19" s="289"/>
      <c r="KQV19" s="289"/>
      <c r="KQW19" s="289"/>
      <c r="KQX19" s="289"/>
      <c r="KQY19" s="289"/>
      <c r="KQZ19" s="289"/>
      <c r="KRA19" s="289"/>
      <c r="KRB19" s="289"/>
      <c r="KRC19" s="289"/>
      <c r="KRD19" s="289"/>
      <c r="KRE19" s="289"/>
      <c r="KRF19" s="289"/>
      <c r="KRG19" s="289"/>
      <c r="KRH19" s="289"/>
      <c r="KRI19" s="289"/>
      <c r="KRJ19" s="289"/>
      <c r="KRK19" s="289"/>
      <c r="KRL19" s="289"/>
      <c r="KRM19" s="289"/>
      <c r="KRN19" s="289"/>
      <c r="KRO19" s="289"/>
      <c r="KRP19" s="289"/>
      <c r="KRQ19" s="289"/>
      <c r="KRR19" s="289"/>
      <c r="KRS19" s="289"/>
      <c r="KRT19" s="289"/>
      <c r="KRU19" s="289"/>
      <c r="KRV19" s="289"/>
      <c r="KRW19" s="289"/>
      <c r="KRX19" s="289"/>
      <c r="KRY19" s="289"/>
      <c r="KRZ19" s="289"/>
      <c r="KSA19" s="289"/>
      <c r="KSB19" s="289"/>
      <c r="KSC19" s="289"/>
      <c r="KSD19" s="289"/>
      <c r="KSE19" s="289"/>
      <c r="KSF19" s="289"/>
      <c r="KSG19" s="289"/>
      <c r="KSH19" s="289"/>
      <c r="KSI19" s="289"/>
      <c r="KSJ19" s="289"/>
      <c r="KSK19" s="289"/>
      <c r="KSL19" s="289"/>
      <c r="KSM19" s="289"/>
      <c r="KSN19" s="289"/>
      <c r="KSO19" s="289"/>
      <c r="KSP19" s="289"/>
      <c r="KSQ19" s="289"/>
      <c r="KSR19" s="289"/>
      <c r="KSS19" s="289"/>
      <c r="KST19" s="289"/>
      <c r="KSU19" s="289"/>
      <c r="KSV19" s="289"/>
      <c r="KSW19" s="289"/>
      <c r="KSX19" s="289"/>
      <c r="KSY19" s="289"/>
      <c r="KSZ19" s="289"/>
      <c r="KTA19" s="289"/>
      <c r="KTB19" s="289"/>
      <c r="KTC19" s="289"/>
      <c r="KTD19" s="289"/>
      <c r="KTE19" s="289"/>
      <c r="KTF19" s="289"/>
      <c r="KTG19" s="289"/>
      <c r="KTH19" s="289"/>
      <c r="KTI19" s="289"/>
      <c r="KTJ19" s="289"/>
      <c r="KTK19" s="289"/>
      <c r="KTL19" s="289"/>
      <c r="KTM19" s="289"/>
      <c r="KTN19" s="289"/>
      <c r="KTO19" s="289"/>
      <c r="KTP19" s="289"/>
      <c r="KTQ19" s="289"/>
      <c r="KTR19" s="289"/>
      <c r="KTS19" s="289"/>
      <c r="KTT19" s="289"/>
      <c r="KTU19" s="289"/>
      <c r="KTV19" s="289"/>
      <c r="KTW19" s="289"/>
      <c r="KTX19" s="289"/>
      <c r="KTY19" s="289"/>
      <c r="KTZ19" s="289"/>
      <c r="KUA19" s="289"/>
      <c r="KUB19" s="289"/>
      <c r="KUC19" s="289"/>
      <c r="KUD19" s="289"/>
      <c r="KUE19" s="289"/>
      <c r="KUF19" s="289"/>
      <c r="KUG19" s="289"/>
      <c r="KUH19" s="289"/>
      <c r="KUI19" s="289"/>
      <c r="KUJ19" s="289"/>
      <c r="KUK19" s="289"/>
      <c r="KUL19" s="289"/>
      <c r="KUM19" s="289"/>
      <c r="KUN19" s="289"/>
      <c r="KUO19" s="289"/>
      <c r="KUP19" s="289"/>
      <c r="KUQ19" s="289"/>
      <c r="KUR19" s="289"/>
      <c r="KUS19" s="289"/>
      <c r="KUT19" s="289"/>
      <c r="KUU19" s="289"/>
      <c r="KUV19" s="289"/>
      <c r="KUW19" s="289"/>
      <c r="KUX19" s="289"/>
      <c r="KUY19" s="289"/>
      <c r="KUZ19" s="289"/>
      <c r="KVA19" s="289"/>
      <c r="KVB19" s="289"/>
      <c r="KVC19" s="289"/>
      <c r="KVD19" s="289"/>
      <c r="KVE19" s="289"/>
      <c r="KVF19" s="289"/>
      <c r="KVG19" s="289"/>
      <c r="KVH19" s="289"/>
      <c r="KVI19" s="289"/>
      <c r="KVJ19" s="289"/>
      <c r="KVK19" s="289"/>
      <c r="KVL19" s="289"/>
      <c r="KVM19" s="289"/>
      <c r="KVN19" s="289"/>
      <c r="KVO19" s="289"/>
      <c r="KVP19" s="289"/>
      <c r="KVQ19" s="289"/>
      <c r="KVR19" s="289"/>
      <c r="KVS19" s="289"/>
      <c r="KVT19" s="289"/>
      <c r="KVU19" s="289"/>
      <c r="KVV19" s="289"/>
      <c r="KVW19" s="289"/>
      <c r="KVX19" s="289"/>
      <c r="KVY19" s="289"/>
      <c r="KVZ19" s="289"/>
      <c r="KWA19" s="289"/>
      <c r="KWB19" s="289"/>
      <c r="KWC19" s="289"/>
      <c r="KWD19" s="289"/>
      <c r="KWE19" s="289"/>
      <c r="KWF19" s="289"/>
      <c r="KWG19" s="289"/>
      <c r="KWH19" s="289"/>
      <c r="KWI19" s="289"/>
      <c r="KWJ19" s="289"/>
      <c r="KWK19" s="289"/>
      <c r="KWL19" s="289"/>
      <c r="KWM19" s="289"/>
      <c r="KWN19" s="289"/>
      <c r="KWO19" s="289"/>
      <c r="KWP19" s="289"/>
      <c r="KWQ19" s="289"/>
      <c r="KWR19" s="289"/>
      <c r="KWS19" s="289"/>
      <c r="KWT19" s="289"/>
      <c r="KWU19" s="289"/>
      <c r="KWV19" s="289"/>
      <c r="KWW19" s="289"/>
      <c r="KWX19" s="289"/>
      <c r="KWY19" s="289"/>
      <c r="KWZ19" s="289"/>
      <c r="KXA19" s="289"/>
      <c r="KXB19" s="289"/>
      <c r="KXC19" s="289"/>
      <c r="KXD19" s="289"/>
      <c r="KXE19" s="289"/>
      <c r="KXF19" s="289"/>
      <c r="KXG19" s="289"/>
      <c r="KXH19" s="289"/>
      <c r="KXI19" s="289"/>
      <c r="KXJ19" s="289"/>
      <c r="KXK19" s="289"/>
      <c r="KXL19" s="289"/>
      <c r="KXM19" s="289"/>
      <c r="KXN19" s="289"/>
      <c r="KXO19" s="289"/>
      <c r="KXP19" s="289"/>
      <c r="KXQ19" s="289"/>
      <c r="KXR19" s="289"/>
      <c r="KXS19" s="289"/>
      <c r="KXT19" s="289"/>
      <c r="KXU19" s="289"/>
      <c r="KXV19" s="289"/>
      <c r="KXW19" s="289"/>
      <c r="KXX19" s="289"/>
      <c r="KXY19" s="289"/>
      <c r="KXZ19" s="289"/>
      <c r="KYA19" s="289"/>
      <c r="KYB19" s="289"/>
      <c r="KYC19" s="289"/>
      <c r="KYD19" s="289"/>
      <c r="KYE19" s="289"/>
      <c r="KYF19" s="289"/>
      <c r="KYG19" s="289"/>
      <c r="KYH19" s="289"/>
      <c r="KYI19" s="289"/>
      <c r="KYJ19" s="289"/>
      <c r="KYK19" s="289"/>
      <c r="KYL19" s="289"/>
      <c r="KYM19" s="289"/>
      <c r="KYN19" s="289"/>
      <c r="KYO19" s="289"/>
      <c r="KYP19" s="289"/>
      <c r="KYQ19" s="289"/>
      <c r="KYR19" s="289"/>
      <c r="KYS19" s="289"/>
      <c r="KYT19" s="289"/>
      <c r="KYU19" s="289"/>
      <c r="KYV19" s="289"/>
      <c r="KYW19" s="289"/>
      <c r="KYX19" s="289"/>
      <c r="KYY19" s="289"/>
      <c r="KYZ19" s="289"/>
      <c r="KZA19" s="289"/>
      <c r="KZB19" s="289"/>
      <c r="KZC19" s="289"/>
      <c r="KZD19" s="289"/>
      <c r="KZE19" s="289"/>
      <c r="KZF19" s="289"/>
      <c r="KZG19" s="289"/>
      <c r="KZH19" s="289"/>
      <c r="KZI19" s="289"/>
      <c r="KZJ19" s="289"/>
      <c r="KZK19" s="289"/>
      <c r="KZL19" s="289"/>
      <c r="KZM19" s="289"/>
      <c r="KZN19" s="289"/>
      <c r="KZO19" s="289"/>
      <c r="KZP19" s="289"/>
      <c r="KZQ19" s="289"/>
      <c r="KZR19" s="289"/>
      <c r="KZS19" s="289"/>
      <c r="KZT19" s="289"/>
      <c r="KZU19" s="289"/>
      <c r="KZV19" s="289"/>
      <c r="KZW19" s="289"/>
      <c r="KZX19" s="289"/>
      <c r="KZY19" s="289"/>
      <c r="KZZ19" s="289"/>
      <c r="LAA19" s="289"/>
      <c r="LAB19" s="289"/>
      <c r="LAC19" s="289"/>
      <c r="LAD19" s="289"/>
      <c r="LAE19" s="289"/>
      <c r="LAF19" s="289"/>
      <c r="LAG19" s="289"/>
      <c r="LAH19" s="289"/>
      <c r="LAI19" s="289"/>
      <c r="LAJ19" s="289"/>
      <c r="LAK19" s="289"/>
      <c r="LAL19" s="289"/>
      <c r="LAM19" s="289"/>
      <c r="LAN19" s="289"/>
      <c r="LAO19" s="289"/>
      <c r="LAP19" s="289"/>
      <c r="LAQ19" s="289"/>
      <c r="LAR19" s="289"/>
      <c r="LAS19" s="289"/>
      <c r="LAT19" s="289"/>
      <c r="LAU19" s="289"/>
      <c r="LAV19" s="289"/>
      <c r="LAW19" s="289"/>
      <c r="LAX19" s="289"/>
      <c r="LAY19" s="289"/>
      <c r="LAZ19" s="289"/>
      <c r="LBA19" s="289"/>
      <c r="LBB19" s="289"/>
      <c r="LBC19" s="289"/>
      <c r="LBD19" s="289"/>
      <c r="LBE19" s="289"/>
      <c r="LBF19" s="289"/>
      <c r="LBG19" s="289"/>
      <c r="LBH19" s="289"/>
      <c r="LBI19" s="289"/>
      <c r="LBJ19" s="289"/>
      <c r="LBK19" s="289"/>
      <c r="LBL19" s="289"/>
      <c r="LBM19" s="289"/>
      <c r="LBN19" s="289"/>
      <c r="LBO19" s="289"/>
      <c r="LBP19" s="289"/>
      <c r="LBQ19" s="289"/>
      <c r="LBR19" s="289"/>
      <c r="LBS19" s="289"/>
      <c r="LBT19" s="289"/>
      <c r="LBU19" s="289"/>
      <c r="LBV19" s="289"/>
      <c r="LBW19" s="289"/>
      <c r="LBX19" s="289"/>
      <c r="LBY19" s="289"/>
      <c r="LBZ19" s="289"/>
      <c r="LCA19" s="289"/>
      <c r="LCB19" s="289"/>
      <c r="LCC19" s="289"/>
      <c r="LCD19" s="289"/>
      <c r="LCE19" s="289"/>
      <c r="LCF19" s="289"/>
      <c r="LCG19" s="289"/>
      <c r="LCH19" s="289"/>
      <c r="LCI19" s="289"/>
      <c r="LCJ19" s="289"/>
      <c r="LCK19" s="289"/>
      <c r="LCL19" s="289"/>
      <c r="LCM19" s="289"/>
      <c r="LCN19" s="289"/>
      <c r="LCO19" s="289"/>
      <c r="LCP19" s="289"/>
      <c r="LCQ19" s="289"/>
      <c r="LCR19" s="289"/>
      <c r="LCS19" s="289"/>
      <c r="LCT19" s="289"/>
      <c r="LCU19" s="289"/>
      <c r="LCV19" s="289"/>
      <c r="LCW19" s="289"/>
      <c r="LCX19" s="289"/>
      <c r="LCY19" s="289"/>
      <c r="LCZ19" s="289"/>
      <c r="LDA19" s="289"/>
      <c r="LDB19" s="289"/>
      <c r="LDC19" s="289"/>
      <c r="LDD19" s="289"/>
      <c r="LDE19" s="289"/>
      <c r="LDF19" s="289"/>
      <c r="LDG19" s="289"/>
      <c r="LDH19" s="289"/>
      <c r="LDI19" s="289"/>
      <c r="LDJ19" s="289"/>
      <c r="LDK19" s="289"/>
      <c r="LDL19" s="289"/>
      <c r="LDM19" s="289"/>
      <c r="LDN19" s="289"/>
      <c r="LDO19" s="289"/>
      <c r="LDP19" s="289"/>
      <c r="LDQ19" s="289"/>
      <c r="LDR19" s="289"/>
      <c r="LDS19" s="289"/>
      <c r="LDT19" s="289"/>
      <c r="LDU19" s="289"/>
      <c r="LDV19" s="289"/>
      <c r="LDW19" s="289"/>
      <c r="LDX19" s="289"/>
      <c r="LDY19" s="289"/>
      <c r="LDZ19" s="289"/>
      <c r="LEA19" s="289"/>
      <c r="LEB19" s="289"/>
      <c r="LEC19" s="289"/>
      <c r="LED19" s="289"/>
      <c r="LEE19" s="289"/>
      <c r="LEF19" s="289"/>
      <c r="LEG19" s="289"/>
      <c r="LEH19" s="289"/>
      <c r="LEI19" s="289"/>
      <c r="LEJ19" s="289"/>
      <c r="LEK19" s="289"/>
      <c r="LEL19" s="289"/>
      <c r="LEM19" s="289"/>
      <c r="LEN19" s="289"/>
      <c r="LEO19" s="289"/>
      <c r="LEP19" s="289"/>
      <c r="LEQ19" s="289"/>
      <c r="LER19" s="289"/>
      <c r="LES19" s="289"/>
      <c r="LET19" s="289"/>
      <c r="LEU19" s="289"/>
      <c r="LEV19" s="289"/>
      <c r="LEW19" s="289"/>
      <c r="LEX19" s="289"/>
      <c r="LEY19" s="289"/>
      <c r="LEZ19" s="289"/>
      <c r="LFA19" s="289"/>
      <c r="LFB19" s="289"/>
      <c r="LFC19" s="289"/>
      <c r="LFD19" s="289"/>
      <c r="LFE19" s="289"/>
      <c r="LFF19" s="289"/>
      <c r="LFG19" s="289"/>
      <c r="LFH19" s="289"/>
      <c r="LFI19" s="289"/>
      <c r="LFJ19" s="289"/>
      <c r="LFK19" s="289"/>
      <c r="LFL19" s="289"/>
      <c r="LFM19" s="289"/>
      <c r="LFN19" s="289"/>
      <c r="LFO19" s="289"/>
      <c r="LFP19" s="289"/>
      <c r="LFQ19" s="289"/>
      <c r="LFR19" s="289"/>
      <c r="LFS19" s="289"/>
      <c r="LFT19" s="289"/>
      <c r="LFU19" s="289"/>
      <c r="LFV19" s="289"/>
      <c r="LFW19" s="289"/>
      <c r="LFX19" s="289"/>
      <c r="LFY19" s="289"/>
      <c r="LFZ19" s="289"/>
      <c r="LGA19" s="289"/>
      <c r="LGB19" s="289"/>
      <c r="LGC19" s="289"/>
      <c r="LGD19" s="289"/>
      <c r="LGE19" s="289"/>
      <c r="LGF19" s="289"/>
      <c r="LGG19" s="289"/>
      <c r="LGH19" s="289"/>
      <c r="LGI19" s="289"/>
      <c r="LGJ19" s="289"/>
      <c r="LGK19" s="289"/>
      <c r="LGL19" s="289"/>
      <c r="LGM19" s="289"/>
      <c r="LGN19" s="289"/>
      <c r="LGO19" s="289"/>
      <c r="LGP19" s="289"/>
      <c r="LGQ19" s="289"/>
      <c r="LGR19" s="289"/>
      <c r="LGS19" s="289"/>
      <c r="LGT19" s="289"/>
      <c r="LGU19" s="289"/>
      <c r="LGV19" s="289"/>
      <c r="LGW19" s="289"/>
      <c r="LGX19" s="289"/>
      <c r="LGY19" s="289"/>
      <c r="LGZ19" s="289"/>
      <c r="LHA19" s="289"/>
      <c r="LHB19" s="289"/>
      <c r="LHC19" s="289"/>
      <c r="LHD19" s="289"/>
      <c r="LHE19" s="289"/>
      <c r="LHF19" s="289"/>
      <c r="LHG19" s="289"/>
      <c r="LHH19" s="289"/>
      <c r="LHI19" s="289"/>
      <c r="LHJ19" s="289"/>
      <c r="LHK19" s="289"/>
      <c r="LHL19" s="289"/>
      <c r="LHM19" s="289"/>
      <c r="LHN19" s="289"/>
      <c r="LHO19" s="289"/>
      <c r="LHP19" s="289"/>
      <c r="LHQ19" s="289"/>
      <c r="LHR19" s="289"/>
      <c r="LHS19" s="289"/>
      <c r="LHT19" s="289"/>
      <c r="LHU19" s="289"/>
      <c r="LHV19" s="289"/>
      <c r="LHW19" s="289"/>
      <c r="LHX19" s="289"/>
      <c r="LHY19" s="289"/>
      <c r="LHZ19" s="289"/>
      <c r="LIA19" s="289"/>
      <c r="LIB19" s="289"/>
      <c r="LIC19" s="289"/>
      <c r="LID19" s="289"/>
      <c r="LIE19" s="289"/>
      <c r="LIF19" s="289"/>
      <c r="LIG19" s="289"/>
      <c r="LIH19" s="289"/>
      <c r="LII19" s="289"/>
      <c r="LIJ19" s="289"/>
      <c r="LIK19" s="289"/>
      <c r="LIL19" s="289"/>
      <c r="LIM19" s="289"/>
      <c r="LIN19" s="289"/>
      <c r="LIO19" s="289"/>
      <c r="LIP19" s="289"/>
      <c r="LIQ19" s="289"/>
      <c r="LIR19" s="289"/>
      <c r="LIS19" s="289"/>
      <c r="LIT19" s="289"/>
      <c r="LIU19" s="289"/>
      <c r="LIV19" s="289"/>
      <c r="LIW19" s="289"/>
      <c r="LIX19" s="289"/>
      <c r="LIY19" s="289"/>
      <c r="LIZ19" s="289"/>
      <c r="LJA19" s="289"/>
      <c r="LJB19" s="289"/>
      <c r="LJC19" s="289"/>
      <c r="LJD19" s="289"/>
      <c r="LJE19" s="289"/>
      <c r="LJF19" s="289"/>
      <c r="LJG19" s="289"/>
      <c r="LJH19" s="289"/>
      <c r="LJI19" s="289"/>
      <c r="LJJ19" s="289"/>
      <c r="LJK19" s="289"/>
      <c r="LJL19" s="289"/>
      <c r="LJM19" s="289"/>
      <c r="LJN19" s="289"/>
      <c r="LJO19" s="289"/>
      <c r="LJP19" s="289"/>
      <c r="LJQ19" s="289"/>
      <c r="LJR19" s="289"/>
      <c r="LJS19" s="289"/>
      <c r="LJT19" s="289"/>
      <c r="LJU19" s="289"/>
      <c r="LJV19" s="289"/>
      <c r="LJW19" s="289"/>
      <c r="LJX19" s="289"/>
      <c r="LJY19" s="289"/>
      <c r="LJZ19" s="289"/>
      <c r="LKA19" s="289"/>
      <c r="LKB19" s="289"/>
      <c r="LKC19" s="289"/>
      <c r="LKD19" s="289"/>
      <c r="LKE19" s="289"/>
      <c r="LKF19" s="289"/>
      <c r="LKG19" s="289"/>
      <c r="LKH19" s="289"/>
      <c r="LKI19" s="289"/>
      <c r="LKJ19" s="289"/>
      <c r="LKK19" s="289"/>
      <c r="LKL19" s="289"/>
      <c r="LKM19" s="289"/>
      <c r="LKN19" s="289"/>
      <c r="LKO19" s="289"/>
      <c r="LKP19" s="289"/>
      <c r="LKQ19" s="289"/>
      <c r="LKR19" s="289"/>
      <c r="LKS19" s="289"/>
      <c r="LKT19" s="289"/>
      <c r="LKU19" s="289"/>
      <c r="LKV19" s="289"/>
      <c r="LKW19" s="289"/>
      <c r="LKX19" s="289"/>
      <c r="LKY19" s="289"/>
      <c r="LKZ19" s="289"/>
      <c r="LLA19" s="289"/>
      <c r="LLB19" s="289"/>
      <c r="LLC19" s="289"/>
      <c r="LLD19" s="289"/>
      <c r="LLE19" s="289"/>
      <c r="LLF19" s="289"/>
      <c r="LLG19" s="289"/>
      <c r="LLH19" s="289"/>
      <c r="LLI19" s="289"/>
      <c r="LLJ19" s="289"/>
      <c r="LLK19" s="289"/>
      <c r="LLL19" s="289"/>
      <c r="LLM19" s="289"/>
      <c r="LLN19" s="289"/>
      <c r="LLO19" s="289"/>
      <c r="LLP19" s="289"/>
      <c r="LLQ19" s="289"/>
      <c r="LLR19" s="289"/>
      <c r="LLS19" s="289"/>
      <c r="LLT19" s="289"/>
      <c r="LLU19" s="289"/>
      <c r="LLV19" s="289"/>
      <c r="LLW19" s="289"/>
      <c r="LLX19" s="289"/>
      <c r="LLY19" s="289"/>
      <c r="LLZ19" s="289"/>
      <c r="LMA19" s="289"/>
      <c r="LMB19" s="289"/>
      <c r="LMC19" s="289"/>
      <c r="LMD19" s="289"/>
      <c r="LME19" s="289"/>
      <c r="LMF19" s="289"/>
      <c r="LMG19" s="289"/>
      <c r="LMH19" s="289"/>
      <c r="LMI19" s="289"/>
      <c r="LMJ19" s="289"/>
      <c r="LMK19" s="289"/>
      <c r="LML19" s="289"/>
      <c r="LMM19" s="289"/>
      <c r="LMN19" s="289"/>
      <c r="LMO19" s="289"/>
      <c r="LMP19" s="289"/>
      <c r="LMQ19" s="289"/>
      <c r="LMR19" s="289"/>
      <c r="LMS19" s="289"/>
      <c r="LMT19" s="289"/>
      <c r="LMU19" s="289"/>
      <c r="LMV19" s="289"/>
      <c r="LMW19" s="289"/>
      <c r="LMX19" s="289"/>
      <c r="LMY19" s="289"/>
      <c r="LMZ19" s="289"/>
      <c r="LNA19" s="289"/>
      <c r="LNB19" s="289"/>
      <c r="LNC19" s="289"/>
      <c r="LND19" s="289"/>
      <c r="LNE19" s="289"/>
      <c r="LNF19" s="289"/>
      <c r="LNG19" s="289"/>
      <c r="LNH19" s="289"/>
      <c r="LNI19" s="289"/>
      <c r="LNJ19" s="289"/>
      <c r="LNK19" s="289"/>
      <c r="LNL19" s="289"/>
      <c r="LNM19" s="289"/>
      <c r="LNN19" s="289"/>
      <c r="LNO19" s="289"/>
      <c r="LNP19" s="289"/>
      <c r="LNQ19" s="289"/>
      <c r="LNR19" s="289"/>
      <c r="LNS19" s="289"/>
      <c r="LNT19" s="289"/>
      <c r="LNU19" s="289"/>
      <c r="LNV19" s="289"/>
      <c r="LNW19" s="289"/>
      <c r="LNX19" s="289"/>
      <c r="LNY19" s="289"/>
      <c r="LNZ19" s="289"/>
      <c r="LOA19" s="289"/>
      <c r="LOB19" s="289"/>
      <c r="LOC19" s="289"/>
      <c r="LOD19" s="289"/>
      <c r="LOE19" s="289"/>
      <c r="LOF19" s="289"/>
      <c r="LOG19" s="289"/>
      <c r="LOH19" s="289"/>
      <c r="LOI19" s="289"/>
      <c r="LOJ19" s="289"/>
      <c r="LOK19" s="289"/>
      <c r="LOL19" s="289"/>
      <c r="LOM19" s="289"/>
      <c r="LON19" s="289"/>
      <c r="LOO19" s="289"/>
      <c r="LOP19" s="289"/>
      <c r="LOQ19" s="289"/>
      <c r="LOR19" s="289"/>
      <c r="LOS19" s="289"/>
      <c r="LOT19" s="289"/>
      <c r="LOU19" s="289"/>
      <c r="LOV19" s="289"/>
      <c r="LOW19" s="289"/>
      <c r="LOX19" s="289"/>
      <c r="LOY19" s="289"/>
      <c r="LOZ19" s="289"/>
      <c r="LPA19" s="289"/>
      <c r="LPB19" s="289"/>
      <c r="LPC19" s="289"/>
      <c r="LPD19" s="289"/>
      <c r="LPE19" s="289"/>
      <c r="LPF19" s="289"/>
      <c r="LPG19" s="289"/>
      <c r="LPH19" s="289"/>
      <c r="LPI19" s="289"/>
      <c r="LPJ19" s="289"/>
      <c r="LPK19" s="289"/>
      <c r="LPL19" s="289"/>
      <c r="LPM19" s="289"/>
      <c r="LPN19" s="289"/>
      <c r="LPO19" s="289"/>
      <c r="LPP19" s="289"/>
      <c r="LPQ19" s="289"/>
      <c r="LPR19" s="289"/>
      <c r="LPS19" s="289"/>
      <c r="LPT19" s="289"/>
      <c r="LPU19" s="289"/>
      <c r="LPV19" s="289"/>
      <c r="LPW19" s="289"/>
      <c r="LPX19" s="289"/>
      <c r="LPY19" s="289"/>
      <c r="LPZ19" s="289"/>
      <c r="LQA19" s="289"/>
      <c r="LQB19" s="289"/>
      <c r="LQC19" s="289"/>
      <c r="LQD19" s="289"/>
      <c r="LQE19" s="289"/>
      <c r="LQF19" s="289"/>
      <c r="LQG19" s="289"/>
      <c r="LQH19" s="289"/>
      <c r="LQI19" s="289"/>
      <c r="LQJ19" s="289"/>
      <c r="LQK19" s="289"/>
      <c r="LQL19" s="289"/>
      <c r="LQM19" s="289"/>
      <c r="LQN19" s="289"/>
      <c r="LQO19" s="289"/>
      <c r="LQP19" s="289"/>
      <c r="LQQ19" s="289"/>
      <c r="LQR19" s="289"/>
      <c r="LQS19" s="289"/>
      <c r="LQT19" s="289"/>
      <c r="LQU19" s="289"/>
      <c r="LQV19" s="289"/>
      <c r="LQW19" s="289"/>
      <c r="LQX19" s="289"/>
      <c r="LQY19" s="289"/>
      <c r="LQZ19" s="289"/>
      <c r="LRA19" s="289"/>
      <c r="LRB19" s="289"/>
      <c r="LRC19" s="289"/>
      <c r="LRD19" s="289"/>
      <c r="LRE19" s="289"/>
      <c r="LRF19" s="289"/>
      <c r="LRG19" s="289"/>
      <c r="LRH19" s="289"/>
      <c r="LRI19" s="289"/>
      <c r="LRJ19" s="289"/>
      <c r="LRK19" s="289"/>
      <c r="LRL19" s="289"/>
      <c r="LRM19" s="289"/>
      <c r="LRN19" s="289"/>
      <c r="LRO19" s="289"/>
      <c r="LRP19" s="289"/>
      <c r="LRQ19" s="289"/>
      <c r="LRR19" s="289"/>
      <c r="LRS19" s="289"/>
      <c r="LRT19" s="289"/>
      <c r="LRU19" s="289"/>
      <c r="LRV19" s="289"/>
      <c r="LRW19" s="289"/>
      <c r="LRX19" s="289"/>
      <c r="LRY19" s="289"/>
      <c r="LRZ19" s="289"/>
      <c r="LSA19" s="289"/>
      <c r="LSB19" s="289"/>
      <c r="LSC19" s="289"/>
      <c r="LSD19" s="289"/>
      <c r="LSE19" s="289"/>
      <c r="LSF19" s="289"/>
      <c r="LSG19" s="289"/>
      <c r="LSH19" s="289"/>
      <c r="LSI19" s="289"/>
      <c r="LSJ19" s="289"/>
      <c r="LSK19" s="289"/>
      <c r="LSL19" s="289"/>
      <c r="LSM19" s="289"/>
      <c r="LSN19" s="289"/>
      <c r="LSO19" s="289"/>
      <c r="LSP19" s="289"/>
      <c r="LSQ19" s="289"/>
      <c r="LSR19" s="289"/>
      <c r="LSS19" s="289"/>
      <c r="LST19" s="289"/>
      <c r="LSU19" s="289"/>
      <c r="LSV19" s="289"/>
      <c r="LSW19" s="289"/>
      <c r="LSX19" s="289"/>
      <c r="LSY19" s="289"/>
      <c r="LSZ19" s="289"/>
      <c r="LTA19" s="289"/>
      <c r="LTB19" s="289"/>
      <c r="LTC19" s="289"/>
      <c r="LTD19" s="289"/>
      <c r="LTE19" s="289"/>
      <c r="LTF19" s="289"/>
      <c r="LTG19" s="289"/>
      <c r="LTH19" s="289"/>
      <c r="LTI19" s="289"/>
      <c r="LTJ19" s="289"/>
      <c r="LTK19" s="289"/>
      <c r="LTL19" s="289"/>
      <c r="LTM19" s="289"/>
      <c r="LTN19" s="289"/>
      <c r="LTO19" s="289"/>
      <c r="LTP19" s="289"/>
      <c r="LTQ19" s="289"/>
      <c r="LTR19" s="289"/>
      <c r="LTS19" s="289"/>
      <c r="LTT19" s="289"/>
      <c r="LTU19" s="289"/>
      <c r="LTV19" s="289"/>
      <c r="LTW19" s="289"/>
      <c r="LTX19" s="289"/>
      <c r="LTY19" s="289"/>
      <c r="LTZ19" s="289"/>
      <c r="LUA19" s="289"/>
      <c r="LUB19" s="289"/>
      <c r="LUC19" s="289"/>
      <c r="LUD19" s="289"/>
      <c r="LUE19" s="289"/>
      <c r="LUF19" s="289"/>
      <c r="LUG19" s="289"/>
      <c r="LUH19" s="289"/>
      <c r="LUI19" s="289"/>
      <c r="LUJ19" s="289"/>
      <c r="LUK19" s="289"/>
      <c r="LUL19" s="289"/>
      <c r="LUM19" s="289"/>
      <c r="LUN19" s="289"/>
      <c r="LUO19" s="289"/>
      <c r="LUP19" s="289"/>
      <c r="LUQ19" s="289"/>
      <c r="LUR19" s="289"/>
      <c r="LUS19" s="289"/>
      <c r="LUT19" s="289"/>
      <c r="LUU19" s="289"/>
      <c r="LUV19" s="289"/>
      <c r="LUW19" s="289"/>
      <c r="LUX19" s="289"/>
      <c r="LUY19" s="289"/>
      <c r="LUZ19" s="289"/>
      <c r="LVA19" s="289"/>
      <c r="LVB19" s="289"/>
      <c r="LVC19" s="289"/>
      <c r="LVD19" s="289"/>
      <c r="LVE19" s="289"/>
      <c r="LVF19" s="289"/>
      <c r="LVG19" s="289"/>
      <c r="LVH19" s="289"/>
      <c r="LVI19" s="289"/>
      <c r="LVJ19" s="289"/>
      <c r="LVK19" s="289"/>
      <c r="LVL19" s="289"/>
      <c r="LVM19" s="289"/>
      <c r="LVN19" s="289"/>
      <c r="LVO19" s="289"/>
      <c r="LVP19" s="289"/>
      <c r="LVQ19" s="289"/>
      <c r="LVR19" s="289"/>
      <c r="LVS19" s="289"/>
      <c r="LVT19" s="289"/>
      <c r="LVU19" s="289"/>
      <c r="LVV19" s="289"/>
      <c r="LVW19" s="289"/>
      <c r="LVX19" s="289"/>
      <c r="LVY19" s="289"/>
      <c r="LVZ19" s="289"/>
      <c r="LWA19" s="289"/>
      <c r="LWB19" s="289"/>
      <c r="LWC19" s="289"/>
      <c r="LWD19" s="289"/>
      <c r="LWE19" s="289"/>
      <c r="LWF19" s="289"/>
      <c r="LWG19" s="289"/>
      <c r="LWH19" s="289"/>
      <c r="LWI19" s="289"/>
      <c r="LWJ19" s="289"/>
      <c r="LWK19" s="289"/>
      <c r="LWL19" s="289"/>
      <c r="LWM19" s="289"/>
      <c r="LWN19" s="289"/>
      <c r="LWO19" s="289"/>
      <c r="LWP19" s="289"/>
      <c r="LWQ19" s="289"/>
      <c r="LWR19" s="289"/>
      <c r="LWS19" s="289"/>
      <c r="LWT19" s="289"/>
      <c r="LWU19" s="289"/>
      <c r="LWV19" s="289"/>
      <c r="LWW19" s="289"/>
      <c r="LWX19" s="289"/>
      <c r="LWY19" s="289"/>
      <c r="LWZ19" s="289"/>
      <c r="LXA19" s="289"/>
      <c r="LXB19" s="289"/>
      <c r="LXC19" s="289"/>
      <c r="LXD19" s="289"/>
      <c r="LXE19" s="289"/>
      <c r="LXF19" s="289"/>
      <c r="LXG19" s="289"/>
      <c r="LXH19" s="289"/>
      <c r="LXI19" s="289"/>
      <c r="LXJ19" s="289"/>
      <c r="LXK19" s="289"/>
      <c r="LXL19" s="289"/>
      <c r="LXM19" s="289"/>
      <c r="LXN19" s="289"/>
      <c r="LXO19" s="289"/>
      <c r="LXP19" s="289"/>
      <c r="LXQ19" s="289"/>
      <c r="LXR19" s="289"/>
      <c r="LXS19" s="289"/>
      <c r="LXT19" s="289"/>
      <c r="LXU19" s="289"/>
      <c r="LXV19" s="289"/>
      <c r="LXW19" s="289"/>
      <c r="LXX19" s="289"/>
      <c r="LXY19" s="289"/>
      <c r="LXZ19" s="289"/>
      <c r="LYA19" s="289"/>
      <c r="LYB19" s="289"/>
      <c r="LYC19" s="289"/>
      <c r="LYD19" s="289"/>
      <c r="LYE19" s="289"/>
      <c r="LYF19" s="289"/>
      <c r="LYG19" s="289"/>
      <c r="LYH19" s="289"/>
      <c r="LYI19" s="289"/>
      <c r="LYJ19" s="289"/>
      <c r="LYK19" s="289"/>
      <c r="LYL19" s="289"/>
      <c r="LYM19" s="289"/>
      <c r="LYN19" s="289"/>
      <c r="LYO19" s="289"/>
      <c r="LYP19" s="289"/>
      <c r="LYQ19" s="289"/>
      <c r="LYR19" s="289"/>
      <c r="LYS19" s="289"/>
      <c r="LYT19" s="289"/>
      <c r="LYU19" s="289"/>
      <c r="LYV19" s="289"/>
      <c r="LYW19" s="289"/>
      <c r="LYX19" s="289"/>
      <c r="LYY19" s="289"/>
      <c r="LYZ19" s="289"/>
      <c r="LZA19" s="289"/>
      <c r="LZB19" s="289"/>
      <c r="LZC19" s="289"/>
      <c r="LZD19" s="289"/>
      <c r="LZE19" s="289"/>
      <c r="LZF19" s="289"/>
      <c r="LZG19" s="289"/>
      <c r="LZH19" s="289"/>
      <c r="LZI19" s="289"/>
      <c r="LZJ19" s="289"/>
      <c r="LZK19" s="289"/>
      <c r="LZL19" s="289"/>
      <c r="LZM19" s="289"/>
      <c r="LZN19" s="289"/>
      <c r="LZO19" s="289"/>
      <c r="LZP19" s="289"/>
      <c r="LZQ19" s="289"/>
      <c r="LZR19" s="289"/>
      <c r="LZS19" s="289"/>
      <c r="LZT19" s="289"/>
      <c r="LZU19" s="289"/>
      <c r="LZV19" s="289"/>
      <c r="LZW19" s="289"/>
      <c r="LZX19" s="289"/>
      <c r="LZY19" s="289"/>
      <c r="LZZ19" s="289"/>
      <c r="MAA19" s="289"/>
      <c r="MAB19" s="289"/>
      <c r="MAC19" s="289"/>
      <c r="MAD19" s="289"/>
      <c r="MAE19" s="289"/>
      <c r="MAF19" s="289"/>
      <c r="MAG19" s="289"/>
      <c r="MAH19" s="289"/>
      <c r="MAI19" s="289"/>
      <c r="MAJ19" s="289"/>
      <c r="MAK19" s="289"/>
      <c r="MAL19" s="289"/>
      <c r="MAM19" s="289"/>
      <c r="MAN19" s="289"/>
      <c r="MAO19" s="289"/>
      <c r="MAP19" s="289"/>
      <c r="MAQ19" s="289"/>
      <c r="MAR19" s="289"/>
      <c r="MAS19" s="289"/>
      <c r="MAT19" s="289"/>
      <c r="MAU19" s="289"/>
      <c r="MAV19" s="289"/>
      <c r="MAW19" s="289"/>
      <c r="MAX19" s="289"/>
      <c r="MAY19" s="289"/>
      <c r="MAZ19" s="289"/>
      <c r="MBA19" s="289"/>
      <c r="MBB19" s="289"/>
      <c r="MBC19" s="289"/>
      <c r="MBD19" s="289"/>
      <c r="MBE19" s="289"/>
      <c r="MBF19" s="289"/>
      <c r="MBG19" s="289"/>
      <c r="MBH19" s="289"/>
      <c r="MBI19" s="289"/>
      <c r="MBJ19" s="289"/>
      <c r="MBK19" s="289"/>
      <c r="MBL19" s="289"/>
      <c r="MBM19" s="289"/>
      <c r="MBN19" s="289"/>
      <c r="MBO19" s="289"/>
      <c r="MBP19" s="289"/>
      <c r="MBQ19" s="289"/>
      <c r="MBR19" s="289"/>
      <c r="MBS19" s="289"/>
      <c r="MBT19" s="289"/>
      <c r="MBU19" s="289"/>
      <c r="MBV19" s="289"/>
      <c r="MBW19" s="289"/>
      <c r="MBX19" s="289"/>
      <c r="MBY19" s="289"/>
      <c r="MBZ19" s="289"/>
      <c r="MCA19" s="289"/>
      <c r="MCB19" s="289"/>
      <c r="MCC19" s="289"/>
      <c r="MCD19" s="289"/>
      <c r="MCE19" s="289"/>
      <c r="MCF19" s="289"/>
      <c r="MCG19" s="289"/>
      <c r="MCH19" s="289"/>
      <c r="MCI19" s="289"/>
      <c r="MCJ19" s="289"/>
      <c r="MCK19" s="289"/>
      <c r="MCL19" s="289"/>
      <c r="MCM19" s="289"/>
      <c r="MCN19" s="289"/>
      <c r="MCO19" s="289"/>
      <c r="MCP19" s="289"/>
      <c r="MCQ19" s="289"/>
      <c r="MCR19" s="289"/>
      <c r="MCS19" s="289"/>
      <c r="MCT19" s="289"/>
      <c r="MCU19" s="289"/>
      <c r="MCV19" s="289"/>
      <c r="MCW19" s="289"/>
      <c r="MCX19" s="289"/>
      <c r="MCY19" s="289"/>
      <c r="MCZ19" s="289"/>
      <c r="MDA19" s="289"/>
      <c r="MDB19" s="289"/>
      <c r="MDC19" s="289"/>
      <c r="MDD19" s="289"/>
      <c r="MDE19" s="289"/>
      <c r="MDF19" s="289"/>
      <c r="MDG19" s="289"/>
      <c r="MDH19" s="289"/>
      <c r="MDI19" s="289"/>
      <c r="MDJ19" s="289"/>
      <c r="MDK19" s="289"/>
      <c r="MDL19" s="289"/>
      <c r="MDM19" s="289"/>
      <c r="MDN19" s="289"/>
      <c r="MDO19" s="289"/>
      <c r="MDP19" s="289"/>
      <c r="MDQ19" s="289"/>
      <c r="MDR19" s="289"/>
      <c r="MDS19" s="289"/>
      <c r="MDT19" s="289"/>
      <c r="MDU19" s="289"/>
      <c r="MDV19" s="289"/>
      <c r="MDW19" s="289"/>
      <c r="MDX19" s="289"/>
      <c r="MDY19" s="289"/>
      <c r="MDZ19" s="289"/>
      <c r="MEA19" s="289"/>
      <c r="MEB19" s="289"/>
      <c r="MEC19" s="289"/>
      <c r="MED19" s="289"/>
      <c r="MEE19" s="289"/>
      <c r="MEF19" s="289"/>
      <c r="MEG19" s="289"/>
      <c r="MEH19" s="289"/>
      <c r="MEI19" s="289"/>
      <c r="MEJ19" s="289"/>
      <c r="MEK19" s="289"/>
      <c r="MEL19" s="289"/>
      <c r="MEM19" s="289"/>
      <c r="MEN19" s="289"/>
      <c r="MEO19" s="289"/>
      <c r="MEP19" s="289"/>
      <c r="MEQ19" s="289"/>
      <c r="MER19" s="289"/>
      <c r="MES19" s="289"/>
      <c r="MET19" s="289"/>
      <c r="MEU19" s="289"/>
      <c r="MEV19" s="289"/>
      <c r="MEW19" s="289"/>
      <c r="MEX19" s="289"/>
      <c r="MEY19" s="289"/>
      <c r="MEZ19" s="289"/>
      <c r="MFA19" s="289"/>
      <c r="MFB19" s="289"/>
      <c r="MFC19" s="289"/>
      <c r="MFD19" s="289"/>
      <c r="MFE19" s="289"/>
      <c r="MFF19" s="289"/>
      <c r="MFG19" s="289"/>
      <c r="MFH19" s="289"/>
      <c r="MFI19" s="289"/>
      <c r="MFJ19" s="289"/>
      <c r="MFK19" s="289"/>
      <c r="MFL19" s="289"/>
      <c r="MFM19" s="289"/>
      <c r="MFN19" s="289"/>
      <c r="MFO19" s="289"/>
      <c r="MFP19" s="289"/>
      <c r="MFQ19" s="289"/>
      <c r="MFR19" s="289"/>
      <c r="MFS19" s="289"/>
      <c r="MFT19" s="289"/>
      <c r="MFU19" s="289"/>
      <c r="MFV19" s="289"/>
      <c r="MFW19" s="289"/>
      <c r="MFX19" s="289"/>
      <c r="MFY19" s="289"/>
      <c r="MFZ19" s="289"/>
      <c r="MGA19" s="289"/>
      <c r="MGB19" s="289"/>
      <c r="MGC19" s="289"/>
      <c r="MGD19" s="289"/>
      <c r="MGE19" s="289"/>
      <c r="MGF19" s="289"/>
      <c r="MGG19" s="289"/>
      <c r="MGH19" s="289"/>
      <c r="MGI19" s="289"/>
      <c r="MGJ19" s="289"/>
      <c r="MGK19" s="289"/>
      <c r="MGL19" s="289"/>
      <c r="MGM19" s="289"/>
      <c r="MGN19" s="289"/>
      <c r="MGO19" s="289"/>
      <c r="MGP19" s="289"/>
      <c r="MGQ19" s="289"/>
      <c r="MGR19" s="289"/>
      <c r="MGS19" s="289"/>
      <c r="MGT19" s="289"/>
      <c r="MGU19" s="289"/>
      <c r="MGV19" s="289"/>
      <c r="MGW19" s="289"/>
      <c r="MGX19" s="289"/>
      <c r="MGY19" s="289"/>
      <c r="MGZ19" s="289"/>
      <c r="MHA19" s="289"/>
      <c r="MHB19" s="289"/>
      <c r="MHC19" s="289"/>
      <c r="MHD19" s="289"/>
      <c r="MHE19" s="289"/>
      <c r="MHF19" s="289"/>
      <c r="MHG19" s="289"/>
      <c r="MHH19" s="289"/>
      <c r="MHI19" s="289"/>
      <c r="MHJ19" s="289"/>
      <c r="MHK19" s="289"/>
      <c r="MHL19" s="289"/>
      <c r="MHM19" s="289"/>
      <c r="MHN19" s="289"/>
      <c r="MHO19" s="289"/>
      <c r="MHP19" s="289"/>
      <c r="MHQ19" s="289"/>
      <c r="MHR19" s="289"/>
      <c r="MHS19" s="289"/>
      <c r="MHT19" s="289"/>
      <c r="MHU19" s="289"/>
      <c r="MHV19" s="289"/>
      <c r="MHW19" s="289"/>
      <c r="MHX19" s="289"/>
      <c r="MHY19" s="289"/>
      <c r="MHZ19" s="289"/>
      <c r="MIA19" s="289"/>
      <c r="MIB19" s="289"/>
      <c r="MIC19" s="289"/>
      <c r="MID19" s="289"/>
      <c r="MIE19" s="289"/>
      <c r="MIF19" s="289"/>
      <c r="MIG19" s="289"/>
      <c r="MIH19" s="289"/>
      <c r="MII19" s="289"/>
      <c r="MIJ19" s="289"/>
      <c r="MIK19" s="289"/>
      <c r="MIL19" s="289"/>
      <c r="MIM19" s="289"/>
      <c r="MIN19" s="289"/>
      <c r="MIO19" s="289"/>
      <c r="MIP19" s="289"/>
      <c r="MIQ19" s="289"/>
      <c r="MIR19" s="289"/>
      <c r="MIS19" s="289"/>
      <c r="MIT19" s="289"/>
      <c r="MIU19" s="289"/>
      <c r="MIV19" s="289"/>
      <c r="MIW19" s="289"/>
      <c r="MIX19" s="289"/>
      <c r="MIY19" s="289"/>
      <c r="MIZ19" s="289"/>
      <c r="MJA19" s="289"/>
      <c r="MJB19" s="289"/>
      <c r="MJC19" s="289"/>
      <c r="MJD19" s="289"/>
      <c r="MJE19" s="289"/>
      <c r="MJF19" s="289"/>
      <c r="MJG19" s="289"/>
      <c r="MJH19" s="289"/>
      <c r="MJI19" s="289"/>
      <c r="MJJ19" s="289"/>
      <c r="MJK19" s="289"/>
      <c r="MJL19" s="289"/>
      <c r="MJM19" s="289"/>
      <c r="MJN19" s="289"/>
      <c r="MJO19" s="289"/>
      <c r="MJP19" s="289"/>
      <c r="MJQ19" s="289"/>
      <c r="MJR19" s="289"/>
      <c r="MJS19" s="289"/>
      <c r="MJT19" s="289"/>
      <c r="MJU19" s="289"/>
      <c r="MJV19" s="289"/>
      <c r="MJW19" s="289"/>
      <c r="MJX19" s="289"/>
      <c r="MJY19" s="289"/>
      <c r="MJZ19" s="289"/>
      <c r="MKA19" s="289"/>
      <c r="MKB19" s="289"/>
      <c r="MKC19" s="289"/>
      <c r="MKD19" s="289"/>
      <c r="MKE19" s="289"/>
      <c r="MKF19" s="289"/>
      <c r="MKG19" s="289"/>
      <c r="MKH19" s="289"/>
      <c r="MKI19" s="289"/>
      <c r="MKJ19" s="289"/>
      <c r="MKK19" s="289"/>
      <c r="MKL19" s="289"/>
      <c r="MKM19" s="289"/>
      <c r="MKN19" s="289"/>
      <c r="MKO19" s="289"/>
      <c r="MKP19" s="289"/>
      <c r="MKQ19" s="289"/>
      <c r="MKR19" s="289"/>
      <c r="MKS19" s="289"/>
      <c r="MKT19" s="289"/>
      <c r="MKU19" s="289"/>
      <c r="MKV19" s="289"/>
      <c r="MKW19" s="289"/>
      <c r="MKX19" s="289"/>
      <c r="MKY19" s="289"/>
      <c r="MKZ19" s="289"/>
      <c r="MLA19" s="289"/>
      <c r="MLB19" s="289"/>
      <c r="MLC19" s="289"/>
      <c r="MLD19" s="289"/>
      <c r="MLE19" s="289"/>
      <c r="MLF19" s="289"/>
      <c r="MLG19" s="289"/>
      <c r="MLH19" s="289"/>
      <c r="MLI19" s="289"/>
      <c r="MLJ19" s="289"/>
      <c r="MLK19" s="289"/>
      <c r="MLL19" s="289"/>
      <c r="MLM19" s="289"/>
      <c r="MLN19" s="289"/>
      <c r="MLO19" s="289"/>
      <c r="MLP19" s="289"/>
      <c r="MLQ19" s="289"/>
      <c r="MLR19" s="289"/>
      <c r="MLS19" s="289"/>
      <c r="MLT19" s="289"/>
      <c r="MLU19" s="289"/>
      <c r="MLV19" s="289"/>
      <c r="MLW19" s="289"/>
      <c r="MLX19" s="289"/>
      <c r="MLY19" s="289"/>
      <c r="MLZ19" s="289"/>
      <c r="MMA19" s="289"/>
      <c r="MMB19" s="289"/>
      <c r="MMC19" s="289"/>
      <c r="MMD19" s="289"/>
      <c r="MME19" s="289"/>
      <c r="MMF19" s="289"/>
      <c r="MMG19" s="289"/>
      <c r="MMH19" s="289"/>
      <c r="MMI19" s="289"/>
      <c r="MMJ19" s="289"/>
      <c r="MMK19" s="289"/>
      <c r="MML19" s="289"/>
      <c r="MMM19" s="289"/>
      <c r="MMN19" s="289"/>
      <c r="MMO19" s="289"/>
      <c r="MMP19" s="289"/>
      <c r="MMQ19" s="289"/>
      <c r="MMR19" s="289"/>
      <c r="MMS19" s="289"/>
      <c r="MMT19" s="289"/>
      <c r="MMU19" s="289"/>
      <c r="MMV19" s="289"/>
      <c r="MMW19" s="289"/>
      <c r="MMX19" s="289"/>
      <c r="MMY19" s="289"/>
      <c r="MMZ19" s="289"/>
      <c r="MNA19" s="289"/>
      <c r="MNB19" s="289"/>
      <c r="MNC19" s="289"/>
      <c r="MND19" s="289"/>
      <c r="MNE19" s="289"/>
      <c r="MNF19" s="289"/>
      <c r="MNG19" s="289"/>
      <c r="MNH19" s="289"/>
      <c r="MNI19" s="289"/>
      <c r="MNJ19" s="289"/>
      <c r="MNK19" s="289"/>
      <c r="MNL19" s="289"/>
      <c r="MNM19" s="289"/>
      <c r="MNN19" s="289"/>
      <c r="MNO19" s="289"/>
      <c r="MNP19" s="289"/>
      <c r="MNQ19" s="289"/>
      <c r="MNR19" s="289"/>
      <c r="MNS19" s="289"/>
      <c r="MNT19" s="289"/>
      <c r="MNU19" s="289"/>
      <c r="MNV19" s="289"/>
      <c r="MNW19" s="289"/>
      <c r="MNX19" s="289"/>
      <c r="MNY19" s="289"/>
      <c r="MNZ19" s="289"/>
      <c r="MOA19" s="289"/>
      <c r="MOB19" s="289"/>
      <c r="MOC19" s="289"/>
      <c r="MOD19" s="289"/>
      <c r="MOE19" s="289"/>
      <c r="MOF19" s="289"/>
      <c r="MOG19" s="289"/>
      <c r="MOH19" s="289"/>
      <c r="MOI19" s="289"/>
      <c r="MOJ19" s="289"/>
      <c r="MOK19" s="289"/>
      <c r="MOL19" s="289"/>
      <c r="MOM19" s="289"/>
      <c r="MON19" s="289"/>
      <c r="MOO19" s="289"/>
      <c r="MOP19" s="289"/>
      <c r="MOQ19" s="289"/>
      <c r="MOR19" s="289"/>
      <c r="MOS19" s="289"/>
      <c r="MOT19" s="289"/>
      <c r="MOU19" s="289"/>
      <c r="MOV19" s="289"/>
      <c r="MOW19" s="289"/>
      <c r="MOX19" s="289"/>
      <c r="MOY19" s="289"/>
      <c r="MOZ19" s="289"/>
      <c r="MPA19" s="289"/>
      <c r="MPB19" s="289"/>
      <c r="MPC19" s="289"/>
      <c r="MPD19" s="289"/>
      <c r="MPE19" s="289"/>
      <c r="MPF19" s="289"/>
      <c r="MPG19" s="289"/>
      <c r="MPH19" s="289"/>
      <c r="MPI19" s="289"/>
      <c r="MPJ19" s="289"/>
      <c r="MPK19" s="289"/>
      <c r="MPL19" s="289"/>
      <c r="MPM19" s="289"/>
      <c r="MPN19" s="289"/>
      <c r="MPO19" s="289"/>
      <c r="MPP19" s="289"/>
      <c r="MPQ19" s="289"/>
      <c r="MPR19" s="289"/>
      <c r="MPS19" s="289"/>
      <c r="MPT19" s="289"/>
      <c r="MPU19" s="289"/>
      <c r="MPV19" s="289"/>
      <c r="MPW19" s="289"/>
      <c r="MPX19" s="289"/>
      <c r="MPY19" s="289"/>
      <c r="MPZ19" s="289"/>
      <c r="MQA19" s="289"/>
      <c r="MQB19" s="289"/>
      <c r="MQC19" s="289"/>
      <c r="MQD19" s="289"/>
      <c r="MQE19" s="289"/>
      <c r="MQF19" s="289"/>
      <c r="MQG19" s="289"/>
      <c r="MQH19" s="289"/>
      <c r="MQI19" s="289"/>
      <c r="MQJ19" s="289"/>
      <c r="MQK19" s="289"/>
      <c r="MQL19" s="289"/>
      <c r="MQM19" s="289"/>
      <c r="MQN19" s="289"/>
      <c r="MQO19" s="289"/>
      <c r="MQP19" s="289"/>
      <c r="MQQ19" s="289"/>
      <c r="MQR19" s="289"/>
      <c r="MQS19" s="289"/>
      <c r="MQT19" s="289"/>
      <c r="MQU19" s="289"/>
      <c r="MQV19" s="289"/>
      <c r="MQW19" s="289"/>
      <c r="MQX19" s="289"/>
      <c r="MQY19" s="289"/>
      <c r="MQZ19" s="289"/>
      <c r="MRA19" s="289"/>
      <c r="MRB19" s="289"/>
      <c r="MRC19" s="289"/>
      <c r="MRD19" s="289"/>
      <c r="MRE19" s="289"/>
      <c r="MRF19" s="289"/>
      <c r="MRG19" s="289"/>
      <c r="MRH19" s="289"/>
      <c r="MRI19" s="289"/>
      <c r="MRJ19" s="289"/>
      <c r="MRK19" s="289"/>
      <c r="MRL19" s="289"/>
      <c r="MRM19" s="289"/>
      <c r="MRN19" s="289"/>
      <c r="MRO19" s="289"/>
      <c r="MRP19" s="289"/>
      <c r="MRQ19" s="289"/>
      <c r="MRR19" s="289"/>
      <c r="MRS19" s="289"/>
      <c r="MRT19" s="289"/>
      <c r="MRU19" s="289"/>
      <c r="MRV19" s="289"/>
      <c r="MRW19" s="289"/>
      <c r="MRX19" s="289"/>
      <c r="MRY19" s="289"/>
      <c r="MRZ19" s="289"/>
      <c r="MSA19" s="289"/>
      <c r="MSB19" s="289"/>
      <c r="MSC19" s="289"/>
      <c r="MSD19" s="289"/>
      <c r="MSE19" s="289"/>
      <c r="MSF19" s="289"/>
      <c r="MSG19" s="289"/>
      <c r="MSH19" s="289"/>
      <c r="MSI19" s="289"/>
      <c r="MSJ19" s="289"/>
      <c r="MSK19" s="289"/>
      <c r="MSL19" s="289"/>
      <c r="MSM19" s="289"/>
      <c r="MSN19" s="289"/>
      <c r="MSO19" s="289"/>
      <c r="MSP19" s="289"/>
      <c r="MSQ19" s="289"/>
      <c r="MSR19" s="289"/>
      <c r="MSS19" s="289"/>
      <c r="MST19" s="289"/>
      <c r="MSU19" s="289"/>
      <c r="MSV19" s="289"/>
      <c r="MSW19" s="289"/>
      <c r="MSX19" s="289"/>
      <c r="MSY19" s="289"/>
      <c r="MSZ19" s="289"/>
      <c r="MTA19" s="289"/>
      <c r="MTB19" s="289"/>
      <c r="MTC19" s="289"/>
      <c r="MTD19" s="289"/>
      <c r="MTE19" s="289"/>
      <c r="MTF19" s="289"/>
      <c r="MTG19" s="289"/>
      <c r="MTH19" s="289"/>
      <c r="MTI19" s="289"/>
      <c r="MTJ19" s="289"/>
      <c r="MTK19" s="289"/>
      <c r="MTL19" s="289"/>
      <c r="MTM19" s="289"/>
      <c r="MTN19" s="289"/>
      <c r="MTO19" s="289"/>
      <c r="MTP19" s="289"/>
      <c r="MTQ19" s="289"/>
      <c r="MTR19" s="289"/>
      <c r="MTS19" s="289"/>
      <c r="MTT19" s="289"/>
      <c r="MTU19" s="289"/>
      <c r="MTV19" s="289"/>
      <c r="MTW19" s="289"/>
      <c r="MTX19" s="289"/>
      <c r="MTY19" s="289"/>
      <c r="MTZ19" s="289"/>
      <c r="MUA19" s="289"/>
      <c r="MUB19" s="289"/>
      <c r="MUC19" s="289"/>
      <c r="MUD19" s="289"/>
      <c r="MUE19" s="289"/>
      <c r="MUF19" s="289"/>
      <c r="MUG19" s="289"/>
      <c r="MUH19" s="289"/>
      <c r="MUI19" s="289"/>
      <c r="MUJ19" s="289"/>
      <c r="MUK19" s="289"/>
      <c r="MUL19" s="289"/>
      <c r="MUM19" s="289"/>
      <c r="MUN19" s="289"/>
      <c r="MUO19" s="289"/>
      <c r="MUP19" s="289"/>
      <c r="MUQ19" s="289"/>
      <c r="MUR19" s="289"/>
      <c r="MUS19" s="289"/>
      <c r="MUT19" s="289"/>
      <c r="MUU19" s="289"/>
      <c r="MUV19" s="289"/>
      <c r="MUW19" s="289"/>
      <c r="MUX19" s="289"/>
      <c r="MUY19" s="289"/>
      <c r="MUZ19" s="289"/>
      <c r="MVA19" s="289"/>
      <c r="MVB19" s="289"/>
      <c r="MVC19" s="289"/>
      <c r="MVD19" s="289"/>
      <c r="MVE19" s="289"/>
      <c r="MVF19" s="289"/>
      <c r="MVG19" s="289"/>
      <c r="MVH19" s="289"/>
      <c r="MVI19" s="289"/>
      <c r="MVJ19" s="289"/>
      <c r="MVK19" s="289"/>
      <c r="MVL19" s="289"/>
      <c r="MVM19" s="289"/>
      <c r="MVN19" s="289"/>
      <c r="MVO19" s="289"/>
      <c r="MVP19" s="289"/>
      <c r="MVQ19" s="289"/>
      <c r="MVR19" s="289"/>
      <c r="MVS19" s="289"/>
      <c r="MVT19" s="289"/>
      <c r="MVU19" s="289"/>
      <c r="MVV19" s="289"/>
      <c r="MVW19" s="289"/>
      <c r="MVX19" s="289"/>
      <c r="MVY19" s="289"/>
      <c r="MVZ19" s="289"/>
      <c r="MWA19" s="289"/>
      <c r="MWB19" s="289"/>
      <c r="MWC19" s="289"/>
      <c r="MWD19" s="289"/>
      <c r="MWE19" s="289"/>
      <c r="MWF19" s="289"/>
      <c r="MWG19" s="289"/>
      <c r="MWH19" s="289"/>
      <c r="MWI19" s="289"/>
      <c r="MWJ19" s="289"/>
      <c r="MWK19" s="289"/>
      <c r="MWL19" s="289"/>
      <c r="MWM19" s="289"/>
      <c r="MWN19" s="289"/>
      <c r="MWO19" s="289"/>
      <c r="MWP19" s="289"/>
      <c r="MWQ19" s="289"/>
      <c r="MWR19" s="289"/>
      <c r="MWS19" s="289"/>
      <c r="MWT19" s="289"/>
      <c r="MWU19" s="289"/>
      <c r="MWV19" s="289"/>
      <c r="MWW19" s="289"/>
      <c r="MWX19" s="289"/>
      <c r="MWY19" s="289"/>
      <c r="MWZ19" s="289"/>
      <c r="MXA19" s="289"/>
      <c r="MXB19" s="289"/>
      <c r="MXC19" s="289"/>
      <c r="MXD19" s="289"/>
      <c r="MXE19" s="289"/>
      <c r="MXF19" s="289"/>
      <c r="MXG19" s="289"/>
      <c r="MXH19" s="289"/>
      <c r="MXI19" s="289"/>
      <c r="MXJ19" s="289"/>
      <c r="MXK19" s="289"/>
      <c r="MXL19" s="289"/>
      <c r="MXM19" s="289"/>
      <c r="MXN19" s="289"/>
      <c r="MXO19" s="289"/>
      <c r="MXP19" s="289"/>
      <c r="MXQ19" s="289"/>
      <c r="MXR19" s="289"/>
      <c r="MXS19" s="289"/>
      <c r="MXT19" s="289"/>
      <c r="MXU19" s="289"/>
      <c r="MXV19" s="289"/>
      <c r="MXW19" s="289"/>
      <c r="MXX19" s="289"/>
      <c r="MXY19" s="289"/>
      <c r="MXZ19" s="289"/>
      <c r="MYA19" s="289"/>
      <c r="MYB19" s="289"/>
      <c r="MYC19" s="289"/>
      <c r="MYD19" s="289"/>
      <c r="MYE19" s="289"/>
      <c r="MYF19" s="289"/>
      <c r="MYG19" s="289"/>
      <c r="MYH19" s="289"/>
      <c r="MYI19" s="289"/>
      <c r="MYJ19" s="289"/>
      <c r="MYK19" s="289"/>
      <c r="MYL19" s="289"/>
      <c r="MYM19" s="289"/>
      <c r="MYN19" s="289"/>
      <c r="MYO19" s="289"/>
      <c r="MYP19" s="289"/>
      <c r="MYQ19" s="289"/>
      <c r="MYR19" s="289"/>
      <c r="MYS19" s="289"/>
      <c r="MYT19" s="289"/>
      <c r="MYU19" s="289"/>
      <c r="MYV19" s="289"/>
      <c r="MYW19" s="289"/>
      <c r="MYX19" s="289"/>
      <c r="MYY19" s="289"/>
      <c r="MYZ19" s="289"/>
      <c r="MZA19" s="289"/>
      <c r="MZB19" s="289"/>
      <c r="MZC19" s="289"/>
      <c r="MZD19" s="289"/>
      <c r="MZE19" s="289"/>
      <c r="MZF19" s="289"/>
      <c r="MZG19" s="289"/>
      <c r="MZH19" s="289"/>
      <c r="MZI19" s="289"/>
      <c r="MZJ19" s="289"/>
      <c r="MZK19" s="289"/>
      <c r="MZL19" s="289"/>
      <c r="MZM19" s="289"/>
      <c r="MZN19" s="289"/>
      <c r="MZO19" s="289"/>
      <c r="MZP19" s="289"/>
      <c r="MZQ19" s="289"/>
      <c r="MZR19" s="289"/>
      <c r="MZS19" s="289"/>
      <c r="MZT19" s="289"/>
      <c r="MZU19" s="289"/>
      <c r="MZV19" s="289"/>
      <c r="MZW19" s="289"/>
      <c r="MZX19" s="289"/>
      <c r="MZY19" s="289"/>
      <c r="MZZ19" s="289"/>
      <c r="NAA19" s="289"/>
      <c r="NAB19" s="289"/>
      <c r="NAC19" s="289"/>
      <c r="NAD19" s="289"/>
      <c r="NAE19" s="289"/>
      <c r="NAF19" s="289"/>
      <c r="NAG19" s="289"/>
      <c r="NAH19" s="289"/>
      <c r="NAI19" s="289"/>
      <c r="NAJ19" s="289"/>
      <c r="NAK19" s="289"/>
      <c r="NAL19" s="289"/>
      <c r="NAM19" s="289"/>
      <c r="NAN19" s="289"/>
      <c r="NAO19" s="289"/>
      <c r="NAP19" s="289"/>
      <c r="NAQ19" s="289"/>
      <c r="NAR19" s="289"/>
      <c r="NAS19" s="289"/>
      <c r="NAT19" s="289"/>
      <c r="NAU19" s="289"/>
      <c r="NAV19" s="289"/>
      <c r="NAW19" s="289"/>
      <c r="NAX19" s="289"/>
      <c r="NAY19" s="289"/>
      <c r="NAZ19" s="289"/>
      <c r="NBA19" s="289"/>
      <c r="NBB19" s="289"/>
      <c r="NBC19" s="289"/>
      <c r="NBD19" s="289"/>
      <c r="NBE19" s="289"/>
      <c r="NBF19" s="289"/>
      <c r="NBG19" s="289"/>
      <c r="NBH19" s="289"/>
      <c r="NBI19" s="289"/>
      <c r="NBJ19" s="289"/>
      <c r="NBK19" s="289"/>
      <c r="NBL19" s="289"/>
      <c r="NBM19" s="289"/>
      <c r="NBN19" s="289"/>
      <c r="NBO19" s="289"/>
      <c r="NBP19" s="289"/>
      <c r="NBQ19" s="289"/>
      <c r="NBR19" s="289"/>
      <c r="NBS19" s="289"/>
      <c r="NBT19" s="289"/>
      <c r="NBU19" s="289"/>
      <c r="NBV19" s="289"/>
      <c r="NBW19" s="289"/>
      <c r="NBX19" s="289"/>
      <c r="NBY19" s="289"/>
      <c r="NBZ19" s="289"/>
      <c r="NCA19" s="289"/>
      <c r="NCB19" s="289"/>
      <c r="NCC19" s="289"/>
      <c r="NCD19" s="289"/>
      <c r="NCE19" s="289"/>
      <c r="NCF19" s="289"/>
      <c r="NCG19" s="289"/>
      <c r="NCH19" s="289"/>
      <c r="NCI19" s="289"/>
      <c r="NCJ19" s="289"/>
      <c r="NCK19" s="289"/>
      <c r="NCL19" s="289"/>
      <c r="NCM19" s="289"/>
      <c r="NCN19" s="289"/>
      <c r="NCO19" s="289"/>
      <c r="NCP19" s="289"/>
      <c r="NCQ19" s="289"/>
      <c r="NCR19" s="289"/>
      <c r="NCS19" s="289"/>
      <c r="NCT19" s="289"/>
      <c r="NCU19" s="289"/>
      <c r="NCV19" s="289"/>
      <c r="NCW19" s="289"/>
      <c r="NCX19" s="289"/>
      <c r="NCY19" s="289"/>
      <c r="NCZ19" s="289"/>
      <c r="NDA19" s="289"/>
      <c r="NDB19" s="289"/>
      <c r="NDC19" s="289"/>
      <c r="NDD19" s="289"/>
      <c r="NDE19" s="289"/>
      <c r="NDF19" s="289"/>
      <c r="NDG19" s="289"/>
      <c r="NDH19" s="289"/>
      <c r="NDI19" s="289"/>
      <c r="NDJ19" s="289"/>
      <c r="NDK19" s="289"/>
      <c r="NDL19" s="289"/>
      <c r="NDM19" s="289"/>
      <c r="NDN19" s="289"/>
      <c r="NDO19" s="289"/>
      <c r="NDP19" s="289"/>
      <c r="NDQ19" s="289"/>
      <c r="NDR19" s="289"/>
      <c r="NDS19" s="289"/>
      <c r="NDT19" s="289"/>
      <c r="NDU19" s="289"/>
      <c r="NDV19" s="289"/>
      <c r="NDW19" s="289"/>
      <c r="NDX19" s="289"/>
      <c r="NDY19" s="289"/>
      <c r="NDZ19" s="289"/>
      <c r="NEA19" s="289"/>
      <c r="NEB19" s="289"/>
      <c r="NEC19" s="289"/>
      <c r="NED19" s="289"/>
      <c r="NEE19" s="289"/>
      <c r="NEF19" s="289"/>
      <c r="NEG19" s="289"/>
      <c r="NEH19" s="289"/>
      <c r="NEI19" s="289"/>
      <c r="NEJ19" s="289"/>
      <c r="NEK19" s="289"/>
      <c r="NEL19" s="289"/>
      <c r="NEM19" s="289"/>
      <c r="NEN19" s="289"/>
      <c r="NEO19" s="289"/>
      <c r="NEP19" s="289"/>
      <c r="NEQ19" s="289"/>
      <c r="NER19" s="289"/>
      <c r="NES19" s="289"/>
      <c r="NET19" s="289"/>
      <c r="NEU19" s="289"/>
      <c r="NEV19" s="289"/>
      <c r="NEW19" s="289"/>
      <c r="NEX19" s="289"/>
      <c r="NEY19" s="289"/>
      <c r="NEZ19" s="289"/>
      <c r="NFA19" s="289"/>
      <c r="NFB19" s="289"/>
      <c r="NFC19" s="289"/>
      <c r="NFD19" s="289"/>
      <c r="NFE19" s="289"/>
      <c r="NFF19" s="289"/>
      <c r="NFG19" s="289"/>
      <c r="NFH19" s="289"/>
      <c r="NFI19" s="289"/>
      <c r="NFJ19" s="289"/>
      <c r="NFK19" s="289"/>
      <c r="NFL19" s="289"/>
      <c r="NFM19" s="289"/>
      <c r="NFN19" s="289"/>
      <c r="NFO19" s="289"/>
      <c r="NFP19" s="289"/>
      <c r="NFQ19" s="289"/>
      <c r="NFR19" s="289"/>
      <c r="NFS19" s="289"/>
      <c r="NFT19" s="289"/>
      <c r="NFU19" s="289"/>
      <c r="NFV19" s="289"/>
      <c r="NFW19" s="289"/>
      <c r="NFX19" s="289"/>
      <c r="NFY19" s="289"/>
      <c r="NFZ19" s="289"/>
      <c r="NGA19" s="289"/>
      <c r="NGB19" s="289"/>
      <c r="NGC19" s="289"/>
      <c r="NGD19" s="289"/>
      <c r="NGE19" s="289"/>
      <c r="NGF19" s="289"/>
      <c r="NGG19" s="289"/>
      <c r="NGH19" s="289"/>
      <c r="NGI19" s="289"/>
      <c r="NGJ19" s="289"/>
      <c r="NGK19" s="289"/>
      <c r="NGL19" s="289"/>
      <c r="NGM19" s="289"/>
      <c r="NGN19" s="289"/>
      <c r="NGO19" s="289"/>
      <c r="NGP19" s="289"/>
      <c r="NGQ19" s="289"/>
      <c r="NGR19" s="289"/>
      <c r="NGS19" s="289"/>
      <c r="NGT19" s="289"/>
      <c r="NGU19" s="289"/>
      <c r="NGV19" s="289"/>
      <c r="NGW19" s="289"/>
      <c r="NGX19" s="289"/>
      <c r="NGY19" s="289"/>
      <c r="NGZ19" s="289"/>
      <c r="NHA19" s="289"/>
      <c r="NHB19" s="289"/>
      <c r="NHC19" s="289"/>
      <c r="NHD19" s="289"/>
      <c r="NHE19" s="289"/>
      <c r="NHF19" s="289"/>
      <c r="NHG19" s="289"/>
      <c r="NHH19" s="289"/>
      <c r="NHI19" s="289"/>
      <c r="NHJ19" s="289"/>
      <c r="NHK19" s="289"/>
      <c r="NHL19" s="289"/>
      <c r="NHM19" s="289"/>
      <c r="NHN19" s="289"/>
      <c r="NHO19" s="289"/>
      <c r="NHP19" s="289"/>
      <c r="NHQ19" s="289"/>
      <c r="NHR19" s="289"/>
      <c r="NHS19" s="289"/>
      <c r="NHT19" s="289"/>
      <c r="NHU19" s="289"/>
      <c r="NHV19" s="289"/>
      <c r="NHW19" s="289"/>
      <c r="NHX19" s="289"/>
      <c r="NHY19" s="289"/>
      <c r="NHZ19" s="289"/>
      <c r="NIA19" s="289"/>
      <c r="NIB19" s="289"/>
      <c r="NIC19" s="289"/>
      <c r="NID19" s="289"/>
      <c r="NIE19" s="289"/>
      <c r="NIF19" s="289"/>
      <c r="NIG19" s="289"/>
      <c r="NIH19" s="289"/>
      <c r="NII19" s="289"/>
      <c r="NIJ19" s="289"/>
      <c r="NIK19" s="289"/>
      <c r="NIL19" s="289"/>
      <c r="NIM19" s="289"/>
      <c r="NIN19" s="289"/>
      <c r="NIO19" s="289"/>
      <c r="NIP19" s="289"/>
      <c r="NIQ19" s="289"/>
      <c r="NIR19" s="289"/>
      <c r="NIS19" s="289"/>
      <c r="NIT19" s="289"/>
      <c r="NIU19" s="289"/>
      <c r="NIV19" s="289"/>
      <c r="NIW19" s="289"/>
      <c r="NIX19" s="289"/>
      <c r="NIY19" s="289"/>
      <c r="NIZ19" s="289"/>
      <c r="NJA19" s="289"/>
      <c r="NJB19" s="289"/>
      <c r="NJC19" s="289"/>
      <c r="NJD19" s="289"/>
      <c r="NJE19" s="289"/>
      <c r="NJF19" s="289"/>
      <c r="NJG19" s="289"/>
      <c r="NJH19" s="289"/>
      <c r="NJI19" s="289"/>
      <c r="NJJ19" s="289"/>
      <c r="NJK19" s="289"/>
      <c r="NJL19" s="289"/>
      <c r="NJM19" s="289"/>
      <c r="NJN19" s="289"/>
      <c r="NJO19" s="289"/>
      <c r="NJP19" s="289"/>
      <c r="NJQ19" s="289"/>
      <c r="NJR19" s="289"/>
      <c r="NJS19" s="289"/>
      <c r="NJT19" s="289"/>
      <c r="NJU19" s="289"/>
      <c r="NJV19" s="289"/>
      <c r="NJW19" s="289"/>
      <c r="NJX19" s="289"/>
      <c r="NJY19" s="289"/>
      <c r="NJZ19" s="289"/>
      <c r="NKA19" s="289"/>
      <c r="NKB19" s="289"/>
      <c r="NKC19" s="289"/>
      <c r="NKD19" s="289"/>
      <c r="NKE19" s="289"/>
      <c r="NKF19" s="289"/>
      <c r="NKG19" s="289"/>
      <c r="NKH19" s="289"/>
      <c r="NKI19" s="289"/>
      <c r="NKJ19" s="289"/>
      <c r="NKK19" s="289"/>
      <c r="NKL19" s="289"/>
      <c r="NKM19" s="289"/>
      <c r="NKN19" s="289"/>
      <c r="NKO19" s="289"/>
      <c r="NKP19" s="289"/>
      <c r="NKQ19" s="289"/>
      <c r="NKR19" s="289"/>
      <c r="NKS19" s="289"/>
      <c r="NKT19" s="289"/>
      <c r="NKU19" s="289"/>
      <c r="NKV19" s="289"/>
      <c r="NKW19" s="289"/>
      <c r="NKX19" s="289"/>
      <c r="NKY19" s="289"/>
      <c r="NKZ19" s="289"/>
      <c r="NLA19" s="289"/>
      <c r="NLB19" s="289"/>
      <c r="NLC19" s="289"/>
      <c r="NLD19" s="289"/>
      <c r="NLE19" s="289"/>
      <c r="NLF19" s="289"/>
      <c r="NLG19" s="289"/>
      <c r="NLH19" s="289"/>
      <c r="NLI19" s="289"/>
      <c r="NLJ19" s="289"/>
      <c r="NLK19" s="289"/>
      <c r="NLL19" s="289"/>
      <c r="NLM19" s="289"/>
      <c r="NLN19" s="289"/>
      <c r="NLO19" s="289"/>
      <c r="NLP19" s="289"/>
      <c r="NLQ19" s="289"/>
      <c r="NLR19" s="289"/>
      <c r="NLS19" s="289"/>
      <c r="NLT19" s="289"/>
      <c r="NLU19" s="289"/>
      <c r="NLV19" s="289"/>
      <c r="NLW19" s="289"/>
      <c r="NLX19" s="289"/>
      <c r="NLY19" s="289"/>
      <c r="NLZ19" s="289"/>
      <c r="NMA19" s="289"/>
      <c r="NMB19" s="289"/>
      <c r="NMC19" s="289"/>
      <c r="NMD19" s="289"/>
      <c r="NME19" s="289"/>
      <c r="NMF19" s="289"/>
      <c r="NMG19" s="289"/>
      <c r="NMH19" s="289"/>
      <c r="NMI19" s="289"/>
      <c r="NMJ19" s="289"/>
      <c r="NMK19" s="289"/>
      <c r="NML19" s="289"/>
      <c r="NMM19" s="289"/>
      <c r="NMN19" s="289"/>
      <c r="NMO19" s="289"/>
      <c r="NMP19" s="289"/>
      <c r="NMQ19" s="289"/>
      <c r="NMR19" s="289"/>
      <c r="NMS19" s="289"/>
      <c r="NMT19" s="289"/>
      <c r="NMU19" s="289"/>
      <c r="NMV19" s="289"/>
      <c r="NMW19" s="289"/>
      <c r="NMX19" s="289"/>
      <c r="NMY19" s="289"/>
      <c r="NMZ19" s="289"/>
      <c r="NNA19" s="289"/>
      <c r="NNB19" s="289"/>
      <c r="NNC19" s="289"/>
      <c r="NND19" s="289"/>
      <c r="NNE19" s="289"/>
      <c r="NNF19" s="289"/>
      <c r="NNG19" s="289"/>
      <c r="NNH19" s="289"/>
      <c r="NNI19" s="289"/>
      <c r="NNJ19" s="289"/>
      <c r="NNK19" s="289"/>
      <c r="NNL19" s="289"/>
      <c r="NNM19" s="289"/>
      <c r="NNN19" s="289"/>
      <c r="NNO19" s="289"/>
      <c r="NNP19" s="289"/>
      <c r="NNQ19" s="289"/>
      <c r="NNR19" s="289"/>
      <c r="NNS19" s="289"/>
      <c r="NNT19" s="289"/>
      <c r="NNU19" s="289"/>
      <c r="NNV19" s="289"/>
      <c r="NNW19" s="289"/>
      <c r="NNX19" s="289"/>
      <c r="NNY19" s="289"/>
      <c r="NNZ19" s="289"/>
      <c r="NOA19" s="289"/>
      <c r="NOB19" s="289"/>
      <c r="NOC19" s="289"/>
      <c r="NOD19" s="289"/>
      <c r="NOE19" s="289"/>
      <c r="NOF19" s="289"/>
      <c r="NOG19" s="289"/>
      <c r="NOH19" s="289"/>
      <c r="NOI19" s="289"/>
      <c r="NOJ19" s="289"/>
      <c r="NOK19" s="289"/>
      <c r="NOL19" s="289"/>
      <c r="NOM19" s="289"/>
      <c r="NON19" s="289"/>
      <c r="NOO19" s="289"/>
      <c r="NOP19" s="289"/>
      <c r="NOQ19" s="289"/>
      <c r="NOR19" s="289"/>
      <c r="NOS19" s="289"/>
      <c r="NOT19" s="289"/>
      <c r="NOU19" s="289"/>
      <c r="NOV19" s="289"/>
      <c r="NOW19" s="289"/>
      <c r="NOX19" s="289"/>
      <c r="NOY19" s="289"/>
      <c r="NOZ19" s="289"/>
      <c r="NPA19" s="289"/>
      <c r="NPB19" s="289"/>
      <c r="NPC19" s="289"/>
      <c r="NPD19" s="289"/>
      <c r="NPE19" s="289"/>
      <c r="NPF19" s="289"/>
      <c r="NPG19" s="289"/>
      <c r="NPH19" s="289"/>
      <c r="NPI19" s="289"/>
      <c r="NPJ19" s="289"/>
      <c r="NPK19" s="289"/>
      <c r="NPL19" s="289"/>
      <c r="NPM19" s="289"/>
      <c r="NPN19" s="289"/>
      <c r="NPO19" s="289"/>
      <c r="NPP19" s="289"/>
      <c r="NPQ19" s="289"/>
      <c r="NPR19" s="289"/>
      <c r="NPS19" s="289"/>
      <c r="NPT19" s="289"/>
      <c r="NPU19" s="289"/>
      <c r="NPV19" s="289"/>
      <c r="NPW19" s="289"/>
      <c r="NPX19" s="289"/>
      <c r="NPY19" s="289"/>
      <c r="NPZ19" s="289"/>
      <c r="NQA19" s="289"/>
      <c r="NQB19" s="289"/>
      <c r="NQC19" s="289"/>
      <c r="NQD19" s="289"/>
      <c r="NQE19" s="289"/>
      <c r="NQF19" s="289"/>
      <c r="NQG19" s="289"/>
      <c r="NQH19" s="289"/>
      <c r="NQI19" s="289"/>
      <c r="NQJ19" s="289"/>
      <c r="NQK19" s="289"/>
      <c r="NQL19" s="289"/>
      <c r="NQM19" s="289"/>
      <c r="NQN19" s="289"/>
      <c r="NQO19" s="289"/>
      <c r="NQP19" s="289"/>
      <c r="NQQ19" s="289"/>
      <c r="NQR19" s="289"/>
      <c r="NQS19" s="289"/>
      <c r="NQT19" s="289"/>
      <c r="NQU19" s="289"/>
      <c r="NQV19" s="289"/>
      <c r="NQW19" s="289"/>
      <c r="NQX19" s="289"/>
      <c r="NQY19" s="289"/>
      <c r="NQZ19" s="289"/>
      <c r="NRA19" s="289"/>
      <c r="NRB19" s="289"/>
      <c r="NRC19" s="289"/>
      <c r="NRD19" s="289"/>
      <c r="NRE19" s="289"/>
      <c r="NRF19" s="289"/>
      <c r="NRG19" s="289"/>
      <c r="NRH19" s="289"/>
      <c r="NRI19" s="289"/>
      <c r="NRJ19" s="289"/>
      <c r="NRK19" s="289"/>
      <c r="NRL19" s="289"/>
      <c r="NRM19" s="289"/>
      <c r="NRN19" s="289"/>
      <c r="NRO19" s="289"/>
      <c r="NRP19" s="289"/>
      <c r="NRQ19" s="289"/>
      <c r="NRR19" s="289"/>
      <c r="NRS19" s="289"/>
      <c r="NRT19" s="289"/>
      <c r="NRU19" s="289"/>
      <c r="NRV19" s="289"/>
      <c r="NRW19" s="289"/>
      <c r="NRX19" s="289"/>
      <c r="NRY19" s="289"/>
      <c r="NRZ19" s="289"/>
      <c r="NSA19" s="289"/>
      <c r="NSB19" s="289"/>
      <c r="NSC19" s="289"/>
      <c r="NSD19" s="289"/>
      <c r="NSE19" s="289"/>
      <c r="NSF19" s="289"/>
      <c r="NSG19" s="289"/>
      <c r="NSH19" s="289"/>
      <c r="NSI19" s="289"/>
      <c r="NSJ19" s="289"/>
      <c r="NSK19" s="289"/>
      <c r="NSL19" s="289"/>
      <c r="NSM19" s="289"/>
      <c r="NSN19" s="289"/>
      <c r="NSO19" s="289"/>
      <c r="NSP19" s="289"/>
      <c r="NSQ19" s="289"/>
      <c r="NSR19" s="289"/>
      <c r="NSS19" s="289"/>
      <c r="NST19" s="289"/>
      <c r="NSU19" s="289"/>
      <c r="NSV19" s="289"/>
      <c r="NSW19" s="289"/>
      <c r="NSX19" s="289"/>
      <c r="NSY19" s="289"/>
      <c r="NSZ19" s="289"/>
      <c r="NTA19" s="289"/>
      <c r="NTB19" s="289"/>
      <c r="NTC19" s="289"/>
      <c r="NTD19" s="289"/>
      <c r="NTE19" s="289"/>
      <c r="NTF19" s="289"/>
      <c r="NTG19" s="289"/>
      <c r="NTH19" s="289"/>
      <c r="NTI19" s="289"/>
      <c r="NTJ19" s="289"/>
      <c r="NTK19" s="289"/>
      <c r="NTL19" s="289"/>
      <c r="NTM19" s="289"/>
      <c r="NTN19" s="289"/>
      <c r="NTO19" s="289"/>
      <c r="NTP19" s="289"/>
      <c r="NTQ19" s="289"/>
      <c r="NTR19" s="289"/>
      <c r="NTS19" s="289"/>
      <c r="NTT19" s="289"/>
      <c r="NTU19" s="289"/>
      <c r="NTV19" s="289"/>
      <c r="NTW19" s="289"/>
      <c r="NTX19" s="289"/>
      <c r="NTY19" s="289"/>
      <c r="NTZ19" s="289"/>
      <c r="NUA19" s="289"/>
      <c r="NUB19" s="289"/>
      <c r="NUC19" s="289"/>
      <c r="NUD19" s="289"/>
      <c r="NUE19" s="289"/>
      <c r="NUF19" s="289"/>
      <c r="NUG19" s="289"/>
      <c r="NUH19" s="289"/>
      <c r="NUI19" s="289"/>
      <c r="NUJ19" s="289"/>
      <c r="NUK19" s="289"/>
      <c r="NUL19" s="289"/>
      <c r="NUM19" s="289"/>
      <c r="NUN19" s="289"/>
      <c r="NUO19" s="289"/>
      <c r="NUP19" s="289"/>
      <c r="NUQ19" s="289"/>
      <c r="NUR19" s="289"/>
      <c r="NUS19" s="289"/>
      <c r="NUT19" s="289"/>
      <c r="NUU19" s="289"/>
      <c r="NUV19" s="289"/>
      <c r="NUW19" s="289"/>
      <c r="NUX19" s="289"/>
      <c r="NUY19" s="289"/>
      <c r="NUZ19" s="289"/>
      <c r="NVA19" s="289"/>
      <c r="NVB19" s="289"/>
      <c r="NVC19" s="289"/>
      <c r="NVD19" s="289"/>
      <c r="NVE19" s="289"/>
      <c r="NVF19" s="289"/>
      <c r="NVG19" s="289"/>
      <c r="NVH19" s="289"/>
      <c r="NVI19" s="289"/>
      <c r="NVJ19" s="289"/>
      <c r="NVK19" s="289"/>
      <c r="NVL19" s="289"/>
      <c r="NVM19" s="289"/>
      <c r="NVN19" s="289"/>
      <c r="NVO19" s="289"/>
      <c r="NVP19" s="289"/>
      <c r="NVQ19" s="289"/>
      <c r="NVR19" s="289"/>
      <c r="NVS19" s="289"/>
      <c r="NVT19" s="289"/>
      <c r="NVU19" s="289"/>
      <c r="NVV19" s="289"/>
      <c r="NVW19" s="289"/>
      <c r="NVX19" s="289"/>
      <c r="NVY19" s="289"/>
      <c r="NVZ19" s="289"/>
      <c r="NWA19" s="289"/>
      <c r="NWB19" s="289"/>
      <c r="NWC19" s="289"/>
      <c r="NWD19" s="289"/>
      <c r="NWE19" s="289"/>
      <c r="NWF19" s="289"/>
      <c r="NWG19" s="289"/>
      <c r="NWH19" s="289"/>
      <c r="NWI19" s="289"/>
      <c r="NWJ19" s="289"/>
      <c r="NWK19" s="289"/>
      <c r="NWL19" s="289"/>
      <c r="NWM19" s="289"/>
      <c r="NWN19" s="289"/>
      <c r="NWO19" s="289"/>
      <c r="NWP19" s="289"/>
      <c r="NWQ19" s="289"/>
      <c r="NWR19" s="289"/>
      <c r="NWS19" s="289"/>
      <c r="NWT19" s="289"/>
      <c r="NWU19" s="289"/>
      <c r="NWV19" s="289"/>
      <c r="NWW19" s="289"/>
      <c r="NWX19" s="289"/>
      <c r="NWY19" s="289"/>
      <c r="NWZ19" s="289"/>
      <c r="NXA19" s="289"/>
      <c r="NXB19" s="289"/>
      <c r="NXC19" s="289"/>
      <c r="NXD19" s="289"/>
      <c r="NXE19" s="289"/>
      <c r="NXF19" s="289"/>
      <c r="NXG19" s="289"/>
      <c r="NXH19" s="289"/>
      <c r="NXI19" s="289"/>
      <c r="NXJ19" s="289"/>
      <c r="NXK19" s="289"/>
      <c r="NXL19" s="289"/>
      <c r="NXM19" s="289"/>
      <c r="NXN19" s="289"/>
      <c r="NXO19" s="289"/>
      <c r="NXP19" s="289"/>
      <c r="NXQ19" s="289"/>
      <c r="NXR19" s="289"/>
      <c r="NXS19" s="289"/>
      <c r="NXT19" s="289"/>
      <c r="NXU19" s="289"/>
      <c r="NXV19" s="289"/>
      <c r="NXW19" s="289"/>
      <c r="NXX19" s="289"/>
      <c r="NXY19" s="289"/>
      <c r="NXZ19" s="289"/>
      <c r="NYA19" s="289"/>
      <c r="NYB19" s="289"/>
      <c r="NYC19" s="289"/>
      <c r="NYD19" s="289"/>
      <c r="NYE19" s="289"/>
      <c r="NYF19" s="289"/>
      <c r="NYG19" s="289"/>
      <c r="NYH19" s="289"/>
      <c r="NYI19" s="289"/>
      <c r="NYJ19" s="289"/>
      <c r="NYK19" s="289"/>
      <c r="NYL19" s="289"/>
      <c r="NYM19" s="289"/>
      <c r="NYN19" s="289"/>
      <c r="NYO19" s="289"/>
      <c r="NYP19" s="289"/>
      <c r="NYQ19" s="289"/>
      <c r="NYR19" s="289"/>
      <c r="NYS19" s="289"/>
      <c r="NYT19" s="289"/>
      <c r="NYU19" s="289"/>
      <c r="NYV19" s="289"/>
      <c r="NYW19" s="289"/>
      <c r="NYX19" s="289"/>
      <c r="NYY19" s="289"/>
      <c r="NYZ19" s="289"/>
      <c r="NZA19" s="289"/>
      <c r="NZB19" s="289"/>
      <c r="NZC19" s="289"/>
      <c r="NZD19" s="289"/>
      <c r="NZE19" s="289"/>
      <c r="NZF19" s="289"/>
      <c r="NZG19" s="289"/>
      <c r="NZH19" s="289"/>
      <c r="NZI19" s="289"/>
      <c r="NZJ19" s="289"/>
      <c r="NZK19" s="289"/>
      <c r="NZL19" s="289"/>
      <c r="NZM19" s="289"/>
      <c r="NZN19" s="289"/>
      <c r="NZO19" s="289"/>
      <c r="NZP19" s="289"/>
      <c r="NZQ19" s="289"/>
      <c r="NZR19" s="289"/>
      <c r="NZS19" s="289"/>
      <c r="NZT19" s="289"/>
      <c r="NZU19" s="289"/>
      <c r="NZV19" s="289"/>
      <c r="NZW19" s="289"/>
      <c r="NZX19" s="289"/>
      <c r="NZY19" s="289"/>
      <c r="NZZ19" s="289"/>
      <c r="OAA19" s="289"/>
      <c r="OAB19" s="289"/>
      <c r="OAC19" s="289"/>
      <c r="OAD19" s="289"/>
      <c r="OAE19" s="289"/>
      <c r="OAF19" s="289"/>
      <c r="OAG19" s="289"/>
      <c r="OAH19" s="289"/>
      <c r="OAI19" s="289"/>
      <c r="OAJ19" s="289"/>
      <c r="OAK19" s="289"/>
      <c r="OAL19" s="289"/>
      <c r="OAM19" s="289"/>
      <c r="OAN19" s="289"/>
      <c r="OAO19" s="289"/>
      <c r="OAP19" s="289"/>
      <c r="OAQ19" s="289"/>
      <c r="OAR19" s="289"/>
      <c r="OAS19" s="289"/>
      <c r="OAT19" s="289"/>
      <c r="OAU19" s="289"/>
      <c r="OAV19" s="289"/>
      <c r="OAW19" s="289"/>
      <c r="OAX19" s="289"/>
      <c r="OAY19" s="289"/>
      <c r="OAZ19" s="289"/>
      <c r="OBA19" s="289"/>
      <c r="OBB19" s="289"/>
      <c r="OBC19" s="289"/>
      <c r="OBD19" s="289"/>
      <c r="OBE19" s="289"/>
      <c r="OBF19" s="289"/>
      <c r="OBG19" s="289"/>
      <c r="OBH19" s="289"/>
      <c r="OBI19" s="289"/>
      <c r="OBJ19" s="289"/>
      <c r="OBK19" s="289"/>
      <c r="OBL19" s="289"/>
      <c r="OBM19" s="289"/>
      <c r="OBN19" s="289"/>
      <c r="OBO19" s="289"/>
      <c r="OBP19" s="289"/>
      <c r="OBQ19" s="289"/>
      <c r="OBR19" s="289"/>
      <c r="OBS19" s="289"/>
      <c r="OBT19" s="289"/>
      <c r="OBU19" s="289"/>
      <c r="OBV19" s="289"/>
      <c r="OBW19" s="289"/>
      <c r="OBX19" s="289"/>
      <c r="OBY19" s="289"/>
      <c r="OBZ19" s="289"/>
      <c r="OCA19" s="289"/>
      <c r="OCB19" s="289"/>
      <c r="OCC19" s="289"/>
      <c r="OCD19" s="289"/>
      <c r="OCE19" s="289"/>
      <c r="OCF19" s="289"/>
      <c r="OCG19" s="289"/>
      <c r="OCH19" s="289"/>
      <c r="OCI19" s="289"/>
      <c r="OCJ19" s="289"/>
      <c r="OCK19" s="289"/>
      <c r="OCL19" s="289"/>
      <c r="OCM19" s="289"/>
      <c r="OCN19" s="289"/>
      <c r="OCO19" s="289"/>
      <c r="OCP19" s="289"/>
      <c r="OCQ19" s="289"/>
      <c r="OCR19" s="289"/>
      <c r="OCS19" s="289"/>
      <c r="OCT19" s="289"/>
      <c r="OCU19" s="289"/>
      <c r="OCV19" s="289"/>
      <c r="OCW19" s="289"/>
      <c r="OCX19" s="289"/>
      <c r="OCY19" s="289"/>
      <c r="OCZ19" s="289"/>
      <c r="ODA19" s="289"/>
      <c r="ODB19" s="289"/>
      <c r="ODC19" s="289"/>
      <c r="ODD19" s="289"/>
      <c r="ODE19" s="289"/>
      <c r="ODF19" s="289"/>
      <c r="ODG19" s="289"/>
      <c r="ODH19" s="289"/>
      <c r="ODI19" s="289"/>
      <c r="ODJ19" s="289"/>
      <c r="ODK19" s="289"/>
      <c r="ODL19" s="289"/>
      <c r="ODM19" s="289"/>
      <c r="ODN19" s="289"/>
      <c r="ODO19" s="289"/>
      <c r="ODP19" s="289"/>
      <c r="ODQ19" s="289"/>
      <c r="ODR19" s="289"/>
      <c r="ODS19" s="289"/>
      <c r="ODT19" s="289"/>
      <c r="ODU19" s="289"/>
      <c r="ODV19" s="289"/>
      <c r="ODW19" s="289"/>
      <c r="ODX19" s="289"/>
      <c r="ODY19" s="289"/>
      <c r="ODZ19" s="289"/>
      <c r="OEA19" s="289"/>
      <c r="OEB19" s="289"/>
      <c r="OEC19" s="289"/>
      <c r="OED19" s="289"/>
      <c r="OEE19" s="289"/>
      <c r="OEF19" s="289"/>
      <c r="OEG19" s="289"/>
      <c r="OEH19" s="289"/>
      <c r="OEI19" s="289"/>
      <c r="OEJ19" s="289"/>
      <c r="OEK19" s="289"/>
      <c r="OEL19" s="289"/>
      <c r="OEM19" s="289"/>
      <c r="OEN19" s="289"/>
      <c r="OEO19" s="289"/>
      <c r="OEP19" s="289"/>
      <c r="OEQ19" s="289"/>
      <c r="OER19" s="289"/>
      <c r="OES19" s="289"/>
      <c r="OET19" s="289"/>
      <c r="OEU19" s="289"/>
      <c r="OEV19" s="289"/>
      <c r="OEW19" s="289"/>
      <c r="OEX19" s="289"/>
      <c r="OEY19" s="289"/>
      <c r="OEZ19" s="289"/>
      <c r="OFA19" s="289"/>
      <c r="OFB19" s="289"/>
      <c r="OFC19" s="289"/>
      <c r="OFD19" s="289"/>
      <c r="OFE19" s="289"/>
      <c r="OFF19" s="289"/>
      <c r="OFG19" s="289"/>
      <c r="OFH19" s="289"/>
      <c r="OFI19" s="289"/>
      <c r="OFJ19" s="289"/>
      <c r="OFK19" s="289"/>
      <c r="OFL19" s="289"/>
      <c r="OFM19" s="289"/>
      <c r="OFN19" s="289"/>
      <c r="OFO19" s="289"/>
      <c r="OFP19" s="289"/>
      <c r="OFQ19" s="289"/>
      <c r="OFR19" s="289"/>
      <c r="OFS19" s="289"/>
      <c r="OFT19" s="289"/>
      <c r="OFU19" s="289"/>
      <c r="OFV19" s="289"/>
      <c r="OFW19" s="289"/>
      <c r="OFX19" s="289"/>
      <c r="OFY19" s="289"/>
      <c r="OFZ19" s="289"/>
      <c r="OGA19" s="289"/>
      <c r="OGB19" s="289"/>
      <c r="OGC19" s="289"/>
      <c r="OGD19" s="289"/>
      <c r="OGE19" s="289"/>
      <c r="OGF19" s="289"/>
      <c r="OGG19" s="289"/>
      <c r="OGH19" s="289"/>
      <c r="OGI19" s="289"/>
      <c r="OGJ19" s="289"/>
      <c r="OGK19" s="289"/>
      <c r="OGL19" s="289"/>
      <c r="OGM19" s="289"/>
      <c r="OGN19" s="289"/>
      <c r="OGO19" s="289"/>
      <c r="OGP19" s="289"/>
      <c r="OGQ19" s="289"/>
      <c r="OGR19" s="289"/>
      <c r="OGS19" s="289"/>
      <c r="OGT19" s="289"/>
      <c r="OGU19" s="289"/>
      <c r="OGV19" s="289"/>
      <c r="OGW19" s="289"/>
      <c r="OGX19" s="289"/>
      <c r="OGY19" s="289"/>
      <c r="OGZ19" s="289"/>
      <c r="OHA19" s="289"/>
      <c r="OHB19" s="289"/>
      <c r="OHC19" s="289"/>
      <c r="OHD19" s="289"/>
      <c r="OHE19" s="289"/>
      <c r="OHF19" s="289"/>
      <c r="OHG19" s="289"/>
      <c r="OHH19" s="289"/>
      <c r="OHI19" s="289"/>
      <c r="OHJ19" s="289"/>
      <c r="OHK19" s="289"/>
      <c r="OHL19" s="289"/>
      <c r="OHM19" s="289"/>
      <c r="OHN19" s="289"/>
      <c r="OHO19" s="289"/>
      <c r="OHP19" s="289"/>
      <c r="OHQ19" s="289"/>
      <c r="OHR19" s="289"/>
      <c r="OHS19" s="289"/>
      <c r="OHT19" s="289"/>
      <c r="OHU19" s="289"/>
      <c r="OHV19" s="289"/>
      <c r="OHW19" s="289"/>
      <c r="OHX19" s="289"/>
      <c r="OHY19" s="289"/>
      <c r="OHZ19" s="289"/>
      <c r="OIA19" s="289"/>
      <c r="OIB19" s="289"/>
      <c r="OIC19" s="289"/>
      <c r="OID19" s="289"/>
      <c r="OIE19" s="289"/>
      <c r="OIF19" s="289"/>
      <c r="OIG19" s="289"/>
      <c r="OIH19" s="289"/>
      <c r="OII19" s="289"/>
      <c r="OIJ19" s="289"/>
      <c r="OIK19" s="289"/>
      <c r="OIL19" s="289"/>
      <c r="OIM19" s="289"/>
      <c r="OIN19" s="289"/>
      <c r="OIO19" s="289"/>
      <c r="OIP19" s="289"/>
      <c r="OIQ19" s="289"/>
      <c r="OIR19" s="289"/>
      <c r="OIS19" s="289"/>
      <c r="OIT19" s="289"/>
      <c r="OIU19" s="289"/>
      <c r="OIV19" s="289"/>
      <c r="OIW19" s="289"/>
      <c r="OIX19" s="289"/>
      <c r="OIY19" s="289"/>
      <c r="OIZ19" s="289"/>
      <c r="OJA19" s="289"/>
      <c r="OJB19" s="289"/>
      <c r="OJC19" s="289"/>
      <c r="OJD19" s="289"/>
      <c r="OJE19" s="289"/>
      <c r="OJF19" s="289"/>
      <c r="OJG19" s="289"/>
      <c r="OJH19" s="289"/>
      <c r="OJI19" s="289"/>
      <c r="OJJ19" s="289"/>
      <c r="OJK19" s="289"/>
      <c r="OJL19" s="289"/>
      <c r="OJM19" s="289"/>
      <c r="OJN19" s="289"/>
      <c r="OJO19" s="289"/>
      <c r="OJP19" s="289"/>
      <c r="OJQ19" s="289"/>
      <c r="OJR19" s="289"/>
      <c r="OJS19" s="289"/>
      <c r="OJT19" s="289"/>
      <c r="OJU19" s="289"/>
      <c r="OJV19" s="289"/>
      <c r="OJW19" s="289"/>
      <c r="OJX19" s="289"/>
      <c r="OJY19" s="289"/>
      <c r="OJZ19" s="289"/>
      <c r="OKA19" s="289"/>
      <c r="OKB19" s="289"/>
      <c r="OKC19" s="289"/>
      <c r="OKD19" s="289"/>
      <c r="OKE19" s="289"/>
      <c r="OKF19" s="289"/>
      <c r="OKG19" s="289"/>
      <c r="OKH19" s="289"/>
      <c r="OKI19" s="289"/>
      <c r="OKJ19" s="289"/>
      <c r="OKK19" s="289"/>
      <c r="OKL19" s="289"/>
      <c r="OKM19" s="289"/>
      <c r="OKN19" s="289"/>
      <c r="OKO19" s="289"/>
      <c r="OKP19" s="289"/>
      <c r="OKQ19" s="289"/>
      <c r="OKR19" s="289"/>
      <c r="OKS19" s="289"/>
      <c r="OKT19" s="289"/>
      <c r="OKU19" s="289"/>
      <c r="OKV19" s="289"/>
      <c r="OKW19" s="289"/>
      <c r="OKX19" s="289"/>
      <c r="OKY19" s="289"/>
      <c r="OKZ19" s="289"/>
      <c r="OLA19" s="289"/>
      <c r="OLB19" s="289"/>
      <c r="OLC19" s="289"/>
      <c r="OLD19" s="289"/>
      <c r="OLE19" s="289"/>
      <c r="OLF19" s="289"/>
      <c r="OLG19" s="289"/>
      <c r="OLH19" s="289"/>
      <c r="OLI19" s="289"/>
      <c r="OLJ19" s="289"/>
      <c r="OLK19" s="289"/>
      <c r="OLL19" s="289"/>
      <c r="OLM19" s="289"/>
      <c r="OLN19" s="289"/>
      <c r="OLO19" s="289"/>
      <c r="OLP19" s="289"/>
      <c r="OLQ19" s="289"/>
      <c r="OLR19" s="289"/>
      <c r="OLS19" s="289"/>
      <c r="OLT19" s="289"/>
      <c r="OLU19" s="289"/>
      <c r="OLV19" s="289"/>
      <c r="OLW19" s="289"/>
      <c r="OLX19" s="289"/>
      <c r="OLY19" s="289"/>
      <c r="OLZ19" s="289"/>
      <c r="OMA19" s="289"/>
      <c r="OMB19" s="289"/>
      <c r="OMC19" s="289"/>
      <c r="OMD19" s="289"/>
      <c r="OME19" s="289"/>
      <c r="OMF19" s="289"/>
      <c r="OMG19" s="289"/>
      <c r="OMH19" s="289"/>
      <c r="OMI19" s="289"/>
      <c r="OMJ19" s="289"/>
      <c r="OMK19" s="289"/>
      <c r="OML19" s="289"/>
      <c r="OMM19" s="289"/>
      <c r="OMN19" s="289"/>
      <c r="OMO19" s="289"/>
      <c r="OMP19" s="289"/>
      <c r="OMQ19" s="289"/>
      <c r="OMR19" s="289"/>
      <c r="OMS19" s="289"/>
      <c r="OMT19" s="289"/>
      <c r="OMU19" s="289"/>
      <c r="OMV19" s="289"/>
      <c r="OMW19" s="289"/>
      <c r="OMX19" s="289"/>
      <c r="OMY19" s="289"/>
      <c r="OMZ19" s="289"/>
      <c r="ONA19" s="289"/>
      <c r="ONB19" s="289"/>
      <c r="ONC19" s="289"/>
      <c r="OND19" s="289"/>
      <c r="ONE19" s="289"/>
      <c r="ONF19" s="289"/>
      <c r="ONG19" s="289"/>
      <c r="ONH19" s="289"/>
      <c r="ONI19" s="289"/>
      <c r="ONJ19" s="289"/>
      <c r="ONK19" s="289"/>
      <c r="ONL19" s="289"/>
      <c r="ONM19" s="289"/>
      <c r="ONN19" s="289"/>
      <c r="ONO19" s="289"/>
      <c r="ONP19" s="289"/>
      <c r="ONQ19" s="289"/>
      <c r="ONR19" s="289"/>
      <c r="ONS19" s="289"/>
      <c r="ONT19" s="289"/>
      <c r="ONU19" s="289"/>
      <c r="ONV19" s="289"/>
      <c r="ONW19" s="289"/>
      <c r="ONX19" s="289"/>
      <c r="ONY19" s="289"/>
      <c r="ONZ19" s="289"/>
      <c r="OOA19" s="289"/>
      <c r="OOB19" s="289"/>
      <c r="OOC19" s="289"/>
      <c r="OOD19" s="289"/>
      <c r="OOE19" s="289"/>
      <c r="OOF19" s="289"/>
      <c r="OOG19" s="289"/>
      <c r="OOH19" s="289"/>
      <c r="OOI19" s="289"/>
      <c r="OOJ19" s="289"/>
      <c r="OOK19" s="289"/>
      <c r="OOL19" s="289"/>
      <c r="OOM19" s="289"/>
      <c r="OON19" s="289"/>
      <c r="OOO19" s="289"/>
      <c r="OOP19" s="289"/>
      <c r="OOQ19" s="289"/>
      <c r="OOR19" s="289"/>
      <c r="OOS19" s="289"/>
      <c r="OOT19" s="289"/>
      <c r="OOU19" s="289"/>
      <c r="OOV19" s="289"/>
      <c r="OOW19" s="289"/>
      <c r="OOX19" s="289"/>
      <c r="OOY19" s="289"/>
      <c r="OOZ19" s="289"/>
      <c r="OPA19" s="289"/>
      <c r="OPB19" s="289"/>
      <c r="OPC19" s="289"/>
      <c r="OPD19" s="289"/>
      <c r="OPE19" s="289"/>
      <c r="OPF19" s="289"/>
      <c r="OPG19" s="289"/>
      <c r="OPH19" s="289"/>
      <c r="OPI19" s="289"/>
      <c r="OPJ19" s="289"/>
      <c r="OPK19" s="289"/>
      <c r="OPL19" s="289"/>
      <c r="OPM19" s="289"/>
      <c r="OPN19" s="289"/>
      <c r="OPO19" s="289"/>
      <c r="OPP19" s="289"/>
      <c r="OPQ19" s="289"/>
      <c r="OPR19" s="289"/>
      <c r="OPS19" s="289"/>
      <c r="OPT19" s="289"/>
      <c r="OPU19" s="289"/>
      <c r="OPV19" s="289"/>
      <c r="OPW19" s="289"/>
      <c r="OPX19" s="289"/>
      <c r="OPY19" s="289"/>
      <c r="OPZ19" s="289"/>
      <c r="OQA19" s="289"/>
      <c r="OQB19" s="289"/>
      <c r="OQC19" s="289"/>
      <c r="OQD19" s="289"/>
      <c r="OQE19" s="289"/>
      <c r="OQF19" s="289"/>
      <c r="OQG19" s="289"/>
      <c r="OQH19" s="289"/>
      <c r="OQI19" s="289"/>
      <c r="OQJ19" s="289"/>
      <c r="OQK19" s="289"/>
      <c r="OQL19" s="289"/>
      <c r="OQM19" s="289"/>
      <c r="OQN19" s="289"/>
      <c r="OQO19" s="289"/>
      <c r="OQP19" s="289"/>
      <c r="OQQ19" s="289"/>
      <c r="OQR19" s="289"/>
      <c r="OQS19" s="289"/>
      <c r="OQT19" s="289"/>
      <c r="OQU19" s="289"/>
      <c r="OQV19" s="289"/>
      <c r="OQW19" s="289"/>
      <c r="OQX19" s="289"/>
      <c r="OQY19" s="289"/>
      <c r="OQZ19" s="289"/>
      <c r="ORA19" s="289"/>
      <c r="ORB19" s="289"/>
      <c r="ORC19" s="289"/>
      <c r="ORD19" s="289"/>
      <c r="ORE19" s="289"/>
      <c r="ORF19" s="289"/>
      <c r="ORG19" s="289"/>
      <c r="ORH19" s="289"/>
      <c r="ORI19" s="289"/>
      <c r="ORJ19" s="289"/>
      <c r="ORK19" s="289"/>
      <c r="ORL19" s="289"/>
      <c r="ORM19" s="289"/>
      <c r="ORN19" s="289"/>
      <c r="ORO19" s="289"/>
      <c r="ORP19" s="289"/>
      <c r="ORQ19" s="289"/>
      <c r="ORR19" s="289"/>
      <c r="ORS19" s="289"/>
      <c r="ORT19" s="289"/>
      <c r="ORU19" s="289"/>
      <c r="ORV19" s="289"/>
      <c r="ORW19" s="289"/>
      <c r="ORX19" s="289"/>
      <c r="ORY19" s="289"/>
      <c r="ORZ19" s="289"/>
      <c r="OSA19" s="289"/>
      <c r="OSB19" s="289"/>
      <c r="OSC19" s="289"/>
      <c r="OSD19" s="289"/>
      <c r="OSE19" s="289"/>
      <c r="OSF19" s="289"/>
      <c r="OSG19" s="289"/>
      <c r="OSH19" s="289"/>
      <c r="OSI19" s="289"/>
      <c r="OSJ19" s="289"/>
      <c r="OSK19" s="289"/>
      <c r="OSL19" s="289"/>
      <c r="OSM19" s="289"/>
      <c r="OSN19" s="289"/>
      <c r="OSO19" s="289"/>
      <c r="OSP19" s="289"/>
      <c r="OSQ19" s="289"/>
      <c r="OSR19" s="289"/>
      <c r="OSS19" s="289"/>
      <c r="OST19" s="289"/>
      <c r="OSU19" s="289"/>
      <c r="OSV19" s="289"/>
      <c r="OSW19" s="289"/>
      <c r="OSX19" s="289"/>
      <c r="OSY19" s="289"/>
      <c r="OSZ19" s="289"/>
      <c r="OTA19" s="289"/>
      <c r="OTB19" s="289"/>
      <c r="OTC19" s="289"/>
      <c r="OTD19" s="289"/>
      <c r="OTE19" s="289"/>
      <c r="OTF19" s="289"/>
      <c r="OTG19" s="289"/>
      <c r="OTH19" s="289"/>
      <c r="OTI19" s="289"/>
      <c r="OTJ19" s="289"/>
      <c r="OTK19" s="289"/>
      <c r="OTL19" s="289"/>
      <c r="OTM19" s="289"/>
      <c r="OTN19" s="289"/>
      <c r="OTO19" s="289"/>
      <c r="OTP19" s="289"/>
      <c r="OTQ19" s="289"/>
      <c r="OTR19" s="289"/>
      <c r="OTS19" s="289"/>
      <c r="OTT19" s="289"/>
      <c r="OTU19" s="289"/>
      <c r="OTV19" s="289"/>
      <c r="OTW19" s="289"/>
      <c r="OTX19" s="289"/>
      <c r="OTY19" s="289"/>
      <c r="OTZ19" s="289"/>
      <c r="OUA19" s="289"/>
      <c r="OUB19" s="289"/>
      <c r="OUC19" s="289"/>
      <c r="OUD19" s="289"/>
      <c r="OUE19" s="289"/>
      <c r="OUF19" s="289"/>
      <c r="OUG19" s="289"/>
      <c r="OUH19" s="289"/>
      <c r="OUI19" s="289"/>
      <c r="OUJ19" s="289"/>
      <c r="OUK19" s="289"/>
      <c r="OUL19" s="289"/>
      <c r="OUM19" s="289"/>
      <c r="OUN19" s="289"/>
      <c r="OUO19" s="289"/>
      <c r="OUP19" s="289"/>
      <c r="OUQ19" s="289"/>
      <c r="OUR19" s="289"/>
      <c r="OUS19" s="289"/>
      <c r="OUT19" s="289"/>
      <c r="OUU19" s="289"/>
      <c r="OUV19" s="289"/>
      <c r="OUW19" s="289"/>
      <c r="OUX19" s="289"/>
      <c r="OUY19" s="289"/>
      <c r="OUZ19" s="289"/>
      <c r="OVA19" s="289"/>
      <c r="OVB19" s="289"/>
      <c r="OVC19" s="289"/>
      <c r="OVD19" s="289"/>
      <c r="OVE19" s="289"/>
      <c r="OVF19" s="289"/>
      <c r="OVG19" s="289"/>
      <c r="OVH19" s="289"/>
      <c r="OVI19" s="289"/>
      <c r="OVJ19" s="289"/>
      <c r="OVK19" s="289"/>
      <c r="OVL19" s="289"/>
      <c r="OVM19" s="289"/>
      <c r="OVN19" s="289"/>
      <c r="OVO19" s="289"/>
      <c r="OVP19" s="289"/>
      <c r="OVQ19" s="289"/>
      <c r="OVR19" s="289"/>
      <c r="OVS19" s="289"/>
      <c r="OVT19" s="289"/>
      <c r="OVU19" s="289"/>
      <c r="OVV19" s="289"/>
      <c r="OVW19" s="289"/>
      <c r="OVX19" s="289"/>
      <c r="OVY19" s="289"/>
      <c r="OVZ19" s="289"/>
      <c r="OWA19" s="289"/>
      <c r="OWB19" s="289"/>
      <c r="OWC19" s="289"/>
      <c r="OWD19" s="289"/>
      <c r="OWE19" s="289"/>
      <c r="OWF19" s="289"/>
      <c r="OWG19" s="289"/>
      <c r="OWH19" s="289"/>
      <c r="OWI19" s="289"/>
      <c r="OWJ19" s="289"/>
      <c r="OWK19" s="289"/>
      <c r="OWL19" s="289"/>
      <c r="OWM19" s="289"/>
      <c r="OWN19" s="289"/>
      <c r="OWO19" s="289"/>
      <c r="OWP19" s="289"/>
      <c r="OWQ19" s="289"/>
      <c r="OWR19" s="289"/>
      <c r="OWS19" s="289"/>
      <c r="OWT19" s="289"/>
      <c r="OWU19" s="289"/>
      <c r="OWV19" s="289"/>
      <c r="OWW19" s="289"/>
      <c r="OWX19" s="289"/>
      <c r="OWY19" s="289"/>
      <c r="OWZ19" s="289"/>
      <c r="OXA19" s="289"/>
      <c r="OXB19" s="289"/>
      <c r="OXC19" s="289"/>
      <c r="OXD19" s="289"/>
      <c r="OXE19" s="289"/>
      <c r="OXF19" s="289"/>
      <c r="OXG19" s="289"/>
      <c r="OXH19" s="289"/>
      <c r="OXI19" s="289"/>
      <c r="OXJ19" s="289"/>
      <c r="OXK19" s="289"/>
      <c r="OXL19" s="289"/>
      <c r="OXM19" s="289"/>
      <c r="OXN19" s="289"/>
      <c r="OXO19" s="289"/>
      <c r="OXP19" s="289"/>
      <c r="OXQ19" s="289"/>
      <c r="OXR19" s="289"/>
      <c r="OXS19" s="289"/>
      <c r="OXT19" s="289"/>
      <c r="OXU19" s="289"/>
      <c r="OXV19" s="289"/>
      <c r="OXW19" s="289"/>
      <c r="OXX19" s="289"/>
      <c r="OXY19" s="289"/>
      <c r="OXZ19" s="289"/>
      <c r="OYA19" s="289"/>
      <c r="OYB19" s="289"/>
      <c r="OYC19" s="289"/>
      <c r="OYD19" s="289"/>
      <c r="OYE19" s="289"/>
      <c r="OYF19" s="289"/>
      <c r="OYG19" s="289"/>
      <c r="OYH19" s="289"/>
      <c r="OYI19" s="289"/>
      <c r="OYJ19" s="289"/>
      <c r="OYK19" s="289"/>
      <c r="OYL19" s="289"/>
      <c r="OYM19" s="289"/>
      <c r="OYN19" s="289"/>
      <c r="OYO19" s="289"/>
      <c r="OYP19" s="289"/>
      <c r="OYQ19" s="289"/>
      <c r="OYR19" s="289"/>
      <c r="OYS19" s="289"/>
      <c r="OYT19" s="289"/>
      <c r="OYU19" s="289"/>
      <c r="OYV19" s="289"/>
      <c r="OYW19" s="289"/>
      <c r="OYX19" s="289"/>
      <c r="OYY19" s="289"/>
      <c r="OYZ19" s="289"/>
      <c r="OZA19" s="289"/>
      <c r="OZB19" s="289"/>
      <c r="OZC19" s="289"/>
      <c r="OZD19" s="289"/>
      <c r="OZE19" s="289"/>
      <c r="OZF19" s="289"/>
      <c r="OZG19" s="289"/>
      <c r="OZH19" s="289"/>
      <c r="OZI19" s="289"/>
      <c r="OZJ19" s="289"/>
      <c r="OZK19" s="289"/>
      <c r="OZL19" s="289"/>
      <c r="OZM19" s="289"/>
      <c r="OZN19" s="289"/>
      <c r="OZO19" s="289"/>
      <c r="OZP19" s="289"/>
      <c r="OZQ19" s="289"/>
      <c r="OZR19" s="289"/>
      <c r="OZS19" s="289"/>
      <c r="OZT19" s="289"/>
      <c r="OZU19" s="289"/>
      <c r="OZV19" s="289"/>
      <c r="OZW19" s="289"/>
      <c r="OZX19" s="289"/>
      <c r="OZY19" s="289"/>
      <c r="OZZ19" s="289"/>
      <c r="PAA19" s="289"/>
      <c r="PAB19" s="289"/>
      <c r="PAC19" s="289"/>
      <c r="PAD19" s="289"/>
      <c r="PAE19" s="289"/>
      <c r="PAF19" s="289"/>
      <c r="PAG19" s="289"/>
      <c r="PAH19" s="289"/>
      <c r="PAI19" s="289"/>
      <c r="PAJ19" s="289"/>
      <c r="PAK19" s="289"/>
      <c r="PAL19" s="289"/>
      <c r="PAM19" s="289"/>
      <c r="PAN19" s="289"/>
      <c r="PAO19" s="289"/>
      <c r="PAP19" s="289"/>
      <c r="PAQ19" s="289"/>
      <c r="PAR19" s="289"/>
      <c r="PAS19" s="289"/>
      <c r="PAT19" s="289"/>
      <c r="PAU19" s="289"/>
      <c r="PAV19" s="289"/>
      <c r="PAW19" s="289"/>
      <c r="PAX19" s="289"/>
      <c r="PAY19" s="289"/>
      <c r="PAZ19" s="289"/>
      <c r="PBA19" s="289"/>
      <c r="PBB19" s="289"/>
      <c r="PBC19" s="289"/>
      <c r="PBD19" s="289"/>
      <c r="PBE19" s="289"/>
      <c r="PBF19" s="289"/>
      <c r="PBG19" s="289"/>
      <c r="PBH19" s="289"/>
      <c r="PBI19" s="289"/>
      <c r="PBJ19" s="289"/>
      <c r="PBK19" s="289"/>
      <c r="PBL19" s="289"/>
      <c r="PBM19" s="289"/>
      <c r="PBN19" s="289"/>
      <c r="PBO19" s="289"/>
      <c r="PBP19" s="289"/>
      <c r="PBQ19" s="289"/>
      <c r="PBR19" s="289"/>
      <c r="PBS19" s="289"/>
      <c r="PBT19" s="289"/>
      <c r="PBU19" s="289"/>
      <c r="PBV19" s="289"/>
      <c r="PBW19" s="289"/>
      <c r="PBX19" s="289"/>
      <c r="PBY19" s="289"/>
      <c r="PBZ19" s="289"/>
      <c r="PCA19" s="289"/>
      <c r="PCB19" s="289"/>
      <c r="PCC19" s="289"/>
      <c r="PCD19" s="289"/>
      <c r="PCE19" s="289"/>
      <c r="PCF19" s="289"/>
      <c r="PCG19" s="289"/>
      <c r="PCH19" s="289"/>
      <c r="PCI19" s="289"/>
      <c r="PCJ19" s="289"/>
      <c r="PCK19" s="289"/>
      <c r="PCL19" s="289"/>
      <c r="PCM19" s="289"/>
      <c r="PCN19" s="289"/>
      <c r="PCO19" s="289"/>
      <c r="PCP19" s="289"/>
      <c r="PCQ19" s="289"/>
      <c r="PCR19" s="289"/>
      <c r="PCS19" s="289"/>
      <c r="PCT19" s="289"/>
      <c r="PCU19" s="289"/>
      <c r="PCV19" s="289"/>
      <c r="PCW19" s="289"/>
      <c r="PCX19" s="289"/>
      <c r="PCY19" s="289"/>
      <c r="PCZ19" s="289"/>
      <c r="PDA19" s="289"/>
      <c r="PDB19" s="289"/>
      <c r="PDC19" s="289"/>
      <c r="PDD19" s="289"/>
      <c r="PDE19" s="289"/>
      <c r="PDF19" s="289"/>
      <c r="PDG19" s="289"/>
      <c r="PDH19" s="289"/>
      <c r="PDI19" s="289"/>
      <c r="PDJ19" s="289"/>
      <c r="PDK19" s="289"/>
      <c r="PDL19" s="289"/>
      <c r="PDM19" s="289"/>
      <c r="PDN19" s="289"/>
      <c r="PDO19" s="289"/>
      <c r="PDP19" s="289"/>
      <c r="PDQ19" s="289"/>
      <c r="PDR19" s="289"/>
      <c r="PDS19" s="289"/>
      <c r="PDT19" s="289"/>
      <c r="PDU19" s="289"/>
      <c r="PDV19" s="289"/>
      <c r="PDW19" s="289"/>
      <c r="PDX19" s="289"/>
      <c r="PDY19" s="289"/>
      <c r="PDZ19" s="289"/>
      <c r="PEA19" s="289"/>
      <c r="PEB19" s="289"/>
      <c r="PEC19" s="289"/>
      <c r="PED19" s="289"/>
      <c r="PEE19" s="289"/>
      <c r="PEF19" s="289"/>
      <c r="PEG19" s="289"/>
      <c r="PEH19" s="289"/>
      <c r="PEI19" s="289"/>
      <c r="PEJ19" s="289"/>
      <c r="PEK19" s="289"/>
      <c r="PEL19" s="289"/>
      <c r="PEM19" s="289"/>
      <c r="PEN19" s="289"/>
      <c r="PEO19" s="289"/>
      <c r="PEP19" s="289"/>
      <c r="PEQ19" s="289"/>
      <c r="PER19" s="289"/>
      <c r="PES19" s="289"/>
      <c r="PET19" s="289"/>
      <c r="PEU19" s="289"/>
      <c r="PEV19" s="289"/>
      <c r="PEW19" s="289"/>
      <c r="PEX19" s="289"/>
      <c r="PEY19" s="289"/>
      <c r="PEZ19" s="289"/>
      <c r="PFA19" s="289"/>
      <c r="PFB19" s="289"/>
      <c r="PFC19" s="289"/>
      <c r="PFD19" s="289"/>
      <c r="PFE19" s="289"/>
      <c r="PFF19" s="289"/>
      <c r="PFG19" s="289"/>
      <c r="PFH19" s="289"/>
      <c r="PFI19" s="289"/>
      <c r="PFJ19" s="289"/>
      <c r="PFK19" s="289"/>
      <c r="PFL19" s="289"/>
      <c r="PFM19" s="289"/>
      <c r="PFN19" s="289"/>
      <c r="PFO19" s="289"/>
      <c r="PFP19" s="289"/>
      <c r="PFQ19" s="289"/>
      <c r="PFR19" s="289"/>
      <c r="PFS19" s="289"/>
      <c r="PFT19" s="289"/>
      <c r="PFU19" s="289"/>
      <c r="PFV19" s="289"/>
      <c r="PFW19" s="289"/>
      <c r="PFX19" s="289"/>
      <c r="PFY19" s="289"/>
      <c r="PFZ19" s="289"/>
      <c r="PGA19" s="289"/>
      <c r="PGB19" s="289"/>
      <c r="PGC19" s="289"/>
      <c r="PGD19" s="289"/>
      <c r="PGE19" s="289"/>
      <c r="PGF19" s="289"/>
      <c r="PGG19" s="289"/>
      <c r="PGH19" s="289"/>
      <c r="PGI19" s="289"/>
      <c r="PGJ19" s="289"/>
      <c r="PGK19" s="289"/>
      <c r="PGL19" s="289"/>
      <c r="PGM19" s="289"/>
      <c r="PGN19" s="289"/>
      <c r="PGO19" s="289"/>
      <c r="PGP19" s="289"/>
      <c r="PGQ19" s="289"/>
      <c r="PGR19" s="289"/>
      <c r="PGS19" s="289"/>
      <c r="PGT19" s="289"/>
      <c r="PGU19" s="289"/>
      <c r="PGV19" s="289"/>
      <c r="PGW19" s="289"/>
      <c r="PGX19" s="289"/>
      <c r="PGY19" s="289"/>
      <c r="PGZ19" s="289"/>
      <c r="PHA19" s="289"/>
      <c r="PHB19" s="289"/>
      <c r="PHC19" s="289"/>
      <c r="PHD19" s="289"/>
      <c r="PHE19" s="289"/>
      <c r="PHF19" s="289"/>
      <c r="PHG19" s="289"/>
      <c r="PHH19" s="289"/>
      <c r="PHI19" s="289"/>
      <c r="PHJ19" s="289"/>
      <c r="PHK19" s="289"/>
      <c r="PHL19" s="289"/>
      <c r="PHM19" s="289"/>
      <c r="PHN19" s="289"/>
      <c r="PHO19" s="289"/>
      <c r="PHP19" s="289"/>
      <c r="PHQ19" s="289"/>
      <c r="PHR19" s="289"/>
      <c r="PHS19" s="289"/>
      <c r="PHT19" s="289"/>
      <c r="PHU19" s="289"/>
      <c r="PHV19" s="289"/>
      <c r="PHW19" s="289"/>
      <c r="PHX19" s="289"/>
      <c r="PHY19" s="289"/>
      <c r="PHZ19" s="289"/>
      <c r="PIA19" s="289"/>
      <c r="PIB19" s="289"/>
      <c r="PIC19" s="289"/>
      <c r="PID19" s="289"/>
      <c r="PIE19" s="289"/>
      <c r="PIF19" s="289"/>
      <c r="PIG19" s="289"/>
      <c r="PIH19" s="289"/>
      <c r="PII19" s="289"/>
      <c r="PIJ19" s="289"/>
      <c r="PIK19" s="289"/>
      <c r="PIL19" s="289"/>
      <c r="PIM19" s="289"/>
      <c r="PIN19" s="289"/>
      <c r="PIO19" s="289"/>
      <c r="PIP19" s="289"/>
      <c r="PIQ19" s="289"/>
      <c r="PIR19" s="289"/>
      <c r="PIS19" s="289"/>
      <c r="PIT19" s="289"/>
      <c r="PIU19" s="289"/>
      <c r="PIV19" s="289"/>
      <c r="PIW19" s="289"/>
      <c r="PIX19" s="289"/>
      <c r="PIY19" s="289"/>
      <c r="PIZ19" s="289"/>
      <c r="PJA19" s="289"/>
      <c r="PJB19" s="289"/>
      <c r="PJC19" s="289"/>
      <c r="PJD19" s="289"/>
      <c r="PJE19" s="289"/>
      <c r="PJF19" s="289"/>
      <c r="PJG19" s="289"/>
      <c r="PJH19" s="289"/>
      <c r="PJI19" s="289"/>
      <c r="PJJ19" s="289"/>
      <c r="PJK19" s="289"/>
      <c r="PJL19" s="289"/>
      <c r="PJM19" s="289"/>
      <c r="PJN19" s="289"/>
      <c r="PJO19" s="289"/>
      <c r="PJP19" s="289"/>
      <c r="PJQ19" s="289"/>
      <c r="PJR19" s="289"/>
      <c r="PJS19" s="289"/>
      <c r="PJT19" s="289"/>
      <c r="PJU19" s="289"/>
      <c r="PJV19" s="289"/>
      <c r="PJW19" s="289"/>
      <c r="PJX19" s="289"/>
      <c r="PJY19" s="289"/>
      <c r="PJZ19" s="289"/>
      <c r="PKA19" s="289"/>
      <c r="PKB19" s="289"/>
      <c r="PKC19" s="289"/>
      <c r="PKD19" s="289"/>
      <c r="PKE19" s="289"/>
      <c r="PKF19" s="289"/>
      <c r="PKG19" s="289"/>
      <c r="PKH19" s="289"/>
      <c r="PKI19" s="289"/>
      <c r="PKJ19" s="289"/>
      <c r="PKK19" s="289"/>
      <c r="PKL19" s="289"/>
      <c r="PKM19" s="289"/>
      <c r="PKN19" s="289"/>
      <c r="PKO19" s="289"/>
      <c r="PKP19" s="289"/>
      <c r="PKQ19" s="289"/>
      <c r="PKR19" s="289"/>
      <c r="PKS19" s="289"/>
      <c r="PKT19" s="289"/>
      <c r="PKU19" s="289"/>
      <c r="PKV19" s="289"/>
      <c r="PKW19" s="289"/>
      <c r="PKX19" s="289"/>
      <c r="PKY19" s="289"/>
      <c r="PKZ19" s="289"/>
      <c r="PLA19" s="289"/>
      <c r="PLB19" s="289"/>
      <c r="PLC19" s="289"/>
      <c r="PLD19" s="289"/>
      <c r="PLE19" s="289"/>
      <c r="PLF19" s="289"/>
      <c r="PLG19" s="289"/>
      <c r="PLH19" s="289"/>
      <c r="PLI19" s="289"/>
      <c r="PLJ19" s="289"/>
      <c r="PLK19" s="289"/>
      <c r="PLL19" s="289"/>
      <c r="PLM19" s="289"/>
      <c r="PLN19" s="289"/>
      <c r="PLO19" s="289"/>
      <c r="PLP19" s="289"/>
      <c r="PLQ19" s="289"/>
      <c r="PLR19" s="289"/>
      <c r="PLS19" s="289"/>
      <c r="PLT19" s="289"/>
      <c r="PLU19" s="289"/>
      <c r="PLV19" s="289"/>
      <c r="PLW19" s="289"/>
      <c r="PLX19" s="289"/>
      <c r="PLY19" s="289"/>
      <c r="PLZ19" s="289"/>
      <c r="PMA19" s="289"/>
      <c r="PMB19" s="289"/>
      <c r="PMC19" s="289"/>
      <c r="PMD19" s="289"/>
      <c r="PME19" s="289"/>
      <c r="PMF19" s="289"/>
      <c r="PMG19" s="289"/>
      <c r="PMH19" s="289"/>
      <c r="PMI19" s="289"/>
      <c r="PMJ19" s="289"/>
      <c r="PMK19" s="289"/>
      <c r="PML19" s="289"/>
      <c r="PMM19" s="289"/>
      <c r="PMN19" s="289"/>
      <c r="PMO19" s="289"/>
      <c r="PMP19" s="289"/>
      <c r="PMQ19" s="289"/>
      <c r="PMR19" s="289"/>
      <c r="PMS19" s="289"/>
      <c r="PMT19" s="289"/>
      <c r="PMU19" s="289"/>
      <c r="PMV19" s="289"/>
      <c r="PMW19" s="289"/>
      <c r="PMX19" s="289"/>
      <c r="PMY19" s="289"/>
      <c r="PMZ19" s="289"/>
      <c r="PNA19" s="289"/>
      <c r="PNB19" s="289"/>
      <c r="PNC19" s="289"/>
      <c r="PND19" s="289"/>
      <c r="PNE19" s="289"/>
      <c r="PNF19" s="289"/>
      <c r="PNG19" s="289"/>
      <c r="PNH19" s="289"/>
      <c r="PNI19" s="289"/>
      <c r="PNJ19" s="289"/>
      <c r="PNK19" s="289"/>
      <c r="PNL19" s="289"/>
      <c r="PNM19" s="289"/>
      <c r="PNN19" s="289"/>
      <c r="PNO19" s="289"/>
      <c r="PNP19" s="289"/>
      <c r="PNQ19" s="289"/>
      <c r="PNR19" s="289"/>
      <c r="PNS19" s="289"/>
      <c r="PNT19" s="289"/>
      <c r="PNU19" s="289"/>
      <c r="PNV19" s="289"/>
      <c r="PNW19" s="289"/>
      <c r="PNX19" s="289"/>
      <c r="PNY19" s="289"/>
      <c r="PNZ19" s="289"/>
      <c r="POA19" s="289"/>
      <c r="POB19" s="289"/>
      <c r="POC19" s="289"/>
      <c r="POD19" s="289"/>
      <c r="POE19" s="289"/>
      <c r="POF19" s="289"/>
      <c r="POG19" s="289"/>
      <c r="POH19" s="289"/>
      <c r="POI19" s="289"/>
      <c r="POJ19" s="289"/>
      <c r="POK19" s="289"/>
      <c r="POL19" s="289"/>
      <c r="POM19" s="289"/>
      <c r="PON19" s="289"/>
      <c r="POO19" s="289"/>
      <c r="POP19" s="289"/>
      <c r="POQ19" s="289"/>
      <c r="POR19" s="289"/>
      <c r="POS19" s="289"/>
      <c r="POT19" s="289"/>
      <c r="POU19" s="289"/>
      <c r="POV19" s="289"/>
      <c r="POW19" s="289"/>
      <c r="POX19" s="289"/>
      <c r="POY19" s="289"/>
      <c r="POZ19" s="289"/>
      <c r="PPA19" s="289"/>
      <c r="PPB19" s="289"/>
      <c r="PPC19" s="289"/>
      <c r="PPD19" s="289"/>
      <c r="PPE19" s="289"/>
      <c r="PPF19" s="289"/>
      <c r="PPG19" s="289"/>
      <c r="PPH19" s="289"/>
      <c r="PPI19" s="289"/>
      <c r="PPJ19" s="289"/>
      <c r="PPK19" s="289"/>
      <c r="PPL19" s="289"/>
      <c r="PPM19" s="289"/>
      <c r="PPN19" s="289"/>
      <c r="PPO19" s="289"/>
      <c r="PPP19" s="289"/>
      <c r="PPQ19" s="289"/>
      <c r="PPR19" s="289"/>
      <c r="PPS19" s="289"/>
      <c r="PPT19" s="289"/>
      <c r="PPU19" s="289"/>
      <c r="PPV19" s="289"/>
      <c r="PPW19" s="289"/>
      <c r="PPX19" s="289"/>
      <c r="PPY19" s="289"/>
      <c r="PPZ19" s="289"/>
      <c r="PQA19" s="289"/>
      <c r="PQB19" s="289"/>
      <c r="PQC19" s="289"/>
      <c r="PQD19" s="289"/>
      <c r="PQE19" s="289"/>
      <c r="PQF19" s="289"/>
      <c r="PQG19" s="289"/>
      <c r="PQH19" s="289"/>
      <c r="PQI19" s="289"/>
      <c r="PQJ19" s="289"/>
      <c r="PQK19" s="289"/>
      <c r="PQL19" s="289"/>
      <c r="PQM19" s="289"/>
      <c r="PQN19" s="289"/>
      <c r="PQO19" s="289"/>
      <c r="PQP19" s="289"/>
      <c r="PQQ19" s="289"/>
      <c r="PQR19" s="289"/>
      <c r="PQS19" s="289"/>
      <c r="PQT19" s="289"/>
      <c r="PQU19" s="289"/>
      <c r="PQV19" s="289"/>
      <c r="PQW19" s="289"/>
      <c r="PQX19" s="289"/>
      <c r="PQY19" s="289"/>
      <c r="PQZ19" s="289"/>
      <c r="PRA19" s="289"/>
      <c r="PRB19" s="289"/>
      <c r="PRC19" s="289"/>
      <c r="PRD19" s="289"/>
      <c r="PRE19" s="289"/>
      <c r="PRF19" s="289"/>
      <c r="PRG19" s="289"/>
      <c r="PRH19" s="289"/>
      <c r="PRI19" s="289"/>
      <c r="PRJ19" s="289"/>
      <c r="PRK19" s="289"/>
      <c r="PRL19" s="289"/>
      <c r="PRM19" s="289"/>
      <c r="PRN19" s="289"/>
      <c r="PRO19" s="289"/>
      <c r="PRP19" s="289"/>
      <c r="PRQ19" s="289"/>
      <c r="PRR19" s="289"/>
      <c r="PRS19" s="289"/>
      <c r="PRT19" s="289"/>
      <c r="PRU19" s="289"/>
      <c r="PRV19" s="289"/>
      <c r="PRW19" s="289"/>
      <c r="PRX19" s="289"/>
      <c r="PRY19" s="289"/>
      <c r="PRZ19" s="289"/>
      <c r="PSA19" s="289"/>
      <c r="PSB19" s="289"/>
      <c r="PSC19" s="289"/>
      <c r="PSD19" s="289"/>
      <c r="PSE19" s="289"/>
      <c r="PSF19" s="289"/>
      <c r="PSG19" s="289"/>
      <c r="PSH19" s="289"/>
      <c r="PSI19" s="289"/>
      <c r="PSJ19" s="289"/>
      <c r="PSK19" s="289"/>
      <c r="PSL19" s="289"/>
      <c r="PSM19" s="289"/>
      <c r="PSN19" s="289"/>
      <c r="PSO19" s="289"/>
      <c r="PSP19" s="289"/>
      <c r="PSQ19" s="289"/>
      <c r="PSR19" s="289"/>
      <c r="PSS19" s="289"/>
      <c r="PST19" s="289"/>
      <c r="PSU19" s="289"/>
      <c r="PSV19" s="289"/>
      <c r="PSW19" s="289"/>
      <c r="PSX19" s="289"/>
      <c r="PSY19" s="289"/>
      <c r="PSZ19" s="289"/>
      <c r="PTA19" s="289"/>
      <c r="PTB19" s="289"/>
      <c r="PTC19" s="289"/>
      <c r="PTD19" s="289"/>
      <c r="PTE19" s="289"/>
      <c r="PTF19" s="289"/>
      <c r="PTG19" s="289"/>
      <c r="PTH19" s="289"/>
      <c r="PTI19" s="289"/>
      <c r="PTJ19" s="289"/>
      <c r="PTK19" s="289"/>
      <c r="PTL19" s="289"/>
      <c r="PTM19" s="289"/>
      <c r="PTN19" s="289"/>
      <c r="PTO19" s="289"/>
      <c r="PTP19" s="289"/>
      <c r="PTQ19" s="289"/>
      <c r="PTR19" s="289"/>
      <c r="PTS19" s="289"/>
      <c r="PTT19" s="289"/>
      <c r="PTU19" s="289"/>
      <c r="PTV19" s="289"/>
      <c r="PTW19" s="289"/>
      <c r="PTX19" s="289"/>
      <c r="PTY19" s="289"/>
      <c r="PTZ19" s="289"/>
      <c r="PUA19" s="289"/>
      <c r="PUB19" s="289"/>
      <c r="PUC19" s="289"/>
      <c r="PUD19" s="289"/>
      <c r="PUE19" s="289"/>
      <c r="PUF19" s="289"/>
      <c r="PUG19" s="289"/>
      <c r="PUH19" s="289"/>
      <c r="PUI19" s="289"/>
      <c r="PUJ19" s="289"/>
      <c r="PUK19" s="289"/>
      <c r="PUL19" s="289"/>
      <c r="PUM19" s="289"/>
      <c r="PUN19" s="289"/>
      <c r="PUO19" s="289"/>
      <c r="PUP19" s="289"/>
      <c r="PUQ19" s="289"/>
      <c r="PUR19" s="289"/>
      <c r="PUS19" s="289"/>
      <c r="PUT19" s="289"/>
      <c r="PUU19" s="289"/>
      <c r="PUV19" s="289"/>
      <c r="PUW19" s="289"/>
      <c r="PUX19" s="289"/>
      <c r="PUY19" s="289"/>
      <c r="PUZ19" s="289"/>
      <c r="PVA19" s="289"/>
      <c r="PVB19" s="289"/>
      <c r="PVC19" s="289"/>
      <c r="PVD19" s="289"/>
      <c r="PVE19" s="289"/>
      <c r="PVF19" s="289"/>
      <c r="PVG19" s="289"/>
      <c r="PVH19" s="289"/>
      <c r="PVI19" s="289"/>
      <c r="PVJ19" s="289"/>
      <c r="PVK19" s="289"/>
      <c r="PVL19" s="289"/>
      <c r="PVM19" s="289"/>
      <c r="PVN19" s="289"/>
      <c r="PVO19" s="289"/>
      <c r="PVP19" s="289"/>
      <c r="PVQ19" s="289"/>
      <c r="PVR19" s="289"/>
      <c r="PVS19" s="289"/>
      <c r="PVT19" s="289"/>
      <c r="PVU19" s="289"/>
      <c r="PVV19" s="289"/>
      <c r="PVW19" s="289"/>
      <c r="PVX19" s="289"/>
      <c r="PVY19" s="289"/>
      <c r="PVZ19" s="289"/>
      <c r="PWA19" s="289"/>
      <c r="PWB19" s="289"/>
      <c r="PWC19" s="289"/>
      <c r="PWD19" s="289"/>
      <c r="PWE19" s="289"/>
      <c r="PWF19" s="289"/>
      <c r="PWG19" s="289"/>
      <c r="PWH19" s="289"/>
      <c r="PWI19" s="289"/>
      <c r="PWJ19" s="289"/>
      <c r="PWK19" s="289"/>
      <c r="PWL19" s="289"/>
      <c r="PWM19" s="289"/>
      <c r="PWN19" s="289"/>
      <c r="PWO19" s="289"/>
      <c r="PWP19" s="289"/>
      <c r="PWQ19" s="289"/>
      <c r="PWR19" s="289"/>
      <c r="PWS19" s="289"/>
      <c r="PWT19" s="289"/>
      <c r="PWU19" s="289"/>
      <c r="PWV19" s="289"/>
      <c r="PWW19" s="289"/>
      <c r="PWX19" s="289"/>
      <c r="PWY19" s="289"/>
      <c r="PWZ19" s="289"/>
      <c r="PXA19" s="289"/>
      <c r="PXB19" s="289"/>
      <c r="PXC19" s="289"/>
      <c r="PXD19" s="289"/>
      <c r="PXE19" s="289"/>
      <c r="PXF19" s="289"/>
      <c r="PXG19" s="289"/>
      <c r="PXH19" s="289"/>
      <c r="PXI19" s="289"/>
      <c r="PXJ19" s="289"/>
      <c r="PXK19" s="289"/>
      <c r="PXL19" s="289"/>
      <c r="PXM19" s="289"/>
      <c r="PXN19" s="289"/>
      <c r="PXO19" s="289"/>
      <c r="PXP19" s="289"/>
      <c r="PXQ19" s="289"/>
      <c r="PXR19" s="289"/>
      <c r="PXS19" s="289"/>
      <c r="PXT19" s="289"/>
      <c r="PXU19" s="289"/>
      <c r="PXV19" s="289"/>
      <c r="PXW19" s="289"/>
      <c r="PXX19" s="289"/>
      <c r="PXY19" s="289"/>
      <c r="PXZ19" s="289"/>
      <c r="PYA19" s="289"/>
      <c r="PYB19" s="289"/>
      <c r="PYC19" s="289"/>
      <c r="PYD19" s="289"/>
      <c r="PYE19" s="289"/>
      <c r="PYF19" s="289"/>
      <c r="PYG19" s="289"/>
      <c r="PYH19" s="289"/>
      <c r="PYI19" s="289"/>
      <c r="PYJ19" s="289"/>
      <c r="PYK19" s="289"/>
      <c r="PYL19" s="289"/>
      <c r="PYM19" s="289"/>
      <c r="PYN19" s="289"/>
      <c r="PYO19" s="289"/>
      <c r="PYP19" s="289"/>
      <c r="PYQ19" s="289"/>
      <c r="PYR19" s="289"/>
      <c r="PYS19" s="289"/>
      <c r="PYT19" s="289"/>
      <c r="PYU19" s="289"/>
      <c r="PYV19" s="289"/>
      <c r="PYW19" s="289"/>
      <c r="PYX19" s="289"/>
      <c r="PYY19" s="289"/>
      <c r="PYZ19" s="289"/>
      <c r="PZA19" s="289"/>
      <c r="PZB19" s="289"/>
      <c r="PZC19" s="289"/>
      <c r="PZD19" s="289"/>
      <c r="PZE19" s="289"/>
      <c r="PZF19" s="289"/>
      <c r="PZG19" s="289"/>
      <c r="PZH19" s="289"/>
      <c r="PZI19" s="289"/>
      <c r="PZJ19" s="289"/>
      <c r="PZK19" s="289"/>
      <c r="PZL19" s="289"/>
      <c r="PZM19" s="289"/>
      <c r="PZN19" s="289"/>
      <c r="PZO19" s="289"/>
      <c r="PZP19" s="289"/>
      <c r="PZQ19" s="289"/>
      <c r="PZR19" s="289"/>
      <c r="PZS19" s="289"/>
      <c r="PZT19" s="289"/>
      <c r="PZU19" s="289"/>
      <c r="PZV19" s="289"/>
      <c r="PZW19" s="289"/>
      <c r="PZX19" s="289"/>
      <c r="PZY19" s="289"/>
      <c r="PZZ19" s="289"/>
      <c r="QAA19" s="289"/>
      <c r="QAB19" s="289"/>
      <c r="QAC19" s="289"/>
      <c r="QAD19" s="289"/>
      <c r="QAE19" s="289"/>
      <c r="QAF19" s="289"/>
      <c r="QAG19" s="289"/>
      <c r="QAH19" s="289"/>
      <c r="QAI19" s="289"/>
      <c r="QAJ19" s="289"/>
      <c r="QAK19" s="289"/>
      <c r="QAL19" s="289"/>
      <c r="QAM19" s="289"/>
      <c r="QAN19" s="289"/>
      <c r="QAO19" s="289"/>
      <c r="QAP19" s="289"/>
      <c r="QAQ19" s="289"/>
      <c r="QAR19" s="289"/>
      <c r="QAS19" s="289"/>
      <c r="QAT19" s="289"/>
      <c r="QAU19" s="289"/>
      <c r="QAV19" s="289"/>
      <c r="QAW19" s="289"/>
      <c r="QAX19" s="289"/>
      <c r="QAY19" s="289"/>
      <c r="QAZ19" s="289"/>
      <c r="QBA19" s="289"/>
      <c r="QBB19" s="289"/>
      <c r="QBC19" s="289"/>
      <c r="QBD19" s="289"/>
      <c r="QBE19" s="289"/>
      <c r="QBF19" s="289"/>
      <c r="QBG19" s="289"/>
      <c r="QBH19" s="289"/>
      <c r="QBI19" s="289"/>
      <c r="QBJ19" s="289"/>
      <c r="QBK19" s="289"/>
      <c r="QBL19" s="289"/>
      <c r="QBM19" s="289"/>
      <c r="QBN19" s="289"/>
      <c r="QBO19" s="289"/>
      <c r="QBP19" s="289"/>
      <c r="QBQ19" s="289"/>
      <c r="QBR19" s="289"/>
      <c r="QBS19" s="289"/>
      <c r="QBT19" s="289"/>
      <c r="QBU19" s="289"/>
      <c r="QBV19" s="289"/>
      <c r="QBW19" s="289"/>
      <c r="QBX19" s="289"/>
      <c r="QBY19" s="289"/>
      <c r="QBZ19" s="289"/>
      <c r="QCA19" s="289"/>
      <c r="QCB19" s="289"/>
      <c r="QCC19" s="289"/>
      <c r="QCD19" s="289"/>
      <c r="QCE19" s="289"/>
      <c r="QCF19" s="289"/>
      <c r="QCG19" s="289"/>
      <c r="QCH19" s="289"/>
      <c r="QCI19" s="289"/>
      <c r="QCJ19" s="289"/>
      <c r="QCK19" s="289"/>
      <c r="QCL19" s="289"/>
      <c r="QCM19" s="289"/>
      <c r="QCN19" s="289"/>
      <c r="QCO19" s="289"/>
      <c r="QCP19" s="289"/>
      <c r="QCQ19" s="289"/>
      <c r="QCR19" s="289"/>
      <c r="QCS19" s="289"/>
      <c r="QCT19" s="289"/>
      <c r="QCU19" s="289"/>
      <c r="QCV19" s="289"/>
      <c r="QCW19" s="289"/>
      <c r="QCX19" s="289"/>
      <c r="QCY19" s="289"/>
      <c r="QCZ19" s="289"/>
      <c r="QDA19" s="289"/>
      <c r="QDB19" s="289"/>
      <c r="QDC19" s="289"/>
      <c r="QDD19" s="289"/>
      <c r="QDE19" s="289"/>
      <c r="QDF19" s="289"/>
      <c r="QDG19" s="289"/>
      <c r="QDH19" s="289"/>
      <c r="QDI19" s="289"/>
      <c r="QDJ19" s="289"/>
      <c r="QDK19" s="289"/>
      <c r="QDL19" s="289"/>
      <c r="QDM19" s="289"/>
      <c r="QDN19" s="289"/>
      <c r="QDO19" s="289"/>
      <c r="QDP19" s="289"/>
      <c r="QDQ19" s="289"/>
      <c r="QDR19" s="289"/>
      <c r="QDS19" s="289"/>
      <c r="QDT19" s="289"/>
      <c r="QDU19" s="289"/>
      <c r="QDV19" s="289"/>
      <c r="QDW19" s="289"/>
      <c r="QDX19" s="289"/>
      <c r="QDY19" s="289"/>
      <c r="QDZ19" s="289"/>
      <c r="QEA19" s="289"/>
      <c r="QEB19" s="289"/>
      <c r="QEC19" s="289"/>
      <c r="QED19" s="289"/>
      <c r="QEE19" s="289"/>
      <c r="QEF19" s="289"/>
      <c r="QEG19" s="289"/>
      <c r="QEH19" s="289"/>
      <c r="QEI19" s="289"/>
      <c r="QEJ19" s="289"/>
      <c r="QEK19" s="289"/>
      <c r="QEL19" s="289"/>
      <c r="QEM19" s="289"/>
      <c r="QEN19" s="289"/>
      <c r="QEO19" s="289"/>
      <c r="QEP19" s="289"/>
      <c r="QEQ19" s="289"/>
      <c r="QER19" s="289"/>
      <c r="QES19" s="289"/>
      <c r="QET19" s="289"/>
      <c r="QEU19" s="289"/>
      <c r="QEV19" s="289"/>
      <c r="QEW19" s="289"/>
      <c r="QEX19" s="289"/>
      <c r="QEY19" s="289"/>
      <c r="QEZ19" s="289"/>
      <c r="QFA19" s="289"/>
      <c r="QFB19" s="289"/>
      <c r="QFC19" s="289"/>
      <c r="QFD19" s="289"/>
      <c r="QFE19" s="289"/>
      <c r="QFF19" s="289"/>
      <c r="QFG19" s="289"/>
      <c r="QFH19" s="289"/>
      <c r="QFI19" s="289"/>
      <c r="QFJ19" s="289"/>
      <c r="QFK19" s="289"/>
      <c r="QFL19" s="289"/>
      <c r="QFM19" s="289"/>
      <c r="QFN19" s="289"/>
      <c r="QFO19" s="289"/>
      <c r="QFP19" s="289"/>
      <c r="QFQ19" s="289"/>
      <c r="QFR19" s="289"/>
      <c r="QFS19" s="289"/>
      <c r="QFT19" s="289"/>
      <c r="QFU19" s="289"/>
      <c r="QFV19" s="289"/>
      <c r="QFW19" s="289"/>
      <c r="QFX19" s="289"/>
      <c r="QFY19" s="289"/>
      <c r="QFZ19" s="289"/>
      <c r="QGA19" s="289"/>
      <c r="QGB19" s="289"/>
      <c r="QGC19" s="289"/>
      <c r="QGD19" s="289"/>
      <c r="QGE19" s="289"/>
      <c r="QGF19" s="289"/>
      <c r="QGG19" s="289"/>
      <c r="QGH19" s="289"/>
      <c r="QGI19" s="289"/>
      <c r="QGJ19" s="289"/>
      <c r="QGK19" s="289"/>
      <c r="QGL19" s="289"/>
      <c r="QGM19" s="289"/>
      <c r="QGN19" s="289"/>
      <c r="QGO19" s="289"/>
      <c r="QGP19" s="289"/>
      <c r="QGQ19" s="289"/>
      <c r="QGR19" s="289"/>
      <c r="QGS19" s="289"/>
      <c r="QGT19" s="289"/>
      <c r="QGU19" s="289"/>
      <c r="QGV19" s="289"/>
      <c r="QGW19" s="289"/>
      <c r="QGX19" s="289"/>
      <c r="QGY19" s="289"/>
      <c r="QGZ19" s="289"/>
      <c r="QHA19" s="289"/>
      <c r="QHB19" s="289"/>
      <c r="QHC19" s="289"/>
      <c r="QHD19" s="289"/>
      <c r="QHE19" s="289"/>
      <c r="QHF19" s="289"/>
      <c r="QHG19" s="289"/>
      <c r="QHH19" s="289"/>
      <c r="QHI19" s="289"/>
      <c r="QHJ19" s="289"/>
      <c r="QHK19" s="289"/>
      <c r="QHL19" s="289"/>
      <c r="QHM19" s="289"/>
      <c r="QHN19" s="289"/>
      <c r="QHO19" s="289"/>
      <c r="QHP19" s="289"/>
      <c r="QHQ19" s="289"/>
      <c r="QHR19" s="289"/>
      <c r="QHS19" s="289"/>
      <c r="QHT19" s="289"/>
      <c r="QHU19" s="289"/>
      <c r="QHV19" s="289"/>
      <c r="QHW19" s="289"/>
      <c r="QHX19" s="289"/>
      <c r="QHY19" s="289"/>
      <c r="QHZ19" s="289"/>
      <c r="QIA19" s="289"/>
      <c r="QIB19" s="289"/>
      <c r="QIC19" s="289"/>
      <c r="QID19" s="289"/>
      <c r="QIE19" s="289"/>
      <c r="QIF19" s="289"/>
      <c r="QIG19" s="289"/>
      <c r="QIH19" s="289"/>
      <c r="QII19" s="289"/>
      <c r="QIJ19" s="289"/>
      <c r="QIK19" s="289"/>
      <c r="QIL19" s="289"/>
      <c r="QIM19" s="289"/>
      <c r="QIN19" s="289"/>
      <c r="QIO19" s="289"/>
      <c r="QIP19" s="289"/>
      <c r="QIQ19" s="289"/>
      <c r="QIR19" s="289"/>
      <c r="QIS19" s="289"/>
      <c r="QIT19" s="289"/>
      <c r="QIU19" s="289"/>
      <c r="QIV19" s="289"/>
      <c r="QIW19" s="289"/>
      <c r="QIX19" s="289"/>
      <c r="QIY19" s="289"/>
      <c r="QIZ19" s="289"/>
      <c r="QJA19" s="289"/>
      <c r="QJB19" s="289"/>
      <c r="QJC19" s="289"/>
      <c r="QJD19" s="289"/>
      <c r="QJE19" s="289"/>
      <c r="QJF19" s="289"/>
      <c r="QJG19" s="289"/>
      <c r="QJH19" s="289"/>
      <c r="QJI19" s="289"/>
      <c r="QJJ19" s="289"/>
      <c r="QJK19" s="289"/>
      <c r="QJL19" s="289"/>
      <c r="QJM19" s="289"/>
      <c r="QJN19" s="289"/>
      <c r="QJO19" s="289"/>
      <c r="QJP19" s="289"/>
      <c r="QJQ19" s="289"/>
      <c r="QJR19" s="289"/>
      <c r="QJS19" s="289"/>
      <c r="QJT19" s="289"/>
      <c r="QJU19" s="289"/>
      <c r="QJV19" s="289"/>
      <c r="QJW19" s="289"/>
      <c r="QJX19" s="289"/>
      <c r="QJY19" s="289"/>
      <c r="QJZ19" s="289"/>
      <c r="QKA19" s="289"/>
      <c r="QKB19" s="289"/>
      <c r="QKC19" s="289"/>
      <c r="QKD19" s="289"/>
      <c r="QKE19" s="289"/>
      <c r="QKF19" s="289"/>
      <c r="QKG19" s="289"/>
      <c r="QKH19" s="289"/>
      <c r="QKI19" s="289"/>
      <c r="QKJ19" s="289"/>
      <c r="QKK19" s="289"/>
      <c r="QKL19" s="289"/>
      <c r="QKM19" s="289"/>
      <c r="QKN19" s="289"/>
      <c r="QKO19" s="289"/>
      <c r="QKP19" s="289"/>
      <c r="QKQ19" s="289"/>
      <c r="QKR19" s="289"/>
      <c r="QKS19" s="289"/>
      <c r="QKT19" s="289"/>
      <c r="QKU19" s="289"/>
      <c r="QKV19" s="289"/>
      <c r="QKW19" s="289"/>
      <c r="QKX19" s="289"/>
      <c r="QKY19" s="289"/>
      <c r="QKZ19" s="289"/>
      <c r="QLA19" s="289"/>
      <c r="QLB19" s="289"/>
      <c r="QLC19" s="289"/>
      <c r="QLD19" s="289"/>
      <c r="QLE19" s="289"/>
      <c r="QLF19" s="289"/>
      <c r="QLG19" s="289"/>
      <c r="QLH19" s="289"/>
      <c r="QLI19" s="289"/>
      <c r="QLJ19" s="289"/>
      <c r="QLK19" s="289"/>
      <c r="QLL19" s="289"/>
      <c r="QLM19" s="289"/>
      <c r="QLN19" s="289"/>
      <c r="QLO19" s="289"/>
      <c r="QLP19" s="289"/>
      <c r="QLQ19" s="289"/>
      <c r="QLR19" s="289"/>
      <c r="QLS19" s="289"/>
      <c r="QLT19" s="289"/>
      <c r="QLU19" s="289"/>
      <c r="QLV19" s="289"/>
      <c r="QLW19" s="289"/>
      <c r="QLX19" s="289"/>
      <c r="QLY19" s="289"/>
      <c r="QLZ19" s="289"/>
      <c r="QMA19" s="289"/>
      <c r="QMB19" s="289"/>
      <c r="QMC19" s="289"/>
      <c r="QMD19" s="289"/>
      <c r="QME19" s="289"/>
      <c r="QMF19" s="289"/>
      <c r="QMG19" s="289"/>
      <c r="QMH19" s="289"/>
      <c r="QMI19" s="289"/>
      <c r="QMJ19" s="289"/>
      <c r="QMK19" s="289"/>
      <c r="QML19" s="289"/>
      <c r="QMM19" s="289"/>
      <c r="QMN19" s="289"/>
      <c r="QMO19" s="289"/>
      <c r="QMP19" s="289"/>
      <c r="QMQ19" s="289"/>
      <c r="QMR19" s="289"/>
      <c r="QMS19" s="289"/>
      <c r="QMT19" s="289"/>
      <c r="QMU19" s="289"/>
      <c r="QMV19" s="289"/>
      <c r="QMW19" s="289"/>
      <c r="QMX19" s="289"/>
      <c r="QMY19" s="289"/>
      <c r="QMZ19" s="289"/>
      <c r="QNA19" s="289"/>
      <c r="QNB19" s="289"/>
      <c r="QNC19" s="289"/>
      <c r="QND19" s="289"/>
      <c r="QNE19" s="289"/>
      <c r="QNF19" s="289"/>
      <c r="QNG19" s="289"/>
      <c r="QNH19" s="289"/>
      <c r="QNI19" s="289"/>
      <c r="QNJ19" s="289"/>
      <c r="QNK19" s="289"/>
      <c r="QNL19" s="289"/>
      <c r="QNM19" s="289"/>
      <c r="QNN19" s="289"/>
      <c r="QNO19" s="289"/>
      <c r="QNP19" s="289"/>
      <c r="QNQ19" s="289"/>
      <c r="QNR19" s="289"/>
      <c r="QNS19" s="289"/>
      <c r="QNT19" s="289"/>
      <c r="QNU19" s="289"/>
      <c r="QNV19" s="289"/>
      <c r="QNW19" s="289"/>
      <c r="QNX19" s="289"/>
      <c r="QNY19" s="289"/>
      <c r="QNZ19" s="289"/>
      <c r="QOA19" s="289"/>
      <c r="QOB19" s="289"/>
      <c r="QOC19" s="289"/>
      <c r="QOD19" s="289"/>
      <c r="QOE19" s="289"/>
      <c r="QOF19" s="289"/>
      <c r="QOG19" s="289"/>
      <c r="QOH19" s="289"/>
      <c r="QOI19" s="289"/>
      <c r="QOJ19" s="289"/>
      <c r="QOK19" s="289"/>
      <c r="QOL19" s="289"/>
      <c r="QOM19" s="289"/>
      <c r="QON19" s="289"/>
      <c r="QOO19" s="289"/>
      <c r="QOP19" s="289"/>
      <c r="QOQ19" s="289"/>
      <c r="QOR19" s="289"/>
      <c r="QOS19" s="289"/>
      <c r="QOT19" s="289"/>
      <c r="QOU19" s="289"/>
      <c r="QOV19" s="289"/>
      <c r="QOW19" s="289"/>
      <c r="QOX19" s="289"/>
      <c r="QOY19" s="289"/>
      <c r="QOZ19" s="289"/>
      <c r="QPA19" s="289"/>
      <c r="QPB19" s="289"/>
      <c r="QPC19" s="289"/>
      <c r="QPD19" s="289"/>
      <c r="QPE19" s="289"/>
      <c r="QPF19" s="289"/>
      <c r="QPG19" s="289"/>
      <c r="QPH19" s="289"/>
      <c r="QPI19" s="289"/>
      <c r="QPJ19" s="289"/>
      <c r="QPK19" s="289"/>
      <c r="QPL19" s="289"/>
      <c r="QPM19" s="289"/>
      <c r="QPN19" s="289"/>
      <c r="QPO19" s="289"/>
      <c r="QPP19" s="289"/>
      <c r="QPQ19" s="289"/>
      <c r="QPR19" s="289"/>
      <c r="QPS19" s="289"/>
      <c r="QPT19" s="289"/>
      <c r="QPU19" s="289"/>
      <c r="QPV19" s="289"/>
      <c r="QPW19" s="289"/>
      <c r="QPX19" s="289"/>
      <c r="QPY19" s="289"/>
      <c r="QPZ19" s="289"/>
      <c r="QQA19" s="289"/>
      <c r="QQB19" s="289"/>
      <c r="QQC19" s="289"/>
      <c r="QQD19" s="289"/>
      <c r="QQE19" s="289"/>
      <c r="QQF19" s="289"/>
      <c r="QQG19" s="289"/>
      <c r="QQH19" s="289"/>
      <c r="QQI19" s="289"/>
      <c r="QQJ19" s="289"/>
      <c r="QQK19" s="289"/>
      <c r="QQL19" s="289"/>
      <c r="QQM19" s="289"/>
      <c r="QQN19" s="289"/>
      <c r="QQO19" s="289"/>
      <c r="QQP19" s="289"/>
      <c r="QQQ19" s="289"/>
      <c r="QQR19" s="289"/>
      <c r="QQS19" s="289"/>
      <c r="QQT19" s="289"/>
      <c r="QQU19" s="289"/>
      <c r="QQV19" s="289"/>
      <c r="QQW19" s="289"/>
      <c r="QQX19" s="289"/>
      <c r="QQY19" s="289"/>
      <c r="QQZ19" s="289"/>
      <c r="QRA19" s="289"/>
      <c r="QRB19" s="289"/>
      <c r="QRC19" s="289"/>
      <c r="QRD19" s="289"/>
      <c r="QRE19" s="289"/>
      <c r="QRF19" s="289"/>
      <c r="QRG19" s="289"/>
      <c r="QRH19" s="289"/>
      <c r="QRI19" s="289"/>
      <c r="QRJ19" s="289"/>
      <c r="QRK19" s="289"/>
      <c r="QRL19" s="289"/>
      <c r="QRM19" s="289"/>
      <c r="QRN19" s="289"/>
      <c r="QRO19" s="289"/>
      <c r="QRP19" s="289"/>
      <c r="QRQ19" s="289"/>
      <c r="QRR19" s="289"/>
      <c r="QRS19" s="289"/>
      <c r="QRT19" s="289"/>
      <c r="QRU19" s="289"/>
      <c r="QRV19" s="289"/>
      <c r="QRW19" s="289"/>
      <c r="QRX19" s="289"/>
      <c r="QRY19" s="289"/>
      <c r="QRZ19" s="289"/>
      <c r="QSA19" s="289"/>
      <c r="QSB19" s="289"/>
      <c r="QSC19" s="289"/>
      <c r="QSD19" s="289"/>
      <c r="QSE19" s="289"/>
      <c r="QSF19" s="289"/>
      <c r="QSG19" s="289"/>
      <c r="QSH19" s="289"/>
      <c r="QSI19" s="289"/>
      <c r="QSJ19" s="289"/>
      <c r="QSK19" s="289"/>
      <c r="QSL19" s="289"/>
      <c r="QSM19" s="289"/>
      <c r="QSN19" s="289"/>
      <c r="QSO19" s="289"/>
      <c r="QSP19" s="289"/>
      <c r="QSQ19" s="289"/>
      <c r="QSR19" s="289"/>
      <c r="QSS19" s="289"/>
      <c r="QST19" s="289"/>
      <c r="QSU19" s="289"/>
      <c r="QSV19" s="289"/>
      <c r="QSW19" s="289"/>
      <c r="QSX19" s="289"/>
      <c r="QSY19" s="289"/>
      <c r="QSZ19" s="289"/>
      <c r="QTA19" s="289"/>
      <c r="QTB19" s="289"/>
      <c r="QTC19" s="289"/>
      <c r="QTD19" s="289"/>
      <c r="QTE19" s="289"/>
      <c r="QTF19" s="289"/>
      <c r="QTG19" s="289"/>
      <c r="QTH19" s="289"/>
      <c r="QTI19" s="289"/>
      <c r="QTJ19" s="289"/>
      <c r="QTK19" s="289"/>
      <c r="QTL19" s="289"/>
      <c r="QTM19" s="289"/>
      <c r="QTN19" s="289"/>
      <c r="QTO19" s="289"/>
      <c r="QTP19" s="289"/>
      <c r="QTQ19" s="289"/>
      <c r="QTR19" s="289"/>
      <c r="QTS19" s="289"/>
      <c r="QTT19" s="289"/>
      <c r="QTU19" s="289"/>
      <c r="QTV19" s="289"/>
      <c r="QTW19" s="289"/>
      <c r="QTX19" s="289"/>
      <c r="QTY19" s="289"/>
      <c r="QTZ19" s="289"/>
      <c r="QUA19" s="289"/>
      <c r="QUB19" s="289"/>
      <c r="QUC19" s="289"/>
      <c r="QUD19" s="289"/>
      <c r="QUE19" s="289"/>
      <c r="QUF19" s="289"/>
      <c r="QUG19" s="289"/>
      <c r="QUH19" s="289"/>
      <c r="QUI19" s="289"/>
      <c r="QUJ19" s="289"/>
      <c r="QUK19" s="289"/>
      <c r="QUL19" s="289"/>
      <c r="QUM19" s="289"/>
      <c r="QUN19" s="289"/>
      <c r="QUO19" s="289"/>
      <c r="QUP19" s="289"/>
      <c r="QUQ19" s="289"/>
      <c r="QUR19" s="289"/>
      <c r="QUS19" s="289"/>
      <c r="QUT19" s="289"/>
      <c r="QUU19" s="289"/>
      <c r="QUV19" s="289"/>
      <c r="QUW19" s="289"/>
      <c r="QUX19" s="289"/>
      <c r="QUY19" s="289"/>
      <c r="QUZ19" s="289"/>
      <c r="QVA19" s="289"/>
      <c r="QVB19" s="289"/>
      <c r="QVC19" s="289"/>
      <c r="QVD19" s="289"/>
      <c r="QVE19" s="289"/>
      <c r="QVF19" s="289"/>
      <c r="QVG19" s="289"/>
      <c r="QVH19" s="289"/>
      <c r="QVI19" s="289"/>
      <c r="QVJ19" s="289"/>
      <c r="QVK19" s="289"/>
      <c r="QVL19" s="289"/>
      <c r="QVM19" s="289"/>
      <c r="QVN19" s="289"/>
      <c r="QVO19" s="289"/>
      <c r="QVP19" s="289"/>
      <c r="QVQ19" s="289"/>
      <c r="QVR19" s="289"/>
      <c r="QVS19" s="289"/>
      <c r="QVT19" s="289"/>
      <c r="QVU19" s="289"/>
      <c r="QVV19" s="289"/>
      <c r="QVW19" s="289"/>
      <c r="QVX19" s="289"/>
      <c r="QVY19" s="289"/>
      <c r="QVZ19" s="289"/>
      <c r="QWA19" s="289"/>
      <c r="QWB19" s="289"/>
      <c r="QWC19" s="289"/>
      <c r="QWD19" s="289"/>
      <c r="QWE19" s="289"/>
      <c r="QWF19" s="289"/>
      <c r="QWG19" s="289"/>
      <c r="QWH19" s="289"/>
      <c r="QWI19" s="289"/>
      <c r="QWJ19" s="289"/>
      <c r="QWK19" s="289"/>
      <c r="QWL19" s="289"/>
      <c r="QWM19" s="289"/>
      <c r="QWN19" s="289"/>
      <c r="QWO19" s="289"/>
      <c r="QWP19" s="289"/>
      <c r="QWQ19" s="289"/>
      <c r="QWR19" s="289"/>
      <c r="QWS19" s="289"/>
      <c r="QWT19" s="289"/>
      <c r="QWU19" s="289"/>
      <c r="QWV19" s="289"/>
      <c r="QWW19" s="289"/>
      <c r="QWX19" s="289"/>
      <c r="QWY19" s="289"/>
      <c r="QWZ19" s="289"/>
      <c r="QXA19" s="289"/>
      <c r="QXB19" s="289"/>
      <c r="QXC19" s="289"/>
      <c r="QXD19" s="289"/>
      <c r="QXE19" s="289"/>
      <c r="QXF19" s="289"/>
      <c r="QXG19" s="289"/>
      <c r="QXH19" s="289"/>
      <c r="QXI19" s="289"/>
      <c r="QXJ19" s="289"/>
      <c r="QXK19" s="289"/>
      <c r="QXL19" s="289"/>
      <c r="QXM19" s="289"/>
      <c r="QXN19" s="289"/>
      <c r="QXO19" s="289"/>
      <c r="QXP19" s="289"/>
      <c r="QXQ19" s="289"/>
      <c r="QXR19" s="289"/>
      <c r="QXS19" s="289"/>
      <c r="QXT19" s="289"/>
      <c r="QXU19" s="289"/>
      <c r="QXV19" s="289"/>
      <c r="QXW19" s="289"/>
      <c r="QXX19" s="289"/>
      <c r="QXY19" s="289"/>
      <c r="QXZ19" s="289"/>
      <c r="QYA19" s="289"/>
      <c r="QYB19" s="289"/>
      <c r="QYC19" s="289"/>
      <c r="QYD19" s="289"/>
      <c r="QYE19" s="289"/>
      <c r="QYF19" s="289"/>
      <c r="QYG19" s="289"/>
      <c r="QYH19" s="289"/>
      <c r="QYI19" s="289"/>
      <c r="QYJ19" s="289"/>
      <c r="QYK19" s="289"/>
      <c r="QYL19" s="289"/>
      <c r="QYM19" s="289"/>
      <c r="QYN19" s="289"/>
      <c r="QYO19" s="289"/>
      <c r="QYP19" s="289"/>
      <c r="QYQ19" s="289"/>
      <c r="QYR19" s="289"/>
      <c r="QYS19" s="289"/>
      <c r="QYT19" s="289"/>
      <c r="QYU19" s="289"/>
      <c r="QYV19" s="289"/>
      <c r="QYW19" s="289"/>
      <c r="QYX19" s="289"/>
      <c r="QYY19" s="289"/>
      <c r="QYZ19" s="289"/>
      <c r="QZA19" s="289"/>
      <c r="QZB19" s="289"/>
      <c r="QZC19" s="289"/>
      <c r="QZD19" s="289"/>
      <c r="QZE19" s="289"/>
      <c r="QZF19" s="289"/>
      <c r="QZG19" s="289"/>
      <c r="QZH19" s="289"/>
      <c r="QZI19" s="289"/>
      <c r="QZJ19" s="289"/>
      <c r="QZK19" s="289"/>
      <c r="QZL19" s="289"/>
      <c r="QZM19" s="289"/>
      <c r="QZN19" s="289"/>
      <c r="QZO19" s="289"/>
      <c r="QZP19" s="289"/>
      <c r="QZQ19" s="289"/>
      <c r="QZR19" s="289"/>
      <c r="QZS19" s="289"/>
      <c r="QZT19" s="289"/>
      <c r="QZU19" s="289"/>
      <c r="QZV19" s="289"/>
      <c r="QZW19" s="289"/>
      <c r="QZX19" s="289"/>
      <c r="QZY19" s="289"/>
      <c r="QZZ19" s="289"/>
      <c r="RAA19" s="289"/>
      <c r="RAB19" s="289"/>
      <c r="RAC19" s="289"/>
      <c r="RAD19" s="289"/>
      <c r="RAE19" s="289"/>
      <c r="RAF19" s="289"/>
      <c r="RAG19" s="289"/>
      <c r="RAH19" s="289"/>
      <c r="RAI19" s="289"/>
      <c r="RAJ19" s="289"/>
      <c r="RAK19" s="289"/>
      <c r="RAL19" s="289"/>
      <c r="RAM19" s="289"/>
      <c r="RAN19" s="289"/>
      <c r="RAO19" s="289"/>
      <c r="RAP19" s="289"/>
      <c r="RAQ19" s="289"/>
      <c r="RAR19" s="289"/>
      <c r="RAS19" s="289"/>
      <c r="RAT19" s="289"/>
      <c r="RAU19" s="289"/>
      <c r="RAV19" s="289"/>
      <c r="RAW19" s="289"/>
      <c r="RAX19" s="289"/>
      <c r="RAY19" s="289"/>
      <c r="RAZ19" s="289"/>
      <c r="RBA19" s="289"/>
      <c r="RBB19" s="289"/>
      <c r="RBC19" s="289"/>
      <c r="RBD19" s="289"/>
      <c r="RBE19" s="289"/>
      <c r="RBF19" s="289"/>
      <c r="RBG19" s="289"/>
      <c r="RBH19" s="289"/>
      <c r="RBI19" s="289"/>
      <c r="RBJ19" s="289"/>
      <c r="RBK19" s="289"/>
      <c r="RBL19" s="289"/>
      <c r="RBM19" s="289"/>
      <c r="RBN19" s="289"/>
      <c r="RBO19" s="289"/>
      <c r="RBP19" s="289"/>
      <c r="RBQ19" s="289"/>
      <c r="RBR19" s="289"/>
      <c r="RBS19" s="289"/>
      <c r="RBT19" s="289"/>
      <c r="RBU19" s="289"/>
      <c r="RBV19" s="289"/>
      <c r="RBW19" s="289"/>
      <c r="RBX19" s="289"/>
      <c r="RBY19" s="289"/>
      <c r="RBZ19" s="289"/>
      <c r="RCA19" s="289"/>
      <c r="RCB19" s="289"/>
      <c r="RCC19" s="289"/>
      <c r="RCD19" s="289"/>
      <c r="RCE19" s="289"/>
      <c r="RCF19" s="289"/>
      <c r="RCG19" s="289"/>
      <c r="RCH19" s="289"/>
      <c r="RCI19" s="289"/>
      <c r="RCJ19" s="289"/>
      <c r="RCK19" s="289"/>
      <c r="RCL19" s="289"/>
      <c r="RCM19" s="289"/>
      <c r="RCN19" s="289"/>
      <c r="RCO19" s="289"/>
      <c r="RCP19" s="289"/>
      <c r="RCQ19" s="289"/>
      <c r="RCR19" s="289"/>
      <c r="RCS19" s="289"/>
      <c r="RCT19" s="289"/>
      <c r="RCU19" s="289"/>
      <c r="RCV19" s="289"/>
      <c r="RCW19" s="289"/>
      <c r="RCX19" s="289"/>
      <c r="RCY19" s="289"/>
      <c r="RCZ19" s="289"/>
      <c r="RDA19" s="289"/>
      <c r="RDB19" s="289"/>
      <c r="RDC19" s="289"/>
      <c r="RDD19" s="289"/>
      <c r="RDE19" s="289"/>
      <c r="RDF19" s="289"/>
      <c r="RDG19" s="289"/>
      <c r="RDH19" s="289"/>
      <c r="RDI19" s="289"/>
      <c r="RDJ19" s="289"/>
      <c r="RDK19" s="289"/>
      <c r="RDL19" s="289"/>
      <c r="RDM19" s="289"/>
      <c r="RDN19" s="289"/>
      <c r="RDO19" s="289"/>
      <c r="RDP19" s="289"/>
      <c r="RDQ19" s="289"/>
      <c r="RDR19" s="289"/>
      <c r="RDS19" s="289"/>
      <c r="RDT19" s="289"/>
      <c r="RDU19" s="289"/>
      <c r="RDV19" s="289"/>
      <c r="RDW19" s="289"/>
      <c r="RDX19" s="289"/>
      <c r="RDY19" s="289"/>
      <c r="RDZ19" s="289"/>
      <c r="REA19" s="289"/>
      <c r="REB19" s="289"/>
      <c r="REC19" s="289"/>
      <c r="RED19" s="289"/>
      <c r="REE19" s="289"/>
      <c r="REF19" s="289"/>
      <c r="REG19" s="289"/>
      <c r="REH19" s="289"/>
      <c r="REI19" s="289"/>
      <c r="REJ19" s="289"/>
      <c r="REK19" s="289"/>
      <c r="REL19" s="289"/>
      <c r="REM19" s="289"/>
      <c r="REN19" s="289"/>
      <c r="REO19" s="289"/>
      <c r="REP19" s="289"/>
      <c r="REQ19" s="289"/>
      <c r="RER19" s="289"/>
      <c r="RES19" s="289"/>
      <c r="RET19" s="289"/>
      <c r="REU19" s="289"/>
      <c r="REV19" s="289"/>
      <c r="REW19" s="289"/>
      <c r="REX19" s="289"/>
      <c r="REY19" s="289"/>
      <c r="REZ19" s="289"/>
      <c r="RFA19" s="289"/>
      <c r="RFB19" s="289"/>
      <c r="RFC19" s="289"/>
      <c r="RFD19" s="289"/>
      <c r="RFE19" s="289"/>
      <c r="RFF19" s="289"/>
      <c r="RFG19" s="289"/>
      <c r="RFH19" s="289"/>
      <c r="RFI19" s="289"/>
      <c r="RFJ19" s="289"/>
      <c r="RFK19" s="289"/>
      <c r="RFL19" s="289"/>
      <c r="RFM19" s="289"/>
      <c r="RFN19" s="289"/>
      <c r="RFO19" s="289"/>
      <c r="RFP19" s="289"/>
      <c r="RFQ19" s="289"/>
      <c r="RFR19" s="289"/>
      <c r="RFS19" s="289"/>
      <c r="RFT19" s="289"/>
      <c r="RFU19" s="289"/>
      <c r="RFV19" s="289"/>
      <c r="RFW19" s="289"/>
      <c r="RFX19" s="289"/>
      <c r="RFY19" s="289"/>
      <c r="RFZ19" s="289"/>
      <c r="RGA19" s="289"/>
      <c r="RGB19" s="289"/>
      <c r="RGC19" s="289"/>
      <c r="RGD19" s="289"/>
      <c r="RGE19" s="289"/>
      <c r="RGF19" s="289"/>
      <c r="RGG19" s="289"/>
      <c r="RGH19" s="289"/>
      <c r="RGI19" s="289"/>
      <c r="RGJ19" s="289"/>
      <c r="RGK19" s="289"/>
      <c r="RGL19" s="289"/>
      <c r="RGM19" s="289"/>
      <c r="RGN19" s="289"/>
      <c r="RGO19" s="289"/>
      <c r="RGP19" s="289"/>
      <c r="RGQ19" s="289"/>
      <c r="RGR19" s="289"/>
      <c r="RGS19" s="289"/>
      <c r="RGT19" s="289"/>
      <c r="RGU19" s="289"/>
      <c r="RGV19" s="289"/>
      <c r="RGW19" s="289"/>
      <c r="RGX19" s="289"/>
      <c r="RGY19" s="289"/>
      <c r="RGZ19" s="289"/>
      <c r="RHA19" s="289"/>
      <c r="RHB19" s="289"/>
      <c r="RHC19" s="289"/>
      <c r="RHD19" s="289"/>
      <c r="RHE19" s="289"/>
      <c r="RHF19" s="289"/>
      <c r="RHG19" s="289"/>
      <c r="RHH19" s="289"/>
      <c r="RHI19" s="289"/>
      <c r="RHJ19" s="289"/>
      <c r="RHK19" s="289"/>
      <c r="RHL19" s="289"/>
      <c r="RHM19" s="289"/>
      <c r="RHN19" s="289"/>
      <c r="RHO19" s="289"/>
      <c r="RHP19" s="289"/>
      <c r="RHQ19" s="289"/>
      <c r="RHR19" s="289"/>
      <c r="RHS19" s="289"/>
      <c r="RHT19" s="289"/>
      <c r="RHU19" s="289"/>
      <c r="RHV19" s="289"/>
      <c r="RHW19" s="289"/>
      <c r="RHX19" s="289"/>
      <c r="RHY19" s="289"/>
      <c r="RHZ19" s="289"/>
      <c r="RIA19" s="289"/>
      <c r="RIB19" s="289"/>
      <c r="RIC19" s="289"/>
      <c r="RID19" s="289"/>
      <c r="RIE19" s="289"/>
      <c r="RIF19" s="289"/>
      <c r="RIG19" s="289"/>
      <c r="RIH19" s="289"/>
      <c r="RII19" s="289"/>
      <c r="RIJ19" s="289"/>
      <c r="RIK19" s="289"/>
      <c r="RIL19" s="289"/>
      <c r="RIM19" s="289"/>
      <c r="RIN19" s="289"/>
      <c r="RIO19" s="289"/>
      <c r="RIP19" s="289"/>
      <c r="RIQ19" s="289"/>
      <c r="RIR19" s="289"/>
      <c r="RIS19" s="289"/>
      <c r="RIT19" s="289"/>
      <c r="RIU19" s="289"/>
      <c r="RIV19" s="289"/>
      <c r="RIW19" s="289"/>
      <c r="RIX19" s="289"/>
      <c r="RIY19" s="289"/>
      <c r="RIZ19" s="289"/>
      <c r="RJA19" s="289"/>
      <c r="RJB19" s="289"/>
      <c r="RJC19" s="289"/>
      <c r="RJD19" s="289"/>
      <c r="RJE19" s="289"/>
      <c r="RJF19" s="289"/>
      <c r="RJG19" s="289"/>
      <c r="RJH19" s="289"/>
      <c r="RJI19" s="289"/>
      <c r="RJJ19" s="289"/>
      <c r="RJK19" s="289"/>
      <c r="RJL19" s="289"/>
      <c r="RJM19" s="289"/>
      <c r="RJN19" s="289"/>
      <c r="RJO19" s="289"/>
      <c r="RJP19" s="289"/>
      <c r="RJQ19" s="289"/>
      <c r="RJR19" s="289"/>
      <c r="RJS19" s="289"/>
      <c r="RJT19" s="289"/>
      <c r="RJU19" s="289"/>
      <c r="RJV19" s="289"/>
      <c r="RJW19" s="289"/>
      <c r="RJX19" s="289"/>
      <c r="RJY19" s="289"/>
      <c r="RJZ19" s="289"/>
      <c r="RKA19" s="289"/>
      <c r="RKB19" s="289"/>
      <c r="RKC19" s="289"/>
      <c r="RKD19" s="289"/>
      <c r="RKE19" s="289"/>
      <c r="RKF19" s="289"/>
      <c r="RKG19" s="289"/>
      <c r="RKH19" s="289"/>
      <c r="RKI19" s="289"/>
      <c r="RKJ19" s="289"/>
      <c r="RKK19" s="289"/>
      <c r="RKL19" s="289"/>
      <c r="RKM19" s="289"/>
      <c r="RKN19" s="289"/>
      <c r="RKO19" s="289"/>
      <c r="RKP19" s="289"/>
      <c r="RKQ19" s="289"/>
      <c r="RKR19" s="289"/>
      <c r="RKS19" s="289"/>
      <c r="RKT19" s="289"/>
      <c r="RKU19" s="289"/>
      <c r="RKV19" s="289"/>
      <c r="RKW19" s="289"/>
      <c r="RKX19" s="289"/>
      <c r="RKY19" s="289"/>
      <c r="RKZ19" s="289"/>
      <c r="RLA19" s="289"/>
      <c r="RLB19" s="289"/>
      <c r="RLC19" s="289"/>
      <c r="RLD19" s="289"/>
      <c r="RLE19" s="289"/>
      <c r="RLF19" s="289"/>
      <c r="RLG19" s="289"/>
      <c r="RLH19" s="289"/>
      <c r="RLI19" s="289"/>
      <c r="RLJ19" s="289"/>
      <c r="RLK19" s="289"/>
      <c r="RLL19" s="289"/>
      <c r="RLM19" s="289"/>
      <c r="RLN19" s="289"/>
      <c r="RLO19" s="289"/>
      <c r="RLP19" s="289"/>
      <c r="RLQ19" s="289"/>
      <c r="RLR19" s="289"/>
      <c r="RLS19" s="289"/>
      <c r="RLT19" s="289"/>
      <c r="RLU19" s="289"/>
      <c r="RLV19" s="289"/>
      <c r="RLW19" s="289"/>
      <c r="RLX19" s="289"/>
      <c r="RLY19" s="289"/>
      <c r="RLZ19" s="289"/>
      <c r="RMA19" s="289"/>
      <c r="RMB19" s="289"/>
      <c r="RMC19" s="289"/>
      <c r="RMD19" s="289"/>
      <c r="RME19" s="289"/>
      <c r="RMF19" s="289"/>
      <c r="RMG19" s="289"/>
      <c r="RMH19" s="289"/>
      <c r="RMI19" s="289"/>
      <c r="RMJ19" s="289"/>
      <c r="RMK19" s="289"/>
      <c r="RML19" s="289"/>
      <c r="RMM19" s="289"/>
      <c r="RMN19" s="289"/>
      <c r="RMO19" s="289"/>
      <c r="RMP19" s="289"/>
      <c r="RMQ19" s="289"/>
      <c r="RMR19" s="289"/>
      <c r="RMS19" s="289"/>
      <c r="RMT19" s="289"/>
      <c r="RMU19" s="289"/>
      <c r="RMV19" s="289"/>
      <c r="RMW19" s="289"/>
      <c r="RMX19" s="289"/>
      <c r="RMY19" s="289"/>
      <c r="RMZ19" s="289"/>
      <c r="RNA19" s="289"/>
      <c r="RNB19" s="289"/>
      <c r="RNC19" s="289"/>
      <c r="RND19" s="289"/>
      <c r="RNE19" s="289"/>
      <c r="RNF19" s="289"/>
      <c r="RNG19" s="289"/>
      <c r="RNH19" s="289"/>
      <c r="RNI19" s="289"/>
      <c r="RNJ19" s="289"/>
      <c r="RNK19" s="289"/>
      <c r="RNL19" s="289"/>
      <c r="RNM19" s="289"/>
      <c r="RNN19" s="289"/>
      <c r="RNO19" s="289"/>
      <c r="RNP19" s="289"/>
      <c r="RNQ19" s="289"/>
      <c r="RNR19" s="289"/>
      <c r="RNS19" s="289"/>
      <c r="RNT19" s="289"/>
      <c r="RNU19" s="289"/>
      <c r="RNV19" s="289"/>
      <c r="RNW19" s="289"/>
      <c r="RNX19" s="289"/>
      <c r="RNY19" s="289"/>
      <c r="RNZ19" s="289"/>
      <c r="ROA19" s="289"/>
      <c r="ROB19" s="289"/>
      <c r="ROC19" s="289"/>
      <c r="ROD19" s="289"/>
      <c r="ROE19" s="289"/>
      <c r="ROF19" s="289"/>
      <c r="ROG19" s="289"/>
      <c r="ROH19" s="289"/>
      <c r="ROI19" s="289"/>
      <c r="ROJ19" s="289"/>
      <c r="ROK19" s="289"/>
      <c r="ROL19" s="289"/>
      <c r="ROM19" s="289"/>
      <c r="RON19" s="289"/>
      <c r="ROO19" s="289"/>
      <c r="ROP19" s="289"/>
      <c r="ROQ19" s="289"/>
      <c r="ROR19" s="289"/>
      <c r="ROS19" s="289"/>
      <c r="ROT19" s="289"/>
      <c r="ROU19" s="289"/>
      <c r="ROV19" s="289"/>
      <c r="ROW19" s="289"/>
      <c r="ROX19" s="289"/>
      <c r="ROY19" s="289"/>
      <c r="ROZ19" s="289"/>
      <c r="RPA19" s="289"/>
      <c r="RPB19" s="289"/>
      <c r="RPC19" s="289"/>
      <c r="RPD19" s="289"/>
      <c r="RPE19" s="289"/>
      <c r="RPF19" s="289"/>
      <c r="RPG19" s="289"/>
      <c r="RPH19" s="289"/>
      <c r="RPI19" s="289"/>
      <c r="RPJ19" s="289"/>
      <c r="RPK19" s="289"/>
      <c r="RPL19" s="289"/>
      <c r="RPM19" s="289"/>
      <c r="RPN19" s="289"/>
      <c r="RPO19" s="289"/>
      <c r="RPP19" s="289"/>
      <c r="RPQ19" s="289"/>
      <c r="RPR19" s="289"/>
      <c r="RPS19" s="289"/>
      <c r="RPT19" s="289"/>
      <c r="RPU19" s="289"/>
      <c r="RPV19" s="289"/>
      <c r="RPW19" s="289"/>
      <c r="RPX19" s="289"/>
      <c r="RPY19" s="289"/>
      <c r="RPZ19" s="289"/>
      <c r="RQA19" s="289"/>
      <c r="RQB19" s="289"/>
      <c r="RQC19" s="289"/>
      <c r="RQD19" s="289"/>
      <c r="RQE19" s="289"/>
      <c r="RQF19" s="289"/>
      <c r="RQG19" s="289"/>
      <c r="RQH19" s="289"/>
      <c r="RQI19" s="289"/>
      <c r="RQJ19" s="289"/>
      <c r="RQK19" s="289"/>
      <c r="RQL19" s="289"/>
      <c r="RQM19" s="289"/>
      <c r="RQN19" s="289"/>
      <c r="RQO19" s="289"/>
      <c r="RQP19" s="289"/>
      <c r="RQQ19" s="289"/>
      <c r="RQR19" s="289"/>
      <c r="RQS19" s="289"/>
      <c r="RQT19" s="289"/>
      <c r="RQU19" s="289"/>
      <c r="RQV19" s="289"/>
      <c r="RQW19" s="289"/>
      <c r="RQX19" s="289"/>
      <c r="RQY19" s="289"/>
      <c r="RQZ19" s="289"/>
      <c r="RRA19" s="289"/>
      <c r="RRB19" s="289"/>
      <c r="RRC19" s="289"/>
      <c r="RRD19" s="289"/>
      <c r="RRE19" s="289"/>
      <c r="RRF19" s="289"/>
      <c r="RRG19" s="289"/>
      <c r="RRH19" s="289"/>
      <c r="RRI19" s="289"/>
      <c r="RRJ19" s="289"/>
      <c r="RRK19" s="289"/>
      <c r="RRL19" s="289"/>
      <c r="RRM19" s="289"/>
      <c r="RRN19" s="289"/>
      <c r="RRO19" s="289"/>
      <c r="RRP19" s="289"/>
      <c r="RRQ19" s="289"/>
      <c r="RRR19" s="289"/>
      <c r="RRS19" s="289"/>
      <c r="RRT19" s="289"/>
      <c r="RRU19" s="289"/>
      <c r="RRV19" s="289"/>
      <c r="RRW19" s="289"/>
      <c r="RRX19" s="289"/>
      <c r="RRY19" s="289"/>
      <c r="RRZ19" s="289"/>
      <c r="RSA19" s="289"/>
      <c r="RSB19" s="289"/>
      <c r="RSC19" s="289"/>
      <c r="RSD19" s="289"/>
      <c r="RSE19" s="289"/>
      <c r="RSF19" s="289"/>
      <c r="RSG19" s="289"/>
      <c r="RSH19" s="289"/>
      <c r="RSI19" s="289"/>
      <c r="RSJ19" s="289"/>
      <c r="RSK19" s="289"/>
      <c r="RSL19" s="289"/>
      <c r="RSM19" s="289"/>
      <c r="RSN19" s="289"/>
      <c r="RSO19" s="289"/>
      <c r="RSP19" s="289"/>
      <c r="RSQ19" s="289"/>
      <c r="RSR19" s="289"/>
      <c r="RSS19" s="289"/>
      <c r="RST19" s="289"/>
      <c r="RSU19" s="289"/>
      <c r="RSV19" s="289"/>
      <c r="RSW19" s="289"/>
      <c r="RSX19" s="289"/>
      <c r="RSY19" s="289"/>
      <c r="RSZ19" s="289"/>
      <c r="RTA19" s="289"/>
      <c r="RTB19" s="289"/>
      <c r="RTC19" s="289"/>
      <c r="RTD19" s="289"/>
      <c r="RTE19" s="289"/>
      <c r="RTF19" s="289"/>
      <c r="RTG19" s="289"/>
      <c r="RTH19" s="289"/>
      <c r="RTI19" s="289"/>
      <c r="RTJ19" s="289"/>
      <c r="RTK19" s="289"/>
      <c r="RTL19" s="289"/>
      <c r="RTM19" s="289"/>
      <c r="RTN19" s="289"/>
      <c r="RTO19" s="289"/>
      <c r="RTP19" s="289"/>
      <c r="RTQ19" s="289"/>
      <c r="RTR19" s="289"/>
      <c r="RTS19" s="289"/>
      <c r="RTT19" s="289"/>
      <c r="RTU19" s="289"/>
      <c r="RTV19" s="289"/>
      <c r="RTW19" s="289"/>
      <c r="RTX19" s="289"/>
      <c r="RTY19" s="289"/>
      <c r="RTZ19" s="289"/>
      <c r="RUA19" s="289"/>
      <c r="RUB19" s="289"/>
      <c r="RUC19" s="289"/>
      <c r="RUD19" s="289"/>
      <c r="RUE19" s="289"/>
      <c r="RUF19" s="289"/>
      <c r="RUG19" s="289"/>
      <c r="RUH19" s="289"/>
      <c r="RUI19" s="289"/>
      <c r="RUJ19" s="289"/>
      <c r="RUK19" s="289"/>
      <c r="RUL19" s="289"/>
      <c r="RUM19" s="289"/>
      <c r="RUN19" s="289"/>
      <c r="RUO19" s="289"/>
      <c r="RUP19" s="289"/>
      <c r="RUQ19" s="289"/>
      <c r="RUR19" s="289"/>
      <c r="RUS19" s="289"/>
      <c r="RUT19" s="289"/>
      <c r="RUU19" s="289"/>
      <c r="RUV19" s="289"/>
      <c r="RUW19" s="289"/>
      <c r="RUX19" s="289"/>
      <c r="RUY19" s="289"/>
      <c r="RUZ19" s="289"/>
      <c r="RVA19" s="289"/>
      <c r="RVB19" s="289"/>
      <c r="RVC19" s="289"/>
      <c r="RVD19" s="289"/>
      <c r="RVE19" s="289"/>
      <c r="RVF19" s="289"/>
      <c r="RVG19" s="289"/>
      <c r="RVH19" s="289"/>
      <c r="RVI19" s="289"/>
      <c r="RVJ19" s="289"/>
      <c r="RVK19" s="289"/>
      <c r="RVL19" s="289"/>
      <c r="RVM19" s="289"/>
      <c r="RVN19" s="289"/>
      <c r="RVO19" s="289"/>
      <c r="RVP19" s="289"/>
      <c r="RVQ19" s="289"/>
      <c r="RVR19" s="289"/>
      <c r="RVS19" s="289"/>
      <c r="RVT19" s="289"/>
      <c r="RVU19" s="289"/>
      <c r="RVV19" s="289"/>
      <c r="RVW19" s="289"/>
      <c r="RVX19" s="289"/>
      <c r="RVY19" s="289"/>
      <c r="RVZ19" s="289"/>
      <c r="RWA19" s="289"/>
      <c r="RWB19" s="289"/>
      <c r="RWC19" s="289"/>
      <c r="RWD19" s="289"/>
      <c r="RWE19" s="289"/>
      <c r="RWF19" s="289"/>
      <c r="RWG19" s="289"/>
      <c r="RWH19" s="289"/>
      <c r="RWI19" s="289"/>
      <c r="RWJ19" s="289"/>
      <c r="RWK19" s="289"/>
      <c r="RWL19" s="289"/>
      <c r="RWM19" s="289"/>
      <c r="RWN19" s="289"/>
      <c r="RWO19" s="289"/>
      <c r="RWP19" s="289"/>
      <c r="RWQ19" s="289"/>
      <c r="RWR19" s="289"/>
      <c r="RWS19" s="289"/>
      <c r="RWT19" s="289"/>
      <c r="RWU19" s="289"/>
      <c r="RWV19" s="289"/>
      <c r="RWW19" s="289"/>
      <c r="RWX19" s="289"/>
      <c r="RWY19" s="289"/>
      <c r="RWZ19" s="289"/>
      <c r="RXA19" s="289"/>
      <c r="RXB19" s="289"/>
      <c r="RXC19" s="289"/>
      <c r="RXD19" s="289"/>
      <c r="RXE19" s="289"/>
      <c r="RXF19" s="289"/>
      <c r="RXG19" s="289"/>
      <c r="RXH19" s="289"/>
      <c r="RXI19" s="289"/>
      <c r="RXJ19" s="289"/>
      <c r="RXK19" s="289"/>
      <c r="RXL19" s="289"/>
      <c r="RXM19" s="289"/>
      <c r="RXN19" s="289"/>
      <c r="RXO19" s="289"/>
      <c r="RXP19" s="289"/>
      <c r="RXQ19" s="289"/>
      <c r="RXR19" s="289"/>
      <c r="RXS19" s="289"/>
      <c r="RXT19" s="289"/>
      <c r="RXU19" s="289"/>
      <c r="RXV19" s="289"/>
      <c r="RXW19" s="289"/>
      <c r="RXX19" s="289"/>
      <c r="RXY19" s="289"/>
      <c r="RXZ19" s="289"/>
      <c r="RYA19" s="289"/>
      <c r="RYB19" s="289"/>
      <c r="RYC19" s="289"/>
      <c r="RYD19" s="289"/>
      <c r="RYE19" s="289"/>
      <c r="RYF19" s="289"/>
      <c r="RYG19" s="289"/>
      <c r="RYH19" s="289"/>
      <c r="RYI19" s="289"/>
      <c r="RYJ19" s="289"/>
      <c r="RYK19" s="289"/>
      <c r="RYL19" s="289"/>
      <c r="RYM19" s="289"/>
      <c r="RYN19" s="289"/>
      <c r="RYO19" s="289"/>
      <c r="RYP19" s="289"/>
      <c r="RYQ19" s="289"/>
      <c r="RYR19" s="289"/>
      <c r="RYS19" s="289"/>
      <c r="RYT19" s="289"/>
      <c r="RYU19" s="289"/>
      <c r="RYV19" s="289"/>
      <c r="RYW19" s="289"/>
      <c r="RYX19" s="289"/>
      <c r="RYY19" s="289"/>
      <c r="RYZ19" s="289"/>
      <c r="RZA19" s="289"/>
      <c r="RZB19" s="289"/>
      <c r="RZC19" s="289"/>
      <c r="RZD19" s="289"/>
      <c r="RZE19" s="289"/>
      <c r="RZF19" s="289"/>
      <c r="RZG19" s="289"/>
      <c r="RZH19" s="289"/>
      <c r="RZI19" s="289"/>
      <c r="RZJ19" s="289"/>
      <c r="RZK19" s="289"/>
      <c r="RZL19" s="289"/>
      <c r="RZM19" s="289"/>
      <c r="RZN19" s="289"/>
      <c r="RZO19" s="289"/>
      <c r="RZP19" s="289"/>
      <c r="RZQ19" s="289"/>
      <c r="RZR19" s="289"/>
      <c r="RZS19" s="289"/>
      <c r="RZT19" s="289"/>
      <c r="RZU19" s="289"/>
      <c r="RZV19" s="289"/>
      <c r="RZW19" s="289"/>
      <c r="RZX19" s="289"/>
      <c r="RZY19" s="289"/>
      <c r="RZZ19" s="289"/>
      <c r="SAA19" s="289"/>
      <c r="SAB19" s="289"/>
      <c r="SAC19" s="289"/>
      <c r="SAD19" s="289"/>
      <c r="SAE19" s="289"/>
      <c r="SAF19" s="289"/>
      <c r="SAG19" s="289"/>
      <c r="SAH19" s="289"/>
      <c r="SAI19" s="289"/>
      <c r="SAJ19" s="289"/>
      <c r="SAK19" s="289"/>
      <c r="SAL19" s="289"/>
      <c r="SAM19" s="289"/>
      <c r="SAN19" s="289"/>
      <c r="SAO19" s="289"/>
      <c r="SAP19" s="289"/>
      <c r="SAQ19" s="289"/>
      <c r="SAR19" s="289"/>
      <c r="SAS19" s="289"/>
      <c r="SAT19" s="289"/>
      <c r="SAU19" s="289"/>
      <c r="SAV19" s="289"/>
      <c r="SAW19" s="289"/>
      <c r="SAX19" s="289"/>
      <c r="SAY19" s="289"/>
      <c r="SAZ19" s="289"/>
      <c r="SBA19" s="289"/>
      <c r="SBB19" s="289"/>
      <c r="SBC19" s="289"/>
      <c r="SBD19" s="289"/>
      <c r="SBE19" s="289"/>
      <c r="SBF19" s="289"/>
      <c r="SBG19" s="289"/>
      <c r="SBH19" s="289"/>
      <c r="SBI19" s="289"/>
      <c r="SBJ19" s="289"/>
      <c r="SBK19" s="289"/>
      <c r="SBL19" s="289"/>
      <c r="SBM19" s="289"/>
      <c r="SBN19" s="289"/>
      <c r="SBO19" s="289"/>
      <c r="SBP19" s="289"/>
      <c r="SBQ19" s="289"/>
      <c r="SBR19" s="289"/>
      <c r="SBS19" s="289"/>
      <c r="SBT19" s="289"/>
      <c r="SBU19" s="289"/>
      <c r="SBV19" s="289"/>
      <c r="SBW19" s="289"/>
      <c r="SBX19" s="289"/>
      <c r="SBY19" s="289"/>
      <c r="SBZ19" s="289"/>
      <c r="SCA19" s="289"/>
      <c r="SCB19" s="289"/>
      <c r="SCC19" s="289"/>
      <c r="SCD19" s="289"/>
      <c r="SCE19" s="289"/>
      <c r="SCF19" s="289"/>
      <c r="SCG19" s="289"/>
      <c r="SCH19" s="289"/>
      <c r="SCI19" s="289"/>
      <c r="SCJ19" s="289"/>
      <c r="SCK19" s="289"/>
      <c r="SCL19" s="289"/>
      <c r="SCM19" s="289"/>
      <c r="SCN19" s="289"/>
      <c r="SCO19" s="289"/>
      <c r="SCP19" s="289"/>
      <c r="SCQ19" s="289"/>
      <c r="SCR19" s="289"/>
      <c r="SCS19" s="289"/>
      <c r="SCT19" s="289"/>
      <c r="SCU19" s="289"/>
      <c r="SCV19" s="289"/>
      <c r="SCW19" s="289"/>
      <c r="SCX19" s="289"/>
      <c r="SCY19" s="289"/>
      <c r="SCZ19" s="289"/>
      <c r="SDA19" s="289"/>
      <c r="SDB19" s="289"/>
      <c r="SDC19" s="289"/>
      <c r="SDD19" s="289"/>
      <c r="SDE19" s="289"/>
      <c r="SDF19" s="289"/>
      <c r="SDG19" s="289"/>
      <c r="SDH19" s="289"/>
      <c r="SDI19" s="289"/>
      <c r="SDJ19" s="289"/>
      <c r="SDK19" s="289"/>
      <c r="SDL19" s="289"/>
      <c r="SDM19" s="289"/>
      <c r="SDN19" s="289"/>
      <c r="SDO19" s="289"/>
      <c r="SDP19" s="289"/>
      <c r="SDQ19" s="289"/>
      <c r="SDR19" s="289"/>
      <c r="SDS19" s="289"/>
      <c r="SDT19" s="289"/>
      <c r="SDU19" s="289"/>
      <c r="SDV19" s="289"/>
      <c r="SDW19" s="289"/>
      <c r="SDX19" s="289"/>
      <c r="SDY19" s="289"/>
      <c r="SDZ19" s="289"/>
      <c r="SEA19" s="289"/>
      <c r="SEB19" s="289"/>
      <c r="SEC19" s="289"/>
      <c r="SED19" s="289"/>
      <c r="SEE19" s="289"/>
      <c r="SEF19" s="289"/>
      <c r="SEG19" s="289"/>
      <c r="SEH19" s="289"/>
      <c r="SEI19" s="289"/>
      <c r="SEJ19" s="289"/>
      <c r="SEK19" s="289"/>
      <c r="SEL19" s="289"/>
      <c r="SEM19" s="289"/>
      <c r="SEN19" s="289"/>
      <c r="SEO19" s="289"/>
      <c r="SEP19" s="289"/>
      <c r="SEQ19" s="289"/>
      <c r="SER19" s="289"/>
      <c r="SES19" s="289"/>
      <c r="SET19" s="289"/>
      <c r="SEU19" s="289"/>
      <c r="SEV19" s="289"/>
      <c r="SEW19" s="289"/>
      <c r="SEX19" s="289"/>
      <c r="SEY19" s="289"/>
      <c r="SEZ19" s="289"/>
      <c r="SFA19" s="289"/>
      <c r="SFB19" s="289"/>
      <c r="SFC19" s="289"/>
      <c r="SFD19" s="289"/>
      <c r="SFE19" s="289"/>
      <c r="SFF19" s="289"/>
      <c r="SFG19" s="289"/>
      <c r="SFH19" s="289"/>
      <c r="SFI19" s="289"/>
      <c r="SFJ19" s="289"/>
      <c r="SFK19" s="289"/>
      <c r="SFL19" s="289"/>
      <c r="SFM19" s="289"/>
      <c r="SFN19" s="289"/>
      <c r="SFO19" s="289"/>
      <c r="SFP19" s="289"/>
      <c r="SFQ19" s="289"/>
      <c r="SFR19" s="289"/>
      <c r="SFS19" s="289"/>
      <c r="SFT19" s="289"/>
      <c r="SFU19" s="289"/>
      <c r="SFV19" s="289"/>
      <c r="SFW19" s="289"/>
      <c r="SFX19" s="289"/>
      <c r="SFY19" s="289"/>
      <c r="SFZ19" s="289"/>
      <c r="SGA19" s="289"/>
      <c r="SGB19" s="289"/>
      <c r="SGC19" s="289"/>
      <c r="SGD19" s="289"/>
      <c r="SGE19" s="289"/>
      <c r="SGF19" s="289"/>
      <c r="SGG19" s="289"/>
      <c r="SGH19" s="289"/>
      <c r="SGI19" s="289"/>
      <c r="SGJ19" s="289"/>
      <c r="SGK19" s="289"/>
      <c r="SGL19" s="289"/>
      <c r="SGM19" s="289"/>
      <c r="SGN19" s="289"/>
      <c r="SGO19" s="289"/>
      <c r="SGP19" s="289"/>
      <c r="SGQ19" s="289"/>
      <c r="SGR19" s="289"/>
      <c r="SGS19" s="289"/>
      <c r="SGT19" s="289"/>
      <c r="SGU19" s="289"/>
      <c r="SGV19" s="289"/>
      <c r="SGW19" s="289"/>
      <c r="SGX19" s="289"/>
      <c r="SGY19" s="289"/>
      <c r="SGZ19" s="289"/>
      <c r="SHA19" s="289"/>
      <c r="SHB19" s="289"/>
      <c r="SHC19" s="289"/>
      <c r="SHD19" s="289"/>
      <c r="SHE19" s="289"/>
      <c r="SHF19" s="289"/>
      <c r="SHG19" s="289"/>
      <c r="SHH19" s="289"/>
      <c r="SHI19" s="289"/>
      <c r="SHJ19" s="289"/>
      <c r="SHK19" s="289"/>
      <c r="SHL19" s="289"/>
      <c r="SHM19" s="289"/>
      <c r="SHN19" s="289"/>
      <c r="SHO19" s="289"/>
      <c r="SHP19" s="289"/>
      <c r="SHQ19" s="289"/>
      <c r="SHR19" s="289"/>
      <c r="SHS19" s="289"/>
      <c r="SHT19" s="289"/>
      <c r="SHU19" s="289"/>
      <c r="SHV19" s="289"/>
      <c r="SHW19" s="289"/>
      <c r="SHX19" s="289"/>
      <c r="SHY19" s="289"/>
      <c r="SHZ19" s="289"/>
      <c r="SIA19" s="289"/>
      <c r="SIB19" s="289"/>
      <c r="SIC19" s="289"/>
      <c r="SID19" s="289"/>
      <c r="SIE19" s="289"/>
      <c r="SIF19" s="289"/>
      <c r="SIG19" s="289"/>
      <c r="SIH19" s="289"/>
      <c r="SII19" s="289"/>
      <c r="SIJ19" s="289"/>
      <c r="SIK19" s="289"/>
      <c r="SIL19" s="289"/>
      <c r="SIM19" s="289"/>
      <c r="SIN19" s="289"/>
      <c r="SIO19" s="289"/>
      <c r="SIP19" s="289"/>
      <c r="SIQ19" s="289"/>
      <c r="SIR19" s="289"/>
      <c r="SIS19" s="289"/>
      <c r="SIT19" s="289"/>
      <c r="SIU19" s="289"/>
      <c r="SIV19" s="289"/>
      <c r="SIW19" s="289"/>
      <c r="SIX19" s="289"/>
      <c r="SIY19" s="289"/>
      <c r="SIZ19" s="289"/>
      <c r="SJA19" s="289"/>
      <c r="SJB19" s="289"/>
      <c r="SJC19" s="289"/>
      <c r="SJD19" s="289"/>
      <c r="SJE19" s="289"/>
      <c r="SJF19" s="289"/>
      <c r="SJG19" s="289"/>
      <c r="SJH19" s="289"/>
      <c r="SJI19" s="289"/>
      <c r="SJJ19" s="289"/>
      <c r="SJK19" s="289"/>
      <c r="SJL19" s="289"/>
      <c r="SJM19" s="289"/>
      <c r="SJN19" s="289"/>
      <c r="SJO19" s="289"/>
      <c r="SJP19" s="289"/>
      <c r="SJQ19" s="289"/>
      <c r="SJR19" s="289"/>
      <c r="SJS19" s="289"/>
      <c r="SJT19" s="289"/>
      <c r="SJU19" s="289"/>
      <c r="SJV19" s="289"/>
      <c r="SJW19" s="289"/>
      <c r="SJX19" s="289"/>
      <c r="SJY19" s="289"/>
      <c r="SJZ19" s="289"/>
      <c r="SKA19" s="289"/>
      <c r="SKB19" s="289"/>
      <c r="SKC19" s="289"/>
      <c r="SKD19" s="289"/>
      <c r="SKE19" s="289"/>
      <c r="SKF19" s="289"/>
      <c r="SKG19" s="289"/>
      <c r="SKH19" s="289"/>
      <c r="SKI19" s="289"/>
      <c r="SKJ19" s="289"/>
      <c r="SKK19" s="289"/>
      <c r="SKL19" s="289"/>
      <c r="SKM19" s="289"/>
      <c r="SKN19" s="289"/>
      <c r="SKO19" s="289"/>
      <c r="SKP19" s="289"/>
      <c r="SKQ19" s="289"/>
      <c r="SKR19" s="289"/>
      <c r="SKS19" s="289"/>
      <c r="SKT19" s="289"/>
      <c r="SKU19" s="289"/>
      <c r="SKV19" s="289"/>
      <c r="SKW19" s="289"/>
      <c r="SKX19" s="289"/>
      <c r="SKY19" s="289"/>
      <c r="SKZ19" s="289"/>
      <c r="SLA19" s="289"/>
      <c r="SLB19" s="289"/>
      <c r="SLC19" s="289"/>
      <c r="SLD19" s="289"/>
      <c r="SLE19" s="289"/>
      <c r="SLF19" s="289"/>
      <c r="SLG19" s="289"/>
      <c r="SLH19" s="289"/>
      <c r="SLI19" s="289"/>
      <c r="SLJ19" s="289"/>
      <c r="SLK19" s="289"/>
      <c r="SLL19" s="289"/>
      <c r="SLM19" s="289"/>
      <c r="SLN19" s="289"/>
      <c r="SLO19" s="289"/>
      <c r="SLP19" s="289"/>
      <c r="SLQ19" s="289"/>
      <c r="SLR19" s="289"/>
      <c r="SLS19" s="289"/>
      <c r="SLT19" s="289"/>
      <c r="SLU19" s="289"/>
      <c r="SLV19" s="289"/>
      <c r="SLW19" s="289"/>
      <c r="SLX19" s="289"/>
      <c r="SLY19" s="289"/>
      <c r="SLZ19" s="289"/>
      <c r="SMA19" s="289"/>
      <c r="SMB19" s="289"/>
      <c r="SMC19" s="289"/>
      <c r="SMD19" s="289"/>
      <c r="SME19" s="289"/>
      <c r="SMF19" s="289"/>
      <c r="SMG19" s="289"/>
      <c r="SMH19" s="289"/>
      <c r="SMI19" s="289"/>
      <c r="SMJ19" s="289"/>
      <c r="SMK19" s="289"/>
      <c r="SML19" s="289"/>
      <c r="SMM19" s="289"/>
      <c r="SMN19" s="289"/>
      <c r="SMO19" s="289"/>
      <c r="SMP19" s="289"/>
      <c r="SMQ19" s="289"/>
      <c r="SMR19" s="289"/>
      <c r="SMS19" s="289"/>
      <c r="SMT19" s="289"/>
      <c r="SMU19" s="289"/>
      <c r="SMV19" s="289"/>
      <c r="SMW19" s="289"/>
      <c r="SMX19" s="289"/>
      <c r="SMY19" s="289"/>
      <c r="SMZ19" s="289"/>
      <c r="SNA19" s="289"/>
      <c r="SNB19" s="289"/>
      <c r="SNC19" s="289"/>
      <c r="SND19" s="289"/>
      <c r="SNE19" s="289"/>
      <c r="SNF19" s="289"/>
      <c r="SNG19" s="289"/>
      <c r="SNH19" s="289"/>
      <c r="SNI19" s="289"/>
      <c r="SNJ19" s="289"/>
      <c r="SNK19" s="289"/>
      <c r="SNL19" s="289"/>
      <c r="SNM19" s="289"/>
      <c r="SNN19" s="289"/>
      <c r="SNO19" s="289"/>
      <c r="SNP19" s="289"/>
      <c r="SNQ19" s="289"/>
      <c r="SNR19" s="289"/>
      <c r="SNS19" s="289"/>
      <c r="SNT19" s="289"/>
      <c r="SNU19" s="289"/>
      <c r="SNV19" s="289"/>
      <c r="SNW19" s="289"/>
      <c r="SNX19" s="289"/>
      <c r="SNY19" s="289"/>
      <c r="SNZ19" s="289"/>
      <c r="SOA19" s="289"/>
      <c r="SOB19" s="289"/>
      <c r="SOC19" s="289"/>
      <c r="SOD19" s="289"/>
      <c r="SOE19" s="289"/>
      <c r="SOF19" s="289"/>
      <c r="SOG19" s="289"/>
      <c r="SOH19" s="289"/>
      <c r="SOI19" s="289"/>
      <c r="SOJ19" s="289"/>
      <c r="SOK19" s="289"/>
      <c r="SOL19" s="289"/>
      <c r="SOM19" s="289"/>
      <c r="SON19" s="289"/>
      <c r="SOO19" s="289"/>
      <c r="SOP19" s="289"/>
      <c r="SOQ19" s="289"/>
      <c r="SOR19" s="289"/>
      <c r="SOS19" s="289"/>
      <c r="SOT19" s="289"/>
      <c r="SOU19" s="289"/>
      <c r="SOV19" s="289"/>
      <c r="SOW19" s="289"/>
      <c r="SOX19" s="289"/>
      <c r="SOY19" s="289"/>
      <c r="SOZ19" s="289"/>
      <c r="SPA19" s="289"/>
      <c r="SPB19" s="289"/>
      <c r="SPC19" s="289"/>
      <c r="SPD19" s="289"/>
      <c r="SPE19" s="289"/>
      <c r="SPF19" s="289"/>
      <c r="SPG19" s="289"/>
      <c r="SPH19" s="289"/>
      <c r="SPI19" s="289"/>
      <c r="SPJ19" s="289"/>
      <c r="SPK19" s="289"/>
      <c r="SPL19" s="289"/>
      <c r="SPM19" s="289"/>
      <c r="SPN19" s="289"/>
      <c r="SPO19" s="289"/>
      <c r="SPP19" s="289"/>
      <c r="SPQ19" s="289"/>
      <c r="SPR19" s="289"/>
      <c r="SPS19" s="289"/>
      <c r="SPT19" s="289"/>
      <c r="SPU19" s="289"/>
      <c r="SPV19" s="289"/>
      <c r="SPW19" s="289"/>
      <c r="SPX19" s="289"/>
      <c r="SPY19" s="289"/>
      <c r="SPZ19" s="289"/>
      <c r="SQA19" s="289"/>
      <c r="SQB19" s="289"/>
      <c r="SQC19" s="289"/>
      <c r="SQD19" s="289"/>
      <c r="SQE19" s="289"/>
      <c r="SQF19" s="289"/>
      <c r="SQG19" s="289"/>
      <c r="SQH19" s="289"/>
      <c r="SQI19" s="289"/>
      <c r="SQJ19" s="289"/>
      <c r="SQK19" s="289"/>
      <c r="SQL19" s="289"/>
      <c r="SQM19" s="289"/>
      <c r="SQN19" s="289"/>
      <c r="SQO19" s="289"/>
      <c r="SQP19" s="289"/>
      <c r="SQQ19" s="289"/>
      <c r="SQR19" s="289"/>
      <c r="SQS19" s="289"/>
      <c r="SQT19" s="289"/>
      <c r="SQU19" s="289"/>
      <c r="SQV19" s="289"/>
      <c r="SQW19" s="289"/>
      <c r="SQX19" s="289"/>
      <c r="SQY19" s="289"/>
      <c r="SQZ19" s="289"/>
      <c r="SRA19" s="289"/>
      <c r="SRB19" s="289"/>
      <c r="SRC19" s="289"/>
      <c r="SRD19" s="289"/>
      <c r="SRE19" s="289"/>
      <c r="SRF19" s="289"/>
      <c r="SRG19" s="289"/>
      <c r="SRH19" s="289"/>
      <c r="SRI19" s="289"/>
      <c r="SRJ19" s="289"/>
      <c r="SRK19" s="289"/>
      <c r="SRL19" s="289"/>
      <c r="SRM19" s="289"/>
      <c r="SRN19" s="289"/>
      <c r="SRO19" s="289"/>
      <c r="SRP19" s="289"/>
      <c r="SRQ19" s="289"/>
      <c r="SRR19" s="289"/>
      <c r="SRS19" s="289"/>
      <c r="SRT19" s="289"/>
      <c r="SRU19" s="289"/>
      <c r="SRV19" s="289"/>
      <c r="SRW19" s="289"/>
      <c r="SRX19" s="289"/>
      <c r="SRY19" s="289"/>
      <c r="SRZ19" s="289"/>
      <c r="SSA19" s="289"/>
      <c r="SSB19" s="289"/>
      <c r="SSC19" s="289"/>
      <c r="SSD19" s="289"/>
      <c r="SSE19" s="289"/>
      <c r="SSF19" s="289"/>
      <c r="SSG19" s="289"/>
      <c r="SSH19" s="289"/>
      <c r="SSI19" s="289"/>
      <c r="SSJ19" s="289"/>
      <c r="SSK19" s="289"/>
      <c r="SSL19" s="289"/>
      <c r="SSM19" s="289"/>
      <c r="SSN19" s="289"/>
      <c r="SSO19" s="289"/>
      <c r="SSP19" s="289"/>
      <c r="SSQ19" s="289"/>
      <c r="SSR19" s="289"/>
      <c r="SSS19" s="289"/>
      <c r="SST19" s="289"/>
      <c r="SSU19" s="289"/>
      <c r="SSV19" s="289"/>
      <c r="SSW19" s="289"/>
      <c r="SSX19" s="289"/>
      <c r="SSY19" s="289"/>
      <c r="SSZ19" s="289"/>
      <c r="STA19" s="289"/>
      <c r="STB19" s="289"/>
      <c r="STC19" s="289"/>
      <c r="STD19" s="289"/>
      <c r="STE19" s="289"/>
      <c r="STF19" s="289"/>
      <c r="STG19" s="289"/>
      <c r="STH19" s="289"/>
      <c r="STI19" s="289"/>
      <c r="STJ19" s="289"/>
      <c r="STK19" s="289"/>
      <c r="STL19" s="289"/>
      <c r="STM19" s="289"/>
      <c r="STN19" s="289"/>
      <c r="STO19" s="289"/>
      <c r="STP19" s="289"/>
      <c r="STQ19" s="289"/>
      <c r="STR19" s="289"/>
      <c r="STS19" s="289"/>
      <c r="STT19" s="289"/>
      <c r="STU19" s="289"/>
      <c r="STV19" s="289"/>
      <c r="STW19" s="289"/>
      <c r="STX19" s="289"/>
      <c r="STY19" s="289"/>
      <c r="STZ19" s="289"/>
      <c r="SUA19" s="289"/>
      <c r="SUB19" s="289"/>
      <c r="SUC19" s="289"/>
      <c r="SUD19" s="289"/>
      <c r="SUE19" s="289"/>
      <c r="SUF19" s="289"/>
      <c r="SUG19" s="289"/>
      <c r="SUH19" s="289"/>
      <c r="SUI19" s="289"/>
      <c r="SUJ19" s="289"/>
      <c r="SUK19" s="289"/>
      <c r="SUL19" s="289"/>
      <c r="SUM19" s="289"/>
      <c r="SUN19" s="289"/>
      <c r="SUO19" s="289"/>
      <c r="SUP19" s="289"/>
      <c r="SUQ19" s="289"/>
      <c r="SUR19" s="289"/>
      <c r="SUS19" s="289"/>
      <c r="SUT19" s="289"/>
      <c r="SUU19" s="289"/>
      <c r="SUV19" s="289"/>
      <c r="SUW19" s="289"/>
      <c r="SUX19" s="289"/>
      <c r="SUY19" s="289"/>
      <c r="SUZ19" s="289"/>
      <c r="SVA19" s="289"/>
      <c r="SVB19" s="289"/>
      <c r="SVC19" s="289"/>
      <c r="SVD19" s="289"/>
      <c r="SVE19" s="289"/>
      <c r="SVF19" s="289"/>
      <c r="SVG19" s="289"/>
      <c r="SVH19" s="289"/>
      <c r="SVI19" s="289"/>
      <c r="SVJ19" s="289"/>
      <c r="SVK19" s="289"/>
      <c r="SVL19" s="289"/>
      <c r="SVM19" s="289"/>
      <c r="SVN19" s="289"/>
      <c r="SVO19" s="289"/>
      <c r="SVP19" s="289"/>
      <c r="SVQ19" s="289"/>
      <c r="SVR19" s="289"/>
      <c r="SVS19" s="289"/>
      <c r="SVT19" s="289"/>
      <c r="SVU19" s="289"/>
      <c r="SVV19" s="289"/>
      <c r="SVW19" s="289"/>
      <c r="SVX19" s="289"/>
      <c r="SVY19" s="289"/>
      <c r="SVZ19" s="289"/>
      <c r="SWA19" s="289"/>
      <c r="SWB19" s="289"/>
      <c r="SWC19" s="289"/>
      <c r="SWD19" s="289"/>
      <c r="SWE19" s="289"/>
      <c r="SWF19" s="289"/>
      <c r="SWG19" s="289"/>
      <c r="SWH19" s="289"/>
      <c r="SWI19" s="289"/>
      <c r="SWJ19" s="289"/>
      <c r="SWK19" s="289"/>
      <c r="SWL19" s="289"/>
      <c r="SWM19" s="289"/>
      <c r="SWN19" s="289"/>
      <c r="SWO19" s="289"/>
      <c r="SWP19" s="289"/>
      <c r="SWQ19" s="289"/>
      <c r="SWR19" s="289"/>
      <c r="SWS19" s="289"/>
      <c r="SWT19" s="289"/>
      <c r="SWU19" s="289"/>
      <c r="SWV19" s="289"/>
      <c r="SWW19" s="289"/>
      <c r="SWX19" s="289"/>
      <c r="SWY19" s="289"/>
      <c r="SWZ19" s="289"/>
      <c r="SXA19" s="289"/>
      <c r="SXB19" s="289"/>
      <c r="SXC19" s="289"/>
      <c r="SXD19" s="289"/>
      <c r="SXE19" s="289"/>
      <c r="SXF19" s="289"/>
      <c r="SXG19" s="289"/>
      <c r="SXH19" s="289"/>
      <c r="SXI19" s="289"/>
      <c r="SXJ19" s="289"/>
      <c r="SXK19" s="289"/>
      <c r="SXL19" s="289"/>
      <c r="SXM19" s="289"/>
      <c r="SXN19" s="289"/>
      <c r="SXO19" s="289"/>
      <c r="SXP19" s="289"/>
      <c r="SXQ19" s="289"/>
      <c r="SXR19" s="289"/>
      <c r="SXS19" s="289"/>
      <c r="SXT19" s="289"/>
      <c r="SXU19" s="289"/>
      <c r="SXV19" s="289"/>
      <c r="SXW19" s="289"/>
      <c r="SXX19" s="289"/>
      <c r="SXY19" s="289"/>
      <c r="SXZ19" s="289"/>
      <c r="SYA19" s="289"/>
      <c r="SYB19" s="289"/>
      <c r="SYC19" s="289"/>
      <c r="SYD19" s="289"/>
      <c r="SYE19" s="289"/>
      <c r="SYF19" s="289"/>
      <c r="SYG19" s="289"/>
      <c r="SYH19" s="289"/>
      <c r="SYI19" s="289"/>
      <c r="SYJ19" s="289"/>
      <c r="SYK19" s="289"/>
      <c r="SYL19" s="289"/>
      <c r="SYM19" s="289"/>
      <c r="SYN19" s="289"/>
      <c r="SYO19" s="289"/>
      <c r="SYP19" s="289"/>
      <c r="SYQ19" s="289"/>
      <c r="SYR19" s="289"/>
      <c r="SYS19" s="289"/>
      <c r="SYT19" s="289"/>
      <c r="SYU19" s="289"/>
      <c r="SYV19" s="289"/>
      <c r="SYW19" s="289"/>
      <c r="SYX19" s="289"/>
      <c r="SYY19" s="289"/>
      <c r="SYZ19" s="289"/>
      <c r="SZA19" s="289"/>
      <c r="SZB19" s="289"/>
      <c r="SZC19" s="289"/>
      <c r="SZD19" s="289"/>
      <c r="SZE19" s="289"/>
      <c r="SZF19" s="289"/>
      <c r="SZG19" s="289"/>
      <c r="SZH19" s="289"/>
      <c r="SZI19" s="289"/>
      <c r="SZJ19" s="289"/>
      <c r="SZK19" s="289"/>
      <c r="SZL19" s="289"/>
      <c r="SZM19" s="289"/>
      <c r="SZN19" s="289"/>
      <c r="SZO19" s="289"/>
      <c r="SZP19" s="289"/>
      <c r="SZQ19" s="289"/>
      <c r="SZR19" s="289"/>
      <c r="SZS19" s="289"/>
      <c r="SZT19" s="289"/>
      <c r="SZU19" s="289"/>
      <c r="SZV19" s="289"/>
      <c r="SZW19" s="289"/>
      <c r="SZX19" s="289"/>
      <c r="SZY19" s="289"/>
      <c r="SZZ19" s="289"/>
      <c r="TAA19" s="289"/>
      <c r="TAB19" s="289"/>
      <c r="TAC19" s="289"/>
      <c r="TAD19" s="289"/>
      <c r="TAE19" s="289"/>
      <c r="TAF19" s="289"/>
      <c r="TAG19" s="289"/>
      <c r="TAH19" s="289"/>
      <c r="TAI19" s="289"/>
      <c r="TAJ19" s="289"/>
      <c r="TAK19" s="289"/>
      <c r="TAL19" s="289"/>
      <c r="TAM19" s="289"/>
      <c r="TAN19" s="289"/>
      <c r="TAO19" s="289"/>
      <c r="TAP19" s="289"/>
      <c r="TAQ19" s="289"/>
      <c r="TAR19" s="289"/>
      <c r="TAS19" s="289"/>
      <c r="TAT19" s="289"/>
      <c r="TAU19" s="289"/>
      <c r="TAV19" s="289"/>
      <c r="TAW19" s="289"/>
      <c r="TAX19" s="289"/>
      <c r="TAY19" s="289"/>
      <c r="TAZ19" s="289"/>
      <c r="TBA19" s="289"/>
      <c r="TBB19" s="289"/>
      <c r="TBC19" s="289"/>
      <c r="TBD19" s="289"/>
      <c r="TBE19" s="289"/>
      <c r="TBF19" s="289"/>
      <c r="TBG19" s="289"/>
      <c r="TBH19" s="289"/>
      <c r="TBI19" s="289"/>
      <c r="TBJ19" s="289"/>
      <c r="TBK19" s="289"/>
      <c r="TBL19" s="289"/>
      <c r="TBM19" s="289"/>
      <c r="TBN19" s="289"/>
      <c r="TBO19" s="289"/>
      <c r="TBP19" s="289"/>
      <c r="TBQ19" s="289"/>
      <c r="TBR19" s="289"/>
      <c r="TBS19" s="289"/>
      <c r="TBT19" s="289"/>
      <c r="TBU19" s="289"/>
      <c r="TBV19" s="289"/>
      <c r="TBW19" s="289"/>
      <c r="TBX19" s="289"/>
      <c r="TBY19" s="289"/>
      <c r="TBZ19" s="289"/>
      <c r="TCA19" s="289"/>
      <c r="TCB19" s="289"/>
      <c r="TCC19" s="289"/>
      <c r="TCD19" s="289"/>
      <c r="TCE19" s="289"/>
      <c r="TCF19" s="289"/>
      <c r="TCG19" s="289"/>
      <c r="TCH19" s="289"/>
      <c r="TCI19" s="289"/>
      <c r="TCJ19" s="289"/>
      <c r="TCK19" s="289"/>
      <c r="TCL19" s="289"/>
      <c r="TCM19" s="289"/>
      <c r="TCN19" s="289"/>
      <c r="TCO19" s="289"/>
      <c r="TCP19" s="289"/>
      <c r="TCQ19" s="289"/>
      <c r="TCR19" s="289"/>
      <c r="TCS19" s="289"/>
      <c r="TCT19" s="289"/>
      <c r="TCU19" s="289"/>
      <c r="TCV19" s="289"/>
      <c r="TCW19" s="289"/>
      <c r="TCX19" s="289"/>
      <c r="TCY19" s="289"/>
      <c r="TCZ19" s="289"/>
      <c r="TDA19" s="289"/>
      <c r="TDB19" s="289"/>
      <c r="TDC19" s="289"/>
      <c r="TDD19" s="289"/>
      <c r="TDE19" s="289"/>
      <c r="TDF19" s="289"/>
      <c r="TDG19" s="289"/>
      <c r="TDH19" s="289"/>
      <c r="TDI19" s="289"/>
      <c r="TDJ19" s="289"/>
      <c r="TDK19" s="289"/>
      <c r="TDL19" s="289"/>
      <c r="TDM19" s="289"/>
      <c r="TDN19" s="289"/>
      <c r="TDO19" s="289"/>
      <c r="TDP19" s="289"/>
      <c r="TDQ19" s="289"/>
      <c r="TDR19" s="289"/>
      <c r="TDS19" s="289"/>
      <c r="TDT19" s="289"/>
      <c r="TDU19" s="289"/>
      <c r="TDV19" s="289"/>
      <c r="TDW19" s="289"/>
      <c r="TDX19" s="289"/>
      <c r="TDY19" s="289"/>
      <c r="TDZ19" s="289"/>
      <c r="TEA19" s="289"/>
      <c r="TEB19" s="289"/>
      <c r="TEC19" s="289"/>
      <c r="TED19" s="289"/>
      <c r="TEE19" s="289"/>
      <c r="TEF19" s="289"/>
      <c r="TEG19" s="289"/>
      <c r="TEH19" s="289"/>
      <c r="TEI19" s="289"/>
      <c r="TEJ19" s="289"/>
      <c r="TEK19" s="289"/>
      <c r="TEL19" s="289"/>
      <c r="TEM19" s="289"/>
      <c r="TEN19" s="289"/>
      <c r="TEO19" s="289"/>
      <c r="TEP19" s="289"/>
      <c r="TEQ19" s="289"/>
      <c r="TER19" s="289"/>
      <c r="TES19" s="289"/>
      <c r="TET19" s="289"/>
      <c r="TEU19" s="289"/>
      <c r="TEV19" s="289"/>
      <c r="TEW19" s="289"/>
      <c r="TEX19" s="289"/>
      <c r="TEY19" s="289"/>
      <c r="TEZ19" s="289"/>
      <c r="TFA19" s="289"/>
      <c r="TFB19" s="289"/>
      <c r="TFC19" s="289"/>
      <c r="TFD19" s="289"/>
      <c r="TFE19" s="289"/>
      <c r="TFF19" s="289"/>
      <c r="TFG19" s="289"/>
      <c r="TFH19" s="289"/>
      <c r="TFI19" s="289"/>
      <c r="TFJ19" s="289"/>
      <c r="TFK19" s="289"/>
      <c r="TFL19" s="289"/>
      <c r="TFM19" s="289"/>
      <c r="TFN19" s="289"/>
      <c r="TFO19" s="289"/>
      <c r="TFP19" s="289"/>
      <c r="TFQ19" s="289"/>
      <c r="TFR19" s="289"/>
      <c r="TFS19" s="289"/>
      <c r="TFT19" s="289"/>
      <c r="TFU19" s="289"/>
      <c r="TFV19" s="289"/>
      <c r="TFW19" s="289"/>
      <c r="TFX19" s="289"/>
      <c r="TFY19" s="289"/>
      <c r="TFZ19" s="289"/>
      <c r="TGA19" s="289"/>
      <c r="TGB19" s="289"/>
      <c r="TGC19" s="289"/>
      <c r="TGD19" s="289"/>
      <c r="TGE19" s="289"/>
      <c r="TGF19" s="289"/>
      <c r="TGG19" s="289"/>
      <c r="TGH19" s="289"/>
      <c r="TGI19" s="289"/>
      <c r="TGJ19" s="289"/>
      <c r="TGK19" s="289"/>
      <c r="TGL19" s="289"/>
      <c r="TGM19" s="289"/>
      <c r="TGN19" s="289"/>
      <c r="TGO19" s="289"/>
      <c r="TGP19" s="289"/>
      <c r="TGQ19" s="289"/>
      <c r="TGR19" s="289"/>
      <c r="TGS19" s="289"/>
      <c r="TGT19" s="289"/>
      <c r="TGU19" s="289"/>
      <c r="TGV19" s="289"/>
      <c r="TGW19" s="289"/>
      <c r="TGX19" s="289"/>
      <c r="TGY19" s="289"/>
      <c r="TGZ19" s="289"/>
      <c r="THA19" s="289"/>
      <c r="THB19" s="289"/>
      <c r="THC19" s="289"/>
      <c r="THD19" s="289"/>
      <c r="THE19" s="289"/>
      <c r="THF19" s="289"/>
      <c r="THG19" s="289"/>
      <c r="THH19" s="289"/>
      <c r="THI19" s="289"/>
      <c r="THJ19" s="289"/>
      <c r="THK19" s="289"/>
      <c r="THL19" s="289"/>
      <c r="THM19" s="289"/>
      <c r="THN19" s="289"/>
      <c r="THO19" s="289"/>
      <c r="THP19" s="289"/>
      <c r="THQ19" s="289"/>
      <c r="THR19" s="289"/>
      <c r="THS19" s="289"/>
      <c r="THT19" s="289"/>
      <c r="THU19" s="289"/>
      <c r="THV19" s="289"/>
      <c r="THW19" s="289"/>
      <c r="THX19" s="289"/>
      <c r="THY19" s="289"/>
      <c r="THZ19" s="289"/>
      <c r="TIA19" s="289"/>
      <c r="TIB19" s="289"/>
      <c r="TIC19" s="289"/>
      <c r="TID19" s="289"/>
      <c r="TIE19" s="289"/>
      <c r="TIF19" s="289"/>
      <c r="TIG19" s="289"/>
      <c r="TIH19" s="289"/>
      <c r="TII19" s="289"/>
      <c r="TIJ19" s="289"/>
      <c r="TIK19" s="289"/>
      <c r="TIL19" s="289"/>
      <c r="TIM19" s="289"/>
      <c r="TIN19" s="289"/>
      <c r="TIO19" s="289"/>
      <c r="TIP19" s="289"/>
      <c r="TIQ19" s="289"/>
      <c r="TIR19" s="289"/>
      <c r="TIS19" s="289"/>
      <c r="TIT19" s="289"/>
      <c r="TIU19" s="289"/>
      <c r="TIV19" s="289"/>
      <c r="TIW19" s="289"/>
      <c r="TIX19" s="289"/>
      <c r="TIY19" s="289"/>
      <c r="TIZ19" s="289"/>
      <c r="TJA19" s="289"/>
      <c r="TJB19" s="289"/>
      <c r="TJC19" s="289"/>
      <c r="TJD19" s="289"/>
      <c r="TJE19" s="289"/>
      <c r="TJF19" s="289"/>
      <c r="TJG19" s="289"/>
      <c r="TJH19" s="289"/>
      <c r="TJI19" s="289"/>
      <c r="TJJ19" s="289"/>
      <c r="TJK19" s="289"/>
      <c r="TJL19" s="289"/>
      <c r="TJM19" s="289"/>
      <c r="TJN19" s="289"/>
      <c r="TJO19" s="289"/>
      <c r="TJP19" s="289"/>
      <c r="TJQ19" s="289"/>
      <c r="TJR19" s="289"/>
      <c r="TJS19" s="289"/>
      <c r="TJT19" s="289"/>
      <c r="TJU19" s="289"/>
      <c r="TJV19" s="289"/>
      <c r="TJW19" s="289"/>
      <c r="TJX19" s="289"/>
      <c r="TJY19" s="289"/>
      <c r="TJZ19" s="289"/>
      <c r="TKA19" s="289"/>
      <c r="TKB19" s="289"/>
      <c r="TKC19" s="289"/>
      <c r="TKD19" s="289"/>
      <c r="TKE19" s="289"/>
      <c r="TKF19" s="289"/>
      <c r="TKG19" s="289"/>
      <c r="TKH19" s="289"/>
      <c r="TKI19" s="289"/>
      <c r="TKJ19" s="289"/>
      <c r="TKK19" s="289"/>
      <c r="TKL19" s="289"/>
      <c r="TKM19" s="289"/>
      <c r="TKN19" s="289"/>
      <c r="TKO19" s="289"/>
      <c r="TKP19" s="289"/>
      <c r="TKQ19" s="289"/>
      <c r="TKR19" s="289"/>
      <c r="TKS19" s="289"/>
      <c r="TKT19" s="289"/>
      <c r="TKU19" s="289"/>
      <c r="TKV19" s="289"/>
      <c r="TKW19" s="289"/>
      <c r="TKX19" s="289"/>
      <c r="TKY19" s="289"/>
      <c r="TKZ19" s="289"/>
      <c r="TLA19" s="289"/>
      <c r="TLB19" s="289"/>
      <c r="TLC19" s="289"/>
      <c r="TLD19" s="289"/>
      <c r="TLE19" s="289"/>
      <c r="TLF19" s="289"/>
      <c r="TLG19" s="289"/>
      <c r="TLH19" s="289"/>
      <c r="TLI19" s="289"/>
      <c r="TLJ19" s="289"/>
      <c r="TLK19" s="289"/>
      <c r="TLL19" s="289"/>
      <c r="TLM19" s="289"/>
      <c r="TLN19" s="289"/>
      <c r="TLO19" s="289"/>
      <c r="TLP19" s="289"/>
      <c r="TLQ19" s="289"/>
      <c r="TLR19" s="289"/>
      <c r="TLS19" s="289"/>
      <c r="TLT19" s="289"/>
      <c r="TLU19" s="289"/>
      <c r="TLV19" s="289"/>
      <c r="TLW19" s="289"/>
      <c r="TLX19" s="289"/>
      <c r="TLY19" s="289"/>
      <c r="TLZ19" s="289"/>
      <c r="TMA19" s="289"/>
      <c r="TMB19" s="289"/>
      <c r="TMC19" s="289"/>
      <c r="TMD19" s="289"/>
      <c r="TME19" s="289"/>
      <c r="TMF19" s="289"/>
      <c r="TMG19" s="289"/>
      <c r="TMH19" s="289"/>
      <c r="TMI19" s="289"/>
      <c r="TMJ19" s="289"/>
      <c r="TMK19" s="289"/>
      <c r="TML19" s="289"/>
      <c r="TMM19" s="289"/>
      <c r="TMN19" s="289"/>
      <c r="TMO19" s="289"/>
      <c r="TMP19" s="289"/>
      <c r="TMQ19" s="289"/>
      <c r="TMR19" s="289"/>
      <c r="TMS19" s="289"/>
      <c r="TMT19" s="289"/>
      <c r="TMU19" s="289"/>
      <c r="TMV19" s="289"/>
      <c r="TMW19" s="289"/>
      <c r="TMX19" s="289"/>
      <c r="TMY19" s="289"/>
      <c r="TMZ19" s="289"/>
      <c r="TNA19" s="289"/>
      <c r="TNB19" s="289"/>
      <c r="TNC19" s="289"/>
      <c r="TND19" s="289"/>
      <c r="TNE19" s="289"/>
      <c r="TNF19" s="289"/>
      <c r="TNG19" s="289"/>
      <c r="TNH19" s="289"/>
      <c r="TNI19" s="289"/>
      <c r="TNJ19" s="289"/>
      <c r="TNK19" s="289"/>
      <c r="TNL19" s="289"/>
      <c r="TNM19" s="289"/>
      <c r="TNN19" s="289"/>
      <c r="TNO19" s="289"/>
      <c r="TNP19" s="289"/>
      <c r="TNQ19" s="289"/>
      <c r="TNR19" s="289"/>
      <c r="TNS19" s="289"/>
      <c r="TNT19" s="289"/>
      <c r="TNU19" s="289"/>
      <c r="TNV19" s="289"/>
      <c r="TNW19" s="289"/>
      <c r="TNX19" s="289"/>
      <c r="TNY19" s="289"/>
      <c r="TNZ19" s="289"/>
      <c r="TOA19" s="289"/>
      <c r="TOB19" s="289"/>
      <c r="TOC19" s="289"/>
      <c r="TOD19" s="289"/>
      <c r="TOE19" s="289"/>
      <c r="TOF19" s="289"/>
      <c r="TOG19" s="289"/>
      <c r="TOH19" s="289"/>
      <c r="TOI19" s="289"/>
      <c r="TOJ19" s="289"/>
      <c r="TOK19" s="289"/>
      <c r="TOL19" s="289"/>
      <c r="TOM19" s="289"/>
      <c r="TON19" s="289"/>
      <c r="TOO19" s="289"/>
      <c r="TOP19" s="289"/>
      <c r="TOQ19" s="289"/>
      <c r="TOR19" s="289"/>
      <c r="TOS19" s="289"/>
      <c r="TOT19" s="289"/>
      <c r="TOU19" s="289"/>
      <c r="TOV19" s="289"/>
      <c r="TOW19" s="289"/>
      <c r="TOX19" s="289"/>
      <c r="TOY19" s="289"/>
      <c r="TOZ19" s="289"/>
      <c r="TPA19" s="289"/>
      <c r="TPB19" s="289"/>
      <c r="TPC19" s="289"/>
      <c r="TPD19" s="289"/>
      <c r="TPE19" s="289"/>
      <c r="TPF19" s="289"/>
      <c r="TPG19" s="289"/>
      <c r="TPH19" s="289"/>
      <c r="TPI19" s="289"/>
      <c r="TPJ19" s="289"/>
      <c r="TPK19" s="289"/>
      <c r="TPL19" s="289"/>
      <c r="TPM19" s="289"/>
      <c r="TPN19" s="289"/>
      <c r="TPO19" s="289"/>
      <c r="TPP19" s="289"/>
      <c r="TPQ19" s="289"/>
      <c r="TPR19" s="289"/>
      <c r="TPS19" s="289"/>
      <c r="TPT19" s="289"/>
      <c r="TPU19" s="289"/>
      <c r="TPV19" s="289"/>
      <c r="TPW19" s="289"/>
      <c r="TPX19" s="289"/>
      <c r="TPY19" s="289"/>
      <c r="TPZ19" s="289"/>
      <c r="TQA19" s="289"/>
      <c r="TQB19" s="289"/>
      <c r="TQC19" s="289"/>
      <c r="TQD19" s="289"/>
      <c r="TQE19" s="289"/>
      <c r="TQF19" s="289"/>
      <c r="TQG19" s="289"/>
      <c r="TQH19" s="289"/>
      <c r="TQI19" s="289"/>
      <c r="TQJ19" s="289"/>
      <c r="TQK19" s="289"/>
      <c r="TQL19" s="289"/>
      <c r="TQM19" s="289"/>
      <c r="TQN19" s="289"/>
      <c r="TQO19" s="289"/>
      <c r="TQP19" s="289"/>
      <c r="TQQ19" s="289"/>
      <c r="TQR19" s="289"/>
      <c r="TQS19" s="289"/>
      <c r="TQT19" s="289"/>
      <c r="TQU19" s="289"/>
      <c r="TQV19" s="289"/>
      <c r="TQW19" s="289"/>
      <c r="TQX19" s="289"/>
      <c r="TQY19" s="289"/>
      <c r="TQZ19" s="289"/>
      <c r="TRA19" s="289"/>
      <c r="TRB19" s="289"/>
      <c r="TRC19" s="289"/>
      <c r="TRD19" s="289"/>
      <c r="TRE19" s="289"/>
      <c r="TRF19" s="289"/>
      <c r="TRG19" s="289"/>
      <c r="TRH19" s="289"/>
      <c r="TRI19" s="289"/>
      <c r="TRJ19" s="289"/>
      <c r="TRK19" s="289"/>
      <c r="TRL19" s="289"/>
      <c r="TRM19" s="289"/>
      <c r="TRN19" s="289"/>
      <c r="TRO19" s="289"/>
      <c r="TRP19" s="289"/>
      <c r="TRQ19" s="289"/>
      <c r="TRR19" s="289"/>
      <c r="TRS19" s="289"/>
      <c r="TRT19" s="289"/>
      <c r="TRU19" s="289"/>
      <c r="TRV19" s="289"/>
      <c r="TRW19" s="289"/>
      <c r="TRX19" s="289"/>
      <c r="TRY19" s="289"/>
      <c r="TRZ19" s="289"/>
      <c r="TSA19" s="289"/>
      <c r="TSB19" s="289"/>
      <c r="TSC19" s="289"/>
      <c r="TSD19" s="289"/>
      <c r="TSE19" s="289"/>
      <c r="TSF19" s="289"/>
      <c r="TSG19" s="289"/>
      <c r="TSH19" s="289"/>
      <c r="TSI19" s="289"/>
      <c r="TSJ19" s="289"/>
      <c r="TSK19" s="289"/>
      <c r="TSL19" s="289"/>
      <c r="TSM19" s="289"/>
      <c r="TSN19" s="289"/>
      <c r="TSO19" s="289"/>
      <c r="TSP19" s="289"/>
      <c r="TSQ19" s="289"/>
      <c r="TSR19" s="289"/>
      <c r="TSS19" s="289"/>
      <c r="TST19" s="289"/>
      <c r="TSU19" s="289"/>
      <c r="TSV19" s="289"/>
      <c r="TSW19" s="289"/>
      <c r="TSX19" s="289"/>
      <c r="TSY19" s="289"/>
      <c r="TSZ19" s="289"/>
      <c r="TTA19" s="289"/>
      <c r="TTB19" s="289"/>
      <c r="TTC19" s="289"/>
      <c r="TTD19" s="289"/>
      <c r="TTE19" s="289"/>
      <c r="TTF19" s="289"/>
      <c r="TTG19" s="289"/>
      <c r="TTH19" s="289"/>
      <c r="TTI19" s="289"/>
      <c r="TTJ19" s="289"/>
      <c r="TTK19" s="289"/>
      <c r="TTL19" s="289"/>
      <c r="TTM19" s="289"/>
      <c r="TTN19" s="289"/>
      <c r="TTO19" s="289"/>
      <c r="TTP19" s="289"/>
      <c r="TTQ19" s="289"/>
      <c r="TTR19" s="289"/>
      <c r="TTS19" s="289"/>
      <c r="TTT19" s="289"/>
      <c r="TTU19" s="289"/>
      <c r="TTV19" s="289"/>
      <c r="TTW19" s="289"/>
      <c r="TTX19" s="289"/>
      <c r="TTY19" s="289"/>
      <c r="TTZ19" s="289"/>
      <c r="TUA19" s="289"/>
      <c r="TUB19" s="289"/>
      <c r="TUC19" s="289"/>
      <c r="TUD19" s="289"/>
      <c r="TUE19" s="289"/>
      <c r="TUF19" s="289"/>
      <c r="TUG19" s="289"/>
      <c r="TUH19" s="289"/>
      <c r="TUI19" s="289"/>
      <c r="TUJ19" s="289"/>
      <c r="TUK19" s="289"/>
      <c r="TUL19" s="289"/>
      <c r="TUM19" s="289"/>
      <c r="TUN19" s="289"/>
      <c r="TUO19" s="289"/>
      <c r="TUP19" s="289"/>
      <c r="TUQ19" s="289"/>
      <c r="TUR19" s="289"/>
      <c r="TUS19" s="289"/>
      <c r="TUT19" s="289"/>
      <c r="TUU19" s="289"/>
      <c r="TUV19" s="289"/>
      <c r="TUW19" s="289"/>
      <c r="TUX19" s="289"/>
      <c r="TUY19" s="289"/>
      <c r="TUZ19" s="289"/>
      <c r="TVA19" s="289"/>
      <c r="TVB19" s="289"/>
      <c r="TVC19" s="289"/>
      <c r="TVD19" s="289"/>
      <c r="TVE19" s="289"/>
      <c r="TVF19" s="289"/>
      <c r="TVG19" s="289"/>
      <c r="TVH19" s="289"/>
      <c r="TVI19" s="289"/>
      <c r="TVJ19" s="289"/>
      <c r="TVK19" s="289"/>
      <c r="TVL19" s="289"/>
      <c r="TVM19" s="289"/>
      <c r="TVN19" s="289"/>
      <c r="TVO19" s="289"/>
      <c r="TVP19" s="289"/>
      <c r="TVQ19" s="289"/>
      <c r="TVR19" s="289"/>
      <c r="TVS19" s="289"/>
      <c r="TVT19" s="289"/>
      <c r="TVU19" s="289"/>
      <c r="TVV19" s="289"/>
      <c r="TVW19" s="289"/>
      <c r="TVX19" s="289"/>
      <c r="TVY19" s="289"/>
      <c r="TVZ19" s="289"/>
      <c r="TWA19" s="289"/>
      <c r="TWB19" s="289"/>
      <c r="TWC19" s="289"/>
      <c r="TWD19" s="289"/>
      <c r="TWE19" s="289"/>
      <c r="TWF19" s="289"/>
      <c r="TWG19" s="289"/>
      <c r="TWH19" s="289"/>
      <c r="TWI19" s="289"/>
      <c r="TWJ19" s="289"/>
      <c r="TWK19" s="289"/>
      <c r="TWL19" s="289"/>
      <c r="TWM19" s="289"/>
      <c r="TWN19" s="289"/>
      <c r="TWO19" s="289"/>
      <c r="TWP19" s="289"/>
      <c r="TWQ19" s="289"/>
      <c r="TWR19" s="289"/>
      <c r="TWS19" s="289"/>
      <c r="TWT19" s="289"/>
      <c r="TWU19" s="289"/>
      <c r="TWV19" s="289"/>
      <c r="TWW19" s="289"/>
      <c r="TWX19" s="289"/>
      <c r="TWY19" s="289"/>
      <c r="TWZ19" s="289"/>
      <c r="TXA19" s="289"/>
      <c r="TXB19" s="289"/>
      <c r="TXC19" s="289"/>
      <c r="TXD19" s="289"/>
      <c r="TXE19" s="289"/>
      <c r="TXF19" s="289"/>
      <c r="TXG19" s="289"/>
      <c r="TXH19" s="289"/>
      <c r="TXI19" s="289"/>
      <c r="TXJ19" s="289"/>
      <c r="TXK19" s="289"/>
      <c r="TXL19" s="289"/>
      <c r="TXM19" s="289"/>
      <c r="TXN19" s="289"/>
      <c r="TXO19" s="289"/>
      <c r="TXP19" s="289"/>
      <c r="TXQ19" s="289"/>
      <c r="TXR19" s="289"/>
      <c r="TXS19" s="289"/>
      <c r="TXT19" s="289"/>
      <c r="TXU19" s="289"/>
      <c r="TXV19" s="289"/>
      <c r="TXW19" s="289"/>
      <c r="TXX19" s="289"/>
      <c r="TXY19" s="289"/>
      <c r="TXZ19" s="289"/>
      <c r="TYA19" s="289"/>
      <c r="TYB19" s="289"/>
      <c r="TYC19" s="289"/>
      <c r="TYD19" s="289"/>
      <c r="TYE19" s="289"/>
      <c r="TYF19" s="289"/>
      <c r="TYG19" s="289"/>
      <c r="TYH19" s="289"/>
      <c r="TYI19" s="289"/>
      <c r="TYJ19" s="289"/>
      <c r="TYK19" s="289"/>
      <c r="TYL19" s="289"/>
      <c r="TYM19" s="289"/>
      <c r="TYN19" s="289"/>
      <c r="TYO19" s="289"/>
      <c r="TYP19" s="289"/>
      <c r="TYQ19" s="289"/>
      <c r="TYR19" s="289"/>
      <c r="TYS19" s="289"/>
      <c r="TYT19" s="289"/>
      <c r="TYU19" s="289"/>
      <c r="TYV19" s="289"/>
      <c r="TYW19" s="289"/>
      <c r="TYX19" s="289"/>
      <c r="TYY19" s="289"/>
      <c r="TYZ19" s="289"/>
      <c r="TZA19" s="289"/>
      <c r="TZB19" s="289"/>
      <c r="TZC19" s="289"/>
      <c r="TZD19" s="289"/>
      <c r="TZE19" s="289"/>
      <c r="TZF19" s="289"/>
      <c r="TZG19" s="289"/>
      <c r="TZH19" s="289"/>
      <c r="TZI19" s="289"/>
      <c r="TZJ19" s="289"/>
      <c r="TZK19" s="289"/>
      <c r="TZL19" s="289"/>
      <c r="TZM19" s="289"/>
      <c r="TZN19" s="289"/>
      <c r="TZO19" s="289"/>
      <c r="TZP19" s="289"/>
      <c r="TZQ19" s="289"/>
      <c r="TZR19" s="289"/>
      <c r="TZS19" s="289"/>
      <c r="TZT19" s="289"/>
      <c r="TZU19" s="289"/>
      <c r="TZV19" s="289"/>
      <c r="TZW19" s="289"/>
      <c r="TZX19" s="289"/>
      <c r="TZY19" s="289"/>
      <c r="TZZ19" s="289"/>
      <c r="UAA19" s="289"/>
      <c r="UAB19" s="289"/>
      <c r="UAC19" s="289"/>
      <c r="UAD19" s="289"/>
      <c r="UAE19" s="289"/>
      <c r="UAF19" s="289"/>
      <c r="UAG19" s="289"/>
      <c r="UAH19" s="289"/>
      <c r="UAI19" s="289"/>
      <c r="UAJ19" s="289"/>
      <c r="UAK19" s="289"/>
      <c r="UAL19" s="289"/>
      <c r="UAM19" s="289"/>
      <c r="UAN19" s="289"/>
      <c r="UAO19" s="289"/>
      <c r="UAP19" s="289"/>
      <c r="UAQ19" s="289"/>
      <c r="UAR19" s="289"/>
      <c r="UAS19" s="289"/>
      <c r="UAT19" s="289"/>
      <c r="UAU19" s="289"/>
      <c r="UAV19" s="289"/>
      <c r="UAW19" s="289"/>
      <c r="UAX19" s="289"/>
      <c r="UAY19" s="289"/>
      <c r="UAZ19" s="289"/>
      <c r="UBA19" s="289"/>
      <c r="UBB19" s="289"/>
      <c r="UBC19" s="289"/>
      <c r="UBD19" s="289"/>
      <c r="UBE19" s="289"/>
      <c r="UBF19" s="289"/>
      <c r="UBG19" s="289"/>
      <c r="UBH19" s="289"/>
      <c r="UBI19" s="289"/>
      <c r="UBJ19" s="289"/>
      <c r="UBK19" s="289"/>
      <c r="UBL19" s="289"/>
      <c r="UBM19" s="289"/>
      <c r="UBN19" s="289"/>
      <c r="UBO19" s="289"/>
      <c r="UBP19" s="289"/>
      <c r="UBQ19" s="289"/>
      <c r="UBR19" s="289"/>
      <c r="UBS19" s="289"/>
      <c r="UBT19" s="289"/>
      <c r="UBU19" s="289"/>
      <c r="UBV19" s="289"/>
      <c r="UBW19" s="289"/>
      <c r="UBX19" s="289"/>
      <c r="UBY19" s="289"/>
      <c r="UBZ19" s="289"/>
      <c r="UCA19" s="289"/>
      <c r="UCB19" s="289"/>
      <c r="UCC19" s="289"/>
      <c r="UCD19" s="289"/>
      <c r="UCE19" s="289"/>
      <c r="UCF19" s="289"/>
      <c r="UCG19" s="289"/>
      <c r="UCH19" s="289"/>
      <c r="UCI19" s="289"/>
      <c r="UCJ19" s="289"/>
      <c r="UCK19" s="289"/>
      <c r="UCL19" s="289"/>
      <c r="UCM19" s="289"/>
      <c r="UCN19" s="289"/>
      <c r="UCO19" s="289"/>
      <c r="UCP19" s="289"/>
      <c r="UCQ19" s="289"/>
      <c r="UCR19" s="289"/>
      <c r="UCS19" s="289"/>
      <c r="UCT19" s="289"/>
      <c r="UCU19" s="289"/>
      <c r="UCV19" s="289"/>
      <c r="UCW19" s="289"/>
      <c r="UCX19" s="289"/>
      <c r="UCY19" s="289"/>
      <c r="UCZ19" s="289"/>
      <c r="UDA19" s="289"/>
      <c r="UDB19" s="289"/>
      <c r="UDC19" s="289"/>
      <c r="UDD19" s="289"/>
      <c r="UDE19" s="289"/>
      <c r="UDF19" s="289"/>
      <c r="UDG19" s="289"/>
      <c r="UDH19" s="289"/>
      <c r="UDI19" s="289"/>
      <c r="UDJ19" s="289"/>
      <c r="UDK19" s="289"/>
      <c r="UDL19" s="289"/>
      <c r="UDM19" s="289"/>
      <c r="UDN19" s="289"/>
      <c r="UDO19" s="289"/>
      <c r="UDP19" s="289"/>
      <c r="UDQ19" s="289"/>
      <c r="UDR19" s="289"/>
      <c r="UDS19" s="289"/>
      <c r="UDT19" s="289"/>
      <c r="UDU19" s="289"/>
      <c r="UDV19" s="289"/>
      <c r="UDW19" s="289"/>
      <c r="UDX19" s="289"/>
      <c r="UDY19" s="289"/>
      <c r="UDZ19" s="289"/>
      <c r="UEA19" s="289"/>
      <c r="UEB19" s="289"/>
      <c r="UEC19" s="289"/>
      <c r="UED19" s="289"/>
      <c r="UEE19" s="289"/>
      <c r="UEF19" s="289"/>
      <c r="UEG19" s="289"/>
      <c r="UEH19" s="289"/>
      <c r="UEI19" s="289"/>
      <c r="UEJ19" s="289"/>
      <c r="UEK19" s="289"/>
      <c r="UEL19" s="289"/>
      <c r="UEM19" s="289"/>
      <c r="UEN19" s="289"/>
      <c r="UEO19" s="289"/>
      <c r="UEP19" s="289"/>
      <c r="UEQ19" s="289"/>
      <c r="UER19" s="289"/>
      <c r="UES19" s="289"/>
      <c r="UET19" s="289"/>
      <c r="UEU19" s="289"/>
      <c r="UEV19" s="289"/>
      <c r="UEW19" s="289"/>
      <c r="UEX19" s="289"/>
      <c r="UEY19" s="289"/>
      <c r="UEZ19" s="289"/>
      <c r="UFA19" s="289"/>
      <c r="UFB19" s="289"/>
      <c r="UFC19" s="289"/>
      <c r="UFD19" s="289"/>
      <c r="UFE19" s="289"/>
      <c r="UFF19" s="289"/>
      <c r="UFG19" s="289"/>
      <c r="UFH19" s="289"/>
      <c r="UFI19" s="289"/>
      <c r="UFJ19" s="289"/>
      <c r="UFK19" s="289"/>
      <c r="UFL19" s="289"/>
      <c r="UFM19" s="289"/>
      <c r="UFN19" s="289"/>
      <c r="UFO19" s="289"/>
      <c r="UFP19" s="289"/>
      <c r="UFQ19" s="289"/>
      <c r="UFR19" s="289"/>
      <c r="UFS19" s="289"/>
      <c r="UFT19" s="289"/>
      <c r="UFU19" s="289"/>
      <c r="UFV19" s="289"/>
      <c r="UFW19" s="289"/>
      <c r="UFX19" s="289"/>
      <c r="UFY19" s="289"/>
      <c r="UFZ19" s="289"/>
      <c r="UGA19" s="289"/>
      <c r="UGB19" s="289"/>
      <c r="UGC19" s="289"/>
      <c r="UGD19" s="289"/>
      <c r="UGE19" s="289"/>
      <c r="UGF19" s="289"/>
      <c r="UGG19" s="289"/>
      <c r="UGH19" s="289"/>
      <c r="UGI19" s="289"/>
      <c r="UGJ19" s="289"/>
      <c r="UGK19" s="289"/>
      <c r="UGL19" s="289"/>
      <c r="UGM19" s="289"/>
      <c r="UGN19" s="289"/>
      <c r="UGO19" s="289"/>
      <c r="UGP19" s="289"/>
      <c r="UGQ19" s="289"/>
      <c r="UGR19" s="289"/>
      <c r="UGS19" s="289"/>
      <c r="UGT19" s="289"/>
      <c r="UGU19" s="289"/>
      <c r="UGV19" s="289"/>
      <c r="UGW19" s="289"/>
      <c r="UGX19" s="289"/>
      <c r="UGY19" s="289"/>
      <c r="UGZ19" s="289"/>
      <c r="UHA19" s="289"/>
      <c r="UHB19" s="289"/>
      <c r="UHC19" s="289"/>
      <c r="UHD19" s="289"/>
      <c r="UHE19" s="289"/>
      <c r="UHF19" s="289"/>
      <c r="UHG19" s="289"/>
      <c r="UHH19" s="289"/>
      <c r="UHI19" s="289"/>
      <c r="UHJ19" s="289"/>
      <c r="UHK19" s="289"/>
      <c r="UHL19" s="289"/>
      <c r="UHM19" s="289"/>
      <c r="UHN19" s="289"/>
      <c r="UHO19" s="289"/>
      <c r="UHP19" s="289"/>
      <c r="UHQ19" s="289"/>
      <c r="UHR19" s="289"/>
      <c r="UHS19" s="289"/>
      <c r="UHT19" s="289"/>
      <c r="UHU19" s="289"/>
      <c r="UHV19" s="289"/>
      <c r="UHW19" s="289"/>
      <c r="UHX19" s="289"/>
      <c r="UHY19" s="289"/>
      <c r="UHZ19" s="289"/>
      <c r="UIA19" s="289"/>
      <c r="UIB19" s="289"/>
      <c r="UIC19" s="289"/>
      <c r="UID19" s="289"/>
      <c r="UIE19" s="289"/>
      <c r="UIF19" s="289"/>
      <c r="UIG19" s="289"/>
      <c r="UIH19" s="289"/>
      <c r="UII19" s="289"/>
      <c r="UIJ19" s="289"/>
      <c r="UIK19" s="289"/>
      <c r="UIL19" s="289"/>
      <c r="UIM19" s="289"/>
      <c r="UIN19" s="289"/>
      <c r="UIO19" s="289"/>
      <c r="UIP19" s="289"/>
      <c r="UIQ19" s="289"/>
      <c r="UIR19" s="289"/>
      <c r="UIS19" s="289"/>
      <c r="UIT19" s="289"/>
      <c r="UIU19" s="289"/>
      <c r="UIV19" s="289"/>
      <c r="UIW19" s="289"/>
      <c r="UIX19" s="289"/>
      <c r="UIY19" s="289"/>
      <c r="UIZ19" s="289"/>
      <c r="UJA19" s="289"/>
      <c r="UJB19" s="289"/>
      <c r="UJC19" s="289"/>
      <c r="UJD19" s="289"/>
      <c r="UJE19" s="289"/>
      <c r="UJF19" s="289"/>
      <c r="UJG19" s="289"/>
      <c r="UJH19" s="289"/>
      <c r="UJI19" s="289"/>
      <c r="UJJ19" s="289"/>
      <c r="UJK19" s="289"/>
      <c r="UJL19" s="289"/>
      <c r="UJM19" s="289"/>
      <c r="UJN19" s="289"/>
      <c r="UJO19" s="289"/>
      <c r="UJP19" s="289"/>
      <c r="UJQ19" s="289"/>
      <c r="UJR19" s="289"/>
      <c r="UJS19" s="289"/>
      <c r="UJT19" s="289"/>
      <c r="UJU19" s="289"/>
      <c r="UJV19" s="289"/>
      <c r="UJW19" s="289"/>
      <c r="UJX19" s="289"/>
      <c r="UJY19" s="289"/>
      <c r="UJZ19" s="289"/>
      <c r="UKA19" s="289"/>
      <c r="UKB19" s="289"/>
      <c r="UKC19" s="289"/>
      <c r="UKD19" s="289"/>
      <c r="UKE19" s="289"/>
      <c r="UKF19" s="289"/>
      <c r="UKG19" s="289"/>
      <c r="UKH19" s="289"/>
      <c r="UKI19" s="289"/>
      <c r="UKJ19" s="289"/>
      <c r="UKK19" s="289"/>
      <c r="UKL19" s="289"/>
      <c r="UKM19" s="289"/>
      <c r="UKN19" s="289"/>
      <c r="UKO19" s="289"/>
      <c r="UKP19" s="289"/>
      <c r="UKQ19" s="289"/>
      <c r="UKR19" s="289"/>
      <c r="UKS19" s="289"/>
      <c r="UKT19" s="289"/>
      <c r="UKU19" s="289"/>
      <c r="UKV19" s="289"/>
      <c r="UKW19" s="289"/>
      <c r="UKX19" s="289"/>
      <c r="UKY19" s="289"/>
      <c r="UKZ19" s="289"/>
      <c r="ULA19" s="289"/>
      <c r="ULB19" s="289"/>
      <c r="ULC19" s="289"/>
      <c r="ULD19" s="289"/>
      <c r="ULE19" s="289"/>
      <c r="ULF19" s="289"/>
      <c r="ULG19" s="289"/>
      <c r="ULH19" s="289"/>
      <c r="ULI19" s="289"/>
      <c r="ULJ19" s="289"/>
      <c r="ULK19" s="289"/>
      <c r="ULL19" s="289"/>
      <c r="ULM19" s="289"/>
      <c r="ULN19" s="289"/>
      <c r="ULO19" s="289"/>
      <c r="ULP19" s="289"/>
      <c r="ULQ19" s="289"/>
      <c r="ULR19" s="289"/>
      <c r="ULS19" s="289"/>
      <c r="ULT19" s="289"/>
      <c r="ULU19" s="289"/>
      <c r="ULV19" s="289"/>
      <c r="ULW19" s="289"/>
      <c r="ULX19" s="289"/>
      <c r="ULY19" s="289"/>
      <c r="ULZ19" s="289"/>
      <c r="UMA19" s="289"/>
      <c r="UMB19" s="289"/>
      <c r="UMC19" s="289"/>
      <c r="UMD19" s="289"/>
      <c r="UME19" s="289"/>
      <c r="UMF19" s="289"/>
      <c r="UMG19" s="289"/>
      <c r="UMH19" s="289"/>
      <c r="UMI19" s="289"/>
      <c r="UMJ19" s="289"/>
      <c r="UMK19" s="289"/>
      <c r="UML19" s="289"/>
      <c r="UMM19" s="289"/>
      <c r="UMN19" s="289"/>
      <c r="UMO19" s="289"/>
      <c r="UMP19" s="289"/>
      <c r="UMQ19" s="289"/>
      <c r="UMR19" s="289"/>
      <c r="UMS19" s="289"/>
      <c r="UMT19" s="289"/>
      <c r="UMU19" s="289"/>
      <c r="UMV19" s="289"/>
      <c r="UMW19" s="289"/>
      <c r="UMX19" s="289"/>
      <c r="UMY19" s="289"/>
      <c r="UMZ19" s="289"/>
      <c r="UNA19" s="289"/>
      <c r="UNB19" s="289"/>
      <c r="UNC19" s="289"/>
      <c r="UND19" s="289"/>
      <c r="UNE19" s="289"/>
      <c r="UNF19" s="289"/>
      <c r="UNG19" s="289"/>
      <c r="UNH19" s="289"/>
      <c r="UNI19" s="289"/>
      <c r="UNJ19" s="289"/>
      <c r="UNK19" s="289"/>
      <c r="UNL19" s="289"/>
      <c r="UNM19" s="289"/>
      <c r="UNN19" s="289"/>
      <c r="UNO19" s="289"/>
      <c r="UNP19" s="289"/>
      <c r="UNQ19" s="289"/>
      <c r="UNR19" s="289"/>
      <c r="UNS19" s="289"/>
      <c r="UNT19" s="289"/>
      <c r="UNU19" s="289"/>
      <c r="UNV19" s="289"/>
      <c r="UNW19" s="289"/>
      <c r="UNX19" s="289"/>
      <c r="UNY19" s="289"/>
      <c r="UNZ19" s="289"/>
      <c r="UOA19" s="289"/>
      <c r="UOB19" s="289"/>
      <c r="UOC19" s="289"/>
      <c r="UOD19" s="289"/>
      <c r="UOE19" s="289"/>
      <c r="UOF19" s="289"/>
      <c r="UOG19" s="289"/>
      <c r="UOH19" s="289"/>
      <c r="UOI19" s="289"/>
      <c r="UOJ19" s="289"/>
      <c r="UOK19" s="289"/>
      <c r="UOL19" s="289"/>
      <c r="UOM19" s="289"/>
      <c r="UON19" s="289"/>
      <c r="UOO19" s="289"/>
      <c r="UOP19" s="289"/>
      <c r="UOQ19" s="289"/>
      <c r="UOR19" s="289"/>
      <c r="UOS19" s="289"/>
      <c r="UOT19" s="289"/>
      <c r="UOU19" s="289"/>
      <c r="UOV19" s="289"/>
      <c r="UOW19" s="289"/>
      <c r="UOX19" s="289"/>
      <c r="UOY19" s="289"/>
      <c r="UOZ19" s="289"/>
      <c r="UPA19" s="289"/>
      <c r="UPB19" s="289"/>
      <c r="UPC19" s="289"/>
      <c r="UPD19" s="289"/>
      <c r="UPE19" s="289"/>
      <c r="UPF19" s="289"/>
      <c r="UPG19" s="289"/>
      <c r="UPH19" s="289"/>
      <c r="UPI19" s="289"/>
      <c r="UPJ19" s="289"/>
      <c r="UPK19" s="289"/>
      <c r="UPL19" s="289"/>
      <c r="UPM19" s="289"/>
      <c r="UPN19" s="289"/>
      <c r="UPO19" s="289"/>
      <c r="UPP19" s="289"/>
      <c r="UPQ19" s="289"/>
      <c r="UPR19" s="289"/>
      <c r="UPS19" s="289"/>
      <c r="UPT19" s="289"/>
      <c r="UPU19" s="289"/>
      <c r="UPV19" s="289"/>
      <c r="UPW19" s="289"/>
      <c r="UPX19" s="289"/>
      <c r="UPY19" s="289"/>
      <c r="UPZ19" s="289"/>
      <c r="UQA19" s="289"/>
      <c r="UQB19" s="289"/>
      <c r="UQC19" s="289"/>
      <c r="UQD19" s="289"/>
      <c r="UQE19" s="289"/>
      <c r="UQF19" s="289"/>
      <c r="UQG19" s="289"/>
      <c r="UQH19" s="289"/>
      <c r="UQI19" s="289"/>
      <c r="UQJ19" s="289"/>
      <c r="UQK19" s="289"/>
      <c r="UQL19" s="289"/>
      <c r="UQM19" s="289"/>
      <c r="UQN19" s="289"/>
      <c r="UQO19" s="289"/>
      <c r="UQP19" s="289"/>
      <c r="UQQ19" s="289"/>
      <c r="UQR19" s="289"/>
      <c r="UQS19" s="289"/>
      <c r="UQT19" s="289"/>
      <c r="UQU19" s="289"/>
      <c r="UQV19" s="289"/>
      <c r="UQW19" s="289"/>
      <c r="UQX19" s="289"/>
      <c r="UQY19" s="289"/>
      <c r="UQZ19" s="289"/>
      <c r="URA19" s="289"/>
      <c r="URB19" s="289"/>
      <c r="URC19" s="289"/>
      <c r="URD19" s="289"/>
      <c r="URE19" s="289"/>
      <c r="URF19" s="289"/>
      <c r="URG19" s="289"/>
      <c r="URH19" s="289"/>
      <c r="URI19" s="289"/>
      <c r="URJ19" s="289"/>
      <c r="URK19" s="289"/>
      <c r="URL19" s="289"/>
      <c r="URM19" s="289"/>
      <c r="URN19" s="289"/>
      <c r="URO19" s="289"/>
      <c r="URP19" s="289"/>
      <c r="URQ19" s="289"/>
      <c r="URR19" s="289"/>
      <c r="URS19" s="289"/>
      <c r="URT19" s="289"/>
      <c r="URU19" s="289"/>
      <c r="URV19" s="289"/>
      <c r="URW19" s="289"/>
      <c r="URX19" s="289"/>
      <c r="URY19" s="289"/>
      <c r="URZ19" s="289"/>
      <c r="USA19" s="289"/>
      <c r="USB19" s="289"/>
      <c r="USC19" s="289"/>
      <c r="USD19" s="289"/>
      <c r="USE19" s="289"/>
      <c r="USF19" s="289"/>
      <c r="USG19" s="289"/>
      <c r="USH19" s="289"/>
      <c r="USI19" s="289"/>
      <c r="USJ19" s="289"/>
      <c r="USK19" s="289"/>
      <c r="USL19" s="289"/>
      <c r="USM19" s="289"/>
      <c r="USN19" s="289"/>
      <c r="USO19" s="289"/>
      <c r="USP19" s="289"/>
      <c r="USQ19" s="289"/>
      <c r="USR19" s="289"/>
      <c r="USS19" s="289"/>
      <c r="UST19" s="289"/>
      <c r="USU19" s="289"/>
      <c r="USV19" s="289"/>
      <c r="USW19" s="289"/>
      <c r="USX19" s="289"/>
      <c r="USY19" s="289"/>
      <c r="USZ19" s="289"/>
      <c r="UTA19" s="289"/>
      <c r="UTB19" s="289"/>
      <c r="UTC19" s="289"/>
      <c r="UTD19" s="289"/>
      <c r="UTE19" s="289"/>
      <c r="UTF19" s="289"/>
      <c r="UTG19" s="289"/>
      <c r="UTH19" s="289"/>
      <c r="UTI19" s="289"/>
      <c r="UTJ19" s="289"/>
      <c r="UTK19" s="289"/>
      <c r="UTL19" s="289"/>
      <c r="UTM19" s="289"/>
      <c r="UTN19" s="289"/>
      <c r="UTO19" s="289"/>
      <c r="UTP19" s="289"/>
      <c r="UTQ19" s="289"/>
      <c r="UTR19" s="289"/>
      <c r="UTS19" s="289"/>
      <c r="UTT19" s="289"/>
      <c r="UTU19" s="289"/>
      <c r="UTV19" s="289"/>
      <c r="UTW19" s="289"/>
      <c r="UTX19" s="289"/>
      <c r="UTY19" s="289"/>
      <c r="UTZ19" s="289"/>
      <c r="UUA19" s="289"/>
      <c r="UUB19" s="289"/>
      <c r="UUC19" s="289"/>
      <c r="UUD19" s="289"/>
      <c r="UUE19" s="289"/>
      <c r="UUF19" s="289"/>
      <c r="UUG19" s="289"/>
      <c r="UUH19" s="289"/>
      <c r="UUI19" s="289"/>
      <c r="UUJ19" s="289"/>
      <c r="UUK19" s="289"/>
      <c r="UUL19" s="289"/>
      <c r="UUM19" s="289"/>
      <c r="UUN19" s="289"/>
      <c r="UUO19" s="289"/>
      <c r="UUP19" s="289"/>
      <c r="UUQ19" s="289"/>
      <c r="UUR19" s="289"/>
      <c r="UUS19" s="289"/>
      <c r="UUT19" s="289"/>
      <c r="UUU19" s="289"/>
      <c r="UUV19" s="289"/>
      <c r="UUW19" s="289"/>
      <c r="UUX19" s="289"/>
      <c r="UUY19" s="289"/>
      <c r="UUZ19" s="289"/>
      <c r="UVA19" s="289"/>
      <c r="UVB19" s="289"/>
      <c r="UVC19" s="289"/>
      <c r="UVD19" s="289"/>
      <c r="UVE19" s="289"/>
      <c r="UVF19" s="289"/>
      <c r="UVG19" s="289"/>
      <c r="UVH19" s="289"/>
      <c r="UVI19" s="289"/>
      <c r="UVJ19" s="289"/>
      <c r="UVK19" s="289"/>
      <c r="UVL19" s="289"/>
      <c r="UVM19" s="289"/>
      <c r="UVN19" s="289"/>
      <c r="UVO19" s="289"/>
      <c r="UVP19" s="289"/>
      <c r="UVQ19" s="289"/>
      <c r="UVR19" s="289"/>
      <c r="UVS19" s="289"/>
      <c r="UVT19" s="289"/>
      <c r="UVU19" s="289"/>
      <c r="UVV19" s="289"/>
      <c r="UVW19" s="289"/>
      <c r="UVX19" s="289"/>
      <c r="UVY19" s="289"/>
      <c r="UVZ19" s="289"/>
      <c r="UWA19" s="289"/>
      <c r="UWB19" s="289"/>
      <c r="UWC19" s="289"/>
      <c r="UWD19" s="289"/>
      <c r="UWE19" s="289"/>
      <c r="UWF19" s="289"/>
      <c r="UWG19" s="289"/>
      <c r="UWH19" s="289"/>
      <c r="UWI19" s="289"/>
      <c r="UWJ19" s="289"/>
      <c r="UWK19" s="289"/>
      <c r="UWL19" s="289"/>
      <c r="UWM19" s="289"/>
      <c r="UWN19" s="289"/>
      <c r="UWO19" s="289"/>
      <c r="UWP19" s="289"/>
      <c r="UWQ19" s="289"/>
      <c r="UWR19" s="289"/>
      <c r="UWS19" s="289"/>
      <c r="UWT19" s="289"/>
      <c r="UWU19" s="289"/>
      <c r="UWV19" s="289"/>
      <c r="UWW19" s="289"/>
      <c r="UWX19" s="289"/>
      <c r="UWY19" s="289"/>
      <c r="UWZ19" s="289"/>
      <c r="UXA19" s="289"/>
      <c r="UXB19" s="289"/>
      <c r="UXC19" s="289"/>
      <c r="UXD19" s="289"/>
      <c r="UXE19" s="289"/>
      <c r="UXF19" s="289"/>
      <c r="UXG19" s="289"/>
      <c r="UXH19" s="289"/>
      <c r="UXI19" s="289"/>
      <c r="UXJ19" s="289"/>
      <c r="UXK19" s="289"/>
      <c r="UXL19" s="289"/>
      <c r="UXM19" s="289"/>
      <c r="UXN19" s="289"/>
      <c r="UXO19" s="289"/>
      <c r="UXP19" s="289"/>
      <c r="UXQ19" s="289"/>
      <c r="UXR19" s="289"/>
      <c r="UXS19" s="289"/>
      <c r="UXT19" s="289"/>
      <c r="UXU19" s="289"/>
      <c r="UXV19" s="289"/>
      <c r="UXW19" s="289"/>
      <c r="UXX19" s="289"/>
      <c r="UXY19" s="289"/>
      <c r="UXZ19" s="289"/>
      <c r="UYA19" s="289"/>
      <c r="UYB19" s="289"/>
      <c r="UYC19" s="289"/>
      <c r="UYD19" s="289"/>
      <c r="UYE19" s="289"/>
      <c r="UYF19" s="289"/>
      <c r="UYG19" s="289"/>
      <c r="UYH19" s="289"/>
      <c r="UYI19" s="289"/>
      <c r="UYJ19" s="289"/>
      <c r="UYK19" s="289"/>
      <c r="UYL19" s="289"/>
      <c r="UYM19" s="289"/>
      <c r="UYN19" s="289"/>
      <c r="UYO19" s="289"/>
      <c r="UYP19" s="289"/>
      <c r="UYQ19" s="289"/>
      <c r="UYR19" s="289"/>
      <c r="UYS19" s="289"/>
      <c r="UYT19" s="289"/>
      <c r="UYU19" s="289"/>
      <c r="UYV19" s="289"/>
      <c r="UYW19" s="289"/>
      <c r="UYX19" s="289"/>
      <c r="UYY19" s="289"/>
      <c r="UYZ19" s="289"/>
      <c r="UZA19" s="289"/>
      <c r="UZB19" s="289"/>
      <c r="UZC19" s="289"/>
      <c r="UZD19" s="289"/>
      <c r="UZE19" s="289"/>
      <c r="UZF19" s="289"/>
      <c r="UZG19" s="289"/>
      <c r="UZH19" s="289"/>
      <c r="UZI19" s="289"/>
      <c r="UZJ19" s="289"/>
      <c r="UZK19" s="289"/>
      <c r="UZL19" s="289"/>
      <c r="UZM19" s="289"/>
      <c r="UZN19" s="289"/>
      <c r="UZO19" s="289"/>
      <c r="UZP19" s="289"/>
      <c r="UZQ19" s="289"/>
      <c r="UZR19" s="289"/>
      <c r="UZS19" s="289"/>
      <c r="UZT19" s="289"/>
      <c r="UZU19" s="289"/>
      <c r="UZV19" s="289"/>
      <c r="UZW19" s="289"/>
      <c r="UZX19" s="289"/>
      <c r="UZY19" s="289"/>
      <c r="UZZ19" s="289"/>
      <c r="VAA19" s="289"/>
      <c r="VAB19" s="289"/>
      <c r="VAC19" s="289"/>
      <c r="VAD19" s="289"/>
      <c r="VAE19" s="289"/>
      <c r="VAF19" s="289"/>
      <c r="VAG19" s="289"/>
      <c r="VAH19" s="289"/>
      <c r="VAI19" s="289"/>
      <c r="VAJ19" s="289"/>
      <c r="VAK19" s="289"/>
      <c r="VAL19" s="289"/>
      <c r="VAM19" s="289"/>
      <c r="VAN19" s="289"/>
      <c r="VAO19" s="289"/>
      <c r="VAP19" s="289"/>
      <c r="VAQ19" s="289"/>
      <c r="VAR19" s="289"/>
      <c r="VAS19" s="289"/>
      <c r="VAT19" s="289"/>
      <c r="VAU19" s="289"/>
      <c r="VAV19" s="289"/>
      <c r="VAW19" s="289"/>
      <c r="VAX19" s="289"/>
      <c r="VAY19" s="289"/>
      <c r="VAZ19" s="289"/>
      <c r="VBA19" s="289"/>
      <c r="VBB19" s="289"/>
      <c r="VBC19" s="289"/>
      <c r="VBD19" s="289"/>
      <c r="VBE19" s="289"/>
      <c r="VBF19" s="289"/>
      <c r="VBG19" s="289"/>
      <c r="VBH19" s="289"/>
      <c r="VBI19" s="289"/>
      <c r="VBJ19" s="289"/>
      <c r="VBK19" s="289"/>
      <c r="VBL19" s="289"/>
      <c r="VBM19" s="289"/>
      <c r="VBN19" s="289"/>
      <c r="VBO19" s="289"/>
      <c r="VBP19" s="289"/>
      <c r="VBQ19" s="289"/>
      <c r="VBR19" s="289"/>
      <c r="VBS19" s="289"/>
      <c r="VBT19" s="289"/>
      <c r="VBU19" s="289"/>
      <c r="VBV19" s="289"/>
      <c r="VBW19" s="289"/>
      <c r="VBX19" s="289"/>
      <c r="VBY19" s="289"/>
      <c r="VBZ19" s="289"/>
      <c r="VCA19" s="289"/>
      <c r="VCB19" s="289"/>
      <c r="VCC19" s="289"/>
      <c r="VCD19" s="289"/>
      <c r="VCE19" s="289"/>
      <c r="VCF19" s="289"/>
      <c r="VCG19" s="289"/>
      <c r="VCH19" s="289"/>
      <c r="VCI19" s="289"/>
      <c r="VCJ19" s="289"/>
      <c r="VCK19" s="289"/>
      <c r="VCL19" s="289"/>
      <c r="VCM19" s="289"/>
      <c r="VCN19" s="289"/>
      <c r="VCO19" s="289"/>
      <c r="VCP19" s="289"/>
      <c r="VCQ19" s="289"/>
      <c r="VCR19" s="289"/>
      <c r="VCS19" s="289"/>
      <c r="VCT19" s="289"/>
      <c r="VCU19" s="289"/>
      <c r="VCV19" s="289"/>
      <c r="VCW19" s="289"/>
      <c r="VCX19" s="289"/>
      <c r="VCY19" s="289"/>
      <c r="VCZ19" s="289"/>
      <c r="VDA19" s="289"/>
      <c r="VDB19" s="289"/>
      <c r="VDC19" s="289"/>
      <c r="VDD19" s="289"/>
      <c r="VDE19" s="289"/>
      <c r="VDF19" s="289"/>
      <c r="VDG19" s="289"/>
      <c r="VDH19" s="289"/>
      <c r="VDI19" s="289"/>
      <c r="VDJ19" s="289"/>
      <c r="VDK19" s="289"/>
      <c r="VDL19" s="289"/>
      <c r="VDM19" s="289"/>
      <c r="VDN19" s="289"/>
      <c r="VDO19" s="289"/>
      <c r="VDP19" s="289"/>
      <c r="VDQ19" s="289"/>
      <c r="VDR19" s="289"/>
      <c r="VDS19" s="289"/>
      <c r="VDT19" s="289"/>
      <c r="VDU19" s="289"/>
      <c r="VDV19" s="289"/>
      <c r="VDW19" s="289"/>
      <c r="VDX19" s="289"/>
      <c r="VDY19" s="289"/>
      <c r="VDZ19" s="289"/>
      <c r="VEA19" s="289"/>
      <c r="VEB19" s="289"/>
      <c r="VEC19" s="289"/>
      <c r="VED19" s="289"/>
      <c r="VEE19" s="289"/>
      <c r="VEF19" s="289"/>
      <c r="VEG19" s="289"/>
      <c r="VEH19" s="289"/>
      <c r="VEI19" s="289"/>
      <c r="VEJ19" s="289"/>
      <c r="VEK19" s="289"/>
      <c r="VEL19" s="289"/>
      <c r="VEM19" s="289"/>
      <c r="VEN19" s="289"/>
      <c r="VEO19" s="289"/>
      <c r="VEP19" s="289"/>
      <c r="VEQ19" s="289"/>
      <c r="VER19" s="289"/>
      <c r="VES19" s="289"/>
      <c r="VET19" s="289"/>
      <c r="VEU19" s="289"/>
      <c r="VEV19" s="289"/>
      <c r="VEW19" s="289"/>
      <c r="VEX19" s="289"/>
      <c r="VEY19" s="289"/>
      <c r="VEZ19" s="289"/>
      <c r="VFA19" s="289"/>
      <c r="VFB19" s="289"/>
      <c r="VFC19" s="289"/>
      <c r="VFD19" s="289"/>
      <c r="VFE19" s="289"/>
      <c r="VFF19" s="289"/>
      <c r="VFG19" s="289"/>
      <c r="VFH19" s="289"/>
      <c r="VFI19" s="289"/>
      <c r="VFJ19" s="289"/>
      <c r="VFK19" s="289"/>
      <c r="VFL19" s="289"/>
      <c r="VFM19" s="289"/>
      <c r="VFN19" s="289"/>
      <c r="VFO19" s="289"/>
      <c r="VFP19" s="289"/>
      <c r="VFQ19" s="289"/>
      <c r="VFR19" s="289"/>
      <c r="VFS19" s="289"/>
      <c r="VFT19" s="289"/>
      <c r="VFU19" s="289"/>
      <c r="VFV19" s="289"/>
      <c r="VFW19" s="289"/>
      <c r="VFX19" s="289"/>
      <c r="VFY19" s="289"/>
      <c r="VFZ19" s="289"/>
      <c r="VGA19" s="289"/>
      <c r="VGB19" s="289"/>
      <c r="VGC19" s="289"/>
      <c r="VGD19" s="289"/>
      <c r="VGE19" s="289"/>
      <c r="VGF19" s="289"/>
      <c r="VGG19" s="289"/>
      <c r="VGH19" s="289"/>
      <c r="VGI19" s="289"/>
      <c r="VGJ19" s="289"/>
      <c r="VGK19" s="289"/>
      <c r="VGL19" s="289"/>
      <c r="VGM19" s="289"/>
      <c r="VGN19" s="289"/>
      <c r="VGO19" s="289"/>
      <c r="VGP19" s="289"/>
      <c r="VGQ19" s="289"/>
      <c r="VGR19" s="289"/>
      <c r="VGS19" s="289"/>
      <c r="VGT19" s="289"/>
      <c r="VGU19" s="289"/>
      <c r="VGV19" s="289"/>
      <c r="VGW19" s="289"/>
      <c r="VGX19" s="289"/>
      <c r="VGY19" s="289"/>
      <c r="VGZ19" s="289"/>
      <c r="VHA19" s="289"/>
      <c r="VHB19" s="289"/>
      <c r="VHC19" s="289"/>
      <c r="VHD19" s="289"/>
      <c r="VHE19" s="289"/>
      <c r="VHF19" s="289"/>
      <c r="VHG19" s="289"/>
      <c r="VHH19" s="289"/>
      <c r="VHI19" s="289"/>
      <c r="VHJ19" s="289"/>
      <c r="VHK19" s="289"/>
      <c r="VHL19" s="289"/>
      <c r="VHM19" s="289"/>
      <c r="VHN19" s="289"/>
      <c r="VHO19" s="289"/>
      <c r="VHP19" s="289"/>
      <c r="VHQ19" s="289"/>
      <c r="VHR19" s="289"/>
      <c r="VHS19" s="289"/>
      <c r="VHT19" s="289"/>
      <c r="VHU19" s="289"/>
      <c r="VHV19" s="289"/>
      <c r="VHW19" s="289"/>
      <c r="VHX19" s="289"/>
      <c r="VHY19" s="289"/>
      <c r="VHZ19" s="289"/>
      <c r="VIA19" s="289"/>
      <c r="VIB19" s="289"/>
      <c r="VIC19" s="289"/>
      <c r="VID19" s="289"/>
      <c r="VIE19" s="289"/>
      <c r="VIF19" s="289"/>
      <c r="VIG19" s="289"/>
      <c r="VIH19" s="289"/>
      <c r="VII19" s="289"/>
      <c r="VIJ19" s="289"/>
      <c r="VIK19" s="289"/>
      <c r="VIL19" s="289"/>
      <c r="VIM19" s="289"/>
      <c r="VIN19" s="289"/>
      <c r="VIO19" s="289"/>
      <c r="VIP19" s="289"/>
      <c r="VIQ19" s="289"/>
      <c r="VIR19" s="289"/>
      <c r="VIS19" s="289"/>
      <c r="VIT19" s="289"/>
      <c r="VIU19" s="289"/>
      <c r="VIV19" s="289"/>
      <c r="VIW19" s="289"/>
      <c r="VIX19" s="289"/>
      <c r="VIY19" s="289"/>
      <c r="VIZ19" s="289"/>
      <c r="VJA19" s="289"/>
      <c r="VJB19" s="289"/>
      <c r="VJC19" s="289"/>
      <c r="VJD19" s="289"/>
      <c r="VJE19" s="289"/>
      <c r="VJF19" s="289"/>
      <c r="VJG19" s="289"/>
      <c r="VJH19" s="289"/>
      <c r="VJI19" s="289"/>
      <c r="VJJ19" s="289"/>
      <c r="VJK19" s="289"/>
      <c r="VJL19" s="289"/>
      <c r="VJM19" s="289"/>
      <c r="VJN19" s="289"/>
      <c r="VJO19" s="289"/>
      <c r="VJP19" s="289"/>
      <c r="VJQ19" s="289"/>
      <c r="VJR19" s="289"/>
      <c r="VJS19" s="289"/>
      <c r="VJT19" s="289"/>
      <c r="VJU19" s="289"/>
      <c r="VJV19" s="289"/>
      <c r="VJW19" s="289"/>
      <c r="VJX19" s="289"/>
      <c r="VJY19" s="289"/>
      <c r="VJZ19" s="289"/>
      <c r="VKA19" s="289"/>
      <c r="VKB19" s="289"/>
      <c r="VKC19" s="289"/>
      <c r="VKD19" s="289"/>
      <c r="VKE19" s="289"/>
      <c r="VKF19" s="289"/>
      <c r="VKG19" s="289"/>
      <c r="VKH19" s="289"/>
      <c r="VKI19" s="289"/>
      <c r="VKJ19" s="289"/>
      <c r="VKK19" s="289"/>
      <c r="VKL19" s="289"/>
      <c r="VKM19" s="289"/>
      <c r="VKN19" s="289"/>
      <c r="VKO19" s="289"/>
      <c r="VKP19" s="289"/>
      <c r="VKQ19" s="289"/>
      <c r="VKR19" s="289"/>
      <c r="VKS19" s="289"/>
      <c r="VKT19" s="289"/>
      <c r="VKU19" s="289"/>
      <c r="VKV19" s="289"/>
      <c r="VKW19" s="289"/>
      <c r="VKX19" s="289"/>
      <c r="VKY19" s="289"/>
      <c r="VKZ19" s="289"/>
      <c r="VLA19" s="289"/>
      <c r="VLB19" s="289"/>
      <c r="VLC19" s="289"/>
      <c r="VLD19" s="289"/>
      <c r="VLE19" s="289"/>
      <c r="VLF19" s="289"/>
      <c r="VLG19" s="289"/>
      <c r="VLH19" s="289"/>
      <c r="VLI19" s="289"/>
      <c r="VLJ19" s="289"/>
      <c r="VLK19" s="289"/>
      <c r="VLL19" s="289"/>
      <c r="VLM19" s="289"/>
      <c r="VLN19" s="289"/>
      <c r="VLO19" s="289"/>
      <c r="VLP19" s="289"/>
      <c r="VLQ19" s="289"/>
      <c r="VLR19" s="289"/>
      <c r="VLS19" s="289"/>
      <c r="VLT19" s="289"/>
      <c r="VLU19" s="289"/>
      <c r="VLV19" s="289"/>
      <c r="VLW19" s="289"/>
      <c r="VLX19" s="289"/>
      <c r="VLY19" s="289"/>
      <c r="VLZ19" s="289"/>
      <c r="VMA19" s="289"/>
      <c r="VMB19" s="289"/>
      <c r="VMC19" s="289"/>
      <c r="VMD19" s="289"/>
      <c r="VME19" s="289"/>
      <c r="VMF19" s="289"/>
      <c r="VMG19" s="289"/>
      <c r="VMH19" s="289"/>
      <c r="VMI19" s="289"/>
      <c r="VMJ19" s="289"/>
      <c r="VMK19" s="289"/>
      <c r="VML19" s="289"/>
      <c r="VMM19" s="289"/>
      <c r="VMN19" s="289"/>
      <c r="VMO19" s="289"/>
      <c r="VMP19" s="289"/>
      <c r="VMQ19" s="289"/>
      <c r="VMR19" s="289"/>
      <c r="VMS19" s="289"/>
      <c r="VMT19" s="289"/>
      <c r="VMU19" s="289"/>
      <c r="VMV19" s="289"/>
      <c r="VMW19" s="289"/>
      <c r="VMX19" s="289"/>
      <c r="VMY19" s="289"/>
      <c r="VMZ19" s="289"/>
      <c r="VNA19" s="289"/>
      <c r="VNB19" s="289"/>
      <c r="VNC19" s="289"/>
      <c r="VND19" s="289"/>
      <c r="VNE19" s="289"/>
      <c r="VNF19" s="289"/>
      <c r="VNG19" s="289"/>
      <c r="VNH19" s="289"/>
      <c r="VNI19" s="289"/>
      <c r="VNJ19" s="289"/>
      <c r="VNK19" s="289"/>
      <c r="VNL19" s="289"/>
      <c r="VNM19" s="289"/>
      <c r="VNN19" s="289"/>
      <c r="VNO19" s="289"/>
      <c r="VNP19" s="289"/>
      <c r="VNQ19" s="289"/>
      <c r="VNR19" s="289"/>
      <c r="VNS19" s="289"/>
      <c r="VNT19" s="289"/>
      <c r="VNU19" s="289"/>
      <c r="VNV19" s="289"/>
      <c r="VNW19" s="289"/>
      <c r="VNX19" s="289"/>
      <c r="VNY19" s="289"/>
      <c r="VNZ19" s="289"/>
      <c r="VOA19" s="289"/>
      <c r="VOB19" s="289"/>
      <c r="VOC19" s="289"/>
      <c r="VOD19" s="289"/>
      <c r="VOE19" s="289"/>
      <c r="VOF19" s="289"/>
      <c r="VOG19" s="289"/>
      <c r="VOH19" s="289"/>
      <c r="VOI19" s="289"/>
      <c r="VOJ19" s="289"/>
      <c r="VOK19" s="289"/>
      <c r="VOL19" s="289"/>
      <c r="VOM19" s="289"/>
      <c r="VON19" s="289"/>
      <c r="VOO19" s="289"/>
      <c r="VOP19" s="289"/>
      <c r="VOQ19" s="289"/>
      <c r="VOR19" s="289"/>
      <c r="VOS19" s="289"/>
      <c r="VOT19" s="289"/>
      <c r="VOU19" s="289"/>
      <c r="VOV19" s="289"/>
      <c r="VOW19" s="289"/>
      <c r="VOX19" s="289"/>
      <c r="VOY19" s="289"/>
      <c r="VOZ19" s="289"/>
      <c r="VPA19" s="289"/>
      <c r="VPB19" s="289"/>
      <c r="VPC19" s="289"/>
      <c r="VPD19" s="289"/>
      <c r="VPE19" s="289"/>
      <c r="VPF19" s="289"/>
      <c r="VPG19" s="289"/>
      <c r="VPH19" s="289"/>
      <c r="VPI19" s="289"/>
      <c r="VPJ19" s="289"/>
      <c r="VPK19" s="289"/>
      <c r="VPL19" s="289"/>
      <c r="VPM19" s="289"/>
      <c r="VPN19" s="289"/>
      <c r="VPO19" s="289"/>
      <c r="VPP19" s="289"/>
      <c r="VPQ19" s="289"/>
      <c r="VPR19" s="289"/>
      <c r="VPS19" s="289"/>
      <c r="VPT19" s="289"/>
      <c r="VPU19" s="289"/>
      <c r="VPV19" s="289"/>
      <c r="VPW19" s="289"/>
      <c r="VPX19" s="289"/>
      <c r="VPY19" s="289"/>
      <c r="VPZ19" s="289"/>
      <c r="VQA19" s="289"/>
      <c r="VQB19" s="289"/>
      <c r="VQC19" s="289"/>
      <c r="VQD19" s="289"/>
      <c r="VQE19" s="289"/>
      <c r="VQF19" s="289"/>
      <c r="VQG19" s="289"/>
      <c r="VQH19" s="289"/>
      <c r="VQI19" s="289"/>
      <c r="VQJ19" s="289"/>
      <c r="VQK19" s="289"/>
      <c r="VQL19" s="289"/>
      <c r="VQM19" s="289"/>
      <c r="VQN19" s="289"/>
      <c r="VQO19" s="289"/>
      <c r="VQP19" s="289"/>
      <c r="VQQ19" s="289"/>
      <c r="VQR19" s="289"/>
      <c r="VQS19" s="289"/>
      <c r="VQT19" s="289"/>
      <c r="VQU19" s="289"/>
      <c r="VQV19" s="289"/>
      <c r="VQW19" s="289"/>
      <c r="VQX19" s="289"/>
      <c r="VQY19" s="289"/>
      <c r="VQZ19" s="289"/>
      <c r="VRA19" s="289"/>
      <c r="VRB19" s="289"/>
      <c r="VRC19" s="289"/>
      <c r="VRD19" s="289"/>
      <c r="VRE19" s="289"/>
      <c r="VRF19" s="289"/>
      <c r="VRG19" s="289"/>
      <c r="VRH19" s="289"/>
      <c r="VRI19" s="289"/>
      <c r="VRJ19" s="289"/>
      <c r="VRK19" s="289"/>
      <c r="VRL19" s="289"/>
      <c r="VRM19" s="289"/>
      <c r="VRN19" s="289"/>
      <c r="VRO19" s="289"/>
      <c r="VRP19" s="289"/>
      <c r="VRQ19" s="289"/>
      <c r="VRR19" s="289"/>
      <c r="VRS19" s="289"/>
      <c r="VRT19" s="289"/>
      <c r="VRU19" s="289"/>
      <c r="VRV19" s="289"/>
      <c r="VRW19" s="289"/>
      <c r="VRX19" s="289"/>
      <c r="VRY19" s="289"/>
      <c r="VRZ19" s="289"/>
      <c r="VSA19" s="289"/>
      <c r="VSB19" s="289"/>
      <c r="VSC19" s="289"/>
      <c r="VSD19" s="289"/>
      <c r="VSE19" s="289"/>
      <c r="VSF19" s="289"/>
      <c r="VSG19" s="289"/>
      <c r="VSH19" s="289"/>
      <c r="VSI19" s="289"/>
      <c r="VSJ19" s="289"/>
      <c r="VSK19" s="289"/>
      <c r="VSL19" s="289"/>
      <c r="VSM19" s="289"/>
      <c r="VSN19" s="289"/>
      <c r="VSO19" s="289"/>
      <c r="VSP19" s="289"/>
      <c r="VSQ19" s="289"/>
      <c r="VSR19" s="289"/>
      <c r="VSS19" s="289"/>
      <c r="VST19" s="289"/>
      <c r="VSU19" s="289"/>
      <c r="VSV19" s="289"/>
      <c r="VSW19" s="289"/>
      <c r="VSX19" s="289"/>
      <c r="VSY19" s="289"/>
      <c r="VSZ19" s="289"/>
      <c r="VTA19" s="289"/>
      <c r="VTB19" s="289"/>
      <c r="VTC19" s="289"/>
      <c r="VTD19" s="289"/>
      <c r="VTE19" s="289"/>
      <c r="VTF19" s="289"/>
      <c r="VTG19" s="289"/>
      <c r="VTH19" s="289"/>
      <c r="VTI19" s="289"/>
      <c r="VTJ19" s="289"/>
      <c r="VTK19" s="289"/>
      <c r="VTL19" s="289"/>
      <c r="VTM19" s="289"/>
      <c r="VTN19" s="289"/>
      <c r="VTO19" s="289"/>
      <c r="VTP19" s="289"/>
      <c r="VTQ19" s="289"/>
      <c r="VTR19" s="289"/>
      <c r="VTS19" s="289"/>
      <c r="VTT19" s="289"/>
      <c r="VTU19" s="289"/>
      <c r="VTV19" s="289"/>
      <c r="VTW19" s="289"/>
      <c r="VTX19" s="289"/>
      <c r="VTY19" s="289"/>
      <c r="VTZ19" s="289"/>
      <c r="VUA19" s="289"/>
      <c r="VUB19" s="289"/>
      <c r="VUC19" s="289"/>
      <c r="VUD19" s="289"/>
      <c r="VUE19" s="289"/>
      <c r="VUF19" s="289"/>
      <c r="VUG19" s="289"/>
      <c r="VUH19" s="289"/>
      <c r="VUI19" s="289"/>
      <c r="VUJ19" s="289"/>
      <c r="VUK19" s="289"/>
      <c r="VUL19" s="289"/>
      <c r="VUM19" s="289"/>
      <c r="VUN19" s="289"/>
      <c r="VUO19" s="289"/>
      <c r="VUP19" s="289"/>
      <c r="VUQ19" s="289"/>
      <c r="VUR19" s="289"/>
      <c r="VUS19" s="289"/>
      <c r="VUT19" s="289"/>
      <c r="VUU19" s="289"/>
      <c r="VUV19" s="289"/>
      <c r="VUW19" s="289"/>
      <c r="VUX19" s="289"/>
      <c r="VUY19" s="289"/>
      <c r="VUZ19" s="289"/>
      <c r="VVA19" s="289"/>
      <c r="VVB19" s="289"/>
      <c r="VVC19" s="289"/>
      <c r="VVD19" s="289"/>
      <c r="VVE19" s="289"/>
      <c r="VVF19" s="289"/>
      <c r="VVG19" s="289"/>
      <c r="VVH19" s="289"/>
      <c r="VVI19" s="289"/>
      <c r="VVJ19" s="289"/>
      <c r="VVK19" s="289"/>
      <c r="VVL19" s="289"/>
      <c r="VVM19" s="289"/>
      <c r="VVN19" s="289"/>
      <c r="VVO19" s="289"/>
      <c r="VVP19" s="289"/>
      <c r="VVQ19" s="289"/>
      <c r="VVR19" s="289"/>
      <c r="VVS19" s="289"/>
      <c r="VVT19" s="289"/>
      <c r="VVU19" s="289"/>
      <c r="VVV19" s="289"/>
      <c r="VVW19" s="289"/>
      <c r="VVX19" s="289"/>
      <c r="VVY19" s="289"/>
      <c r="VVZ19" s="289"/>
      <c r="VWA19" s="289"/>
      <c r="VWB19" s="289"/>
      <c r="VWC19" s="289"/>
      <c r="VWD19" s="289"/>
      <c r="VWE19" s="289"/>
      <c r="VWF19" s="289"/>
      <c r="VWG19" s="289"/>
      <c r="VWH19" s="289"/>
      <c r="VWI19" s="289"/>
      <c r="VWJ19" s="289"/>
      <c r="VWK19" s="289"/>
      <c r="VWL19" s="289"/>
      <c r="VWM19" s="289"/>
      <c r="VWN19" s="289"/>
      <c r="VWO19" s="289"/>
      <c r="VWP19" s="289"/>
      <c r="VWQ19" s="289"/>
      <c r="VWR19" s="289"/>
      <c r="VWS19" s="289"/>
      <c r="VWT19" s="289"/>
      <c r="VWU19" s="289"/>
      <c r="VWV19" s="289"/>
      <c r="VWW19" s="289"/>
      <c r="VWX19" s="289"/>
      <c r="VWY19" s="289"/>
      <c r="VWZ19" s="289"/>
      <c r="VXA19" s="289"/>
      <c r="VXB19" s="289"/>
      <c r="VXC19" s="289"/>
      <c r="VXD19" s="289"/>
      <c r="VXE19" s="289"/>
      <c r="VXF19" s="289"/>
      <c r="VXG19" s="289"/>
      <c r="VXH19" s="289"/>
      <c r="VXI19" s="289"/>
      <c r="VXJ19" s="289"/>
      <c r="VXK19" s="289"/>
      <c r="VXL19" s="289"/>
      <c r="VXM19" s="289"/>
      <c r="VXN19" s="289"/>
      <c r="VXO19" s="289"/>
      <c r="VXP19" s="289"/>
      <c r="VXQ19" s="289"/>
      <c r="VXR19" s="289"/>
      <c r="VXS19" s="289"/>
      <c r="VXT19" s="289"/>
      <c r="VXU19" s="289"/>
      <c r="VXV19" s="289"/>
      <c r="VXW19" s="289"/>
      <c r="VXX19" s="289"/>
      <c r="VXY19" s="289"/>
      <c r="VXZ19" s="289"/>
      <c r="VYA19" s="289"/>
      <c r="VYB19" s="289"/>
      <c r="VYC19" s="289"/>
      <c r="VYD19" s="289"/>
      <c r="VYE19" s="289"/>
      <c r="VYF19" s="289"/>
      <c r="VYG19" s="289"/>
      <c r="VYH19" s="289"/>
      <c r="VYI19" s="289"/>
      <c r="VYJ19" s="289"/>
      <c r="VYK19" s="289"/>
      <c r="VYL19" s="289"/>
      <c r="VYM19" s="289"/>
      <c r="VYN19" s="289"/>
      <c r="VYO19" s="289"/>
      <c r="VYP19" s="289"/>
      <c r="VYQ19" s="289"/>
      <c r="VYR19" s="289"/>
      <c r="VYS19" s="289"/>
      <c r="VYT19" s="289"/>
      <c r="VYU19" s="289"/>
      <c r="VYV19" s="289"/>
      <c r="VYW19" s="289"/>
      <c r="VYX19" s="289"/>
      <c r="VYY19" s="289"/>
      <c r="VYZ19" s="289"/>
      <c r="VZA19" s="289"/>
      <c r="VZB19" s="289"/>
      <c r="VZC19" s="289"/>
      <c r="VZD19" s="289"/>
      <c r="VZE19" s="289"/>
      <c r="VZF19" s="289"/>
      <c r="VZG19" s="289"/>
      <c r="VZH19" s="289"/>
      <c r="VZI19" s="289"/>
      <c r="VZJ19" s="289"/>
      <c r="VZK19" s="289"/>
      <c r="VZL19" s="289"/>
      <c r="VZM19" s="289"/>
      <c r="VZN19" s="289"/>
      <c r="VZO19" s="289"/>
      <c r="VZP19" s="289"/>
      <c r="VZQ19" s="289"/>
      <c r="VZR19" s="289"/>
      <c r="VZS19" s="289"/>
      <c r="VZT19" s="289"/>
      <c r="VZU19" s="289"/>
      <c r="VZV19" s="289"/>
      <c r="VZW19" s="289"/>
      <c r="VZX19" s="289"/>
      <c r="VZY19" s="289"/>
      <c r="VZZ19" s="289"/>
      <c r="WAA19" s="289"/>
      <c r="WAB19" s="289"/>
      <c r="WAC19" s="289"/>
      <c r="WAD19" s="289"/>
      <c r="WAE19" s="289"/>
      <c r="WAF19" s="289"/>
      <c r="WAG19" s="289"/>
      <c r="WAH19" s="289"/>
      <c r="WAI19" s="289"/>
      <c r="WAJ19" s="289"/>
      <c r="WAK19" s="289"/>
      <c r="WAL19" s="289"/>
      <c r="WAM19" s="289"/>
      <c r="WAN19" s="289"/>
      <c r="WAO19" s="289"/>
      <c r="WAP19" s="289"/>
      <c r="WAQ19" s="289"/>
      <c r="WAR19" s="289"/>
      <c r="WAS19" s="289"/>
      <c r="WAT19" s="289"/>
      <c r="WAU19" s="289"/>
      <c r="WAV19" s="289"/>
      <c r="WAW19" s="289"/>
      <c r="WAX19" s="289"/>
      <c r="WAY19" s="289"/>
      <c r="WAZ19" s="289"/>
      <c r="WBA19" s="289"/>
      <c r="WBB19" s="289"/>
      <c r="WBC19" s="289"/>
      <c r="WBD19" s="289"/>
      <c r="WBE19" s="289"/>
      <c r="WBF19" s="289"/>
      <c r="WBG19" s="289"/>
      <c r="WBH19" s="289"/>
      <c r="WBI19" s="289"/>
      <c r="WBJ19" s="289"/>
      <c r="WBK19" s="289"/>
      <c r="WBL19" s="289"/>
      <c r="WBM19" s="289"/>
      <c r="WBN19" s="289"/>
      <c r="WBO19" s="289"/>
      <c r="WBP19" s="289"/>
      <c r="WBQ19" s="289"/>
      <c r="WBR19" s="289"/>
      <c r="WBS19" s="289"/>
      <c r="WBT19" s="289"/>
      <c r="WBU19" s="289"/>
      <c r="WBV19" s="289"/>
      <c r="WBW19" s="289"/>
      <c r="WBX19" s="289"/>
      <c r="WBY19" s="289"/>
      <c r="WBZ19" s="289"/>
      <c r="WCA19" s="289"/>
      <c r="WCB19" s="289"/>
      <c r="WCC19" s="289"/>
      <c r="WCD19" s="289"/>
      <c r="WCE19" s="289"/>
      <c r="WCF19" s="289"/>
      <c r="WCG19" s="289"/>
      <c r="WCH19" s="289"/>
      <c r="WCI19" s="289"/>
      <c r="WCJ19" s="289"/>
      <c r="WCK19" s="289"/>
      <c r="WCL19" s="289"/>
      <c r="WCM19" s="289"/>
      <c r="WCN19" s="289"/>
      <c r="WCO19" s="289"/>
      <c r="WCP19" s="289"/>
      <c r="WCQ19" s="289"/>
      <c r="WCR19" s="289"/>
      <c r="WCS19" s="289"/>
      <c r="WCT19" s="289"/>
      <c r="WCU19" s="289"/>
      <c r="WCV19" s="289"/>
      <c r="WCW19" s="289"/>
      <c r="WCX19" s="289"/>
      <c r="WCY19" s="289"/>
      <c r="WCZ19" s="289"/>
      <c r="WDA19" s="289"/>
      <c r="WDB19" s="289"/>
      <c r="WDC19" s="289"/>
      <c r="WDD19" s="289"/>
      <c r="WDE19" s="289"/>
      <c r="WDF19" s="289"/>
      <c r="WDG19" s="289"/>
      <c r="WDH19" s="289"/>
      <c r="WDI19" s="289"/>
      <c r="WDJ19" s="289"/>
      <c r="WDK19" s="289"/>
      <c r="WDL19" s="289"/>
      <c r="WDM19" s="289"/>
      <c r="WDN19" s="289"/>
      <c r="WDO19" s="289"/>
      <c r="WDP19" s="289"/>
      <c r="WDQ19" s="289"/>
      <c r="WDR19" s="289"/>
      <c r="WDS19" s="289"/>
      <c r="WDT19" s="289"/>
      <c r="WDU19" s="289"/>
      <c r="WDV19" s="289"/>
      <c r="WDW19" s="289"/>
      <c r="WDX19" s="289"/>
      <c r="WDY19" s="289"/>
      <c r="WDZ19" s="289"/>
      <c r="WEA19" s="289"/>
      <c r="WEB19" s="289"/>
      <c r="WEC19" s="289"/>
      <c r="WED19" s="289"/>
      <c r="WEE19" s="289"/>
      <c r="WEF19" s="289"/>
      <c r="WEG19" s="289"/>
      <c r="WEH19" s="289"/>
      <c r="WEI19" s="289"/>
      <c r="WEJ19" s="289"/>
      <c r="WEK19" s="289"/>
      <c r="WEL19" s="289"/>
      <c r="WEM19" s="289"/>
      <c r="WEN19" s="289"/>
      <c r="WEO19" s="289"/>
      <c r="WEP19" s="289"/>
      <c r="WEQ19" s="289"/>
      <c r="WER19" s="289"/>
      <c r="WES19" s="289"/>
      <c r="WET19" s="289"/>
      <c r="WEU19" s="289"/>
      <c r="WEV19" s="289"/>
      <c r="WEW19" s="289"/>
      <c r="WEX19" s="289"/>
      <c r="WEY19" s="289"/>
      <c r="WEZ19" s="289"/>
      <c r="WFA19" s="289"/>
      <c r="WFB19" s="289"/>
      <c r="WFC19" s="289"/>
      <c r="WFD19" s="289"/>
      <c r="WFE19" s="289"/>
      <c r="WFF19" s="289"/>
      <c r="WFG19" s="289"/>
      <c r="WFH19" s="289"/>
      <c r="WFI19" s="289"/>
      <c r="WFJ19" s="289"/>
      <c r="WFK19" s="289"/>
      <c r="WFL19" s="289"/>
      <c r="WFM19" s="289"/>
      <c r="WFN19" s="289"/>
      <c r="WFO19" s="289"/>
      <c r="WFP19" s="289"/>
      <c r="WFQ19" s="289"/>
      <c r="WFR19" s="289"/>
      <c r="WFS19" s="289"/>
      <c r="WFT19" s="289"/>
      <c r="WFU19" s="289"/>
      <c r="WFV19" s="289"/>
      <c r="WFW19" s="289"/>
      <c r="WFX19" s="289"/>
      <c r="WFY19" s="289"/>
      <c r="WFZ19" s="289"/>
      <c r="WGA19" s="289"/>
      <c r="WGB19" s="289"/>
      <c r="WGC19" s="289"/>
      <c r="WGD19" s="289"/>
      <c r="WGE19" s="289"/>
      <c r="WGF19" s="289"/>
      <c r="WGG19" s="289"/>
      <c r="WGH19" s="289"/>
      <c r="WGI19" s="289"/>
      <c r="WGJ19" s="289"/>
      <c r="WGK19" s="289"/>
      <c r="WGL19" s="289"/>
      <c r="WGM19" s="289"/>
      <c r="WGN19" s="289"/>
      <c r="WGO19" s="289"/>
      <c r="WGP19" s="289"/>
      <c r="WGQ19" s="289"/>
      <c r="WGR19" s="289"/>
      <c r="WGS19" s="289"/>
      <c r="WGT19" s="289"/>
      <c r="WGU19" s="289"/>
      <c r="WGV19" s="289"/>
      <c r="WGW19" s="289"/>
      <c r="WGX19" s="289"/>
      <c r="WGY19" s="289"/>
      <c r="WGZ19" s="289"/>
      <c r="WHA19" s="289"/>
      <c r="WHB19" s="289"/>
      <c r="WHC19" s="289"/>
      <c r="WHD19" s="289"/>
      <c r="WHE19" s="289"/>
      <c r="WHF19" s="289"/>
      <c r="WHG19" s="289"/>
      <c r="WHH19" s="289"/>
      <c r="WHI19" s="289"/>
      <c r="WHJ19" s="289"/>
      <c r="WHK19" s="289"/>
      <c r="WHL19" s="289"/>
      <c r="WHM19" s="289"/>
      <c r="WHN19" s="289"/>
      <c r="WHO19" s="289"/>
      <c r="WHP19" s="289"/>
      <c r="WHQ19" s="289"/>
      <c r="WHR19" s="289"/>
      <c r="WHS19" s="289"/>
      <c r="WHT19" s="289"/>
      <c r="WHU19" s="289"/>
      <c r="WHV19" s="289"/>
      <c r="WHW19" s="289"/>
      <c r="WHX19" s="289"/>
      <c r="WHY19" s="289"/>
      <c r="WHZ19" s="289"/>
      <c r="WIA19" s="289"/>
      <c r="WIB19" s="289"/>
      <c r="WIC19" s="289"/>
      <c r="WID19" s="289"/>
      <c r="WIE19" s="289"/>
      <c r="WIF19" s="289"/>
      <c r="WIG19" s="289"/>
      <c r="WIH19" s="289"/>
      <c r="WII19" s="289"/>
      <c r="WIJ19" s="289"/>
      <c r="WIK19" s="289"/>
      <c r="WIL19" s="289"/>
      <c r="WIM19" s="289"/>
      <c r="WIN19" s="289"/>
      <c r="WIO19" s="289"/>
      <c r="WIP19" s="289"/>
      <c r="WIQ19" s="289"/>
      <c r="WIR19" s="289"/>
      <c r="WIS19" s="289"/>
      <c r="WIT19" s="289"/>
      <c r="WIU19" s="289"/>
      <c r="WIV19" s="289"/>
      <c r="WIW19" s="289"/>
      <c r="WIX19" s="289"/>
      <c r="WIY19" s="289"/>
      <c r="WIZ19" s="289"/>
      <c r="WJA19" s="289"/>
      <c r="WJB19" s="289"/>
      <c r="WJC19" s="289"/>
      <c r="WJD19" s="289"/>
      <c r="WJE19" s="289"/>
      <c r="WJF19" s="289"/>
      <c r="WJG19" s="289"/>
      <c r="WJH19" s="289"/>
      <c r="WJI19" s="289"/>
      <c r="WJJ19" s="289"/>
      <c r="WJK19" s="289"/>
      <c r="WJL19" s="289"/>
      <c r="WJM19" s="289"/>
      <c r="WJN19" s="289"/>
      <c r="WJO19" s="289"/>
      <c r="WJP19" s="289"/>
      <c r="WJQ19" s="289"/>
      <c r="WJR19" s="289"/>
      <c r="WJS19" s="289"/>
      <c r="WJT19" s="289"/>
      <c r="WJU19" s="289"/>
      <c r="WJV19" s="289"/>
      <c r="WJW19" s="289"/>
      <c r="WJX19" s="289"/>
      <c r="WJY19" s="289"/>
      <c r="WJZ19" s="289"/>
      <c r="WKA19" s="289"/>
      <c r="WKB19" s="289"/>
      <c r="WKC19" s="289"/>
      <c r="WKD19" s="289"/>
      <c r="WKE19" s="289"/>
      <c r="WKF19" s="289"/>
      <c r="WKG19" s="289"/>
      <c r="WKH19" s="289"/>
      <c r="WKI19" s="289"/>
      <c r="WKJ19" s="289"/>
      <c r="WKK19" s="289"/>
      <c r="WKL19" s="289"/>
      <c r="WKM19" s="289"/>
      <c r="WKN19" s="289"/>
      <c r="WKO19" s="289"/>
      <c r="WKP19" s="289"/>
      <c r="WKQ19" s="289"/>
      <c r="WKR19" s="289"/>
      <c r="WKS19" s="289"/>
      <c r="WKT19" s="289"/>
      <c r="WKU19" s="289"/>
      <c r="WKV19" s="289"/>
      <c r="WKW19" s="289"/>
      <c r="WKX19" s="289"/>
      <c r="WKY19" s="289"/>
      <c r="WKZ19" s="289"/>
      <c r="WLA19" s="289"/>
      <c r="WLB19" s="289"/>
      <c r="WLC19" s="289"/>
      <c r="WLD19" s="289"/>
      <c r="WLE19" s="289"/>
      <c r="WLF19" s="289"/>
      <c r="WLG19" s="289"/>
      <c r="WLH19" s="289"/>
      <c r="WLI19" s="289"/>
      <c r="WLJ19" s="289"/>
      <c r="WLK19" s="289"/>
      <c r="WLL19" s="289"/>
      <c r="WLM19" s="289"/>
      <c r="WLN19" s="289"/>
      <c r="WLO19" s="289"/>
      <c r="WLP19" s="289"/>
      <c r="WLQ19" s="289"/>
      <c r="WLR19" s="289"/>
      <c r="WLS19" s="289"/>
      <c r="WLT19" s="289"/>
      <c r="WLU19" s="289"/>
      <c r="WLV19" s="289"/>
      <c r="WLW19" s="289"/>
      <c r="WLX19" s="289"/>
      <c r="WLY19" s="289"/>
      <c r="WLZ19" s="289"/>
      <c r="WMA19" s="289"/>
      <c r="WMB19" s="289"/>
      <c r="WMC19" s="289"/>
      <c r="WMD19" s="289"/>
      <c r="WME19" s="289"/>
      <c r="WMF19" s="289"/>
      <c r="WMG19" s="289"/>
      <c r="WMH19" s="289"/>
      <c r="WMI19" s="289"/>
      <c r="WMJ19" s="289"/>
      <c r="WMK19" s="289"/>
      <c r="WML19" s="289"/>
      <c r="WMM19" s="289"/>
      <c r="WMN19" s="289"/>
      <c r="WMO19" s="289"/>
      <c r="WMP19" s="289"/>
      <c r="WMQ19" s="289"/>
      <c r="WMR19" s="289"/>
      <c r="WMS19" s="289"/>
      <c r="WMT19" s="289"/>
      <c r="WMU19" s="289"/>
      <c r="WMV19" s="289"/>
      <c r="WMW19" s="289"/>
      <c r="WMX19" s="289"/>
      <c r="WMY19" s="289"/>
      <c r="WMZ19" s="289"/>
      <c r="WNA19" s="289"/>
      <c r="WNB19" s="289"/>
      <c r="WNC19" s="289"/>
      <c r="WND19" s="289"/>
      <c r="WNE19" s="289"/>
      <c r="WNF19" s="289"/>
      <c r="WNG19" s="289"/>
      <c r="WNH19" s="289"/>
      <c r="WNI19" s="289"/>
      <c r="WNJ19" s="289"/>
      <c r="WNK19" s="289"/>
      <c r="WNL19" s="289"/>
      <c r="WNM19" s="289"/>
      <c r="WNN19" s="289"/>
      <c r="WNO19" s="289"/>
      <c r="WNP19" s="289"/>
      <c r="WNQ19" s="289"/>
      <c r="WNR19" s="289"/>
      <c r="WNS19" s="289"/>
      <c r="WNT19" s="289"/>
      <c r="WNU19" s="289"/>
      <c r="WNV19" s="289"/>
      <c r="WNW19" s="289"/>
      <c r="WNX19" s="289"/>
      <c r="WNY19" s="289"/>
      <c r="WNZ19" s="289"/>
      <c r="WOA19" s="289"/>
      <c r="WOB19" s="289"/>
      <c r="WOC19" s="289"/>
      <c r="WOD19" s="289"/>
      <c r="WOE19" s="289"/>
      <c r="WOF19" s="289"/>
      <c r="WOG19" s="289"/>
      <c r="WOH19" s="289"/>
      <c r="WOI19" s="289"/>
      <c r="WOJ19" s="289"/>
      <c r="WOK19" s="289"/>
      <c r="WOL19" s="289"/>
      <c r="WOM19" s="289"/>
      <c r="WON19" s="289"/>
      <c r="WOO19" s="289"/>
      <c r="WOP19" s="289"/>
      <c r="WOQ19" s="289"/>
      <c r="WOR19" s="289"/>
      <c r="WOS19" s="289"/>
      <c r="WOT19" s="289"/>
      <c r="WOU19" s="289"/>
      <c r="WOV19" s="289"/>
      <c r="WOW19" s="289"/>
      <c r="WOX19" s="289"/>
      <c r="WOY19" s="289"/>
      <c r="WOZ19" s="289"/>
      <c r="WPA19" s="289"/>
      <c r="WPB19" s="289"/>
      <c r="WPC19" s="289"/>
      <c r="WPD19" s="289"/>
      <c r="WPE19" s="289"/>
      <c r="WPF19" s="289"/>
      <c r="WPG19" s="289"/>
      <c r="WPH19" s="289"/>
      <c r="WPI19" s="289"/>
      <c r="WPJ19" s="289"/>
      <c r="WPK19" s="289"/>
      <c r="WPL19" s="289"/>
      <c r="WPM19" s="289"/>
      <c r="WPN19" s="289"/>
      <c r="WPO19" s="289"/>
      <c r="WPP19" s="289"/>
      <c r="WPQ19" s="289"/>
      <c r="WPR19" s="289"/>
      <c r="WPS19" s="289"/>
      <c r="WPT19" s="289"/>
      <c r="WPU19" s="289"/>
      <c r="WPV19" s="289"/>
      <c r="WPW19" s="289"/>
      <c r="WPX19" s="289"/>
      <c r="WPY19" s="289"/>
      <c r="WPZ19" s="289"/>
      <c r="WQA19" s="289"/>
      <c r="WQB19" s="289"/>
      <c r="WQC19" s="289"/>
      <c r="WQD19" s="289"/>
      <c r="WQE19" s="289"/>
      <c r="WQF19" s="289"/>
      <c r="WQG19" s="289"/>
      <c r="WQH19" s="289"/>
      <c r="WQI19" s="289"/>
      <c r="WQJ19" s="289"/>
      <c r="WQK19" s="289"/>
      <c r="WQL19" s="289"/>
      <c r="WQM19" s="289"/>
      <c r="WQN19" s="289"/>
      <c r="WQO19" s="289"/>
      <c r="WQP19" s="289"/>
      <c r="WQQ19" s="289"/>
      <c r="WQR19" s="289"/>
      <c r="WQS19" s="289"/>
      <c r="WQT19" s="289"/>
      <c r="WQU19" s="289"/>
      <c r="WQV19" s="289"/>
      <c r="WQW19" s="289"/>
      <c r="WQX19" s="289"/>
      <c r="WQY19" s="289"/>
      <c r="WQZ19" s="289"/>
      <c r="WRA19" s="289"/>
      <c r="WRB19" s="289"/>
      <c r="WRC19" s="289"/>
      <c r="WRD19" s="289"/>
      <c r="WRE19" s="289"/>
      <c r="WRF19" s="289"/>
      <c r="WRG19" s="289"/>
      <c r="WRH19" s="289"/>
      <c r="WRI19" s="289"/>
      <c r="WRJ19" s="289"/>
      <c r="WRK19" s="289"/>
      <c r="WRL19" s="289"/>
      <c r="WRM19" s="289"/>
      <c r="WRN19" s="289"/>
      <c r="WRO19" s="289"/>
      <c r="WRP19" s="289"/>
      <c r="WRQ19" s="289"/>
      <c r="WRR19" s="289"/>
      <c r="WRS19" s="289"/>
      <c r="WRT19" s="289"/>
      <c r="WRU19" s="289"/>
      <c r="WRV19" s="289"/>
      <c r="WRW19" s="289"/>
      <c r="WRX19" s="289"/>
      <c r="WRY19" s="289"/>
      <c r="WRZ19" s="289"/>
      <c r="WSA19" s="289"/>
      <c r="WSB19" s="289"/>
      <c r="WSC19" s="289"/>
      <c r="WSD19" s="289"/>
      <c r="WSE19" s="289"/>
      <c r="WSF19" s="289"/>
      <c r="WSG19" s="289"/>
      <c r="WSH19" s="289"/>
      <c r="WSI19" s="289"/>
      <c r="WSJ19" s="289"/>
      <c r="WSK19" s="289"/>
      <c r="WSL19" s="289"/>
      <c r="WSM19" s="289"/>
      <c r="WSN19" s="289"/>
      <c r="WSO19" s="289"/>
      <c r="WSP19" s="289"/>
      <c r="WSQ19" s="289"/>
      <c r="WSR19" s="289"/>
      <c r="WSS19" s="289"/>
      <c r="WST19" s="289"/>
      <c r="WSU19" s="289"/>
      <c r="WSV19" s="289"/>
      <c r="WSW19" s="289"/>
      <c r="WSX19" s="289"/>
      <c r="WSY19" s="289"/>
      <c r="WSZ19" s="289"/>
      <c r="WTA19" s="289"/>
      <c r="WTB19" s="289"/>
      <c r="WTC19" s="289"/>
      <c r="WTD19" s="289"/>
      <c r="WTE19" s="289"/>
      <c r="WTF19" s="289"/>
      <c r="WTG19" s="289"/>
      <c r="WTH19" s="289"/>
      <c r="WTI19" s="289"/>
      <c r="WTJ19" s="289"/>
      <c r="WTK19" s="289"/>
      <c r="WTL19" s="289"/>
      <c r="WTM19" s="289"/>
      <c r="WTN19" s="289"/>
      <c r="WTO19" s="289"/>
      <c r="WTP19" s="289"/>
      <c r="WTQ19" s="289"/>
      <c r="WTR19" s="289"/>
      <c r="WTS19" s="289"/>
      <c r="WTT19" s="289"/>
      <c r="WTU19" s="289"/>
      <c r="WTV19" s="289"/>
      <c r="WTW19" s="289"/>
      <c r="WTX19" s="289"/>
      <c r="WTY19" s="289"/>
      <c r="WTZ19" s="289"/>
      <c r="WUA19" s="289"/>
      <c r="WUB19" s="289"/>
      <c r="WUC19" s="289"/>
      <c r="WUD19" s="289"/>
      <c r="WUE19" s="289"/>
      <c r="WUF19" s="289"/>
      <c r="WUG19" s="289"/>
      <c r="WUH19" s="289"/>
      <c r="WUI19" s="289"/>
      <c r="WUJ19" s="289"/>
      <c r="WUK19" s="289"/>
      <c r="WUL19" s="289"/>
      <c r="WUM19" s="289"/>
      <c r="WUN19" s="289"/>
      <c r="WUO19" s="289"/>
      <c r="WUP19" s="289"/>
      <c r="WUQ19" s="289"/>
      <c r="WUR19" s="289"/>
      <c r="WUS19" s="289"/>
      <c r="WUT19" s="289"/>
      <c r="WUU19" s="289"/>
      <c r="WUV19" s="289"/>
      <c r="WUW19" s="289"/>
      <c r="WUX19" s="289"/>
      <c r="WUY19" s="289"/>
      <c r="WUZ19" s="289"/>
      <c r="WVA19" s="289"/>
      <c r="WVB19" s="289"/>
      <c r="WVC19" s="289"/>
      <c r="WVD19" s="289"/>
      <c r="WVE19" s="289"/>
      <c r="WVF19" s="289"/>
      <c r="WVG19" s="289"/>
      <c r="WVH19" s="289"/>
      <c r="WVI19" s="289"/>
      <c r="WVJ19" s="289"/>
      <c r="WVK19" s="289"/>
      <c r="WVL19" s="289"/>
      <c r="WVM19" s="289"/>
      <c r="WVN19" s="289"/>
      <c r="WVO19" s="289"/>
      <c r="WVP19" s="289"/>
      <c r="WVQ19" s="289"/>
      <c r="WVR19" s="289"/>
      <c r="WVS19" s="289"/>
      <c r="WVT19" s="289"/>
      <c r="WVU19" s="289"/>
      <c r="WVV19" s="289"/>
      <c r="WVW19" s="289"/>
      <c r="WVX19" s="289"/>
      <c r="WVY19" s="289"/>
      <c r="WVZ19" s="289"/>
      <c r="WWA19" s="289"/>
      <c r="WWB19" s="289"/>
      <c r="WWC19" s="289"/>
      <c r="WWD19" s="289"/>
      <c r="WWE19" s="289"/>
      <c r="WWF19" s="289"/>
      <c r="WWG19" s="289"/>
      <c r="WWH19" s="289"/>
      <c r="WWI19" s="289"/>
      <c r="WWJ19" s="289"/>
      <c r="WWK19" s="289"/>
      <c r="WWL19" s="289"/>
      <c r="WWM19" s="289"/>
      <c r="WWN19" s="289"/>
      <c r="WWO19" s="289"/>
      <c r="WWP19" s="289"/>
      <c r="WWQ19" s="289"/>
      <c r="WWR19" s="289"/>
      <c r="WWS19" s="289"/>
      <c r="WWT19" s="289"/>
      <c r="WWU19" s="289"/>
      <c r="WWV19" s="289"/>
      <c r="WWW19" s="289"/>
      <c r="WWX19" s="289"/>
      <c r="WWY19" s="289"/>
      <c r="WWZ19" s="289"/>
      <c r="WXA19" s="289"/>
      <c r="WXB19" s="289"/>
      <c r="WXC19" s="289"/>
      <c r="WXD19" s="289"/>
      <c r="WXE19" s="289"/>
      <c r="WXF19" s="289"/>
      <c r="WXG19" s="289"/>
      <c r="WXH19" s="289"/>
      <c r="WXI19" s="289"/>
      <c r="WXJ19" s="289"/>
      <c r="WXK19" s="289"/>
      <c r="WXL19" s="289"/>
      <c r="WXM19" s="289"/>
      <c r="WXN19" s="289"/>
      <c r="WXO19" s="289"/>
      <c r="WXP19" s="289"/>
      <c r="WXQ19" s="289"/>
      <c r="WXR19" s="289"/>
      <c r="WXS19" s="289"/>
      <c r="WXT19" s="289"/>
      <c r="WXU19" s="289"/>
      <c r="WXV19" s="289"/>
      <c r="WXW19" s="289"/>
      <c r="WXX19" s="289"/>
      <c r="WXY19" s="289"/>
      <c r="WXZ19" s="289"/>
      <c r="WYA19" s="289"/>
      <c r="WYB19" s="289"/>
      <c r="WYC19" s="289"/>
      <c r="WYD19" s="289"/>
      <c r="WYE19" s="289"/>
      <c r="WYF19" s="289"/>
      <c r="WYG19" s="289"/>
      <c r="WYH19" s="289"/>
      <c r="WYI19" s="289"/>
      <c r="WYJ19" s="289"/>
      <c r="WYK19" s="289"/>
      <c r="WYL19" s="289"/>
      <c r="WYM19" s="289"/>
      <c r="WYN19" s="289"/>
      <c r="WYO19" s="289"/>
      <c r="WYP19" s="289"/>
      <c r="WYQ19" s="289"/>
      <c r="WYR19" s="289"/>
      <c r="WYS19" s="289"/>
      <c r="WYT19" s="289"/>
      <c r="WYU19" s="289"/>
      <c r="WYV19" s="289"/>
      <c r="WYW19" s="289"/>
      <c r="WYX19" s="289"/>
      <c r="WYY19" s="289"/>
      <c r="WYZ19" s="289"/>
      <c r="WZA19" s="289"/>
      <c r="WZB19" s="289"/>
      <c r="WZC19" s="289"/>
      <c r="WZD19" s="289"/>
      <c r="WZE19" s="289"/>
      <c r="WZF19" s="289"/>
      <c r="WZG19" s="289"/>
      <c r="WZH19" s="289"/>
      <c r="WZI19" s="289"/>
      <c r="WZJ19" s="289"/>
      <c r="WZK19" s="289"/>
      <c r="WZL19" s="289"/>
      <c r="WZM19" s="289"/>
      <c r="WZN19" s="289"/>
      <c r="WZO19" s="289"/>
      <c r="WZP19" s="289"/>
      <c r="WZQ19" s="289"/>
      <c r="WZR19" s="289"/>
      <c r="WZS19" s="289"/>
      <c r="WZT19" s="289"/>
      <c r="WZU19" s="289"/>
      <c r="WZV19" s="289"/>
      <c r="WZW19" s="289"/>
      <c r="WZX19" s="289"/>
      <c r="WZY19" s="289"/>
      <c r="WZZ19" s="289"/>
      <c r="XAA19" s="289"/>
      <c r="XAB19" s="289"/>
      <c r="XAC19" s="289"/>
      <c r="XAD19" s="289"/>
      <c r="XAE19" s="289"/>
      <c r="XAF19" s="289"/>
      <c r="XAG19" s="289"/>
      <c r="XAH19" s="289"/>
      <c r="XAI19" s="289"/>
      <c r="XAJ19" s="289"/>
      <c r="XAK19" s="289"/>
      <c r="XAL19" s="289"/>
      <c r="XAM19" s="289"/>
      <c r="XAN19" s="289"/>
      <c r="XAO19" s="289"/>
      <c r="XAP19" s="289"/>
      <c r="XAQ19" s="289"/>
      <c r="XAR19" s="289"/>
      <c r="XAS19" s="289"/>
      <c r="XAT19" s="289"/>
      <c r="XAU19" s="289"/>
      <c r="XAV19" s="289"/>
      <c r="XAW19" s="289"/>
      <c r="XAX19" s="289"/>
      <c r="XAY19" s="289"/>
      <c r="XAZ19" s="289"/>
      <c r="XBA19" s="289"/>
      <c r="XBB19" s="289"/>
      <c r="XBC19" s="289"/>
      <c r="XBD19" s="289"/>
      <c r="XBE19" s="289"/>
      <c r="XBF19" s="289"/>
      <c r="XBG19" s="289"/>
      <c r="XBH19" s="289"/>
      <c r="XBI19" s="289"/>
      <c r="XBJ19" s="289"/>
      <c r="XBK19" s="289"/>
      <c r="XBL19" s="289"/>
      <c r="XBM19" s="289"/>
      <c r="XBN19" s="289"/>
      <c r="XBO19" s="289"/>
      <c r="XBP19" s="289"/>
      <c r="XBQ19" s="289"/>
      <c r="XBR19" s="289"/>
      <c r="XBS19" s="289"/>
      <c r="XBT19" s="289"/>
      <c r="XBU19" s="289"/>
      <c r="XBV19" s="289"/>
      <c r="XBW19" s="289"/>
      <c r="XBX19" s="289"/>
      <c r="XBY19" s="289"/>
      <c r="XBZ19" s="289"/>
      <c r="XCA19" s="289"/>
      <c r="XCB19" s="289"/>
      <c r="XCC19" s="289"/>
      <c r="XCD19" s="289"/>
      <c r="XCE19" s="289"/>
      <c r="XCF19" s="289"/>
      <c r="XCG19" s="289"/>
      <c r="XCH19" s="289"/>
      <c r="XCI19" s="289"/>
      <c r="XCJ19" s="289"/>
      <c r="XCK19" s="289"/>
      <c r="XCL19" s="289"/>
      <c r="XCM19" s="289"/>
      <c r="XCN19" s="289"/>
      <c r="XCO19" s="289"/>
      <c r="XCP19" s="289"/>
      <c r="XCQ19" s="289"/>
      <c r="XCR19" s="289"/>
      <c r="XCS19" s="289"/>
      <c r="XCT19" s="289"/>
      <c r="XCU19" s="289"/>
      <c r="XCV19" s="289"/>
      <c r="XCW19" s="289"/>
      <c r="XCX19" s="289"/>
      <c r="XCY19" s="289"/>
      <c r="XCZ19" s="289"/>
      <c r="XDA19" s="289"/>
      <c r="XDB19" s="289"/>
      <c r="XDC19" s="289"/>
      <c r="XDD19" s="289"/>
      <c r="XDE19" s="289"/>
      <c r="XDF19" s="289"/>
      <c r="XDG19" s="289"/>
      <c r="XDH19" s="289"/>
      <c r="XDI19" s="289"/>
      <c r="XDJ19" s="289"/>
      <c r="XDK19" s="289"/>
      <c r="XDL19" s="289"/>
      <c r="XDM19" s="289"/>
      <c r="XDN19" s="289"/>
      <c r="XDO19" s="289"/>
      <c r="XDP19" s="289"/>
      <c r="XDQ19" s="289"/>
      <c r="XDR19" s="289"/>
      <c r="XDS19" s="289"/>
      <c r="XDT19" s="289"/>
      <c r="XDU19" s="289"/>
      <c r="XDV19" s="289"/>
      <c r="XDW19" s="289"/>
      <c r="XDX19" s="289"/>
      <c r="XDY19" s="289"/>
      <c r="XDZ19" s="289"/>
      <c r="XEA19" s="289"/>
      <c r="XEB19" s="289"/>
      <c r="XEC19" s="289"/>
      <c r="XED19" s="289"/>
      <c r="XEE19" s="289"/>
      <c r="XEF19" s="289"/>
      <c r="XEG19" s="289"/>
      <c r="XEH19" s="289"/>
      <c r="XEI19" s="289"/>
      <c r="XEJ19" s="289"/>
      <c r="XEK19" s="289"/>
      <c r="XEL19" s="289"/>
      <c r="XEM19" s="289"/>
      <c r="XEN19" s="289"/>
      <c r="XEO19" s="289"/>
      <c r="XEP19" s="289"/>
      <c r="XEQ19" s="289"/>
      <c r="XER19" s="289"/>
      <c r="XES19" s="289"/>
      <c r="XET19" s="289"/>
      <c r="XEU19" s="289"/>
      <c r="XEV19" s="289"/>
      <c r="XEW19" s="289"/>
      <c r="XEX19" s="289"/>
      <c r="XEY19" s="289"/>
      <c r="XEZ19" s="289"/>
      <c r="XFA19" s="289"/>
      <c r="XFB19" s="289"/>
      <c r="XFC19" s="289"/>
      <c r="XFD19" s="289"/>
    </row>
    <row r="20" spans="1:16384" hidden="1" outlineLevel="1" x14ac:dyDescent="0.3">
      <c r="A20" s="15">
        <v>19000521</v>
      </c>
      <c r="B20" s="15" t="s">
        <v>434</v>
      </c>
      <c r="C20" s="24" t="s">
        <v>435</v>
      </c>
      <c r="D20" s="24" t="s">
        <v>412</v>
      </c>
      <c r="E20" s="24" t="s">
        <v>215</v>
      </c>
      <c r="F20" s="117">
        <v>-3824755.2916666665</v>
      </c>
      <c r="G20" s="94">
        <f>F20</f>
        <v>-3824755.2916666665</v>
      </c>
      <c r="H20" s="118"/>
      <c r="I20" s="35"/>
      <c r="J20" s="117">
        <v>0</v>
      </c>
      <c r="K20" s="94">
        <f>J20</f>
        <v>0</v>
      </c>
      <c r="L20" s="118"/>
      <c r="M20" s="35"/>
      <c r="N20" s="117"/>
      <c r="O20" s="94">
        <f>N20</f>
        <v>0</v>
      </c>
      <c r="P20" s="118"/>
      <c r="Q20" s="35"/>
      <c r="R20" s="117"/>
      <c r="S20" s="94">
        <f>R20</f>
        <v>0</v>
      </c>
      <c r="T20" s="118"/>
      <c r="U20" s="284"/>
      <c r="V20" s="117"/>
      <c r="W20" s="94">
        <f>V20</f>
        <v>0</v>
      </c>
      <c r="X20" s="118"/>
      <c r="Y20" s="284"/>
      <c r="Z20" s="117"/>
      <c r="AA20" s="94">
        <f>Z20</f>
        <v>0</v>
      </c>
      <c r="AB20" s="118"/>
      <c r="AC20" s="284"/>
      <c r="AD20" s="117"/>
      <c r="AE20" s="94">
        <f>AD20</f>
        <v>0</v>
      </c>
      <c r="AF20" s="118"/>
      <c r="AG20" s="301"/>
      <c r="AH20" s="117"/>
      <c r="AI20" s="94">
        <f>AH20</f>
        <v>0</v>
      </c>
      <c r="AJ20" s="118"/>
      <c r="AK20" s="284"/>
      <c r="AL20" s="117"/>
      <c r="AM20" s="94">
        <f>AL20</f>
        <v>0</v>
      </c>
      <c r="AN20" s="118"/>
      <c r="AO20" s="284"/>
      <c r="AP20" s="117"/>
      <c r="AQ20" s="94">
        <f>AP20</f>
        <v>0</v>
      </c>
      <c r="AR20" s="118"/>
      <c r="AS20" s="284"/>
      <c r="AT20" s="117"/>
      <c r="AU20" s="94">
        <f>AT20</f>
        <v>0</v>
      </c>
      <c r="AV20" s="118"/>
      <c r="AW20" s="284"/>
    </row>
    <row r="21" spans="1:16384" hidden="1" outlineLevel="1" x14ac:dyDescent="0.3">
      <c r="A21" s="290">
        <v>19000553</v>
      </c>
      <c r="B21" s="15" t="s">
        <v>436</v>
      </c>
      <c r="C21" s="24" t="s">
        <v>421</v>
      </c>
      <c r="D21" s="24" t="s">
        <v>412</v>
      </c>
      <c r="E21" s="24" t="s">
        <v>422</v>
      </c>
      <c r="F21" s="117">
        <v>47000</v>
      </c>
      <c r="G21" s="94">
        <f>F21*$G$3</f>
        <v>30371.4</v>
      </c>
      <c r="H21" s="118">
        <f>F21*$H$3</f>
        <v>16628.599999999999</v>
      </c>
      <c r="I21" s="35"/>
      <c r="J21" s="117">
        <v>628000</v>
      </c>
      <c r="K21" s="94">
        <f>J21*$K$3</f>
        <v>406881.2</v>
      </c>
      <c r="L21" s="118">
        <f>J21*$L$3</f>
        <v>221118.80000000002</v>
      </c>
      <c r="M21" s="35"/>
      <c r="N21" s="117">
        <v>688889.70833333337</v>
      </c>
      <c r="O21" s="94">
        <f>N21*$O$3</f>
        <v>458180.54501250002</v>
      </c>
      <c r="P21" s="118">
        <f>N21*$P$3</f>
        <v>230709.16332083332</v>
      </c>
      <c r="Q21" s="35"/>
      <c r="R21" s="117">
        <v>602357.5</v>
      </c>
      <c r="S21" s="94">
        <f>R21*$S$3</f>
        <v>397254.77124999999</v>
      </c>
      <c r="T21" s="118">
        <f>R21*$T$3</f>
        <v>205102.72875000001</v>
      </c>
      <c r="U21" s="284"/>
      <c r="V21" s="117">
        <v>517750.27250000002</v>
      </c>
      <c r="W21" s="94">
        <f>V21*$W$3</f>
        <v>347462.20787475002</v>
      </c>
      <c r="X21" s="118">
        <f>V21*$X$3</f>
        <v>170288.06462525003</v>
      </c>
      <c r="Y21" s="284"/>
      <c r="Z21" s="117">
        <v>432638.56916666677</v>
      </c>
      <c r="AA21" s="94">
        <f>Z21*$AA$3</f>
        <v>294107.69931950007</v>
      </c>
      <c r="AB21" s="118">
        <f>Z21*$AB$3</f>
        <v>138530.8698471667</v>
      </c>
      <c r="AC21" s="284"/>
      <c r="AD21" s="117">
        <v>347529.35000000003</v>
      </c>
      <c r="AE21" s="94">
        <f>AD21*$AE$3</f>
        <v>238231.36942500001</v>
      </c>
      <c r="AF21" s="118">
        <f>AD21*$AF$3</f>
        <v>109297.98057500001</v>
      </c>
      <c r="AG21" s="301"/>
      <c r="AH21" s="117">
        <v>262420.12833333336</v>
      </c>
      <c r="AI21" s="94">
        <f>AH21*$AI$3</f>
        <v>179521.60979283336</v>
      </c>
      <c r="AJ21" s="118">
        <f>AH21*$AJ$3</f>
        <v>82898.518540500008</v>
      </c>
      <c r="AK21" s="284"/>
      <c r="AL21" s="117">
        <v>177310.91166666665</v>
      </c>
      <c r="AM21" s="94">
        <f>AL21*$AM$3</f>
        <v>118390.49571983331</v>
      </c>
      <c r="AN21" s="118">
        <f>AL21*$AN$3</f>
        <v>58920.415946833324</v>
      </c>
      <c r="AO21" s="284"/>
      <c r="AP21" s="117">
        <v>92201.689166666663</v>
      </c>
      <c r="AQ21" s="94">
        <f>AP21*$AQ$3</f>
        <v>60475.087924416664</v>
      </c>
      <c r="AR21" s="118">
        <f>AP21*$AR$3</f>
        <v>31726.601242249999</v>
      </c>
      <c r="AS21" s="284"/>
      <c r="AT21" s="117">
        <v>28547.092083333333</v>
      </c>
      <c r="AU21" s="94">
        <f>AT21*$AU$3</f>
        <v>18895.320249958335</v>
      </c>
      <c r="AV21" s="118">
        <f>AT21*$AV$3</f>
        <v>9651.7718333749999</v>
      </c>
      <c r="AW21" s="284"/>
    </row>
    <row r="22" spans="1:16384" hidden="1" outlineLevel="1" x14ac:dyDescent="0.3">
      <c r="A22" s="15">
        <v>19000561</v>
      </c>
      <c r="B22" s="15" t="s">
        <v>437</v>
      </c>
      <c r="C22" s="24" t="s">
        <v>438</v>
      </c>
      <c r="D22" s="24" t="s">
        <v>412</v>
      </c>
      <c r="E22" s="24" t="s">
        <v>215</v>
      </c>
      <c r="F22" s="117">
        <v>292791.66666666669</v>
      </c>
      <c r="G22" s="94">
        <f>F22</f>
        <v>292791.66666666669</v>
      </c>
      <c r="H22" s="118"/>
      <c r="I22" s="35"/>
      <c r="J22" s="117">
        <v>678500</v>
      </c>
      <c r="K22" s="94">
        <f>J22</f>
        <v>678500</v>
      </c>
      <c r="L22" s="118"/>
      <c r="M22" s="35"/>
      <c r="N22" s="117">
        <v>177123.5</v>
      </c>
      <c r="O22" s="94">
        <f>N22</f>
        <v>177123.5</v>
      </c>
      <c r="P22" s="118"/>
      <c r="Q22" s="35"/>
      <c r="R22" s="117"/>
      <c r="S22" s="94">
        <f>R22</f>
        <v>0</v>
      </c>
      <c r="T22" s="118"/>
      <c r="U22" s="284"/>
      <c r="V22" s="117"/>
      <c r="W22" s="94">
        <f>V22</f>
        <v>0</v>
      </c>
      <c r="X22" s="118"/>
      <c r="Y22" s="284"/>
      <c r="Z22" s="117"/>
      <c r="AA22" s="94">
        <f>Z22</f>
        <v>0</v>
      </c>
      <c r="AB22" s="118"/>
      <c r="AC22" s="284"/>
      <c r="AD22" s="117"/>
      <c r="AE22" s="94">
        <f>AD22</f>
        <v>0</v>
      </c>
      <c r="AF22" s="118"/>
      <c r="AH22" s="117"/>
      <c r="AI22" s="94">
        <f>AH22</f>
        <v>0</v>
      </c>
      <c r="AJ22" s="118"/>
      <c r="AK22" s="284"/>
      <c r="AL22" s="117"/>
      <c r="AM22" s="94">
        <f>AL22</f>
        <v>0</v>
      </c>
      <c r="AN22" s="118"/>
      <c r="AO22" s="284"/>
      <c r="AP22" s="117"/>
      <c r="AQ22" s="94">
        <f>AP22</f>
        <v>0</v>
      </c>
      <c r="AR22" s="118"/>
      <c r="AS22" s="284"/>
      <c r="AT22" s="117"/>
      <c r="AU22" s="94">
        <f>AT22</f>
        <v>0</v>
      </c>
      <c r="AV22" s="118"/>
      <c r="AW22" s="284"/>
    </row>
    <row r="23" spans="1:16384" hidden="1" outlineLevel="1" x14ac:dyDescent="0.3">
      <c r="A23" s="15">
        <v>19000573</v>
      </c>
      <c r="B23" s="15" t="s">
        <v>439</v>
      </c>
      <c r="C23" s="24" t="s">
        <v>440</v>
      </c>
      <c r="D23" s="24" t="s">
        <v>412</v>
      </c>
      <c r="E23" s="24" t="s">
        <v>422</v>
      </c>
      <c r="F23" s="117"/>
      <c r="G23" s="94"/>
      <c r="H23" s="118"/>
      <c r="I23" s="35"/>
      <c r="J23" s="117"/>
      <c r="K23" s="94"/>
      <c r="L23" s="118"/>
      <c r="M23" s="35"/>
      <c r="N23" s="117"/>
      <c r="O23" s="94"/>
      <c r="P23" s="118"/>
      <c r="Q23" s="35"/>
      <c r="R23" s="117">
        <v>377626.41666666669</v>
      </c>
      <c r="S23" s="94">
        <f>R23*$S$3</f>
        <v>249044.62179166666</v>
      </c>
      <c r="T23" s="118">
        <f>R23*$T$3</f>
        <v>128581.79487500002</v>
      </c>
      <c r="U23" s="284"/>
      <c r="V23" s="117">
        <v>433869.49750000006</v>
      </c>
      <c r="W23" s="94">
        <f>V23*$W$3</f>
        <v>291169.81977225008</v>
      </c>
      <c r="X23" s="118">
        <f>V23*$X$3</f>
        <v>142699.67772775004</v>
      </c>
      <c r="Y23" s="284"/>
      <c r="Z23" s="117">
        <v>385660.22208333336</v>
      </c>
      <c r="AA23" s="94">
        <f>Z23*$AA$3</f>
        <v>262171.81897224998</v>
      </c>
      <c r="AB23" s="118">
        <f>Z23*$AB$3</f>
        <v>123488.40311108333</v>
      </c>
      <c r="AC23" s="284"/>
      <c r="AD23" s="117">
        <v>337452.71083333337</v>
      </c>
      <c r="AE23" s="94">
        <f>AD23*$AE$3</f>
        <v>231323.83327625002</v>
      </c>
      <c r="AF23" s="118">
        <f>AD23*$AF$3</f>
        <v>106128.87755708335</v>
      </c>
      <c r="AH23" s="117">
        <v>289245.1933333333</v>
      </c>
      <c r="AI23" s="94">
        <f>AH23*$AI$3</f>
        <v>197872.63675933331</v>
      </c>
      <c r="AJ23" s="118">
        <f>AH23*$AJ$3</f>
        <v>91372.556573999987</v>
      </c>
      <c r="AK23" s="284"/>
      <c r="AL23" s="117">
        <v>241037.67333333334</v>
      </c>
      <c r="AM23" s="94">
        <f>AL23*$AM$3</f>
        <v>160940.85448466666</v>
      </c>
      <c r="AN23" s="118">
        <f>AL23*$AN$3</f>
        <v>80096.818848666662</v>
      </c>
      <c r="AO23" s="284"/>
      <c r="AP23" s="117">
        <v>192830.15083333335</v>
      </c>
      <c r="AQ23" s="94">
        <f>AP23*$AQ$3</f>
        <v>126477.29593158334</v>
      </c>
      <c r="AR23" s="118">
        <f>AP23*$AR$3</f>
        <v>66352.854901750005</v>
      </c>
      <c r="AS23" s="284"/>
      <c r="AT23" s="117">
        <v>154264.13708333336</v>
      </c>
      <c r="AU23" s="94">
        <f>AT23*$AU$3</f>
        <v>102107.43233545836</v>
      </c>
      <c r="AV23" s="118">
        <f>AT23*$AV$3</f>
        <v>52156.70474787501</v>
      </c>
      <c r="AW23" s="284"/>
    </row>
    <row r="24" spans="1:16384" hidden="1" outlineLevel="1" x14ac:dyDescent="0.3">
      <c r="A24" s="15">
        <v>19000592</v>
      </c>
      <c r="B24" s="15" t="s">
        <v>441</v>
      </c>
      <c r="C24" s="24" t="s">
        <v>430</v>
      </c>
      <c r="D24" s="24" t="s">
        <v>412</v>
      </c>
      <c r="E24" s="24" t="s">
        <v>216</v>
      </c>
      <c r="F24" s="117">
        <v>1587074</v>
      </c>
      <c r="G24" s="94">
        <f>F24</f>
        <v>1587074</v>
      </c>
      <c r="H24" s="118"/>
      <c r="I24" s="35"/>
      <c r="J24" s="117">
        <v>2401324</v>
      </c>
      <c r="K24" s="94"/>
      <c r="L24" s="118">
        <f>J24</f>
        <v>2401324</v>
      </c>
      <c r="M24" s="35"/>
      <c r="N24" s="117">
        <v>3075789</v>
      </c>
      <c r="O24" s="94"/>
      <c r="P24" s="118">
        <f>N24</f>
        <v>3075789</v>
      </c>
      <c r="Q24" s="35"/>
      <c r="R24" s="117">
        <v>3188975.5416666665</v>
      </c>
      <c r="S24" s="94"/>
      <c r="T24" s="118">
        <f>R24</f>
        <v>3188975.5416666665</v>
      </c>
      <c r="U24" s="284"/>
      <c r="V24" s="117">
        <v>3281689.1212499999</v>
      </c>
      <c r="W24" s="94"/>
      <c r="X24" s="118">
        <f>V24</f>
        <v>3281689.1212499999</v>
      </c>
      <c r="Y24" s="284"/>
      <c r="Z24" s="117">
        <v>3435977.5987500004</v>
      </c>
      <c r="AA24" s="94"/>
      <c r="AB24" s="118">
        <f>Z24</f>
        <v>3435977.5987500004</v>
      </c>
      <c r="AC24" s="284"/>
      <c r="AD24" s="117">
        <v>3666249.7266666666</v>
      </c>
      <c r="AE24" s="94"/>
      <c r="AF24" s="118">
        <f>AD24</f>
        <v>3666249.7266666666</v>
      </c>
      <c r="AH24" s="117">
        <v>3781146.1391666667</v>
      </c>
      <c r="AI24" s="94"/>
      <c r="AJ24" s="118">
        <f>AH24</f>
        <v>3781146.1391666667</v>
      </c>
      <c r="AK24" s="284"/>
      <c r="AL24" s="117">
        <v>3850659.3099999991</v>
      </c>
      <c r="AM24" s="94"/>
      <c r="AN24" s="118">
        <f>AL24</f>
        <v>3850659.3099999991</v>
      </c>
      <c r="AO24" s="284"/>
      <c r="AP24" s="117">
        <v>3758151.762083333</v>
      </c>
      <c r="AQ24" s="94"/>
      <c r="AR24" s="118">
        <f>AP24</f>
        <v>3758151.762083333</v>
      </c>
      <c r="AS24" s="284"/>
      <c r="AT24" s="117">
        <v>96261.067916666667</v>
      </c>
      <c r="AU24" s="94"/>
      <c r="AV24" s="118">
        <f>AT24</f>
        <v>96261.067916666667</v>
      </c>
      <c r="AW24" s="284"/>
    </row>
    <row r="25" spans="1:16384" hidden="1" outlineLevel="1" x14ac:dyDescent="0.3">
      <c r="A25" s="15">
        <v>19000662</v>
      </c>
      <c r="B25" s="15" t="s">
        <v>442</v>
      </c>
      <c r="C25" s="158">
        <v>10</v>
      </c>
      <c r="D25" s="24" t="s">
        <v>412</v>
      </c>
      <c r="E25" s="158" t="s">
        <v>216</v>
      </c>
      <c r="F25" s="117">
        <v>-678112.83333333337</v>
      </c>
      <c r="G25" s="94"/>
      <c r="H25" s="118">
        <f>F25</f>
        <v>-678112.83333333337</v>
      </c>
      <c r="I25" s="35"/>
      <c r="J25" s="117">
        <v>0</v>
      </c>
      <c r="K25" s="94"/>
      <c r="L25" s="118">
        <f>J25</f>
        <v>0</v>
      </c>
      <c r="M25" s="35"/>
      <c r="N25" s="117">
        <v>0</v>
      </c>
      <c r="O25" s="94"/>
      <c r="P25" s="118">
        <f>N25</f>
        <v>0</v>
      </c>
      <c r="Q25" s="35"/>
      <c r="R25" s="117"/>
      <c r="S25" s="94"/>
      <c r="T25" s="118">
        <f>R25</f>
        <v>0</v>
      </c>
      <c r="U25" s="284"/>
      <c r="V25" s="117"/>
      <c r="W25" s="94"/>
      <c r="X25" s="118">
        <f>V25</f>
        <v>0</v>
      </c>
      <c r="Y25" s="284"/>
      <c r="Z25" s="117"/>
      <c r="AA25" s="94"/>
      <c r="AB25" s="118">
        <f>Z25</f>
        <v>0</v>
      </c>
      <c r="AC25" s="284"/>
      <c r="AD25" s="117"/>
      <c r="AE25" s="94"/>
      <c r="AF25" s="118">
        <f>AD25</f>
        <v>0</v>
      </c>
      <c r="AH25" s="117"/>
      <c r="AI25" s="94"/>
      <c r="AJ25" s="118">
        <f>AH25</f>
        <v>0</v>
      </c>
      <c r="AK25" s="284"/>
      <c r="AL25" s="117"/>
      <c r="AM25" s="94"/>
      <c r="AN25" s="118">
        <f>AL25</f>
        <v>0</v>
      </c>
      <c r="AO25" s="284"/>
      <c r="AP25" s="117"/>
      <c r="AQ25" s="94"/>
      <c r="AR25" s="118">
        <f>AP25</f>
        <v>0</v>
      </c>
      <c r="AS25" s="284"/>
      <c r="AT25" s="117"/>
      <c r="AU25" s="94"/>
      <c r="AV25" s="118">
        <f>AT25</f>
        <v>0</v>
      </c>
      <c r="AW25" s="284"/>
    </row>
    <row r="26" spans="1:16384" hidden="1" outlineLevel="1" x14ac:dyDescent="0.3">
      <c r="A26" s="15">
        <v>19000701</v>
      </c>
      <c r="B26" s="15" t="s">
        <v>443</v>
      </c>
      <c r="C26" s="24" t="s">
        <v>444</v>
      </c>
      <c r="D26" s="24" t="s">
        <v>412</v>
      </c>
      <c r="E26" s="24" t="s">
        <v>215</v>
      </c>
      <c r="F26" s="117">
        <v>897535.875</v>
      </c>
      <c r="G26" s="94">
        <f>F26</f>
        <v>897535.875</v>
      </c>
      <c r="H26" s="118"/>
      <c r="I26" s="35"/>
      <c r="J26" s="117">
        <v>-1468398.5416666667</v>
      </c>
      <c r="K26" s="94">
        <f>J26</f>
        <v>-1468398.5416666667</v>
      </c>
      <c r="L26" s="118"/>
      <c r="M26" s="35"/>
      <c r="N26" s="117"/>
      <c r="O26" s="94">
        <f>N26</f>
        <v>0</v>
      </c>
      <c r="P26" s="118"/>
      <c r="Q26" s="35"/>
      <c r="R26" s="117"/>
      <c r="S26" s="94">
        <f>R26</f>
        <v>0</v>
      </c>
      <c r="T26" s="118"/>
      <c r="U26" s="284"/>
      <c r="V26" s="117"/>
      <c r="W26" s="94">
        <f>V26</f>
        <v>0</v>
      </c>
      <c r="X26" s="118"/>
      <c r="Y26" s="284"/>
      <c r="Z26" s="117"/>
      <c r="AA26" s="94">
        <f>Z26</f>
        <v>0</v>
      </c>
      <c r="AB26" s="118"/>
      <c r="AC26" s="284"/>
      <c r="AD26" s="117"/>
      <c r="AE26" s="94">
        <f>AD26</f>
        <v>0</v>
      </c>
      <c r="AF26" s="118"/>
      <c r="AH26" s="117"/>
      <c r="AI26" s="94">
        <f>AH26</f>
        <v>0</v>
      </c>
      <c r="AJ26" s="118"/>
      <c r="AK26" s="284"/>
      <c r="AL26" s="117"/>
      <c r="AM26" s="94">
        <f>AL26</f>
        <v>0</v>
      </c>
      <c r="AN26" s="118"/>
      <c r="AO26" s="284"/>
      <c r="AP26" s="117"/>
      <c r="AQ26" s="94">
        <f>AP26</f>
        <v>0</v>
      </c>
      <c r="AR26" s="118"/>
      <c r="AS26" s="284"/>
      <c r="AT26" s="117"/>
      <c r="AU26" s="94">
        <f>AT26</f>
        <v>0</v>
      </c>
      <c r="AV26" s="118"/>
      <c r="AW26" s="284"/>
    </row>
    <row r="27" spans="1:16384" hidden="1" outlineLevel="1" x14ac:dyDescent="0.3">
      <c r="A27" s="15">
        <v>19000702</v>
      </c>
      <c r="B27" s="15" t="s">
        <v>445</v>
      </c>
      <c r="C27" s="158">
        <v>10</v>
      </c>
      <c r="D27" s="24" t="s">
        <v>412</v>
      </c>
      <c r="E27" s="158" t="s">
        <v>216</v>
      </c>
      <c r="F27" s="117">
        <v>621138.04166666663</v>
      </c>
      <c r="G27" s="94"/>
      <c r="H27" s="118">
        <f>F27</f>
        <v>621138.04166666663</v>
      </c>
      <c r="I27" s="35"/>
      <c r="J27" s="117">
        <v>-1016148.875</v>
      </c>
      <c r="K27" s="94"/>
      <c r="L27" s="118">
        <f>J27</f>
        <v>-1016148.875</v>
      </c>
      <c r="M27" s="35"/>
      <c r="N27" s="117"/>
      <c r="O27" s="94"/>
      <c r="P27" s="118">
        <f>N27</f>
        <v>0</v>
      </c>
      <c r="Q27" s="35"/>
      <c r="R27" s="117"/>
      <c r="S27" s="94"/>
      <c r="T27" s="118">
        <f>R27</f>
        <v>0</v>
      </c>
      <c r="U27" s="284"/>
      <c r="V27" s="117"/>
      <c r="W27" s="94"/>
      <c r="X27" s="118">
        <f>V27</f>
        <v>0</v>
      </c>
      <c r="Y27" s="284"/>
      <c r="Z27" s="117"/>
      <c r="AA27" s="94"/>
      <c r="AB27" s="118">
        <f>Z27</f>
        <v>0</v>
      </c>
      <c r="AC27" s="284"/>
      <c r="AD27" s="117"/>
      <c r="AE27" s="94"/>
      <c r="AF27" s="118">
        <f>AD27</f>
        <v>0</v>
      </c>
      <c r="AH27" s="117"/>
      <c r="AI27" s="94"/>
      <c r="AJ27" s="118">
        <f>AH27</f>
        <v>0</v>
      </c>
      <c r="AK27" s="284"/>
      <c r="AL27" s="117"/>
      <c r="AM27" s="94"/>
      <c r="AN27" s="118">
        <f>AL27</f>
        <v>0</v>
      </c>
      <c r="AO27" s="284"/>
      <c r="AP27" s="117"/>
      <c r="AQ27" s="94"/>
      <c r="AR27" s="118">
        <f>AP27</f>
        <v>0</v>
      </c>
      <c r="AS27" s="284"/>
      <c r="AT27" s="117"/>
      <c r="AU27" s="94"/>
      <c r="AV27" s="118">
        <f>AT27</f>
        <v>0</v>
      </c>
      <c r="AW27" s="284"/>
    </row>
    <row r="28" spans="1:16384" hidden="1" outlineLevel="1" x14ac:dyDescent="0.3">
      <c r="A28" s="15">
        <v>19000711</v>
      </c>
      <c r="B28" s="15" t="s">
        <v>446</v>
      </c>
      <c r="C28" s="24" t="s">
        <v>447</v>
      </c>
      <c r="D28" s="24" t="s">
        <v>412</v>
      </c>
      <c r="E28" s="24" t="s">
        <v>215</v>
      </c>
      <c r="F28" s="117"/>
      <c r="G28" s="94"/>
      <c r="H28" s="118"/>
      <c r="I28" s="35"/>
      <c r="J28" s="117"/>
      <c r="K28" s="94"/>
      <c r="L28" s="118"/>
      <c r="M28" s="35"/>
      <c r="N28" s="117">
        <v>1234859</v>
      </c>
      <c r="O28" s="94">
        <f>N28</f>
        <v>1234859</v>
      </c>
      <c r="P28" s="118"/>
      <c r="Q28" s="35"/>
      <c r="R28" s="117">
        <v>1379906.125</v>
      </c>
      <c r="S28" s="94">
        <f>R28</f>
        <v>1379906.125</v>
      </c>
      <c r="T28" s="118"/>
      <c r="U28" s="284"/>
      <c r="V28" s="117">
        <v>1191737.3120833335</v>
      </c>
      <c r="W28" s="94">
        <f>V28</f>
        <v>1191737.3120833335</v>
      </c>
      <c r="X28" s="118"/>
      <c r="Y28" s="284"/>
      <c r="Z28" s="117">
        <v>1003568.9116666666</v>
      </c>
      <c r="AA28" s="94">
        <f>Z28</f>
        <v>1003568.9116666666</v>
      </c>
      <c r="AB28" s="118"/>
      <c r="AC28" s="284"/>
      <c r="AD28" s="117">
        <v>815399.75166666659</v>
      </c>
      <c r="AE28" s="94">
        <f>AD28</f>
        <v>815399.75166666659</v>
      </c>
      <c r="AF28" s="118"/>
      <c r="AH28" s="117">
        <v>627230.59166666667</v>
      </c>
      <c r="AI28" s="94">
        <f>AH28</f>
        <v>627230.59166666667</v>
      </c>
      <c r="AJ28" s="118"/>
      <c r="AK28" s="284"/>
      <c r="AL28" s="117">
        <v>439061.4316666667</v>
      </c>
      <c r="AM28" s="94">
        <f>AL28</f>
        <v>439061.4316666667</v>
      </c>
      <c r="AN28" s="118"/>
      <c r="AO28" s="284"/>
      <c r="AP28" s="117">
        <v>250892.2716666667</v>
      </c>
      <c r="AQ28" s="94">
        <f>AP28</f>
        <v>250892.2716666667</v>
      </c>
      <c r="AR28" s="118"/>
      <c r="AS28" s="284"/>
      <c r="AT28" s="117">
        <v>101925.00041666668</v>
      </c>
      <c r="AU28" s="94">
        <f>AT28</f>
        <v>101925.00041666668</v>
      </c>
      <c r="AV28" s="118"/>
      <c r="AW28" s="284"/>
    </row>
    <row r="29" spans="1:16384" hidden="1" outlineLevel="1" x14ac:dyDescent="0.3">
      <c r="A29" s="15">
        <v>19002003</v>
      </c>
      <c r="B29" s="15" t="s">
        <v>448</v>
      </c>
      <c r="C29" s="24" t="s">
        <v>428</v>
      </c>
      <c r="D29" s="24" t="s">
        <v>412</v>
      </c>
      <c r="E29" s="24" t="s">
        <v>422</v>
      </c>
      <c r="F29" s="285"/>
      <c r="G29" s="286"/>
      <c r="H29" s="287"/>
      <c r="I29" s="288"/>
      <c r="J29" s="285"/>
      <c r="K29" s="286"/>
      <c r="L29" s="287"/>
      <c r="M29" s="288"/>
      <c r="N29" s="285"/>
      <c r="O29" s="286"/>
      <c r="P29" s="287"/>
      <c r="Q29" s="288"/>
      <c r="R29" s="285"/>
      <c r="S29" s="286"/>
      <c r="T29" s="287"/>
      <c r="U29" s="288"/>
      <c r="V29" s="285"/>
      <c r="W29" s="286"/>
      <c r="X29" s="287"/>
      <c r="Y29" s="288"/>
      <c r="Z29" s="285">
        <v>5118750</v>
      </c>
      <c r="AA29" s="286">
        <v>3828471.1943719797</v>
      </c>
      <c r="AB29" s="287">
        <f>Z29-AA29</f>
        <v>1290278.8056280203</v>
      </c>
      <c r="AC29" s="288"/>
      <c r="AD29" s="285">
        <v>124352083.33333333</v>
      </c>
      <c r="AE29" s="286">
        <v>94749367.791757926</v>
      </c>
      <c r="AF29" s="287">
        <f>AD29-AE29</f>
        <v>29602715.541575402</v>
      </c>
      <c r="AG29" s="15"/>
      <c r="AH29" s="285">
        <v>127305010.10333334</v>
      </c>
      <c r="AI29" s="286">
        <v>102042034.0910434</v>
      </c>
      <c r="AJ29" s="287">
        <f>AH29-AI29</f>
        <v>25262976.012289941</v>
      </c>
      <c r="AK29" s="288"/>
      <c r="AL29" s="285">
        <v>80688397.952083334</v>
      </c>
      <c r="AM29" s="286">
        <v>68926239.55168362</v>
      </c>
      <c r="AN29" s="287">
        <f>AL29-AM29</f>
        <v>11762158.400399715</v>
      </c>
      <c r="AO29" s="288"/>
      <c r="AP29" s="285">
        <v>17000497.870416667</v>
      </c>
      <c r="AQ29" s="286">
        <v>14522290.917339643</v>
      </c>
      <c r="AR29" s="287">
        <f>AP29-AQ29</f>
        <v>2478206.9530770238</v>
      </c>
      <c r="AS29" s="288"/>
      <c r="AT29" s="285"/>
      <c r="AU29" s="286"/>
      <c r="AV29" s="287"/>
      <c r="AW29" s="288"/>
      <c r="AX29" s="289"/>
      <c r="AY29" s="289"/>
      <c r="AZ29" s="289"/>
      <c r="BA29" s="289"/>
      <c r="BB29" s="289"/>
      <c r="BC29" s="289"/>
      <c r="BD29" s="289"/>
      <c r="BE29" s="289"/>
      <c r="BF29" s="289"/>
      <c r="BG29" s="289"/>
      <c r="BH29" s="289"/>
      <c r="BI29" s="289"/>
      <c r="BJ29" s="289"/>
      <c r="BK29" s="289"/>
      <c r="BL29" s="289"/>
      <c r="BM29" s="289"/>
      <c r="BN29" s="289"/>
      <c r="BO29" s="289"/>
      <c r="BP29" s="289"/>
      <c r="BQ29" s="289"/>
      <c r="BR29" s="289"/>
      <c r="BS29" s="289"/>
      <c r="BT29" s="289"/>
      <c r="BU29" s="289"/>
      <c r="BV29" s="289"/>
      <c r="BW29" s="289"/>
      <c r="BX29" s="289"/>
      <c r="BY29" s="289"/>
      <c r="BZ29" s="289"/>
      <c r="CA29" s="289"/>
      <c r="CB29" s="289"/>
      <c r="CC29" s="289"/>
      <c r="CD29" s="289"/>
      <c r="CE29" s="289"/>
      <c r="CF29" s="289"/>
      <c r="CG29" s="289"/>
      <c r="CH29" s="289"/>
      <c r="CI29" s="289"/>
      <c r="CJ29" s="289"/>
      <c r="CK29" s="289"/>
      <c r="CL29" s="289"/>
      <c r="CM29" s="289"/>
      <c r="CN29" s="289"/>
      <c r="CO29" s="289"/>
      <c r="CP29" s="289"/>
      <c r="CQ29" s="289"/>
      <c r="CR29" s="289"/>
      <c r="CS29" s="289"/>
      <c r="CT29" s="289"/>
      <c r="CU29" s="289"/>
      <c r="CV29" s="289"/>
      <c r="CW29" s="289"/>
      <c r="CX29" s="289"/>
      <c r="CY29" s="289"/>
      <c r="CZ29" s="289"/>
      <c r="DA29" s="289"/>
      <c r="DB29" s="289"/>
      <c r="DC29" s="289"/>
      <c r="DD29" s="289"/>
      <c r="DE29" s="289"/>
      <c r="DF29" s="289"/>
      <c r="DG29" s="289"/>
      <c r="DH29" s="289"/>
      <c r="DI29" s="289"/>
      <c r="DJ29" s="289"/>
      <c r="DK29" s="289"/>
      <c r="DL29" s="289"/>
      <c r="DM29" s="289"/>
      <c r="DN29" s="289"/>
      <c r="DO29" s="289"/>
      <c r="DP29" s="289"/>
      <c r="DQ29" s="289"/>
      <c r="DR29" s="289"/>
      <c r="DS29" s="289"/>
      <c r="DT29" s="289"/>
      <c r="DU29" s="289"/>
      <c r="DV29" s="289"/>
      <c r="DW29" s="289"/>
      <c r="DX29" s="289"/>
      <c r="DY29" s="289"/>
      <c r="DZ29" s="289"/>
      <c r="EA29" s="289"/>
      <c r="EB29" s="289"/>
      <c r="EC29" s="289"/>
      <c r="ED29" s="289"/>
      <c r="EE29" s="289"/>
      <c r="EF29" s="289"/>
      <c r="EG29" s="289"/>
      <c r="EH29" s="289"/>
      <c r="EI29" s="289"/>
      <c r="EJ29" s="289"/>
      <c r="EK29" s="289"/>
      <c r="EL29" s="289"/>
      <c r="EM29" s="289"/>
      <c r="EN29" s="289"/>
      <c r="EO29" s="289"/>
      <c r="EP29" s="289"/>
      <c r="EQ29" s="289"/>
      <c r="ER29" s="289"/>
      <c r="ES29" s="289"/>
      <c r="ET29" s="289"/>
      <c r="EU29" s="289"/>
      <c r="EV29" s="289"/>
      <c r="EW29" s="289"/>
      <c r="EX29" s="289"/>
      <c r="EY29" s="289"/>
      <c r="EZ29" s="289"/>
      <c r="FA29" s="289"/>
      <c r="FB29" s="289"/>
      <c r="FC29" s="289"/>
      <c r="FD29" s="289"/>
      <c r="FE29" s="289"/>
      <c r="FF29" s="289"/>
      <c r="FG29" s="289"/>
      <c r="FH29" s="289"/>
      <c r="FI29" s="289"/>
      <c r="FJ29" s="289"/>
      <c r="FK29" s="289"/>
      <c r="FL29" s="289"/>
      <c r="FM29" s="289"/>
      <c r="FN29" s="289"/>
      <c r="FO29" s="289"/>
      <c r="FP29" s="289"/>
      <c r="FQ29" s="289"/>
      <c r="FR29" s="289"/>
      <c r="FS29" s="289"/>
      <c r="FT29" s="289"/>
      <c r="FU29" s="289"/>
      <c r="FV29" s="289"/>
      <c r="FW29" s="289"/>
      <c r="FX29" s="289"/>
      <c r="FY29" s="289"/>
      <c r="FZ29" s="289"/>
      <c r="GA29" s="289"/>
      <c r="GB29" s="289"/>
      <c r="GC29" s="289"/>
      <c r="GD29" s="289"/>
      <c r="GE29" s="289"/>
      <c r="GF29" s="289"/>
      <c r="GG29" s="289"/>
      <c r="GH29" s="289"/>
      <c r="GI29" s="289"/>
      <c r="GJ29" s="289"/>
      <c r="GK29" s="289"/>
      <c r="GL29" s="289"/>
      <c r="GM29" s="289"/>
      <c r="GN29" s="289"/>
      <c r="GO29" s="289"/>
      <c r="GP29" s="289"/>
      <c r="GQ29" s="289"/>
      <c r="GR29" s="289"/>
      <c r="GS29" s="289"/>
      <c r="GT29" s="289"/>
      <c r="GU29" s="289"/>
      <c r="GV29" s="289"/>
      <c r="GW29" s="289"/>
      <c r="GX29" s="289"/>
      <c r="GY29" s="289"/>
      <c r="GZ29" s="289"/>
      <c r="HA29" s="289"/>
      <c r="HB29" s="289"/>
      <c r="HC29" s="289"/>
      <c r="HD29" s="289"/>
      <c r="HE29" s="289"/>
      <c r="HF29" s="289"/>
      <c r="HG29" s="289"/>
      <c r="HH29" s="289"/>
      <c r="HI29" s="289"/>
      <c r="HJ29" s="289"/>
      <c r="HK29" s="289"/>
      <c r="HL29" s="289"/>
      <c r="HM29" s="289"/>
      <c r="HN29" s="289"/>
      <c r="HO29" s="289"/>
      <c r="HP29" s="289"/>
      <c r="HQ29" s="289"/>
      <c r="HR29" s="289"/>
      <c r="HS29" s="289"/>
      <c r="HT29" s="289"/>
      <c r="HU29" s="289"/>
      <c r="HV29" s="289"/>
      <c r="HW29" s="289"/>
      <c r="HX29" s="289"/>
      <c r="HY29" s="289"/>
      <c r="HZ29" s="289"/>
      <c r="IA29" s="289"/>
      <c r="IB29" s="289"/>
      <c r="IC29" s="289"/>
      <c r="ID29" s="289"/>
      <c r="IE29" s="289"/>
      <c r="IF29" s="289"/>
      <c r="IG29" s="289"/>
      <c r="IH29" s="289"/>
      <c r="II29" s="289"/>
      <c r="IJ29" s="289"/>
      <c r="IK29" s="289"/>
      <c r="IL29" s="289"/>
      <c r="IM29" s="289"/>
      <c r="IN29" s="289"/>
      <c r="IO29" s="289"/>
      <c r="IP29" s="289"/>
      <c r="IQ29" s="289"/>
      <c r="IR29" s="289"/>
      <c r="IS29" s="289"/>
      <c r="IT29" s="289"/>
      <c r="IU29" s="289"/>
      <c r="IV29" s="289"/>
      <c r="IW29" s="289"/>
      <c r="IX29" s="289"/>
      <c r="IY29" s="289"/>
      <c r="IZ29" s="289"/>
      <c r="JA29" s="289"/>
      <c r="JB29" s="289"/>
      <c r="JC29" s="289"/>
      <c r="JD29" s="289"/>
      <c r="JE29" s="289"/>
      <c r="JF29" s="289"/>
      <c r="JG29" s="289"/>
      <c r="JH29" s="289"/>
      <c r="JI29" s="289"/>
      <c r="JJ29" s="289"/>
      <c r="JK29" s="289"/>
      <c r="JL29" s="289"/>
      <c r="JM29" s="289"/>
      <c r="JN29" s="289"/>
      <c r="JO29" s="289"/>
      <c r="JP29" s="289"/>
      <c r="JQ29" s="289"/>
      <c r="JR29" s="289"/>
      <c r="JS29" s="289"/>
      <c r="JT29" s="289"/>
      <c r="JU29" s="289"/>
      <c r="JV29" s="289"/>
      <c r="JW29" s="289"/>
      <c r="JX29" s="289"/>
      <c r="JY29" s="289"/>
      <c r="JZ29" s="289"/>
      <c r="KA29" s="289"/>
      <c r="KB29" s="289"/>
      <c r="KC29" s="289"/>
      <c r="KD29" s="289"/>
      <c r="KE29" s="289"/>
      <c r="KF29" s="289"/>
      <c r="KG29" s="289"/>
      <c r="KH29" s="289"/>
      <c r="KI29" s="289"/>
      <c r="KJ29" s="289"/>
      <c r="KK29" s="289"/>
      <c r="KL29" s="289"/>
      <c r="KM29" s="289"/>
      <c r="KN29" s="289"/>
      <c r="KO29" s="289"/>
      <c r="KP29" s="289"/>
      <c r="KQ29" s="289"/>
      <c r="KR29" s="289"/>
      <c r="KS29" s="289"/>
      <c r="KT29" s="289"/>
      <c r="KU29" s="289"/>
      <c r="KV29" s="289"/>
      <c r="KW29" s="289"/>
      <c r="KX29" s="289"/>
      <c r="KY29" s="289"/>
      <c r="KZ29" s="289"/>
      <c r="LA29" s="289"/>
      <c r="LB29" s="289"/>
      <c r="LC29" s="289"/>
      <c r="LD29" s="289"/>
      <c r="LE29" s="289"/>
      <c r="LF29" s="289"/>
      <c r="LG29" s="289"/>
      <c r="LH29" s="289"/>
      <c r="LI29" s="289"/>
      <c r="LJ29" s="289"/>
      <c r="LK29" s="289"/>
      <c r="LL29" s="289"/>
      <c r="LM29" s="289"/>
      <c r="LN29" s="289"/>
      <c r="LO29" s="289"/>
      <c r="LP29" s="289"/>
      <c r="LQ29" s="289"/>
      <c r="LR29" s="289"/>
      <c r="LS29" s="289"/>
      <c r="LT29" s="289"/>
      <c r="LU29" s="289"/>
      <c r="LV29" s="289"/>
      <c r="LW29" s="289"/>
      <c r="LX29" s="289"/>
      <c r="LY29" s="289"/>
      <c r="LZ29" s="289"/>
      <c r="MA29" s="289"/>
      <c r="MB29" s="289"/>
      <c r="MC29" s="289"/>
      <c r="MD29" s="289"/>
      <c r="ME29" s="289"/>
      <c r="MF29" s="289"/>
      <c r="MG29" s="289"/>
      <c r="MH29" s="289"/>
      <c r="MI29" s="289"/>
      <c r="MJ29" s="289"/>
      <c r="MK29" s="289"/>
      <c r="ML29" s="289"/>
      <c r="MM29" s="289"/>
      <c r="MN29" s="289"/>
      <c r="MO29" s="289"/>
      <c r="MP29" s="289"/>
      <c r="MQ29" s="289"/>
      <c r="MR29" s="289"/>
      <c r="MS29" s="289"/>
      <c r="MT29" s="289"/>
      <c r="MU29" s="289"/>
      <c r="MV29" s="289"/>
      <c r="MW29" s="289"/>
      <c r="MX29" s="289"/>
      <c r="MY29" s="289"/>
      <c r="MZ29" s="289"/>
      <c r="NA29" s="289"/>
      <c r="NB29" s="289"/>
      <c r="NC29" s="289"/>
      <c r="ND29" s="289"/>
      <c r="NE29" s="289"/>
      <c r="NF29" s="289"/>
      <c r="NG29" s="289"/>
      <c r="NH29" s="289"/>
      <c r="NI29" s="289"/>
      <c r="NJ29" s="289"/>
      <c r="NK29" s="289"/>
      <c r="NL29" s="289"/>
      <c r="NM29" s="289"/>
      <c r="NN29" s="289"/>
      <c r="NO29" s="289"/>
      <c r="NP29" s="289"/>
      <c r="NQ29" s="289"/>
      <c r="NR29" s="289"/>
      <c r="NS29" s="289"/>
      <c r="NT29" s="289"/>
      <c r="NU29" s="289"/>
      <c r="NV29" s="289"/>
      <c r="NW29" s="289"/>
      <c r="NX29" s="289"/>
      <c r="NY29" s="289"/>
      <c r="NZ29" s="289"/>
      <c r="OA29" s="289"/>
      <c r="OB29" s="289"/>
      <c r="OC29" s="289"/>
      <c r="OD29" s="289"/>
      <c r="OE29" s="289"/>
      <c r="OF29" s="289"/>
      <c r="OG29" s="289"/>
      <c r="OH29" s="289"/>
      <c r="OI29" s="289"/>
      <c r="OJ29" s="289"/>
      <c r="OK29" s="289"/>
      <c r="OL29" s="289"/>
      <c r="OM29" s="289"/>
      <c r="ON29" s="289"/>
      <c r="OO29" s="289"/>
      <c r="OP29" s="289"/>
      <c r="OQ29" s="289"/>
      <c r="OR29" s="289"/>
      <c r="OS29" s="289"/>
      <c r="OT29" s="289"/>
      <c r="OU29" s="289"/>
      <c r="OV29" s="289"/>
      <c r="OW29" s="289"/>
      <c r="OX29" s="289"/>
      <c r="OY29" s="289"/>
      <c r="OZ29" s="289"/>
      <c r="PA29" s="289"/>
      <c r="PB29" s="289"/>
      <c r="PC29" s="289"/>
      <c r="PD29" s="289"/>
      <c r="PE29" s="289"/>
      <c r="PF29" s="289"/>
      <c r="PG29" s="289"/>
      <c r="PH29" s="289"/>
      <c r="PI29" s="289"/>
      <c r="PJ29" s="289"/>
      <c r="PK29" s="289"/>
      <c r="PL29" s="289"/>
      <c r="PM29" s="289"/>
      <c r="PN29" s="289"/>
      <c r="PO29" s="289"/>
      <c r="PP29" s="289"/>
      <c r="PQ29" s="289"/>
      <c r="PR29" s="289"/>
      <c r="PS29" s="289"/>
      <c r="PT29" s="289"/>
      <c r="PU29" s="289"/>
      <c r="PV29" s="289"/>
      <c r="PW29" s="289"/>
      <c r="PX29" s="289"/>
      <c r="PY29" s="289"/>
      <c r="PZ29" s="289"/>
      <c r="QA29" s="289"/>
      <c r="QB29" s="289"/>
      <c r="QC29" s="289"/>
      <c r="QD29" s="289"/>
      <c r="QE29" s="289"/>
      <c r="QF29" s="289"/>
      <c r="QG29" s="289"/>
      <c r="QH29" s="289"/>
      <c r="QI29" s="289"/>
      <c r="QJ29" s="289"/>
      <c r="QK29" s="289"/>
      <c r="QL29" s="289"/>
      <c r="QM29" s="289"/>
      <c r="QN29" s="289"/>
      <c r="QO29" s="289"/>
      <c r="QP29" s="289"/>
      <c r="QQ29" s="289"/>
      <c r="QR29" s="289"/>
      <c r="QS29" s="289"/>
      <c r="QT29" s="289"/>
      <c r="QU29" s="289"/>
      <c r="QV29" s="289"/>
      <c r="QW29" s="289"/>
      <c r="QX29" s="289"/>
      <c r="QY29" s="289"/>
      <c r="QZ29" s="289"/>
      <c r="RA29" s="289"/>
      <c r="RB29" s="289"/>
      <c r="RC29" s="289"/>
      <c r="RD29" s="289"/>
      <c r="RE29" s="289"/>
      <c r="RF29" s="289"/>
      <c r="RG29" s="289"/>
      <c r="RH29" s="289"/>
      <c r="RI29" s="289"/>
      <c r="RJ29" s="289"/>
      <c r="RK29" s="289"/>
      <c r="RL29" s="289"/>
      <c r="RM29" s="289"/>
      <c r="RN29" s="289"/>
      <c r="RO29" s="289"/>
      <c r="RP29" s="289"/>
      <c r="RQ29" s="289"/>
      <c r="RR29" s="289"/>
      <c r="RS29" s="289"/>
      <c r="RT29" s="289"/>
      <c r="RU29" s="289"/>
      <c r="RV29" s="289"/>
      <c r="RW29" s="289"/>
      <c r="RX29" s="289"/>
      <c r="RY29" s="289"/>
      <c r="RZ29" s="289"/>
      <c r="SA29" s="289"/>
      <c r="SB29" s="289"/>
      <c r="SC29" s="289"/>
      <c r="SD29" s="289"/>
      <c r="SE29" s="289"/>
      <c r="SF29" s="289"/>
      <c r="SG29" s="289"/>
      <c r="SH29" s="289"/>
      <c r="SI29" s="289"/>
      <c r="SJ29" s="289"/>
      <c r="SK29" s="289"/>
      <c r="SL29" s="289"/>
      <c r="SM29" s="289"/>
      <c r="SN29" s="289"/>
      <c r="SO29" s="289"/>
      <c r="SP29" s="289"/>
      <c r="SQ29" s="289"/>
      <c r="SR29" s="289"/>
      <c r="SS29" s="289"/>
      <c r="ST29" s="289"/>
      <c r="SU29" s="289"/>
      <c r="SV29" s="289"/>
      <c r="SW29" s="289"/>
      <c r="SX29" s="289"/>
      <c r="SY29" s="289"/>
      <c r="SZ29" s="289"/>
      <c r="TA29" s="289"/>
      <c r="TB29" s="289"/>
      <c r="TC29" s="289"/>
      <c r="TD29" s="289"/>
      <c r="TE29" s="289"/>
      <c r="TF29" s="289"/>
      <c r="TG29" s="289"/>
      <c r="TH29" s="289"/>
      <c r="TI29" s="289"/>
      <c r="TJ29" s="289"/>
      <c r="TK29" s="289"/>
      <c r="TL29" s="289"/>
      <c r="TM29" s="289"/>
      <c r="TN29" s="289"/>
      <c r="TO29" s="289"/>
      <c r="TP29" s="289"/>
      <c r="TQ29" s="289"/>
      <c r="TR29" s="289"/>
      <c r="TS29" s="289"/>
      <c r="TT29" s="289"/>
      <c r="TU29" s="289"/>
      <c r="TV29" s="289"/>
      <c r="TW29" s="289"/>
      <c r="TX29" s="289"/>
      <c r="TY29" s="289"/>
      <c r="TZ29" s="289"/>
      <c r="UA29" s="289"/>
      <c r="UB29" s="289"/>
      <c r="UC29" s="289"/>
      <c r="UD29" s="289"/>
      <c r="UE29" s="289"/>
      <c r="UF29" s="289"/>
      <c r="UG29" s="289"/>
      <c r="UH29" s="289"/>
      <c r="UI29" s="289"/>
      <c r="UJ29" s="289"/>
      <c r="UK29" s="289"/>
      <c r="UL29" s="289"/>
      <c r="UM29" s="289"/>
      <c r="UN29" s="289"/>
      <c r="UO29" s="289"/>
      <c r="UP29" s="289"/>
      <c r="UQ29" s="289"/>
      <c r="UR29" s="289"/>
      <c r="US29" s="289"/>
      <c r="UT29" s="289"/>
      <c r="UU29" s="289"/>
      <c r="UV29" s="289"/>
      <c r="UW29" s="289"/>
      <c r="UX29" s="289"/>
      <c r="UY29" s="289"/>
      <c r="UZ29" s="289"/>
      <c r="VA29" s="289"/>
      <c r="VB29" s="289"/>
      <c r="VC29" s="289"/>
      <c r="VD29" s="289"/>
      <c r="VE29" s="289"/>
      <c r="VF29" s="289"/>
      <c r="VG29" s="289"/>
      <c r="VH29" s="289"/>
      <c r="VI29" s="289"/>
      <c r="VJ29" s="289"/>
      <c r="VK29" s="289"/>
      <c r="VL29" s="289"/>
      <c r="VM29" s="289"/>
      <c r="VN29" s="289"/>
      <c r="VO29" s="289"/>
      <c r="VP29" s="289"/>
      <c r="VQ29" s="289"/>
      <c r="VR29" s="289"/>
      <c r="VS29" s="289"/>
      <c r="VT29" s="289"/>
      <c r="VU29" s="289"/>
      <c r="VV29" s="289"/>
      <c r="VW29" s="289"/>
      <c r="VX29" s="289"/>
      <c r="VY29" s="289"/>
      <c r="VZ29" s="289"/>
      <c r="WA29" s="289"/>
      <c r="WB29" s="289"/>
      <c r="WC29" s="289"/>
      <c r="WD29" s="289"/>
      <c r="WE29" s="289"/>
      <c r="WF29" s="289"/>
      <c r="WG29" s="289"/>
      <c r="WH29" s="289"/>
      <c r="WI29" s="289"/>
      <c r="WJ29" s="289"/>
      <c r="WK29" s="289"/>
      <c r="WL29" s="289"/>
      <c r="WM29" s="289"/>
      <c r="WN29" s="289"/>
      <c r="WO29" s="289"/>
      <c r="WP29" s="289"/>
      <c r="WQ29" s="289"/>
      <c r="WR29" s="289"/>
      <c r="WS29" s="289"/>
      <c r="WT29" s="289"/>
      <c r="WU29" s="289"/>
      <c r="WV29" s="289"/>
      <c r="WW29" s="289"/>
      <c r="WX29" s="289"/>
      <c r="WY29" s="289"/>
      <c r="WZ29" s="289"/>
      <c r="XA29" s="289"/>
      <c r="XB29" s="289"/>
      <c r="XC29" s="289"/>
      <c r="XD29" s="289"/>
      <c r="XE29" s="289"/>
      <c r="XF29" s="289"/>
      <c r="XG29" s="289"/>
      <c r="XH29" s="289"/>
      <c r="XI29" s="289"/>
      <c r="XJ29" s="289"/>
      <c r="XK29" s="289"/>
      <c r="XL29" s="289"/>
      <c r="XM29" s="289"/>
      <c r="XN29" s="289"/>
      <c r="XO29" s="289"/>
      <c r="XP29" s="289"/>
      <c r="XQ29" s="289"/>
      <c r="XR29" s="289"/>
      <c r="XS29" s="289"/>
      <c r="XT29" s="289"/>
      <c r="XU29" s="289"/>
      <c r="XV29" s="289"/>
      <c r="XW29" s="289"/>
      <c r="XX29" s="289"/>
      <c r="XY29" s="289"/>
      <c r="XZ29" s="289"/>
      <c r="YA29" s="289"/>
      <c r="YB29" s="289"/>
      <c r="YC29" s="289"/>
      <c r="YD29" s="289"/>
      <c r="YE29" s="289"/>
      <c r="YF29" s="289"/>
      <c r="YG29" s="289"/>
      <c r="YH29" s="289"/>
      <c r="YI29" s="289"/>
      <c r="YJ29" s="289"/>
      <c r="YK29" s="289"/>
      <c r="YL29" s="289"/>
      <c r="YM29" s="289"/>
      <c r="YN29" s="289"/>
      <c r="YO29" s="289"/>
      <c r="YP29" s="289"/>
      <c r="YQ29" s="289"/>
      <c r="YR29" s="289"/>
      <c r="YS29" s="289"/>
      <c r="YT29" s="289"/>
      <c r="YU29" s="289"/>
      <c r="YV29" s="289"/>
      <c r="YW29" s="289"/>
      <c r="YX29" s="289"/>
      <c r="YY29" s="289"/>
      <c r="YZ29" s="289"/>
      <c r="ZA29" s="289"/>
      <c r="ZB29" s="289"/>
      <c r="ZC29" s="289"/>
      <c r="ZD29" s="289"/>
      <c r="ZE29" s="289"/>
      <c r="ZF29" s="289"/>
      <c r="ZG29" s="289"/>
      <c r="ZH29" s="289"/>
      <c r="ZI29" s="289"/>
      <c r="ZJ29" s="289"/>
      <c r="ZK29" s="289"/>
      <c r="ZL29" s="289"/>
      <c r="ZM29" s="289"/>
      <c r="ZN29" s="289"/>
      <c r="ZO29" s="289"/>
      <c r="ZP29" s="289"/>
      <c r="ZQ29" s="289"/>
      <c r="ZR29" s="289"/>
      <c r="ZS29" s="289"/>
      <c r="ZT29" s="289"/>
      <c r="ZU29" s="289"/>
      <c r="ZV29" s="289"/>
      <c r="ZW29" s="289"/>
      <c r="ZX29" s="289"/>
      <c r="ZY29" s="289"/>
      <c r="ZZ29" s="289"/>
      <c r="AAA29" s="289"/>
      <c r="AAB29" s="289"/>
      <c r="AAC29" s="289"/>
      <c r="AAD29" s="289"/>
      <c r="AAE29" s="289"/>
      <c r="AAF29" s="289"/>
      <c r="AAG29" s="289"/>
      <c r="AAH29" s="289"/>
      <c r="AAI29" s="289"/>
      <c r="AAJ29" s="289"/>
      <c r="AAK29" s="289"/>
      <c r="AAL29" s="289"/>
      <c r="AAM29" s="289"/>
      <c r="AAN29" s="289"/>
      <c r="AAO29" s="289"/>
      <c r="AAP29" s="289"/>
      <c r="AAQ29" s="289"/>
      <c r="AAR29" s="289"/>
      <c r="AAS29" s="289"/>
      <c r="AAT29" s="289"/>
      <c r="AAU29" s="289"/>
      <c r="AAV29" s="289"/>
      <c r="AAW29" s="289"/>
      <c r="AAX29" s="289"/>
      <c r="AAY29" s="289"/>
      <c r="AAZ29" s="289"/>
      <c r="ABA29" s="289"/>
      <c r="ABB29" s="289"/>
      <c r="ABC29" s="289"/>
      <c r="ABD29" s="289"/>
      <c r="ABE29" s="289"/>
      <c r="ABF29" s="289"/>
      <c r="ABG29" s="289"/>
      <c r="ABH29" s="289"/>
      <c r="ABI29" s="289"/>
      <c r="ABJ29" s="289"/>
      <c r="ABK29" s="289"/>
      <c r="ABL29" s="289"/>
      <c r="ABM29" s="289"/>
      <c r="ABN29" s="289"/>
      <c r="ABO29" s="289"/>
      <c r="ABP29" s="289"/>
      <c r="ABQ29" s="289"/>
      <c r="ABR29" s="289"/>
      <c r="ABS29" s="289"/>
      <c r="ABT29" s="289"/>
      <c r="ABU29" s="289"/>
      <c r="ABV29" s="289"/>
      <c r="ABW29" s="289"/>
      <c r="ABX29" s="289"/>
      <c r="ABY29" s="289"/>
      <c r="ABZ29" s="289"/>
      <c r="ACA29" s="289"/>
      <c r="ACB29" s="289"/>
      <c r="ACC29" s="289"/>
      <c r="ACD29" s="289"/>
      <c r="ACE29" s="289"/>
      <c r="ACF29" s="289"/>
      <c r="ACG29" s="289"/>
      <c r="ACH29" s="289"/>
      <c r="ACI29" s="289"/>
      <c r="ACJ29" s="289"/>
      <c r="ACK29" s="289"/>
      <c r="ACL29" s="289"/>
      <c r="ACM29" s="289"/>
      <c r="ACN29" s="289"/>
      <c r="ACO29" s="289"/>
      <c r="ACP29" s="289"/>
      <c r="ACQ29" s="289"/>
      <c r="ACR29" s="289"/>
      <c r="ACS29" s="289"/>
      <c r="ACT29" s="289"/>
      <c r="ACU29" s="289"/>
      <c r="ACV29" s="289"/>
      <c r="ACW29" s="289"/>
      <c r="ACX29" s="289"/>
      <c r="ACY29" s="289"/>
      <c r="ACZ29" s="289"/>
      <c r="ADA29" s="289"/>
      <c r="ADB29" s="289"/>
      <c r="ADC29" s="289"/>
      <c r="ADD29" s="289"/>
      <c r="ADE29" s="289"/>
      <c r="ADF29" s="289"/>
      <c r="ADG29" s="289"/>
      <c r="ADH29" s="289"/>
      <c r="ADI29" s="289"/>
      <c r="ADJ29" s="289"/>
      <c r="ADK29" s="289"/>
      <c r="ADL29" s="289"/>
      <c r="ADM29" s="289"/>
      <c r="ADN29" s="289"/>
      <c r="ADO29" s="289"/>
      <c r="ADP29" s="289"/>
      <c r="ADQ29" s="289"/>
      <c r="ADR29" s="289"/>
      <c r="ADS29" s="289"/>
      <c r="ADT29" s="289"/>
      <c r="ADU29" s="289"/>
      <c r="ADV29" s="289"/>
      <c r="ADW29" s="289"/>
      <c r="ADX29" s="289"/>
      <c r="ADY29" s="289"/>
      <c r="ADZ29" s="289"/>
      <c r="AEA29" s="289"/>
      <c r="AEB29" s="289"/>
      <c r="AEC29" s="289"/>
      <c r="AED29" s="289"/>
      <c r="AEE29" s="289"/>
      <c r="AEF29" s="289"/>
      <c r="AEG29" s="289"/>
      <c r="AEH29" s="289"/>
      <c r="AEI29" s="289"/>
      <c r="AEJ29" s="289"/>
      <c r="AEK29" s="289"/>
      <c r="AEL29" s="289"/>
      <c r="AEM29" s="289"/>
      <c r="AEN29" s="289"/>
      <c r="AEO29" s="289"/>
      <c r="AEP29" s="289"/>
      <c r="AEQ29" s="289"/>
      <c r="AER29" s="289"/>
      <c r="AES29" s="289"/>
      <c r="AET29" s="289"/>
      <c r="AEU29" s="289"/>
      <c r="AEV29" s="289"/>
      <c r="AEW29" s="289"/>
      <c r="AEX29" s="289"/>
      <c r="AEY29" s="289"/>
      <c r="AEZ29" s="289"/>
      <c r="AFA29" s="289"/>
      <c r="AFB29" s="289"/>
      <c r="AFC29" s="289"/>
      <c r="AFD29" s="289"/>
      <c r="AFE29" s="289"/>
      <c r="AFF29" s="289"/>
      <c r="AFG29" s="289"/>
      <c r="AFH29" s="289"/>
      <c r="AFI29" s="289"/>
      <c r="AFJ29" s="289"/>
      <c r="AFK29" s="289"/>
      <c r="AFL29" s="289"/>
      <c r="AFM29" s="289"/>
      <c r="AFN29" s="289"/>
      <c r="AFO29" s="289"/>
      <c r="AFP29" s="289"/>
      <c r="AFQ29" s="289"/>
      <c r="AFR29" s="289"/>
      <c r="AFS29" s="289"/>
      <c r="AFT29" s="289"/>
      <c r="AFU29" s="289"/>
      <c r="AFV29" s="289"/>
      <c r="AFW29" s="289"/>
      <c r="AFX29" s="289"/>
      <c r="AFY29" s="289"/>
      <c r="AFZ29" s="289"/>
      <c r="AGA29" s="289"/>
      <c r="AGB29" s="289"/>
      <c r="AGC29" s="289"/>
      <c r="AGD29" s="289"/>
      <c r="AGE29" s="289"/>
      <c r="AGF29" s="289"/>
      <c r="AGG29" s="289"/>
      <c r="AGH29" s="289"/>
      <c r="AGI29" s="289"/>
      <c r="AGJ29" s="289"/>
      <c r="AGK29" s="289"/>
      <c r="AGL29" s="289"/>
      <c r="AGM29" s="289"/>
      <c r="AGN29" s="289"/>
      <c r="AGO29" s="289"/>
      <c r="AGP29" s="289"/>
      <c r="AGQ29" s="289"/>
      <c r="AGR29" s="289"/>
      <c r="AGS29" s="289"/>
      <c r="AGT29" s="289"/>
      <c r="AGU29" s="289"/>
      <c r="AGV29" s="289"/>
      <c r="AGW29" s="289"/>
      <c r="AGX29" s="289"/>
      <c r="AGY29" s="289"/>
      <c r="AGZ29" s="289"/>
      <c r="AHA29" s="289"/>
      <c r="AHB29" s="289"/>
      <c r="AHC29" s="289"/>
      <c r="AHD29" s="289"/>
      <c r="AHE29" s="289"/>
      <c r="AHF29" s="289"/>
      <c r="AHG29" s="289"/>
      <c r="AHH29" s="289"/>
      <c r="AHI29" s="289"/>
      <c r="AHJ29" s="289"/>
      <c r="AHK29" s="289"/>
      <c r="AHL29" s="289"/>
      <c r="AHM29" s="289"/>
      <c r="AHN29" s="289"/>
      <c r="AHO29" s="289"/>
      <c r="AHP29" s="289"/>
      <c r="AHQ29" s="289"/>
      <c r="AHR29" s="289"/>
      <c r="AHS29" s="289"/>
      <c r="AHT29" s="289"/>
      <c r="AHU29" s="289"/>
      <c r="AHV29" s="289"/>
      <c r="AHW29" s="289"/>
      <c r="AHX29" s="289"/>
      <c r="AHY29" s="289"/>
      <c r="AHZ29" s="289"/>
      <c r="AIA29" s="289"/>
      <c r="AIB29" s="289"/>
      <c r="AIC29" s="289"/>
      <c r="AID29" s="289"/>
      <c r="AIE29" s="289"/>
      <c r="AIF29" s="289"/>
      <c r="AIG29" s="289"/>
      <c r="AIH29" s="289"/>
      <c r="AII29" s="289"/>
      <c r="AIJ29" s="289"/>
      <c r="AIK29" s="289"/>
      <c r="AIL29" s="289"/>
      <c r="AIM29" s="289"/>
      <c r="AIN29" s="289"/>
      <c r="AIO29" s="289"/>
      <c r="AIP29" s="289"/>
      <c r="AIQ29" s="289"/>
      <c r="AIR29" s="289"/>
      <c r="AIS29" s="289"/>
      <c r="AIT29" s="289"/>
      <c r="AIU29" s="289"/>
      <c r="AIV29" s="289"/>
      <c r="AIW29" s="289"/>
      <c r="AIX29" s="289"/>
      <c r="AIY29" s="289"/>
      <c r="AIZ29" s="289"/>
      <c r="AJA29" s="289"/>
      <c r="AJB29" s="289"/>
      <c r="AJC29" s="289"/>
      <c r="AJD29" s="289"/>
      <c r="AJE29" s="289"/>
      <c r="AJF29" s="289"/>
      <c r="AJG29" s="289"/>
      <c r="AJH29" s="289"/>
      <c r="AJI29" s="289"/>
      <c r="AJJ29" s="289"/>
      <c r="AJK29" s="289"/>
      <c r="AJL29" s="289"/>
      <c r="AJM29" s="289"/>
      <c r="AJN29" s="289"/>
      <c r="AJO29" s="289"/>
      <c r="AJP29" s="289"/>
      <c r="AJQ29" s="289"/>
      <c r="AJR29" s="289"/>
      <c r="AJS29" s="289"/>
      <c r="AJT29" s="289"/>
      <c r="AJU29" s="289"/>
      <c r="AJV29" s="289"/>
      <c r="AJW29" s="289"/>
      <c r="AJX29" s="289"/>
      <c r="AJY29" s="289"/>
      <c r="AJZ29" s="289"/>
      <c r="AKA29" s="289"/>
      <c r="AKB29" s="289"/>
      <c r="AKC29" s="289"/>
      <c r="AKD29" s="289"/>
      <c r="AKE29" s="289"/>
      <c r="AKF29" s="289"/>
      <c r="AKG29" s="289"/>
      <c r="AKH29" s="289"/>
      <c r="AKI29" s="289"/>
      <c r="AKJ29" s="289"/>
      <c r="AKK29" s="289"/>
      <c r="AKL29" s="289"/>
      <c r="AKM29" s="289"/>
      <c r="AKN29" s="289"/>
      <c r="AKO29" s="289"/>
      <c r="AKP29" s="289"/>
      <c r="AKQ29" s="289"/>
      <c r="AKR29" s="289"/>
      <c r="AKS29" s="289"/>
      <c r="AKT29" s="289"/>
      <c r="AKU29" s="289"/>
      <c r="AKV29" s="289"/>
      <c r="AKW29" s="289"/>
      <c r="AKX29" s="289"/>
      <c r="AKY29" s="289"/>
      <c r="AKZ29" s="289"/>
      <c r="ALA29" s="289"/>
      <c r="ALB29" s="289"/>
      <c r="ALC29" s="289"/>
      <c r="ALD29" s="289"/>
      <c r="ALE29" s="289"/>
      <c r="ALF29" s="289"/>
      <c r="ALG29" s="289"/>
      <c r="ALH29" s="289"/>
      <c r="ALI29" s="289"/>
      <c r="ALJ29" s="289"/>
      <c r="ALK29" s="289"/>
      <c r="ALL29" s="289"/>
      <c r="ALM29" s="289"/>
      <c r="ALN29" s="289"/>
      <c r="ALO29" s="289"/>
      <c r="ALP29" s="289"/>
      <c r="ALQ29" s="289"/>
      <c r="ALR29" s="289"/>
      <c r="ALS29" s="289"/>
      <c r="ALT29" s="289"/>
      <c r="ALU29" s="289"/>
      <c r="ALV29" s="289"/>
      <c r="ALW29" s="289"/>
      <c r="ALX29" s="289"/>
      <c r="ALY29" s="289"/>
      <c r="ALZ29" s="289"/>
      <c r="AMA29" s="289"/>
      <c r="AMB29" s="289"/>
      <c r="AMC29" s="289"/>
      <c r="AMD29" s="289"/>
      <c r="AME29" s="289"/>
      <c r="AMF29" s="289"/>
      <c r="AMG29" s="289"/>
      <c r="AMH29" s="289"/>
      <c r="AMI29" s="289"/>
      <c r="AMJ29" s="289"/>
      <c r="AMK29" s="289"/>
      <c r="AML29" s="289"/>
      <c r="AMM29" s="289"/>
      <c r="AMN29" s="289"/>
      <c r="AMO29" s="289"/>
      <c r="AMP29" s="289"/>
      <c r="AMQ29" s="289"/>
      <c r="AMR29" s="289"/>
      <c r="AMS29" s="289"/>
      <c r="AMT29" s="289"/>
      <c r="AMU29" s="289"/>
      <c r="AMV29" s="289"/>
      <c r="AMW29" s="289"/>
      <c r="AMX29" s="289"/>
      <c r="AMY29" s="289"/>
      <c r="AMZ29" s="289"/>
      <c r="ANA29" s="289"/>
      <c r="ANB29" s="289"/>
      <c r="ANC29" s="289"/>
      <c r="AND29" s="289"/>
      <c r="ANE29" s="289"/>
      <c r="ANF29" s="289"/>
      <c r="ANG29" s="289"/>
      <c r="ANH29" s="289"/>
      <c r="ANI29" s="289"/>
      <c r="ANJ29" s="289"/>
      <c r="ANK29" s="289"/>
      <c r="ANL29" s="289"/>
      <c r="ANM29" s="289"/>
      <c r="ANN29" s="289"/>
      <c r="ANO29" s="289"/>
      <c r="ANP29" s="289"/>
      <c r="ANQ29" s="289"/>
      <c r="ANR29" s="289"/>
      <c r="ANS29" s="289"/>
      <c r="ANT29" s="289"/>
      <c r="ANU29" s="289"/>
      <c r="ANV29" s="289"/>
      <c r="ANW29" s="289"/>
      <c r="ANX29" s="289"/>
      <c r="ANY29" s="289"/>
      <c r="ANZ29" s="289"/>
      <c r="AOA29" s="289"/>
      <c r="AOB29" s="289"/>
      <c r="AOC29" s="289"/>
      <c r="AOD29" s="289"/>
      <c r="AOE29" s="289"/>
      <c r="AOF29" s="289"/>
      <c r="AOG29" s="289"/>
      <c r="AOH29" s="289"/>
      <c r="AOI29" s="289"/>
      <c r="AOJ29" s="289"/>
      <c r="AOK29" s="289"/>
      <c r="AOL29" s="289"/>
      <c r="AOM29" s="289"/>
      <c r="AON29" s="289"/>
      <c r="AOO29" s="289"/>
      <c r="AOP29" s="289"/>
      <c r="AOQ29" s="289"/>
      <c r="AOR29" s="289"/>
      <c r="AOS29" s="289"/>
      <c r="AOT29" s="289"/>
      <c r="AOU29" s="289"/>
      <c r="AOV29" s="289"/>
      <c r="AOW29" s="289"/>
      <c r="AOX29" s="289"/>
      <c r="AOY29" s="289"/>
      <c r="AOZ29" s="289"/>
      <c r="APA29" s="289"/>
      <c r="APB29" s="289"/>
      <c r="APC29" s="289"/>
      <c r="APD29" s="289"/>
      <c r="APE29" s="289"/>
      <c r="APF29" s="289"/>
      <c r="APG29" s="289"/>
      <c r="APH29" s="289"/>
      <c r="API29" s="289"/>
      <c r="APJ29" s="289"/>
      <c r="APK29" s="289"/>
      <c r="APL29" s="289"/>
      <c r="APM29" s="289"/>
      <c r="APN29" s="289"/>
      <c r="APO29" s="289"/>
      <c r="APP29" s="289"/>
      <c r="APQ29" s="289"/>
      <c r="APR29" s="289"/>
      <c r="APS29" s="289"/>
      <c r="APT29" s="289"/>
      <c r="APU29" s="289"/>
      <c r="APV29" s="289"/>
      <c r="APW29" s="289"/>
      <c r="APX29" s="289"/>
      <c r="APY29" s="289"/>
      <c r="APZ29" s="289"/>
      <c r="AQA29" s="289"/>
      <c r="AQB29" s="289"/>
      <c r="AQC29" s="289"/>
      <c r="AQD29" s="289"/>
      <c r="AQE29" s="289"/>
      <c r="AQF29" s="289"/>
      <c r="AQG29" s="289"/>
      <c r="AQH29" s="289"/>
      <c r="AQI29" s="289"/>
      <c r="AQJ29" s="289"/>
      <c r="AQK29" s="289"/>
      <c r="AQL29" s="289"/>
      <c r="AQM29" s="289"/>
      <c r="AQN29" s="289"/>
      <c r="AQO29" s="289"/>
      <c r="AQP29" s="289"/>
      <c r="AQQ29" s="289"/>
      <c r="AQR29" s="289"/>
      <c r="AQS29" s="289"/>
      <c r="AQT29" s="289"/>
      <c r="AQU29" s="289"/>
      <c r="AQV29" s="289"/>
      <c r="AQW29" s="289"/>
      <c r="AQX29" s="289"/>
      <c r="AQY29" s="289"/>
      <c r="AQZ29" s="289"/>
      <c r="ARA29" s="289"/>
      <c r="ARB29" s="289"/>
      <c r="ARC29" s="289"/>
      <c r="ARD29" s="289"/>
      <c r="ARE29" s="289"/>
      <c r="ARF29" s="289"/>
      <c r="ARG29" s="289"/>
      <c r="ARH29" s="289"/>
      <c r="ARI29" s="289"/>
      <c r="ARJ29" s="289"/>
      <c r="ARK29" s="289"/>
      <c r="ARL29" s="289"/>
      <c r="ARM29" s="289"/>
      <c r="ARN29" s="289"/>
      <c r="ARO29" s="289"/>
      <c r="ARP29" s="289"/>
      <c r="ARQ29" s="289"/>
      <c r="ARR29" s="289"/>
      <c r="ARS29" s="289"/>
      <c r="ART29" s="289"/>
      <c r="ARU29" s="289"/>
      <c r="ARV29" s="289"/>
      <c r="ARW29" s="289"/>
      <c r="ARX29" s="289"/>
      <c r="ARY29" s="289"/>
      <c r="ARZ29" s="289"/>
      <c r="ASA29" s="289"/>
      <c r="ASB29" s="289"/>
      <c r="ASC29" s="289"/>
      <c r="ASD29" s="289"/>
      <c r="ASE29" s="289"/>
      <c r="ASF29" s="289"/>
      <c r="ASG29" s="289"/>
      <c r="ASH29" s="289"/>
      <c r="ASI29" s="289"/>
      <c r="ASJ29" s="289"/>
      <c r="ASK29" s="289"/>
      <c r="ASL29" s="289"/>
      <c r="ASM29" s="289"/>
      <c r="ASN29" s="289"/>
      <c r="ASO29" s="289"/>
      <c r="ASP29" s="289"/>
      <c r="ASQ29" s="289"/>
      <c r="ASR29" s="289"/>
      <c r="ASS29" s="289"/>
      <c r="AST29" s="289"/>
      <c r="ASU29" s="289"/>
      <c r="ASV29" s="289"/>
      <c r="ASW29" s="289"/>
      <c r="ASX29" s="289"/>
      <c r="ASY29" s="289"/>
      <c r="ASZ29" s="289"/>
      <c r="ATA29" s="289"/>
      <c r="ATB29" s="289"/>
      <c r="ATC29" s="289"/>
      <c r="ATD29" s="289"/>
      <c r="ATE29" s="289"/>
      <c r="ATF29" s="289"/>
      <c r="ATG29" s="289"/>
      <c r="ATH29" s="289"/>
      <c r="ATI29" s="289"/>
      <c r="ATJ29" s="289"/>
      <c r="ATK29" s="289"/>
      <c r="ATL29" s="289"/>
      <c r="ATM29" s="289"/>
      <c r="ATN29" s="289"/>
      <c r="ATO29" s="289"/>
      <c r="ATP29" s="289"/>
      <c r="ATQ29" s="289"/>
      <c r="ATR29" s="289"/>
      <c r="ATS29" s="289"/>
      <c r="ATT29" s="289"/>
      <c r="ATU29" s="289"/>
      <c r="ATV29" s="289"/>
      <c r="ATW29" s="289"/>
      <c r="ATX29" s="289"/>
      <c r="ATY29" s="289"/>
      <c r="ATZ29" s="289"/>
      <c r="AUA29" s="289"/>
      <c r="AUB29" s="289"/>
      <c r="AUC29" s="289"/>
      <c r="AUD29" s="289"/>
      <c r="AUE29" s="289"/>
      <c r="AUF29" s="289"/>
      <c r="AUG29" s="289"/>
      <c r="AUH29" s="289"/>
      <c r="AUI29" s="289"/>
      <c r="AUJ29" s="289"/>
      <c r="AUK29" s="289"/>
      <c r="AUL29" s="289"/>
      <c r="AUM29" s="289"/>
      <c r="AUN29" s="289"/>
      <c r="AUO29" s="289"/>
      <c r="AUP29" s="289"/>
      <c r="AUQ29" s="289"/>
      <c r="AUR29" s="289"/>
      <c r="AUS29" s="289"/>
      <c r="AUT29" s="289"/>
      <c r="AUU29" s="289"/>
      <c r="AUV29" s="289"/>
      <c r="AUW29" s="289"/>
      <c r="AUX29" s="289"/>
      <c r="AUY29" s="289"/>
      <c r="AUZ29" s="289"/>
      <c r="AVA29" s="289"/>
      <c r="AVB29" s="289"/>
      <c r="AVC29" s="289"/>
      <c r="AVD29" s="289"/>
      <c r="AVE29" s="289"/>
      <c r="AVF29" s="289"/>
      <c r="AVG29" s="289"/>
      <c r="AVH29" s="289"/>
      <c r="AVI29" s="289"/>
      <c r="AVJ29" s="289"/>
      <c r="AVK29" s="289"/>
      <c r="AVL29" s="289"/>
      <c r="AVM29" s="289"/>
      <c r="AVN29" s="289"/>
      <c r="AVO29" s="289"/>
      <c r="AVP29" s="289"/>
      <c r="AVQ29" s="289"/>
      <c r="AVR29" s="289"/>
      <c r="AVS29" s="289"/>
      <c r="AVT29" s="289"/>
      <c r="AVU29" s="289"/>
      <c r="AVV29" s="289"/>
      <c r="AVW29" s="289"/>
      <c r="AVX29" s="289"/>
      <c r="AVY29" s="289"/>
      <c r="AVZ29" s="289"/>
      <c r="AWA29" s="289"/>
      <c r="AWB29" s="289"/>
      <c r="AWC29" s="289"/>
      <c r="AWD29" s="289"/>
      <c r="AWE29" s="289"/>
      <c r="AWF29" s="289"/>
      <c r="AWG29" s="289"/>
      <c r="AWH29" s="289"/>
      <c r="AWI29" s="289"/>
      <c r="AWJ29" s="289"/>
      <c r="AWK29" s="289"/>
      <c r="AWL29" s="289"/>
      <c r="AWM29" s="289"/>
      <c r="AWN29" s="289"/>
      <c r="AWO29" s="289"/>
      <c r="AWP29" s="289"/>
      <c r="AWQ29" s="289"/>
      <c r="AWR29" s="289"/>
      <c r="AWS29" s="289"/>
      <c r="AWT29" s="289"/>
      <c r="AWU29" s="289"/>
      <c r="AWV29" s="289"/>
      <c r="AWW29" s="289"/>
      <c r="AWX29" s="289"/>
      <c r="AWY29" s="289"/>
      <c r="AWZ29" s="289"/>
      <c r="AXA29" s="289"/>
      <c r="AXB29" s="289"/>
      <c r="AXC29" s="289"/>
      <c r="AXD29" s="289"/>
      <c r="AXE29" s="289"/>
      <c r="AXF29" s="289"/>
      <c r="AXG29" s="289"/>
      <c r="AXH29" s="289"/>
      <c r="AXI29" s="289"/>
      <c r="AXJ29" s="289"/>
      <c r="AXK29" s="289"/>
      <c r="AXL29" s="289"/>
      <c r="AXM29" s="289"/>
      <c r="AXN29" s="289"/>
      <c r="AXO29" s="289"/>
      <c r="AXP29" s="289"/>
      <c r="AXQ29" s="289"/>
      <c r="AXR29" s="289"/>
      <c r="AXS29" s="289"/>
      <c r="AXT29" s="289"/>
      <c r="AXU29" s="289"/>
      <c r="AXV29" s="289"/>
      <c r="AXW29" s="289"/>
      <c r="AXX29" s="289"/>
      <c r="AXY29" s="289"/>
      <c r="AXZ29" s="289"/>
      <c r="AYA29" s="289"/>
      <c r="AYB29" s="289"/>
      <c r="AYC29" s="289"/>
      <c r="AYD29" s="289"/>
      <c r="AYE29" s="289"/>
      <c r="AYF29" s="289"/>
      <c r="AYG29" s="289"/>
      <c r="AYH29" s="289"/>
      <c r="AYI29" s="289"/>
      <c r="AYJ29" s="289"/>
      <c r="AYK29" s="289"/>
      <c r="AYL29" s="289"/>
      <c r="AYM29" s="289"/>
      <c r="AYN29" s="289"/>
      <c r="AYO29" s="289"/>
      <c r="AYP29" s="289"/>
      <c r="AYQ29" s="289"/>
      <c r="AYR29" s="289"/>
      <c r="AYS29" s="289"/>
      <c r="AYT29" s="289"/>
      <c r="AYU29" s="289"/>
      <c r="AYV29" s="289"/>
      <c r="AYW29" s="289"/>
      <c r="AYX29" s="289"/>
      <c r="AYY29" s="289"/>
      <c r="AYZ29" s="289"/>
      <c r="AZA29" s="289"/>
      <c r="AZB29" s="289"/>
      <c r="AZC29" s="289"/>
      <c r="AZD29" s="289"/>
      <c r="AZE29" s="289"/>
      <c r="AZF29" s="289"/>
      <c r="AZG29" s="289"/>
      <c r="AZH29" s="289"/>
      <c r="AZI29" s="289"/>
      <c r="AZJ29" s="289"/>
      <c r="AZK29" s="289"/>
      <c r="AZL29" s="289"/>
      <c r="AZM29" s="289"/>
      <c r="AZN29" s="289"/>
      <c r="AZO29" s="289"/>
      <c r="AZP29" s="289"/>
      <c r="AZQ29" s="289"/>
      <c r="AZR29" s="289"/>
      <c r="AZS29" s="289"/>
      <c r="AZT29" s="289"/>
      <c r="AZU29" s="289"/>
      <c r="AZV29" s="289"/>
      <c r="AZW29" s="289"/>
      <c r="AZX29" s="289"/>
      <c r="AZY29" s="289"/>
      <c r="AZZ29" s="289"/>
      <c r="BAA29" s="289"/>
      <c r="BAB29" s="289"/>
      <c r="BAC29" s="289"/>
      <c r="BAD29" s="289"/>
      <c r="BAE29" s="289"/>
      <c r="BAF29" s="289"/>
      <c r="BAG29" s="289"/>
      <c r="BAH29" s="289"/>
      <c r="BAI29" s="289"/>
      <c r="BAJ29" s="289"/>
      <c r="BAK29" s="289"/>
      <c r="BAL29" s="289"/>
      <c r="BAM29" s="289"/>
      <c r="BAN29" s="289"/>
      <c r="BAO29" s="289"/>
      <c r="BAP29" s="289"/>
      <c r="BAQ29" s="289"/>
      <c r="BAR29" s="289"/>
      <c r="BAS29" s="289"/>
      <c r="BAT29" s="289"/>
      <c r="BAU29" s="289"/>
      <c r="BAV29" s="289"/>
      <c r="BAW29" s="289"/>
      <c r="BAX29" s="289"/>
      <c r="BAY29" s="289"/>
      <c r="BAZ29" s="289"/>
      <c r="BBA29" s="289"/>
      <c r="BBB29" s="289"/>
      <c r="BBC29" s="289"/>
      <c r="BBD29" s="289"/>
      <c r="BBE29" s="289"/>
      <c r="BBF29" s="289"/>
      <c r="BBG29" s="289"/>
      <c r="BBH29" s="289"/>
      <c r="BBI29" s="289"/>
      <c r="BBJ29" s="289"/>
      <c r="BBK29" s="289"/>
      <c r="BBL29" s="289"/>
      <c r="BBM29" s="289"/>
      <c r="BBN29" s="289"/>
      <c r="BBO29" s="289"/>
      <c r="BBP29" s="289"/>
      <c r="BBQ29" s="289"/>
      <c r="BBR29" s="289"/>
      <c r="BBS29" s="289"/>
      <c r="BBT29" s="289"/>
      <c r="BBU29" s="289"/>
      <c r="BBV29" s="289"/>
      <c r="BBW29" s="289"/>
      <c r="BBX29" s="289"/>
      <c r="BBY29" s="289"/>
      <c r="BBZ29" s="289"/>
      <c r="BCA29" s="289"/>
      <c r="BCB29" s="289"/>
      <c r="BCC29" s="289"/>
      <c r="BCD29" s="289"/>
      <c r="BCE29" s="289"/>
      <c r="BCF29" s="289"/>
      <c r="BCG29" s="289"/>
      <c r="BCH29" s="289"/>
      <c r="BCI29" s="289"/>
      <c r="BCJ29" s="289"/>
      <c r="BCK29" s="289"/>
      <c r="BCL29" s="289"/>
      <c r="BCM29" s="289"/>
      <c r="BCN29" s="289"/>
      <c r="BCO29" s="289"/>
      <c r="BCP29" s="289"/>
      <c r="BCQ29" s="289"/>
      <c r="BCR29" s="289"/>
      <c r="BCS29" s="289"/>
      <c r="BCT29" s="289"/>
      <c r="BCU29" s="289"/>
      <c r="BCV29" s="289"/>
      <c r="BCW29" s="289"/>
      <c r="BCX29" s="289"/>
      <c r="BCY29" s="289"/>
      <c r="BCZ29" s="289"/>
      <c r="BDA29" s="289"/>
      <c r="BDB29" s="289"/>
      <c r="BDC29" s="289"/>
      <c r="BDD29" s="289"/>
      <c r="BDE29" s="289"/>
      <c r="BDF29" s="289"/>
      <c r="BDG29" s="289"/>
      <c r="BDH29" s="289"/>
      <c r="BDI29" s="289"/>
      <c r="BDJ29" s="289"/>
      <c r="BDK29" s="289"/>
      <c r="BDL29" s="289"/>
      <c r="BDM29" s="289"/>
      <c r="BDN29" s="289"/>
      <c r="BDO29" s="289"/>
      <c r="BDP29" s="289"/>
      <c r="BDQ29" s="289"/>
      <c r="BDR29" s="289"/>
      <c r="BDS29" s="289"/>
      <c r="BDT29" s="289"/>
      <c r="BDU29" s="289"/>
      <c r="BDV29" s="289"/>
      <c r="BDW29" s="289"/>
      <c r="BDX29" s="289"/>
      <c r="BDY29" s="289"/>
      <c r="BDZ29" s="289"/>
      <c r="BEA29" s="289"/>
      <c r="BEB29" s="289"/>
      <c r="BEC29" s="289"/>
      <c r="BED29" s="289"/>
      <c r="BEE29" s="289"/>
      <c r="BEF29" s="289"/>
      <c r="BEG29" s="289"/>
      <c r="BEH29" s="289"/>
      <c r="BEI29" s="289"/>
      <c r="BEJ29" s="289"/>
      <c r="BEK29" s="289"/>
      <c r="BEL29" s="289"/>
      <c r="BEM29" s="289"/>
      <c r="BEN29" s="289"/>
      <c r="BEO29" s="289"/>
      <c r="BEP29" s="289"/>
      <c r="BEQ29" s="289"/>
      <c r="BER29" s="289"/>
      <c r="BES29" s="289"/>
      <c r="BET29" s="289"/>
      <c r="BEU29" s="289"/>
      <c r="BEV29" s="289"/>
      <c r="BEW29" s="289"/>
      <c r="BEX29" s="289"/>
      <c r="BEY29" s="289"/>
      <c r="BEZ29" s="289"/>
      <c r="BFA29" s="289"/>
      <c r="BFB29" s="289"/>
      <c r="BFC29" s="289"/>
      <c r="BFD29" s="289"/>
      <c r="BFE29" s="289"/>
      <c r="BFF29" s="289"/>
      <c r="BFG29" s="289"/>
      <c r="BFH29" s="289"/>
      <c r="BFI29" s="289"/>
      <c r="BFJ29" s="289"/>
      <c r="BFK29" s="289"/>
      <c r="BFL29" s="289"/>
      <c r="BFM29" s="289"/>
      <c r="BFN29" s="289"/>
      <c r="BFO29" s="289"/>
      <c r="BFP29" s="289"/>
      <c r="BFQ29" s="289"/>
      <c r="BFR29" s="289"/>
      <c r="BFS29" s="289"/>
      <c r="BFT29" s="289"/>
      <c r="BFU29" s="289"/>
      <c r="BFV29" s="289"/>
      <c r="BFW29" s="289"/>
      <c r="BFX29" s="289"/>
      <c r="BFY29" s="289"/>
      <c r="BFZ29" s="289"/>
      <c r="BGA29" s="289"/>
      <c r="BGB29" s="289"/>
      <c r="BGC29" s="289"/>
      <c r="BGD29" s="289"/>
      <c r="BGE29" s="289"/>
      <c r="BGF29" s="289"/>
      <c r="BGG29" s="289"/>
      <c r="BGH29" s="289"/>
      <c r="BGI29" s="289"/>
      <c r="BGJ29" s="289"/>
      <c r="BGK29" s="289"/>
      <c r="BGL29" s="289"/>
      <c r="BGM29" s="289"/>
      <c r="BGN29" s="289"/>
      <c r="BGO29" s="289"/>
      <c r="BGP29" s="289"/>
      <c r="BGQ29" s="289"/>
      <c r="BGR29" s="289"/>
      <c r="BGS29" s="289"/>
      <c r="BGT29" s="289"/>
      <c r="BGU29" s="289"/>
      <c r="BGV29" s="289"/>
      <c r="BGW29" s="289"/>
      <c r="BGX29" s="289"/>
      <c r="BGY29" s="289"/>
      <c r="BGZ29" s="289"/>
      <c r="BHA29" s="289"/>
      <c r="BHB29" s="289"/>
      <c r="BHC29" s="289"/>
      <c r="BHD29" s="289"/>
      <c r="BHE29" s="289"/>
      <c r="BHF29" s="289"/>
      <c r="BHG29" s="289"/>
      <c r="BHH29" s="289"/>
      <c r="BHI29" s="289"/>
      <c r="BHJ29" s="289"/>
      <c r="BHK29" s="289"/>
      <c r="BHL29" s="289"/>
      <c r="BHM29" s="289"/>
      <c r="BHN29" s="289"/>
      <c r="BHO29" s="289"/>
      <c r="BHP29" s="289"/>
      <c r="BHQ29" s="289"/>
      <c r="BHR29" s="289"/>
      <c r="BHS29" s="289"/>
      <c r="BHT29" s="289"/>
      <c r="BHU29" s="289"/>
      <c r="BHV29" s="289"/>
      <c r="BHW29" s="289"/>
      <c r="BHX29" s="289"/>
      <c r="BHY29" s="289"/>
      <c r="BHZ29" s="289"/>
      <c r="BIA29" s="289"/>
      <c r="BIB29" s="289"/>
      <c r="BIC29" s="289"/>
      <c r="BID29" s="289"/>
      <c r="BIE29" s="289"/>
      <c r="BIF29" s="289"/>
      <c r="BIG29" s="289"/>
      <c r="BIH29" s="289"/>
      <c r="BII29" s="289"/>
      <c r="BIJ29" s="289"/>
      <c r="BIK29" s="289"/>
      <c r="BIL29" s="289"/>
      <c r="BIM29" s="289"/>
      <c r="BIN29" s="289"/>
      <c r="BIO29" s="289"/>
      <c r="BIP29" s="289"/>
      <c r="BIQ29" s="289"/>
      <c r="BIR29" s="289"/>
      <c r="BIS29" s="289"/>
      <c r="BIT29" s="289"/>
      <c r="BIU29" s="289"/>
      <c r="BIV29" s="289"/>
      <c r="BIW29" s="289"/>
      <c r="BIX29" s="289"/>
      <c r="BIY29" s="289"/>
      <c r="BIZ29" s="289"/>
      <c r="BJA29" s="289"/>
      <c r="BJB29" s="289"/>
      <c r="BJC29" s="289"/>
      <c r="BJD29" s="289"/>
      <c r="BJE29" s="289"/>
      <c r="BJF29" s="289"/>
      <c r="BJG29" s="289"/>
      <c r="BJH29" s="289"/>
      <c r="BJI29" s="289"/>
      <c r="BJJ29" s="289"/>
      <c r="BJK29" s="289"/>
      <c r="BJL29" s="289"/>
      <c r="BJM29" s="289"/>
      <c r="BJN29" s="289"/>
      <c r="BJO29" s="289"/>
      <c r="BJP29" s="289"/>
      <c r="BJQ29" s="289"/>
      <c r="BJR29" s="289"/>
      <c r="BJS29" s="289"/>
      <c r="BJT29" s="289"/>
      <c r="BJU29" s="289"/>
      <c r="BJV29" s="289"/>
      <c r="BJW29" s="289"/>
      <c r="BJX29" s="289"/>
      <c r="BJY29" s="289"/>
      <c r="BJZ29" s="289"/>
      <c r="BKA29" s="289"/>
      <c r="BKB29" s="289"/>
      <c r="BKC29" s="289"/>
      <c r="BKD29" s="289"/>
      <c r="BKE29" s="289"/>
      <c r="BKF29" s="289"/>
      <c r="BKG29" s="289"/>
      <c r="BKH29" s="289"/>
      <c r="BKI29" s="289"/>
      <c r="BKJ29" s="289"/>
      <c r="BKK29" s="289"/>
      <c r="BKL29" s="289"/>
      <c r="BKM29" s="289"/>
      <c r="BKN29" s="289"/>
      <c r="BKO29" s="289"/>
      <c r="BKP29" s="289"/>
      <c r="BKQ29" s="289"/>
      <c r="BKR29" s="289"/>
      <c r="BKS29" s="289"/>
      <c r="BKT29" s="289"/>
      <c r="BKU29" s="289"/>
      <c r="BKV29" s="289"/>
      <c r="BKW29" s="289"/>
      <c r="BKX29" s="289"/>
      <c r="BKY29" s="289"/>
      <c r="BKZ29" s="289"/>
      <c r="BLA29" s="289"/>
      <c r="BLB29" s="289"/>
      <c r="BLC29" s="289"/>
      <c r="BLD29" s="289"/>
      <c r="BLE29" s="289"/>
      <c r="BLF29" s="289"/>
      <c r="BLG29" s="289"/>
      <c r="BLH29" s="289"/>
      <c r="BLI29" s="289"/>
      <c r="BLJ29" s="289"/>
      <c r="BLK29" s="289"/>
      <c r="BLL29" s="289"/>
      <c r="BLM29" s="289"/>
      <c r="BLN29" s="289"/>
      <c r="BLO29" s="289"/>
      <c r="BLP29" s="289"/>
      <c r="BLQ29" s="289"/>
      <c r="BLR29" s="289"/>
      <c r="BLS29" s="289"/>
      <c r="BLT29" s="289"/>
      <c r="BLU29" s="289"/>
      <c r="BLV29" s="289"/>
      <c r="BLW29" s="289"/>
      <c r="BLX29" s="289"/>
      <c r="BLY29" s="289"/>
      <c r="BLZ29" s="289"/>
      <c r="BMA29" s="289"/>
      <c r="BMB29" s="289"/>
      <c r="BMC29" s="289"/>
      <c r="BMD29" s="289"/>
      <c r="BME29" s="289"/>
      <c r="BMF29" s="289"/>
      <c r="BMG29" s="289"/>
      <c r="BMH29" s="289"/>
      <c r="BMI29" s="289"/>
      <c r="BMJ29" s="289"/>
      <c r="BMK29" s="289"/>
      <c r="BML29" s="289"/>
      <c r="BMM29" s="289"/>
      <c r="BMN29" s="289"/>
      <c r="BMO29" s="289"/>
      <c r="BMP29" s="289"/>
      <c r="BMQ29" s="289"/>
      <c r="BMR29" s="289"/>
      <c r="BMS29" s="289"/>
      <c r="BMT29" s="289"/>
      <c r="BMU29" s="289"/>
      <c r="BMV29" s="289"/>
      <c r="BMW29" s="289"/>
      <c r="BMX29" s="289"/>
      <c r="BMY29" s="289"/>
      <c r="BMZ29" s="289"/>
      <c r="BNA29" s="289"/>
      <c r="BNB29" s="289"/>
      <c r="BNC29" s="289"/>
      <c r="BND29" s="289"/>
      <c r="BNE29" s="289"/>
      <c r="BNF29" s="289"/>
      <c r="BNG29" s="289"/>
      <c r="BNH29" s="289"/>
      <c r="BNI29" s="289"/>
      <c r="BNJ29" s="289"/>
      <c r="BNK29" s="289"/>
      <c r="BNL29" s="289"/>
      <c r="BNM29" s="289"/>
      <c r="BNN29" s="289"/>
      <c r="BNO29" s="289"/>
      <c r="BNP29" s="289"/>
      <c r="BNQ29" s="289"/>
      <c r="BNR29" s="289"/>
      <c r="BNS29" s="289"/>
      <c r="BNT29" s="289"/>
      <c r="BNU29" s="289"/>
      <c r="BNV29" s="289"/>
      <c r="BNW29" s="289"/>
      <c r="BNX29" s="289"/>
      <c r="BNY29" s="289"/>
      <c r="BNZ29" s="289"/>
      <c r="BOA29" s="289"/>
      <c r="BOB29" s="289"/>
      <c r="BOC29" s="289"/>
      <c r="BOD29" s="289"/>
      <c r="BOE29" s="289"/>
      <c r="BOF29" s="289"/>
      <c r="BOG29" s="289"/>
      <c r="BOH29" s="289"/>
      <c r="BOI29" s="289"/>
      <c r="BOJ29" s="289"/>
      <c r="BOK29" s="289"/>
      <c r="BOL29" s="289"/>
      <c r="BOM29" s="289"/>
      <c r="BON29" s="289"/>
      <c r="BOO29" s="289"/>
      <c r="BOP29" s="289"/>
      <c r="BOQ29" s="289"/>
      <c r="BOR29" s="289"/>
      <c r="BOS29" s="289"/>
      <c r="BOT29" s="289"/>
      <c r="BOU29" s="289"/>
      <c r="BOV29" s="289"/>
      <c r="BOW29" s="289"/>
      <c r="BOX29" s="289"/>
      <c r="BOY29" s="289"/>
      <c r="BOZ29" s="289"/>
      <c r="BPA29" s="289"/>
      <c r="BPB29" s="289"/>
      <c r="BPC29" s="289"/>
      <c r="BPD29" s="289"/>
      <c r="BPE29" s="289"/>
      <c r="BPF29" s="289"/>
      <c r="BPG29" s="289"/>
      <c r="BPH29" s="289"/>
      <c r="BPI29" s="289"/>
      <c r="BPJ29" s="289"/>
      <c r="BPK29" s="289"/>
      <c r="BPL29" s="289"/>
      <c r="BPM29" s="289"/>
      <c r="BPN29" s="289"/>
      <c r="BPO29" s="289"/>
      <c r="BPP29" s="289"/>
      <c r="BPQ29" s="289"/>
      <c r="BPR29" s="289"/>
      <c r="BPS29" s="289"/>
      <c r="BPT29" s="289"/>
      <c r="BPU29" s="289"/>
      <c r="BPV29" s="289"/>
      <c r="BPW29" s="289"/>
      <c r="BPX29" s="289"/>
      <c r="BPY29" s="289"/>
      <c r="BPZ29" s="289"/>
      <c r="BQA29" s="289"/>
      <c r="BQB29" s="289"/>
      <c r="BQC29" s="289"/>
      <c r="BQD29" s="289"/>
      <c r="BQE29" s="289"/>
      <c r="BQF29" s="289"/>
      <c r="BQG29" s="289"/>
      <c r="BQH29" s="289"/>
      <c r="BQI29" s="289"/>
      <c r="BQJ29" s="289"/>
      <c r="BQK29" s="289"/>
      <c r="BQL29" s="289"/>
      <c r="BQM29" s="289"/>
      <c r="BQN29" s="289"/>
      <c r="BQO29" s="289"/>
      <c r="BQP29" s="289"/>
      <c r="BQQ29" s="289"/>
      <c r="BQR29" s="289"/>
      <c r="BQS29" s="289"/>
      <c r="BQT29" s="289"/>
      <c r="BQU29" s="289"/>
      <c r="BQV29" s="289"/>
      <c r="BQW29" s="289"/>
      <c r="BQX29" s="289"/>
      <c r="BQY29" s="289"/>
      <c r="BQZ29" s="289"/>
      <c r="BRA29" s="289"/>
      <c r="BRB29" s="289"/>
      <c r="BRC29" s="289"/>
      <c r="BRD29" s="289"/>
      <c r="BRE29" s="289"/>
      <c r="BRF29" s="289"/>
      <c r="BRG29" s="289"/>
      <c r="BRH29" s="289"/>
      <c r="BRI29" s="289"/>
      <c r="BRJ29" s="289"/>
      <c r="BRK29" s="289"/>
      <c r="BRL29" s="289"/>
      <c r="BRM29" s="289"/>
      <c r="BRN29" s="289"/>
      <c r="BRO29" s="289"/>
      <c r="BRP29" s="289"/>
      <c r="BRQ29" s="289"/>
      <c r="BRR29" s="289"/>
      <c r="BRS29" s="289"/>
      <c r="BRT29" s="289"/>
      <c r="BRU29" s="289"/>
      <c r="BRV29" s="289"/>
      <c r="BRW29" s="289"/>
      <c r="BRX29" s="289"/>
      <c r="BRY29" s="289"/>
      <c r="BRZ29" s="289"/>
      <c r="BSA29" s="289"/>
      <c r="BSB29" s="289"/>
      <c r="BSC29" s="289"/>
      <c r="BSD29" s="289"/>
      <c r="BSE29" s="289"/>
      <c r="BSF29" s="289"/>
      <c r="BSG29" s="289"/>
      <c r="BSH29" s="289"/>
      <c r="BSI29" s="289"/>
      <c r="BSJ29" s="289"/>
      <c r="BSK29" s="289"/>
      <c r="BSL29" s="289"/>
      <c r="BSM29" s="289"/>
      <c r="BSN29" s="289"/>
      <c r="BSO29" s="289"/>
      <c r="BSP29" s="289"/>
      <c r="BSQ29" s="289"/>
      <c r="BSR29" s="289"/>
      <c r="BSS29" s="289"/>
      <c r="BST29" s="289"/>
      <c r="BSU29" s="289"/>
      <c r="BSV29" s="289"/>
      <c r="BSW29" s="289"/>
      <c r="BSX29" s="289"/>
      <c r="BSY29" s="289"/>
      <c r="BSZ29" s="289"/>
      <c r="BTA29" s="289"/>
      <c r="BTB29" s="289"/>
      <c r="BTC29" s="289"/>
      <c r="BTD29" s="289"/>
      <c r="BTE29" s="289"/>
      <c r="BTF29" s="289"/>
      <c r="BTG29" s="289"/>
      <c r="BTH29" s="289"/>
      <c r="BTI29" s="289"/>
      <c r="BTJ29" s="289"/>
      <c r="BTK29" s="289"/>
      <c r="BTL29" s="289"/>
      <c r="BTM29" s="289"/>
      <c r="BTN29" s="289"/>
      <c r="BTO29" s="289"/>
      <c r="BTP29" s="289"/>
      <c r="BTQ29" s="289"/>
      <c r="BTR29" s="289"/>
      <c r="BTS29" s="289"/>
      <c r="BTT29" s="289"/>
      <c r="BTU29" s="289"/>
      <c r="BTV29" s="289"/>
      <c r="BTW29" s="289"/>
      <c r="BTX29" s="289"/>
      <c r="BTY29" s="289"/>
      <c r="BTZ29" s="289"/>
      <c r="BUA29" s="289"/>
      <c r="BUB29" s="289"/>
      <c r="BUC29" s="289"/>
      <c r="BUD29" s="289"/>
      <c r="BUE29" s="289"/>
      <c r="BUF29" s="289"/>
      <c r="BUG29" s="289"/>
      <c r="BUH29" s="289"/>
      <c r="BUI29" s="289"/>
      <c r="BUJ29" s="289"/>
      <c r="BUK29" s="289"/>
      <c r="BUL29" s="289"/>
      <c r="BUM29" s="289"/>
      <c r="BUN29" s="289"/>
      <c r="BUO29" s="289"/>
      <c r="BUP29" s="289"/>
      <c r="BUQ29" s="289"/>
      <c r="BUR29" s="289"/>
      <c r="BUS29" s="289"/>
      <c r="BUT29" s="289"/>
      <c r="BUU29" s="289"/>
      <c r="BUV29" s="289"/>
      <c r="BUW29" s="289"/>
      <c r="BUX29" s="289"/>
      <c r="BUY29" s="289"/>
      <c r="BUZ29" s="289"/>
      <c r="BVA29" s="289"/>
      <c r="BVB29" s="289"/>
      <c r="BVC29" s="289"/>
      <c r="BVD29" s="289"/>
      <c r="BVE29" s="289"/>
      <c r="BVF29" s="289"/>
      <c r="BVG29" s="289"/>
      <c r="BVH29" s="289"/>
      <c r="BVI29" s="289"/>
      <c r="BVJ29" s="289"/>
      <c r="BVK29" s="289"/>
      <c r="BVL29" s="289"/>
      <c r="BVM29" s="289"/>
      <c r="BVN29" s="289"/>
      <c r="BVO29" s="289"/>
      <c r="BVP29" s="289"/>
      <c r="BVQ29" s="289"/>
      <c r="BVR29" s="289"/>
      <c r="BVS29" s="289"/>
      <c r="BVT29" s="289"/>
      <c r="BVU29" s="289"/>
      <c r="BVV29" s="289"/>
      <c r="BVW29" s="289"/>
      <c r="BVX29" s="289"/>
      <c r="BVY29" s="289"/>
      <c r="BVZ29" s="289"/>
      <c r="BWA29" s="289"/>
      <c r="BWB29" s="289"/>
      <c r="BWC29" s="289"/>
      <c r="BWD29" s="289"/>
      <c r="BWE29" s="289"/>
      <c r="BWF29" s="289"/>
      <c r="BWG29" s="289"/>
      <c r="BWH29" s="289"/>
      <c r="BWI29" s="289"/>
      <c r="BWJ29" s="289"/>
      <c r="BWK29" s="289"/>
      <c r="BWL29" s="289"/>
      <c r="BWM29" s="289"/>
      <c r="BWN29" s="289"/>
      <c r="BWO29" s="289"/>
      <c r="BWP29" s="289"/>
      <c r="BWQ29" s="289"/>
      <c r="BWR29" s="289"/>
      <c r="BWS29" s="289"/>
      <c r="BWT29" s="289"/>
      <c r="BWU29" s="289"/>
      <c r="BWV29" s="289"/>
      <c r="BWW29" s="289"/>
      <c r="BWX29" s="289"/>
      <c r="BWY29" s="289"/>
      <c r="BWZ29" s="289"/>
      <c r="BXA29" s="289"/>
      <c r="BXB29" s="289"/>
      <c r="BXC29" s="289"/>
      <c r="BXD29" s="289"/>
      <c r="BXE29" s="289"/>
      <c r="BXF29" s="289"/>
      <c r="BXG29" s="289"/>
      <c r="BXH29" s="289"/>
      <c r="BXI29" s="289"/>
      <c r="BXJ29" s="289"/>
      <c r="BXK29" s="289"/>
      <c r="BXL29" s="289"/>
      <c r="BXM29" s="289"/>
      <c r="BXN29" s="289"/>
      <c r="BXO29" s="289"/>
      <c r="BXP29" s="289"/>
      <c r="BXQ29" s="289"/>
      <c r="BXR29" s="289"/>
      <c r="BXS29" s="289"/>
      <c r="BXT29" s="289"/>
      <c r="BXU29" s="289"/>
      <c r="BXV29" s="289"/>
      <c r="BXW29" s="289"/>
      <c r="BXX29" s="289"/>
      <c r="BXY29" s="289"/>
      <c r="BXZ29" s="289"/>
      <c r="BYA29" s="289"/>
      <c r="BYB29" s="289"/>
      <c r="BYC29" s="289"/>
      <c r="BYD29" s="289"/>
      <c r="BYE29" s="289"/>
      <c r="BYF29" s="289"/>
      <c r="BYG29" s="289"/>
      <c r="BYH29" s="289"/>
      <c r="BYI29" s="289"/>
      <c r="BYJ29" s="289"/>
      <c r="BYK29" s="289"/>
      <c r="BYL29" s="289"/>
      <c r="BYM29" s="289"/>
      <c r="BYN29" s="289"/>
      <c r="BYO29" s="289"/>
      <c r="BYP29" s="289"/>
      <c r="BYQ29" s="289"/>
      <c r="BYR29" s="289"/>
      <c r="BYS29" s="289"/>
      <c r="BYT29" s="289"/>
      <c r="BYU29" s="289"/>
      <c r="BYV29" s="289"/>
      <c r="BYW29" s="289"/>
      <c r="BYX29" s="289"/>
      <c r="BYY29" s="289"/>
      <c r="BYZ29" s="289"/>
      <c r="BZA29" s="289"/>
      <c r="BZB29" s="289"/>
      <c r="BZC29" s="289"/>
      <c r="BZD29" s="289"/>
      <c r="BZE29" s="289"/>
      <c r="BZF29" s="289"/>
      <c r="BZG29" s="289"/>
      <c r="BZH29" s="289"/>
      <c r="BZI29" s="289"/>
      <c r="BZJ29" s="289"/>
      <c r="BZK29" s="289"/>
      <c r="BZL29" s="289"/>
      <c r="BZM29" s="289"/>
      <c r="BZN29" s="289"/>
      <c r="BZO29" s="289"/>
      <c r="BZP29" s="289"/>
      <c r="BZQ29" s="289"/>
      <c r="BZR29" s="289"/>
      <c r="BZS29" s="289"/>
      <c r="BZT29" s="289"/>
      <c r="BZU29" s="289"/>
      <c r="BZV29" s="289"/>
      <c r="BZW29" s="289"/>
      <c r="BZX29" s="289"/>
      <c r="BZY29" s="289"/>
      <c r="BZZ29" s="289"/>
      <c r="CAA29" s="289"/>
      <c r="CAB29" s="289"/>
      <c r="CAC29" s="289"/>
      <c r="CAD29" s="289"/>
      <c r="CAE29" s="289"/>
      <c r="CAF29" s="289"/>
      <c r="CAG29" s="289"/>
      <c r="CAH29" s="289"/>
      <c r="CAI29" s="289"/>
      <c r="CAJ29" s="289"/>
      <c r="CAK29" s="289"/>
      <c r="CAL29" s="289"/>
      <c r="CAM29" s="289"/>
      <c r="CAN29" s="289"/>
      <c r="CAO29" s="289"/>
      <c r="CAP29" s="289"/>
      <c r="CAQ29" s="289"/>
      <c r="CAR29" s="289"/>
      <c r="CAS29" s="289"/>
      <c r="CAT29" s="289"/>
      <c r="CAU29" s="289"/>
      <c r="CAV29" s="289"/>
      <c r="CAW29" s="289"/>
      <c r="CAX29" s="289"/>
      <c r="CAY29" s="289"/>
      <c r="CAZ29" s="289"/>
      <c r="CBA29" s="289"/>
      <c r="CBB29" s="289"/>
      <c r="CBC29" s="289"/>
      <c r="CBD29" s="289"/>
      <c r="CBE29" s="289"/>
      <c r="CBF29" s="289"/>
      <c r="CBG29" s="289"/>
      <c r="CBH29" s="289"/>
      <c r="CBI29" s="289"/>
      <c r="CBJ29" s="289"/>
      <c r="CBK29" s="289"/>
      <c r="CBL29" s="289"/>
      <c r="CBM29" s="289"/>
      <c r="CBN29" s="289"/>
      <c r="CBO29" s="289"/>
      <c r="CBP29" s="289"/>
      <c r="CBQ29" s="289"/>
      <c r="CBR29" s="289"/>
      <c r="CBS29" s="289"/>
      <c r="CBT29" s="289"/>
      <c r="CBU29" s="289"/>
      <c r="CBV29" s="289"/>
      <c r="CBW29" s="289"/>
      <c r="CBX29" s="289"/>
      <c r="CBY29" s="289"/>
      <c r="CBZ29" s="289"/>
      <c r="CCA29" s="289"/>
      <c r="CCB29" s="289"/>
      <c r="CCC29" s="289"/>
      <c r="CCD29" s="289"/>
      <c r="CCE29" s="289"/>
      <c r="CCF29" s="289"/>
      <c r="CCG29" s="289"/>
      <c r="CCH29" s="289"/>
      <c r="CCI29" s="289"/>
      <c r="CCJ29" s="289"/>
      <c r="CCK29" s="289"/>
      <c r="CCL29" s="289"/>
      <c r="CCM29" s="289"/>
      <c r="CCN29" s="289"/>
      <c r="CCO29" s="289"/>
      <c r="CCP29" s="289"/>
      <c r="CCQ29" s="289"/>
      <c r="CCR29" s="289"/>
      <c r="CCS29" s="289"/>
      <c r="CCT29" s="289"/>
      <c r="CCU29" s="289"/>
      <c r="CCV29" s="289"/>
      <c r="CCW29" s="289"/>
      <c r="CCX29" s="289"/>
      <c r="CCY29" s="289"/>
      <c r="CCZ29" s="289"/>
      <c r="CDA29" s="289"/>
      <c r="CDB29" s="289"/>
      <c r="CDC29" s="289"/>
      <c r="CDD29" s="289"/>
      <c r="CDE29" s="289"/>
      <c r="CDF29" s="289"/>
      <c r="CDG29" s="289"/>
      <c r="CDH29" s="289"/>
      <c r="CDI29" s="289"/>
      <c r="CDJ29" s="289"/>
      <c r="CDK29" s="289"/>
      <c r="CDL29" s="289"/>
      <c r="CDM29" s="289"/>
      <c r="CDN29" s="289"/>
      <c r="CDO29" s="289"/>
      <c r="CDP29" s="289"/>
      <c r="CDQ29" s="289"/>
      <c r="CDR29" s="289"/>
      <c r="CDS29" s="289"/>
      <c r="CDT29" s="289"/>
      <c r="CDU29" s="289"/>
      <c r="CDV29" s="289"/>
      <c r="CDW29" s="289"/>
      <c r="CDX29" s="289"/>
      <c r="CDY29" s="289"/>
      <c r="CDZ29" s="289"/>
      <c r="CEA29" s="289"/>
      <c r="CEB29" s="289"/>
      <c r="CEC29" s="289"/>
      <c r="CED29" s="289"/>
      <c r="CEE29" s="289"/>
      <c r="CEF29" s="289"/>
      <c r="CEG29" s="289"/>
      <c r="CEH29" s="289"/>
      <c r="CEI29" s="289"/>
      <c r="CEJ29" s="289"/>
      <c r="CEK29" s="289"/>
      <c r="CEL29" s="289"/>
      <c r="CEM29" s="289"/>
      <c r="CEN29" s="289"/>
      <c r="CEO29" s="289"/>
      <c r="CEP29" s="289"/>
      <c r="CEQ29" s="289"/>
      <c r="CER29" s="289"/>
      <c r="CES29" s="289"/>
      <c r="CET29" s="289"/>
      <c r="CEU29" s="289"/>
      <c r="CEV29" s="289"/>
      <c r="CEW29" s="289"/>
      <c r="CEX29" s="289"/>
      <c r="CEY29" s="289"/>
      <c r="CEZ29" s="289"/>
      <c r="CFA29" s="289"/>
      <c r="CFB29" s="289"/>
      <c r="CFC29" s="289"/>
      <c r="CFD29" s="289"/>
      <c r="CFE29" s="289"/>
      <c r="CFF29" s="289"/>
      <c r="CFG29" s="289"/>
      <c r="CFH29" s="289"/>
      <c r="CFI29" s="289"/>
      <c r="CFJ29" s="289"/>
      <c r="CFK29" s="289"/>
      <c r="CFL29" s="289"/>
      <c r="CFM29" s="289"/>
      <c r="CFN29" s="289"/>
      <c r="CFO29" s="289"/>
      <c r="CFP29" s="289"/>
      <c r="CFQ29" s="289"/>
      <c r="CFR29" s="289"/>
      <c r="CFS29" s="289"/>
      <c r="CFT29" s="289"/>
      <c r="CFU29" s="289"/>
      <c r="CFV29" s="289"/>
      <c r="CFW29" s="289"/>
      <c r="CFX29" s="289"/>
      <c r="CFY29" s="289"/>
      <c r="CFZ29" s="289"/>
      <c r="CGA29" s="289"/>
      <c r="CGB29" s="289"/>
      <c r="CGC29" s="289"/>
      <c r="CGD29" s="289"/>
      <c r="CGE29" s="289"/>
      <c r="CGF29" s="289"/>
      <c r="CGG29" s="289"/>
      <c r="CGH29" s="289"/>
      <c r="CGI29" s="289"/>
      <c r="CGJ29" s="289"/>
      <c r="CGK29" s="289"/>
      <c r="CGL29" s="289"/>
      <c r="CGM29" s="289"/>
      <c r="CGN29" s="289"/>
      <c r="CGO29" s="289"/>
      <c r="CGP29" s="289"/>
      <c r="CGQ29" s="289"/>
      <c r="CGR29" s="289"/>
      <c r="CGS29" s="289"/>
      <c r="CGT29" s="289"/>
      <c r="CGU29" s="289"/>
      <c r="CGV29" s="289"/>
      <c r="CGW29" s="289"/>
      <c r="CGX29" s="289"/>
      <c r="CGY29" s="289"/>
      <c r="CGZ29" s="289"/>
      <c r="CHA29" s="289"/>
      <c r="CHB29" s="289"/>
      <c r="CHC29" s="289"/>
      <c r="CHD29" s="289"/>
      <c r="CHE29" s="289"/>
      <c r="CHF29" s="289"/>
      <c r="CHG29" s="289"/>
      <c r="CHH29" s="289"/>
      <c r="CHI29" s="289"/>
      <c r="CHJ29" s="289"/>
      <c r="CHK29" s="289"/>
      <c r="CHL29" s="289"/>
      <c r="CHM29" s="289"/>
      <c r="CHN29" s="289"/>
      <c r="CHO29" s="289"/>
      <c r="CHP29" s="289"/>
      <c r="CHQ29" s="289"/>
      <c r="CHR29" s="289"/>
      <c r="CHS29" s="289"/>
      <c r="CHT29" s="289"/>
      <c r="CHU29" s="289"/>
      <c r="CHV29" s="289"/>
      <c r="CHW29" s="289"/>
      <c r="CHX29" s="289"/>
      <c r="CHY29" s="289"/>
      <c r="CHZ29" s="289"/>
      <c r="CIA29" s="289"/>
      <c r="CIB29" s="289"/>
      <c r="CIC29" s="289"/>
      <c r="CID29" s="289"/>
      <c r="CIE29" s="289"/>
      <c r="CIF29" s="289"/>
      <c r="CIG29" s="289"/>
      <c r="CIH29" s="289"/>
      <c r="CII29" s="289"/>
      <c r="CIJ29" s="289"/>
      <c r="CIK29" s="289"/>
      <c r="CIL29" s="289"/>
      <c r="CIM29" s="289"/>
      <c r="CIN29" s="289"/>
      <c r="CIO29" s="289"/>
      <c r="CIP29" s="289"/>
      <c r="CIQ29" s="289"/>
      <c r="CIR29" s="289"/>
      <c r="CIS29" s="289"/>
      <c r="CIT29" s="289"/>
      <c r="CIU29" s="289"/>
      <c r="CIV29" s="289"/>
      <c r="CIW29" s="289"/>
      <c r="CIX29" s="289"/>
      <c r="CIY29" s="289"/>
      <c r="CIZ29" s="289"/>
      <c r="CJA29" s="289"/>
      <c r="CJB29" s="289"/>
      <c r="CJC29" s="289"/>
      <c r="CJD29" s="289"/>
      <c r="CJE29" s="289"/>
      <c r="CJF29" s="289"/>
      <c r="CJG29" s="289"/>
      <c r="CJH29" s="289"/>
      <c r="CJI29" s="289"/>
      <c r="CJJ29" s="289"/>
      <c r="CJK29" s="289"/>
      <c r="CJL29" s="289"/>
      <c r="CJM29" s="289"/>
      <c r="CJN29" s="289"/>
      <c r="CJO29" s="289"/>
      <c r="CJP29" s="289"/>
      <c r="CJQ29" s="289"/>
      <c r="CJR29" s="289"/>
      <c r="CJS29" s="289"/>
      <c r="CJT29" s="289"/>
      <c r="CJU29" s="289"/>
      <c r="CJV29" s="289"/>
      <c r="CJW29" s="289"/>
      <c r="CJX29" s="289"/>
      <c r="CJY29" s="289"/>
      <c r="CJZ29" s="289"/>
      <c r="CKA29" s="289"/>
      <c r="CKB29" s="289"/>
      <c r="CKC29" s="289"/>
      <c r="CKD29" s="289"/>
      <c r="CKE29" s="289"/>
      <c r="CKF29" s="289"/>
      <c r="CKG29" s="289"/>
      <c r="CKH29" s="289"/>
      <c r="CKI29" s="289"/>
      <c r="CKJ29" s="289"/>
      <c r="CKK29" s="289"/>
      <c r="CKL29" s="289"/>
      <c r="CKM29" s="289"/>
      <c r="CKN29" s="289"/>
      <c r="CKO29" s="289"/>
      <c r="CKP29" s="289"/>
      <c r="CKQ29" s="289"/>
      <c r="CKR29" s="289"/>
      <c r="CKS29" s="289"/>
      <c r="CKT29" s="289"/>
      <c r="CKU29" s="289"/>
      <c r="CKV29" s="289"/>
      <c r="CKW29" s="289"/>
      <c r="CKX29" s="289"/>
      <c r="CKY29" s="289"/>
      <c r="CKZ29" s="289"/>
      <c r="CLA29" s="289"/>
      <c r="CLB29" s="289"/>
      <c r="CLC29" s="289"/>
      <c r="CLD29" s="289"/>
      <c r="CLE29" s="289"/>
      <c r="CLF29" s="289"/>
      <c r="CLG29" s="289"/>
      <c r="CLH29" s="289"/>
      <c r="CLI29" s="289"/>
      <c r="CLJ29" s="289"/>
      <c r="CLK29" s="289"/>
      <c r="CLL29" s="289"/>
      <c r="CLM29" s="289"/>
      <c r="CLN29" s="289"/>
      <c r="CLO29" s="289"/>
      <c r="CLP29" s="289"/>
      <c r="CLQ29" s="289"/>
      <c r="CLR29" s="289"/>
      <c r="CLS29" s="289"/>
      <c r="CLT29" s="289"/>
      <c r="CLU29" s="289"/>
      <c r="CLV29" s="289"/>
      <c r="CLW29" s="289"/>
      <c r="CLX29" s="289"/>
      <c r="CLY29" s="289"/>
      <c r="CLZ29" s="289"/>
      <c r="CMA29" s="289"/>
      <c r="CMB29" s="289"/>
      <c r="CMC29" s="289"/>
      <c r="CMD29" s="289"/>
      <c r="CME29" s="289"/>
      <c r="CMF29" s="289"/>
      <c r="CMG29" s="289"/>
      <c r="CMH29" s="289"/>
      <c r="CMI29" s="289"/>
      <c r="CMJ29" s="289"/>
      <c r="CMK29" s="289"/>
      <c r="CML29" s="289"/>
      <c r="CMM29" s="289"/>
      <c r="CMN29" s="289"/>
      <c r="CMO29" s="289"/>
      <c r="CMP29" s="289"/>
      <c r="CMQ29" s="289"/>
      <c r="CMR29" s="289"/>
      <c r="CMS29" s="289"/>
      <c r="CMT29" s="289"/>
      <c r="CMU29" s="289"/>
      <c r="CMV29" s="289"/>
      <c r="CMW29" s="289"/>
      <c r="CMX29" s="289"/>
      <c r="CMY29" s="289"/>
      <c r="CMZ29" s="289"/>
      <c r="CNA29" s="289"/>
      <c r="CNB29" s="289"/>
      <c r="CNC29" s="289"/>
      <c r="CND29" s="289"/>
      <c r="CNE29" s="289"/>
      <c r="CNF29" s="289"/>
      <c r="CNG29" s="289"/>
      <c r="CNH29" s="289"/>
      <c r="CNI29" s="289"/>
      <c r="CNJ29" s="289"/>
      <c r="CNK29" s="289"/>
      <c r="CNL29" s="289"/>
      <c r="CNM29" s="289"/>
      <c r="CNN29" s="289"/>
      <c r="CNO29" s="289"/>
      <c r="CNP29" s="289"/>
      <c r="CNQ29" s="289"/>
      <c r="CNR29" s="289"/>
      <c r="CNS29" s="289"/>
      <c r="CNT29" s="289"/>
      <c r="CNU29" s="289"/>
      <c r="CNV29" s="289"/>
      <c r="CNW29" s="289"/>
      <c r="CNX29" s="289"/>
      <c r="CNY29" s="289"/>
      <c r="CNZ29" s="289"/>
      <c r="COA29" s="289"/>
      <c r="COB29" s="289"/>
      <c r="COC29" s="289"/>
      <c r="COD29" s="289"/>
      <c r="COE29" s="289"/>
      <c r="COF29" s="289"/>
      <c r="COG29" s="289"/>
      <c r="COH29" s="289"/>
      <c r="COI29" s="289"/>
      <c r="COJ29" s="289"/>
      <c r="COK29" s="289"/>
      <c r="COL29" s="289"/>
      <c r="COM29" s="289"/>
      <c r="CON29" s="289"/>
      <c r="COO29" s="289"/>
      <c r="COP29" s="289"/>
      <c r="COQ29" s="289"/>
      <c r="COR29" s="289"/>
      <c r="COS29" s="289"/>
      <c r="COT29" s="289"/>
      <c r="COU29" s="289"/>
      <c r="COV29" s="289"/>
      <c r="COW29" s="289"/>
      <c r="COX29" s="289"/>
      <c r="COY29" s="289"/>
      <c r="COZ29" s="289"/>
      <c r="CPA29" s="289"/>
      <c r="CPB29" s="289"/>
      <c r="CPC29" s="289"/>
      <c r="CPD29" s="289"/>
      <c r="CPE29" s="289"/>
      <c r="CPF29" s="289"/>
      <c r="CPG29" s="289"/>
      <c r="CPH29" s="289"/>
      <c r="CPI29" s="289"/>
      <c r="CPJ29" s="289"/>
      <c r="CPK29" s="289"/>
      <c r="CPL29" s="289"/>
      <c r="CPM29" s="289"/>
      <c r="CPN29" s="289"/>
      <c r="CPO29" s="289"/>
      <c r="CPP29" s="289"/>
      <c r="CPQ29" s="289"/>
      <c r="CPR29" s="289"/>
      <c r="CPS29" s="289"/>
      <c r="CPT29" s="289"/>
      <c r="CPU29" s="289"/>
      <c r="CPV29" s="289"/>
      <c r="CPW29" s="289"/>
      <c r="CPX29" s="289"/>
      <c r="CPY29" s="289"/>
      <c r="CPZ29" s="289"/>
      <c r="CQA29" s="289"/>
      <c r="CQB29" s="289"/>
      <c r="CQC29" s="289"/>
      <c r="CQD29" s="289"/>
      <c r="CQE29" s="289"/>
      <c r="CQF29" s="289"/>
      <c r="CQG29" s="289"/>
      <c r="CQH29" s="289"/>
      <c r="CQI29" s="289"/>
      <c r="CQJ29" s="289"/>
      <c r="CQK29" s="289"/>
      <c r="CQL29" s="289"/>
      <c r="CQM29" s="289"/>
      <c r="CQN29" s="289"/>
      <c r="CQO29" s="289"/>
      <c r="CQP29" s="289"/>
      <c r="CQQ29" s="289"/>
      <c r="CQR29" s="289"/>
      <c r="CQS29" s="289"/>
      <c r="CQT29" s="289"/>
      <c r="CQU29" s="289"/>
      <c r="CQV29" s="289"/>
      <c r="CQW29" s="289"/>
      <c r="CQX29" s="289"/>
      <c r="CQY29" s="289"/>
      <c r="CQZ29" s="289"/>
      <c r="CRA29" s="289"/>
      <c r="CRB29" s="289"/>
      <c r="CRC29" s="289"/>
      <c r="CRD29" s="289"/>
      <c r="CRE29" s="289"/>
      <c r="CRF29" s="289"/>
      <c r="CRG29" s="289"/>
      <c r="CRH29" s="289"/>
      <c r="CRI29" s="289"/>
      <c r="CRJ29" s="289"/>
      <c r="CRK29" s="289"/>
      <c r="CRL29" s="289"/>
      <c r="CRM29" s="289"/>
      <c r="CRN29" s="289"/>
      <c r="CRO29" s="289"/>
      <c r="CRP29" s="289"/>
      <c r="CRQ29" s="289"/>
      <c r="CRR29" s="289"/>
      <c r="CRS29" s="289"/>
      <c r="CRT29" s="289"/>
      <c r="CRU29" s="289"/>
      <c r="CRV29" s="289"/>
      <c r="CRW29" s="289"/>
      <c r="CRX29" s="289"/>
      <c r="CRY29" s="289"/>
      <c r="CRZ29" s="289"/>
      <c r="CSA29" s="289"/>
      <c r="CSB29" s="289"/>
      <c r="CSC29" s="289"/>
      <c r="CSD29" s="289"/>
      <c r="CSE29" s="289"/>
      <c r="CSF29" s="289"/>
      <c r="CSG29" s="289"/>
      <c r="CSH29" s="289"/>
      <c r="CSI29" s="289"/>
      <c r="CSJ29" s="289"/>
      <c r="CSK29" s="289"/>
      <c r="CSL29" s="289"/>
      <c r="CSM29" s="289"/>
      <c r="CSN29" s="289"/>
      <c r="CSO29" s="289"/>
      <c r="CSP29" s="289"/>
      <c r="CSQ29" s="289"/>
      <c r="CSR29" s="289"/>
      <c r="CSS29" s="289"/>
      <c r="CST29" s="289"/>
      <c r="CSU29" s="289"/>
      <c r="CSV29" s="289"/>
      <c r="CSW29" s="289"/>
      <c r="CSX29" s="289"/>
      <c r="CSY29" s="289"/>
      <c r="CSZ29" s="289"/>
      <c r="CTA29" s="289"/>
      <c r="CTB29" s="289"/>
      <c r="CTC29" s="289"/>
      <c r="CTD29" s="289"/>
      <c r="CTE29" s="289"/>
      <c r="CTF29" s="289"/>
      <c r="CTG29" s="289"/>
      <c r="CTH29" s="289"/>
      <c r="CTI29" s="289"/>
      <c r="CTJ29" s="289"/>
      <c r="CTK29" s="289"/>
      <c r="CTL29" s="289"/>
      <c r="CTM29" s="289"/>
      <c r="CTN29" s="289"/>
      <c r="CTO29" s="289"/>
      <c r="CTP29" s="289"/>
      <c r="CTQ29" s="289"/>
      <c r="CTR29" s="289"/>
      <c r="CTS29" s="289"/>
      <c r="CTT29" s="289"/>
      <c r="CTU29" s="289"/>
      <c r="CTV29" s="289"/>
      <c r="CTW29" s="289"/>
      <c r="CTX29" s="289"/>
      <c r="CTY29" s="289"/>
      <c r="CTZ29" s="289"/>
      <c r="CUA29" s="289"/>
      <c r="CUB29" s="289"/>
      <c r="CUC29" s="289"/>
      <c r="CUD29" s="289"/>
      <c r="CUE29" s="289"/>
      <c r="CUF29" s="289"/>
      <c r="CUG29" s="289"/>
      <c r="CUH29" s="289"/>
      <c r="CUI29" s="289"/>
      <c r="CUJ29" s="289"/>
      <c r="CUK29" s="289"/>
      <c r="CUL29" s="289"/>
      <c r="CUM29" s="289"/>
      <c r="CUN29" s="289"/>
      <c r="CUO29" s="289"/>
      <c r="CUP29" s="289"/>
      <c r="CUQ29" s="289"/>
      <c r="CUR29" s="289"/>
      <c r="CUS29" s="289"/>
      <c r="CUT29" s="289"/>
      <c r="CUU29" s="289"/>
      <c r="CUV29" s="289"/>
      <c r="CUW29" s="289"/>
      <c r="CUX29" s="289"/>
      <c r="CUY29" s="289"/>
      <c r="CUZ29" s="289"/>
      <c r="CVA29" s="289"/>
      <c r="CVB29" s="289"/>
      <c r="CVC29" s="289"/>
      <c r="CVD29" s="289"/>
      <c r="CVE29" s="289"/>
      <c r="CVF29" s="289"/>
      <c r="CVG29" s="289"/>
      <c r="CVH29" s="289"/>
      <c r="CVI29" s="289"/>
      <c r="CVJ29" s="289"/>
      <c r="CVK29" s="289"/>
      <c r="CVL29" s="289"/>
      <c r="CVM29" s="289"/>
      <c r="CVN29" s="289"/>
      <c r="CVO29" s="289"/>
      <c r="CVP29" s="289"/>
      <c r="CVQ29" s="289"/>
      <c r="CVR29" s="289"/>
      <c r="CVS29" s="289"/>
      <c r="CVT29" s="289"/>
      <c r="CVU29" s="289"/>
      <c r="CVV29" s="289"/>
      <c r="CVW29" s="289"/>
      <c r="CVX29" s="289"/>
      <c r="CVY29" s="289"/>
      <c r="CVZ29" s="289"/>
      <c r="CWA29" s="289"/>
      <c r="CWB29" s="289"/>
      <c r="CWC29" s="289"/>
      <c r="CWD29" s="289"/>
      <c r="CWE29" s="289"/>
      <c r="CWF29" s="289"/>
      <c r="CWG29" s="289"/>
      <c r="CWH29" s="289"/>
      <c r="CWI29" s="289"/>
      <c r="CWJ29" s="289"/>
      <c r="CWK29" s="289"/>
      <c r="CWL29" s="289"/>
      <c r="CWM29" s="289"/>
      <c r="CWN29" s="289"/>
      <c r="CWO29" s="289"/>
      <c r="CWP29" s="289"/>
      <c r="CWQ29" s="289"/>
      <c r="CWR29" s="289"/>
      <c r="CWS29" s="289"/>
      <c r="CWT29" s="289"/>
      <c r="CWU29" s="289"/>
      <c r="CWV29" s="289"/>
      <c r="CWW29" s="289"/>
      <c r="CWX29" s="289"/>
      <c r="CWY29" s="289"/>
      <c r="CWZ29" s="289"/>
      <c r="CXA29" s="289"/>
      <c r="CXB29" s="289"/>
      <c r="CXC29" s="289"/>
      <c r="CXD29" s="289"/>
      <c r="CXE29" s="289"/>
      <c r="CXF29" s="289"/>
      <c r="CXG29" s="289"/>
      <c r="CXH29" s="289"/>
      <c r="CXI29" s="289"/>
      <c r="CXJ29" s="289"/>
      <c r="CXK29" s="289"/>
      <c r="CXL29" s="289"/>
      <c r="CXM29" s="289"/>
      <c r="CXN29" s="289"/>
      <c r="CXO29" s="289"/>
      <c r="CXP29" s="289"/>
      <c r="CXQ29" s="289"/>
      <c r="CXR29" s="289"/>
      <c r="CXS29" s="289"/>
      <c r="CXT29" s="289"/>
      <c r="CXU29" s="289"/>
      <c r="CXV29" s="289"/>
      <c r="CXW29" s="289"/>
      <c r="CXX29" s="289"/>
      <c r="CXY29" s="289"/>
      <c r="CXZ29" s="289"/>
      <c r="CYA29" s="289"/>
      <c r="CYB29" s="289"/>
      <c r="CYC29" s="289"/>
      <c r="CYD29" s="289"/>
      <c r="CYE29" s="289"/>
      <c r="CYF29" s="289"/>
      <c r="CYG29" s="289"/>
      <c r="CYH29" s="289"/>
      <c r="CYI29" s="289"/>
      <c r="CYJ29" s="289"/>
      <c r="CYK29" s="289"/>
      <c r="CYL29" s="289"/>
      <c r="CYM29" s="289"/>
      <c r="CYN29" s="289"/>
      <c r="CYO29" s="289"/>
      <c r="CYP29" s="289"/>
      <c r="CYQ29" s="289"/>
      <c r="CYR29" s="289"/>
      <c r="CYS29" s="289"/>
      <c r="CYT29" s="289"/>
      <c r="CYU29" s="289"/>
      <c r="CYV29" s="289"/>
      <c r="CYW29" s="289"/>
      <c r="CYX29" s="289"/>
      <c r="CYY29" s="289"/>
      <c r="CYZ29" s="289"/>
      <c r="CZA29" s="289"/>
      <c r="CZB29" s="289"/>
      <c r="CZC29" s="289"/>
      <c r="CZD29" s="289"/>
      <c r="CZE29" s="289"/>
      <c r="CZF29" s="289"/>
      <c r="CZG29" s="289"/>
      <c r="CZH29" s="289"/>
      <c r="CZI29" s="289"/>
      <c r="CZJ29" s="289"/>
      <c r="CZK29" s="289"/>
      <c r="CZL29" s="289"/>
      <c r="CZM29" s="289"/>
      <c r="CZN29" s="289"/>
      <c r="CZO29" s="289"/>
      <c r="CZP29" s="289"/>
      <c r="CZQ29" s="289"/>
      <c r="CZR29" s="289"/>
      <c r="CZS29" s="289"/>
      <c r="CZT29" s="289"/>
      <c r="CZU29" s="289"/>
      <c r="CZV29" s="289"/>
      <c r="CZW29" s="289"/>
      <c r="CZX29" s="289"/>
      <c r="CZY29" s="289"/>
      <c r="CZZ29" s="289"/>
      <c r="DAA29" s="289"/>
      <c r="DAB29" s="289"/>
      <c r="DAC29" s="289"/>
      <c r="DAD29" s="289"/>
      <c r="DAE29" s="289"/>
      <c r="DAF29" s="289"/>
      <c r="DAG29" s="289"/>
      <c r="DAH29" s="289"/>
      <c r="DAI29" s="289"/>
      <c r="DAJ29" s="289"/>
      <c r="DAK29" s="289"/>
      <c r="DAL29" s="289"/>
      <c r="DAM29" s="289"/>
      <c r="DAN29" s="289"/>
      <c r="DAO29" s="289"/>
      <c r="DAP29" s="289"/>
      <c r="DAQ29" s="289"/>
      <c r="DAR29" s="289"/>
      <c r="DAS29" s="289"/>
      <c r="DAT29" s="289"/>
      <c r="DAU29" s="289"/>
      <c r="DAV29" s="289"/>
      <c r="DAW29" s="289"/>
      <c r="DAX29" s="289"/>
      <c r="DAY29" s="289"/>
      <c r="DAZ29" s="289"/>
      <c r="DBA29" s="289"/>
      <c r="DBB29" s="289"/>
      <c r="DBC29" s="289"/>
      <c r="DBD29" s="289"/>
      <c r="DBE29" s="289"/>
      <c r="DBF29" s="289"/>
      <c r="DBG29" s="289"/>
      <c r="DBH29" s="289"/>
      <c r="DBI29" s="289"/>
      <c r="DBJ29" s="289"/>
      <c r="DBK29" s="289"/>
      <c r="DBL29" s="289"/>
      <c r="DBM29" s="289"/>
      <c r="DBN29" s="289"/>
      <c r="DBO29" s="289"/>
      <c r="DBP29" s="289"/>
      <c r="DBQ29" s="289"/>
      <c r="DBR29" s="289"/>
      <c r="DBS29" s="289"/>
      <c r="DBT29" s="289"/>
      <c r="DBU29" s="289"/>
      <c r="DBV29" s="289"/>
      <c r="DBW29" s="289"/>
      <c r="DBX29" s="289"/>
      <c r="DBY29" s="289"/>
      <c r="DBZ29" s="289"/>
      <c r="DCA29" s="289"/>
      <c r="DCB29" s="289"/>
      <c r="DCC29" s="289"/>
      <c r="DCD29" s="289"/>
      <c r="DCE29" s="289"/>
      <c r="DCF29" s="289"/>
      <c r="DCG29" s="289"/>
      <c r="DCH29" s="289"/>
      <c r="DCI29" s="289"/>
      <c r="DCJ29" s="289"/>
      <c r="DCK29" s="289"/>
      <c r="DCL29" s="289"/>
      <c r="DCM29" s="289"/>
      <c r="DCN29" s="289"/>
      <c r="DCO29" s="289"/>
      <c r="DCP29" s="289"/>
      <c r="DCQ29" s="289"/>
      <c r="DCR29" s="289"/>
      <c r="DCS29" s="289"/>
      <c r="DCT29" s="289"/>
      <c r="DCU29" s="289"/>
      <c r="DCV29" s="289"/>
      <c r="DCW29" s="289"/>
      <c r="DCX29" s="289"/>
      <c r="DCY29" s="289"/>
      <c r="DCZ29" s="289"/>
      <c r="DDA29" s="289"/>
      <c r="DDB29" s="289"/>
      <c r="DDC29" s="289"/>
      <c r="DDD29" s="289"/>
      <c r="DDE29" s="289"/>
      <c r="DDF29" s="289"/>
      <c r="DDG29" s="289"/>
      <c r="DDH29" s="289"/>
      <c r="DDI29" s="289"/>
      <c r="DDJ29" s="289"/>
      <c r="DDK29" s="289"/>
      <c r="DDL29" s="289"/>
      <c r="DDM29" s="289"/>
      <c r="DDN29" s="289"/>
      <c r="DDO29" s="289"/>
      <c r="DDP29" s="289"/>
      <c r="DDQ29" s="289"/>
      <c r="DDR29" s="289"/>
      <c r="DDS29" s="289"/>
      <c r="DDT29" s="289"/>
      <c r="DDU29" s="289"/>
      <c r="DDV29" s="289"/>
      <c r="DDW29" s="289"/>
      <c r="DDX29" s="289"/>
      <c r="DDY29" s="289"/>
      <c r="DDZ29" s="289"/>
      <c r="DEA29" s="289"/>
      <c r="DEB29" s="289"/>
      <c r="DEC29" s="289"/>
      <c r="DED29" s="289"/>
      <c r="DEE29" s="289"/>
      <c r="DEF29" s="289"/>
      <c r="DEG29" s="289"/>
      <c r="DEH29" s="289"/>
      <c r="DEI29" s="289"/>
      <c r="DEJ29" s="289"/>
      <c r="DEK29" s="289"/>
      <c r="DEL29" s="289"/>
      <c r="DEM29" s="289"/>
      <c r="DEN29" s="289"/>
      <c r="DEO29" s="289"/>
      <c r="DEP29" s="289"/>
      <c r="DEQ29" s="289"/>
      <c r="DER29" s="289"/>
      <c r="DES29" s="289"/>
      <c r="DET29" s="289"/>
      <c r="DEU29" s="289"/>
      <c r="DEV29" s="289"/>
      <c r="DEW29" s="289"/>
      <c r="DEX29" s="289"/>
      <c r="DEY29" s="289"/>
      <c r="DEZ29" s="289"/>
      <c r="DFA29" s="289"/>
      <c r="DFB29" s="289"/>
      <c r="DFC29" s="289"/>
      <c r="DFD29" s="289"/>
      <c r="DFE29" s="289"/>
      <c r="DFF29" s="289"/>
      <c r="DFG29" s="289"/>
      <c r="DFH29" s="289"/>
      <c r="DFI29" s="289"/>
      <c r="DFJ29" s="289"/>
      <c r="DFK29" s="289"/>
      <c r="DFL29" s="289"/>
      <c r="DFM29" s="289"/>
      <c r="DFN29" s="289"/>
      <c r="DFO29" s="289"/>
      <c r="DFP29" s="289"/>
      <c r="DFQ29" s="289"/>
      <c r="DFR29" s="289"/>
      <c r="DFS29" s="289"/>
      <c r="DFT29" s="289"/>
      <c r="DFU29" s="289"/>
      <c r="DFV29" s="289"/>
      <c r="DFW29" s="289"/>
      <c r="DFX29" s="289"/>
      <c r="DFY29" s="289"/>
      <c r="DFZ29" s="289"/>
      <c r="DGA29" s="289"/>
      <c r="DGB29" s="289"/>
      <c r="DGC29" s="289"/>
      <c r="DGD29" s="289"/>
      <c r="DGE29" s="289"/>
      <c r="DGF29" s="289"/>
      <c r="DGG29" s="289"/>
      <c r="DGH29" s="289"/>
      <c r="DGI29" s="289"/>
      <c r="DGJ29" s="289"/>
      <c r="DGK29" s="289"/>
      <c r="DGL29" s="289"/>
      <c r="DGM29" s="289"/>
      <c r="DGN29" s="289"/>
      <c r="DGO29" s="289"/>
      <c r="DGP29" s="289"/>
      <c r="DGQ29" s="289"/>
      <c r="DGR29" s="289"/>
      <c r="DGS29" s="289"/>
      <c r="DGT29" s="289"/>
      <c r="DGU29" s="289"/>
      <c r="DGV29" s="289"/>
      <c r="DGW29" s="289"/>
      <c r="DGX29" s="289"/>
      <c r="DGY29" s="289"/>
      <c r="DGZ29" s="289"/>
      <c r="DHA29" s="289"/>
      <c r="DHB29" s="289"/>
      <c r="DHC29" s="289"/>
      <c r="DHD29" s="289"/>
      <c r="DHE29" s="289"/>
      <c r="DHF29" s="289"/>
      <c r="DHG29" s="289"/>
      <c r="DHH29" s="289"/>
      <c r="DHI29" s="289"/>
      <c r="DHJ29" s="289"/>
      <c r="DHK29" s="289"/>
      <c r="DHL29" s="289"/>
      <c r="DHM29" s="289"/>
      <c r="DHN29" s="289"/>
      <c r="DHO29" s="289"/>
      <c r="DHP29" s="289"/>
      <c r="DHQ29" s="289"/>
      <c r="DHR29" s="289"/>
      <c r="DHS29" s="289"/>
      <c r="DHT29" s="289"/>
      <c r="DHU29" s="289"/>
      <c r="DHV29" s="289"/>
      <c r="DHW29" s="289"/>
      <c r="DHX29" s="289"/>
      <c r="DHY29" s="289"/>
      <c r="DHZ29" s="289"/>
      <c r="DIA29" s="289"/>
      <c r="DIB29" s="289"/>
      <c r="DIC29" s="289"/>
      <c r="DID29" s="289"/>
      <c r="DIE29" s="289"/>
      <c r="DIF29" s="289"/>
      <c r="DIG29" s="289"/>
      <c r="DIH29" s="289"/>
      <c r="DII29" s="289"/>
      <c r="DIJ29" s="289"/>
      <c r="DIK29" s="289"/>
      <c r="DIL29" s="289"/>
      <c r="DIM29" s="289"/>
      <c r="DIN29" s="289"/>
      <c r="DIO29" s="289"/>
      <c r="DIP29" s="289"/>
      <c r="DIQ29" s="289"/>
      <c r="DIR29" s="289"/>
      <c r="DIS29" s="289"/>
      <c r="DIT29" s="289"/>
      <c r="DIU29" s="289"/>
      <c r="DIV29" s="289"/>
      <c r="DIW29" s="289"/>
      <c r="DIX29" s="289"/>
      <c r="DIY29" s="289"/>
      <c r="DIZ29" s="289"/>
      <c r="DJA29" s="289"/>
      <c r="DJB29" s="289"/>
      <c r="DJC29" s="289"/>
      <c r="DJD29" s="289"/>
      <c r="DJE29" s="289"/>
      <c r="DJF29" s="289"/>
      <c r="DJG29" s="289"/>
      <c r="DJH29" s="289"/>
      <c r="DJI29" s="289"/>
      <c r="DJJ29" s="289"/>
      <c r="DJK29" s="289"/>
      <c r="DJL29" s="289"/>
      <c r="DJM29" s="289"/>
      <c r="DJN29" s="289"/>
      <c r="DJO29" s="289"/>
      <c r="DJP29" s="289"/>
      <c r="DJQ29" s="289"/>
      <c r="DJR29" s="289"/>
      <c r="DJS29" s="289"/>
      <c r="DJT29" s="289"/>
      <c r="DJU29" s="289"/>
      <c r="DJV29" s="289"/>
      <c r="DJW29" s="289"/>
      <c r="DJX29" s="289"/>
      <c r="DJY29" s="289"/>
      <c r="DJZ29" s="289"/>
      <c r="DKA29" s="289"/>
      <c r="DKB29" s="289"/>
      <c r="DKC29" s="289"/>
      <c r="DKD29" s="289"/>
      <c r="DKE29" s="289"/>
      <c r="DKF29" s="289"/>
      <c r="DKG29" s="289"/>
      <c r="DKH29" s="289"/>
      <c r="DKI29" s="289"/>
      <c r="DKJ29" s="289"/>
      <c r="DKK29" s="289"/>
      <c r="DKL29" s="289"/>
      <c r="DKM29" s="289"/>
      <c r="DKN29" s="289"/>
      <c r="DKO29" s="289"/>
      <c r="DKP29" s="289"/>
      <c r="DKQ29" s="289"/>
      <c r="DKR29" s="289"/>
      <c r="DKS29" s="289"/>
      <c r="DKT29" s="289"/>
      <c r="DKU29" s="289"/>
      <c r="DKV29" s="289"/>
      <c r="DKW29" s="289"/>
      <c r="DKX29" s="289"/>
      <c r="DKY29" s="289"/>
      <c r="DKZ29" s="289"/>
      <c r="DLA29" s="289"/>
      <c r="DLB29" s="289"/>
      <c r="DLC29" s="289"/>
      <c r="DLD29" s="289"/>
      <c r="DLE29" s="289"/>
      <c r="DLF29" s="289"/>
      <c r="DLG29" s="289"/>
      <c r="DLH29" s="289"/>
      <c r="DLI29" s="289"/>
      <c r="DLJ29" s="289"/>
      <c r="DLK29" s="289"/>
      <c r="DLL29" s="289"/>
      <c r="DLM29" s="289"/>
      <c r="DLN29" s="289"/>
      <c r="DLO29" s="289"/>
      <c r="DLP29" s="289"/>
      <c r="DLQ29" s="289"/>
      <c r="DLR29" s="289"/>
      <c r="DLS29" s="289"/>
      <c r="DLT29" s="289"/>
      <c r="DLU29" s="289"/>
      <c r="DLV29" s="289"/>
      <c r="DLW29" s="289"/>
      <c r="DLX29" s="289"/>
      <c r="DLY29" s="289"/>
      <c r="DLZ29" s="289"/>
      <c r="DMA29" s="289"/>
      <c r="DMB29" s="289"/>
      <c r="DMC29" s="289"/>
      <c r="DMD29" s="289"/>
      <c r="DME29" s="289"/>
      <c r="DMF29" s="289"/>
      <c r="DMG29" s="289"/>
      <c r="DMH29" s="289"/>
      <c r="DMI29" s="289"/>
      <c r="DMJ29" s="289"/>
      <c r="DMK29" s="289"/>
      <c r="DML29" s="289"/>
      <c r="DMM29" s="289"/>
      <c r="DMN29" s="289"/>
      <c r="DMO29" s="289"/>
      <c r="DMP29" s="289"/>
      <c r="DMQ29" s="289"/>
      <c r="DMR29" s="289"/>
      <c r="DMS29" s="289"/>
      <c r="DMT29" s="289"/>
      <c r="DMU29" s="289"/>
      <c r="DMV29" s="289"/>
      <c r="DMW29" s="289"/>
      <c r="DMX29" s="289"/>
      <c r="DMY29" s="289"/>
      <c r="DMZ29" s="289"/>
      <c r="DNA29" s="289"/>
      <c r="DNB29" s="289"/>
      <c r="DNC29" s="289"/>
      <c r="DND29" s="289"/>
      <c r="DNE29" s="289"/>
      <c r="DNF29" s="289"/>
      <c r="DNG29" s="289"/>
      <c r="DNH29" s="289"/>
      <c r="DNI29" s="289"/>
      <c r="DNJ29" s="289"/>
      <c r="DNK29" s="289"/>
      <c r="DNL29" s="289"/>
      <c r="DNM29" s="289"/>
      <c r="DNN29" s="289"/>
      <c r="DNO29" s="289"/>
      <c r="DNP29" s="289"/>
      <c r="DNQ29" s="289"/>
      <c r="DNR29" s="289"/>
      <c r="DNS29" s="289"/>
      <c r="DNT29" s="289"/>
      <c r="DNU29" s="289"/>
      <c r="DNV29" s="289"/>
      <c r="DNW29" s="289"/>
      <c r="DNX29" s="289"/>
      <c r="DNY29" s="289"/>
      <c r="DNZ29" s="289"/>
      <c r="DOA29" s="289"/>
      <c r="DOB29" s="289"/>
      <c r="DOC29" s="289"/>
      <c r="DOD29" s="289"/>
      <c r="DOE29" s="289"/>
      <c r="DOF29" s="289"/>
      <c r="DOG29" s="289"/>
      <c r="DOH29" s="289"/>
      <c r="DOI29" s="289"/>
      <c r="DOJ29" s="289"/>
      <c r="DOK29" s="289"/>
      <c r="DOL29" s="289"/>
      <c r="DOM29" s="289"/>
      <c r="DON29" s="289"/>
      <c r="DOO29" s="289"/>
      <c r="DOP29" s="289"/>
      <c r="DOQ29" s="289"/>
      <c r="DOR29" s="289"/>
      <c r="DOS29" s="289"/>
      <c r="DOT29" s="289"/>
      <c r="DOU29" s="289"/>
      <c r="DOV29" s="289"/>
      <c r="DOW29" s="289"/>
      <c r="DOX29" s="289"/>
      <c r="DOY29" s="289"/>
      <c r="DOZ29" s="289"/>
      <c r="DPA29" s="289"/>
      <c r="DPB29" s="289"/>
      <c r="DPC29" s="289"/>
      <c r="DPD29" s="289"/>
      <c r="DPE29" s="289"/>
      <c r="DPF29" s="289"/>
      <c r="DPG29" s="289"/>
      <c r="DPH29" s="289"/>
      <c r="DPI29" s="289"/>
      <c r="DPJ29" s="289"/>
      <c r="DPK29" s="289"/>
      <c r="DPL29" s="289"/>
      <c r="DPM29" s="289"/>
      <c r="DPN29" s="289"/>
      <c r="DPO29" s="289"/>
      <c r="DPP29" s="289"/>
      <c r="DPQ29" s="289"/>
      <c r="DPR29" s="289"/>
      <c r="DPS29" s="289"/>
      <c r="DPT29" s="289"/>
      <c r="DPU29" s="289"/>
      <c r="DPV29" s="289"/>
      <c r="DPW29" s="289"/>
      <c r="DPX29" s="289"/>
      <c r="DPY29" s="289"/>
      <c r="DPZ29" s="289"/>
      <c r="DQA29" s="289"/>
      <c r="DQB29" s="289"/>
      <c r="DQC29" s="289"/>
      <c r="DQD29" s="289"/>
      <c r="DQE29" s="289"/>
      <c r="DQF29" s="289"/>
      <c r="DQG29" s="289"/>
      <c r="DQH29" s="289"/>
      <c r="DQI29" s="289"/>
      <c r="DQJ29" s="289"/>
      <c r="DQK29" s="289"/>
      <c r="DQL29" s="289"/>
      <c r="DQM29" s="289"/>
      <c r="DQN29" s="289"/>
      <c r="DQO29" s="289"/>
      <c r="DQP29" s="289"/>
      <c r="DQQ29" s="289"/>
      <c r="DQR29" s="289"/>
      <c r="DQS29" s="289"/>
      <c r="DQT29" s="289"/>
      <c r="DQU29" s="289"/>
      <c r="DQV29" s="289"/>
      <c r="DQW29" s="289"/>
      <c r="DQX29" s="289"/>
      <c r="DQY29" s="289"/>
      <c r="DQZ29" s="289"/>
      <c r="DRA29" s="289"/>
      <c r="DRB29" s="289"/>
      <c r="DRC29" s="289"/>
      <c r="DRD29" s="289"/>
      <c r="DRE29" s="289"/>
      <c r="DRF29" s="289"/>
      <c r="DRG29" s="289"/>
      <c r="DRH29" s="289"/>
      <c r="DRI29" s="289"/>
      <c r="DRJ29" s="289"/>
      <c r="DRK29" s="289"/>
      <c r="DRL29" s="289"/>
      <c r="DRM29" s="289"/>
      <c r="DRN29" s="289"/>
      <c r="DRO29" s="289"/>
      <c r="DRP29" s="289"/>
      <c r="DRQ29" s="289"/>
      <c r="DRR29" s="289"/>
      <c r="DRS29" s="289"/>
      <c r="DRT29" s="289"/>
      <c r="DRU29" s="289"/>
      <c r="DRV29" s="289"/>
      <c r="DRW29" s="289"/>
      <c r="DRX29" s="289"/>
      <c r="DRY29" s="289"/>
      <c r="DRZ29" s="289"/>
      <c r="DSA29" s="289"/>
      <c r="DSB29" s="289"/>
      <c r="DSC29" s="289"/>
      <c r="DSD29" s="289"/>
      <c r="DSE29" s="289"/>
      <c r="DSF29" s="289"/>
      <c r="DSG29" s="289"/>
      <c r="DSH29" s="289"/>
      <c r="DSI29" s="289"/>
      <c r="DSJ29" s="289"/>
      <c r="DSK29" s="289"/>
      <c r="DSL29" s="289"/>
      <c r="DSM29" s="289"/>
      <c r="DSN29" s="289"/>
      <c r="DSO29" s="289"/>
      <c r="DSP29" s="289"/>
      <c r="DSQ29" s="289"/>
      <c r="DSR29" s="289"/>
      <c r="DSS29" s="289"/>
      <c r="DST29" s="289"/>
      <c r="DSU29" s="289"/>
      <c r="DSV29" s="289"/>
      <c r="DSW29" s="289"/>
      <c r="DSX29" s="289"/>
      <c r="DSY29" s="289"/>
      <c r="DSZ29" s="289"/>
      <c r="DTA29" s="289"/>
      <c r="DTB29" s="289"/>
      <c r="DTC29" s="289"/>
      <c r="DTD29" s="289"/>
      <c r="DTE29" s="289"/>
      <c r="DTF29" s="289"/>
      <c r="DTG29" s="289"/>
      <c r="DTH29" s="289"/>
      <c r="DTI29" s="289"/>
      <c r="DTJ29" s="289"/>
      <c r="DTK29" s="289"/>
      <c r="DTL29" s="289"/>
      <c r="DTM29" s="289"/>
      <c r="DTN29" s="289"/>
      <c r="DTO29" s="289"/>
      <c r="DTP29" s="289"/>
      <c r="DTQ29" s="289"/>
      <c r="DTR29" s="289"/>
      <c r="DTS29" s="289"/>
      <c r="DTT29" s="289"/>
      <c r="DTU29" s="289"/>
      <c r="DTV29" s="289"/>
      <c r="DTW29" s="289"/>
      <c r="DTX29" s="289"/>
      <c r="DTY29" s="289"/>
      <c r="DTZ29" s="289"/>
      <c r="DUA29" s="289"/>
      <c r="DUB29" s="289"/>
      <c r="DUC29" s="289"/>
      <c r="DUD29" s="289"/>
      <c r="DUE29" s="289"/>
      <c r="DUF29" s="289"/>
      <c r="DUG29" s="289"/>
      <c r="DUH29" s="289"/>
      <c r="DUI29" s="289"/>
      <c r="DUJ29" s="289"/>
      <c r="DUK29" s="289"/>
      <c r="DUL29" s="289"/>
      <c r="DUM29" s="289"/>
      <c r="DUN29" s="289"/>
      <c r="DUO29" s="289"/>
      <c r="DUP29" s="289"/>
      <c r="DUQ29" s="289"/>
      <c r="DUR29" s="289"/>
      <c r="DUS29" s="289"/>
      <c r="DUT29" s="289"/>
      <c r="DUU29" s="289"/>
      <c r="DUV29" s="289"/>
      <c r="DUW29" s="289"/>
      <c r="DUX29" s="289"/>
      <c r="DUY29" s="289"/>
      <c r="DUZ29" s="289"/>
      <c r="DVA29" s="289"/>
      <c r="DVB29" s="289"/>
      <c r="DVC29" s="289"/>
      <c r="DVD29" s="289"/>
      <c r="DVE29" s="289"/>
      <c r="DVF29" s="289"/>
      <c r="DVG29" s="289"/>
      <c r="DVH29" s="289"/>
      <c r="DVI29" s="289"/>
      <c r="DVJ29" s="289"/>
      <c r="DVK29" s="289"/>
      <c r="DVL29" s="289"/>
      <c r="DVM29" s="289"/>
      <c r="DVN29" s="289"/>
      <c r="DVO29" s="289"/>
      <c r="DVP29" s="289"/>
      <c r="DVQ29" s="289"/>
      <c r="DVR29" s="289"/>
      <c r="DVS29" s="289"/>
      <c r="DVT29" s="289"/>
      <c r="DVU29" s="289"/>
      <c r="DVV29" s="289"/>
      <c r="DVW29" s="289"/>
      <c r="DVX29" s="289"/>
      <c r="DVY29" s="289"/>
      <c r="DVZ29" s="289"/>
      <c r="DWA29" s="289"/>
      <c r="DWB29" s="289"/>
      <c r="DWC29" s="289"/>
      <c r="DWD29" s="289"/>
      <c r="DWE29" s="289"/>
      <c r="DWF29" s="289"/>
      <c r="DWG29" s="289"/>
      <c r="DWH29" s="289"/>
      <c r="DWI29" s="289"/>
      <c r="DWJ29" s="289"/>
      <c r="DWK29" s="289"/>
      <c r="DWL29" s="289"/>
      <c r="DWM29" s="289"/>
      <c r="DWN29" s="289"/>
      <c r="DWO29" s="289"/>
      <c r="DWP29" s="289"/>
      <c r="DWQ29" s="289"/>
      <c r="DWR29" s="289"/>
      <c r="DWS29" s="289"/>
      <c r="DWT29" s="289"/>
      <c r="DWU29" s="289"/>
      <c r="DWV29" s="289"/>
      <c r="DWW29" s="289"/>
      <c r="DWX29" s="289"/>
      <c r="DWY29" s="289"/>
      <c r="DWZ29" s="289"/>
      <c r="DXA29" s="289"/>
      <c r="DXB29" s="289"/>
      <c r="DXC29" s="289"/>
      <c r="DXD29" s="289"/>
      <c r="DXE29" s="289"/>
      <c r="DXF29" s="289"/>
      <c r="DXG29" s="289"/>
      <c r="DXH29" s="289"/>
      <c r="DXI29" s="289"/>
      <c r="DXJ29" s="289"/>
      <c r="DXK29" s="289"/>
      <c r="DXL29" s="289"/>
      <c r="DXM29" s="289"/>
      <c r="DXN29" s="289"/>
      <c r="DXO29" s="289"/>
      <c r="DXP29" s="289"/>
      <c r="DXQ29" s="289"/>
      <c r="DXR29" s="289"/>
      <c r="DXS29" s="289"/>
      <c r="DXT29" s="289"/>
      <c r="DXU29" s="289"/>
      <c r="DXV29" s="289"/>
      <c r="DXW29" s="289"/>
      <c r="DXX29" s="289"/>
      <c r="DXY29" s="289"/>
      <c r="DXZ29" s="289"/>
      <c r="DYA29" s="289"/>
      <c r="DYB29" s="289"/>
      <c r="DYC29" s="289"/>
      <c r="DYD29" s="289"/>
      <c r="DYE29" s="289"/>
      <c r="DYF29" s="289"/>
      <c r="DYG29" s="289"/>
      <c r="DYH29" s="289"/>
      <c r="DYI29" s="289"/>
      <c r="DYJ29" s="289"/>
      <c r="DYK29" s="289"/>
      <c r="DYL29" s="289"/>
      <c r="DYM29" s="289"/>
      <c r="DYN29" s="289"/>
      <c r="DYO29" s="289"/>
      <c r="DYP29" s="289"/>
      <c r="DYQ29" s="289"/>
      <c r="DYR29" s="289"/>
      <c r="DYS29" s="289"/>
      <c r="DYT29" s="289"/>
      <c r="DYU29" s="289"/>
      <c r="DYV29" s="289"/>
      <c r="DYW29" s="289"/>
      <c r="DYX29" s="289"/>
      <c r="DYY29" s="289"/>
      <c r="DYZ29" s="289"/>
      <c r="DZA29" s="289"/>
      <c r="DZB29" s="289"/>
      <c r="DZC29" s="289"/>
      <c r="DZD29" s="289"/>
      <c r="DZE29" s="289"/>
      <c r="DZF29" s="289"/>
      <c r="DZG29" s="289"/>
      <c r="DZH29" s="289"/>
      <c r="DZI29" s="289"/>
      <c r="DZJ29" s="289"/>
      <c r="DZK29" s="289"/>
      <c r="DZL29" s="289"/>
      <c r="DZM29" s="289"/>
      <c r="DZN29" s="289"/>
      <c r="DZO29" s="289"/>
      <c r="DZP29" s="289"/>
      <c r="DZQ29" s="289"/>
      <c r="DZR29" s="289"/>
      <c r="DZS29" s="289"/>
      <c r="DZT29" s="289"/>
      <c r="DZU29" s="289"/>
      <c r="DZV29" s="289"/>
      <c r="DZW29" s="289"/>
      <c r="DZX29" s="289"/>
      <c r="DZY29" s="289"/>
      <c r="DZZ29" s="289"/>
      <c r="EAA29" s="289"/>
      <c r="EAB29" s="289"/>
      <c r="EAC29" s="289"/>
      <c r="EAD29" s="289"/>
      <c r="EAE29" s="289"/>
      <c r="EAF29" s="289"/>
      <c r="EAG29" s="289"/>
      <c r="EAH29" s="289"/>
      <c r="EAI29" s="289"/>
      <c r="EAJ29" s="289"/>
      <c r="EAK29" s="289"/>
      <c r="EAL29" s="289"/>
      <c r="EAM29" s="289"/>
      <c r="EAN29" s="289"/>
      <c r="EAO29" s="289"/>
      <c r="EAP29" s="289"/>
      <c r="EAQ29" s="289"/>
      <c r="EAR29" s="289"/>
      <c r="EAS29" s="289"/>
      <c r="EAT29" s="289"/>
      <c r="EAU29" s="289"/>
      <c r="EAV29" s="289"/>
      <c r="EAW29" s="289"/>
      <c r="EAX29" s="289"/>
      <c r="EAY29" s="289"/>
      <c r="EAZ29" s="289"/>
      <c r="EBA29" s="289"/>
      <c r="EBB29" s="289"/>
      <c r="EBC29" s="289"/>
      <c r="EBD29" s="289"/>
      <c r="EBE29" s="289"/>
      <c r="EBF29" s="289"/>
      <c r="EBG29" s="289"/>
      <c r="EBH29" s="289"/>
      <c r="EBI29" s="289"/>
      <c r="EBJ29" s="289"/>
      <c r="EBK29" s="289"/>
      <c r="EBL29" s="289"/>
      <c r="EBM29" s="289"/>
      <c r="EBN29" s="289"/>
      <c r="EBO29" s="289"/>
      <c r="EBP29" s="289"/>
      <c r="EBQ29" s="289"/>
      <c r="EBR29" s="289"/>
      <c r="EBS29" s="289"/>
      <c r="EBT29" s="289"/>
      <c r="EBU29" s="289"/>
      <c r="EBV29" s="289"/>
      <c r="EBW29" s="289"/>
      <c r="EBX29" s="289"/>
      <c r="EBY29" s="289"/>
      <c r="EBZ29" s="289"/>
      <c r="ECA29" s="289"/>
      <c r="ECB29" s="289"/>
      <c r="ECC29" s="289"/>
      <c r="ECD29" s="289"/>
      <c r="ECE29" s="289"/>
      <c r="ECF29" s="289"/>
      <c r="ECG29" s="289"/>
      <c r="ECH29" s="289"/>
      <c r="ECI29" s="289"/>
      <c r="ECJ29" s="289"/>
      <c r="ECK29" s="289"/>
      <c r="ECL29" s="289"/>
      <c r="ECM29" s="289"/>
      <c r="ECN29" s="289"/>
      <c r="ECO29" s="289"/>
      <c r="ECP29" s="289"/>
      <c r="ECQ29" s="289"/>
      <c r="ECR29" s="289"/>
      <c r="ECS29" s="289"/>
      <c r="ECT29" s="289"/>
      <c r="ECU29" s="289"/>
      <c r="ECV29" s="289"/>
      <c r="ECW29" s="289"/>
      <c r="ECX29" s="289"/>
      <c r="ECY29" s="289"/>
      <c r="ECZ29" s="289"/>
      <c r="EDA29" s="289"/>
      <c r="EDB29" s="289"/>
      <c r="EDC29" s="289"/>
      <c r="EDD29" s="289"/>
      <c r="EDE29" s="289"/>
      <c r="EDF29" s="289"/>
      <c r="EDG29" s="289"/>
      <c r="EDH29" s="289"/>
      <c r="EDI29" s="289"/>
      <c r="EDJ29" s="289"/>
      <c r="EDK29" s="289"/>
      <c r="EDL29" s="289"/>
      <c r="EDM29" s="289"/>
      <c r="EDN29" s="289"/>
      <c r="EDO29" s="289"/>
      <c r="EDP29" s="289"/>
      <c r="EDQ29" s="289"/>
      <c r="EDR29" s="289"/>
      <c r="EDS29" s="289"/>
      <c r="EDT29" s="289"/>
      <c r="EDU29" s="289"/>
      <c r="EDV29" s="289"/>
      <c r="EDW29" s="289"/>
      <c r="EDX29" s="289"/>
      <c r="EDY29" s="289"/>
      <c r="EDZ29" s="289"/>
      <c r="EEA29" s="289"/>
      <c r="EEB29" s="289"/>
      <c r="EEC29" s="289"/>
      <c r="EED29" s="289"/>
      <c r="EEE29" s="289"/>
      <c r="EEF29" s="289"/>
      <c r="EEG29" s="289"/>
      <c r="EEH29" s="289"/>
      <c r="EEI29" s="289"/>
      <c r="EEJ29" s="289"/>
      <c r="EEK29" s="289"/>
      <c r="EEL29" s="289"/>
      <c r="EEM29" s="289"/>
      <c r="EEN29" s="289"/>
      <c r="EEO29" s="289"/>
      <c r="EEP29" s="289"/>
      <c r="EEQ29" s="289"/>
      <c r="EER29" s="289"/>
      <c r="EES29" s="289"/>
      <c r="EET29" s="289"/>
      <c r="EEU29" s="289"/>
      <c r="EEV29" s="289"/>
      <c r="EEW29" s="289"/>
      <c r="EEX29" s="289"/>
      <c r="EEY29" s="289"/>
      <c r="EEZ29" s="289"/>
      <c r="EFA29" s="289"/>
      <c r="EFB29" s="289"/>
      <c r="EFC29" s="289"/>
      <c r="EFD29" s="289"/>
      <c r="EFE29" s="289"/>
      <c r="EFF29" s="289"/>
      <c r="EFG29" s="289"/>
      <c r="EFH29" s="289"/>
      <c r="EFI29" s="289"/>
      <c r="EFJ29" s="289"/>
      <c r="EFK29" s="289"/>
      <c r="EFL29" s="289"/>
      <c r="EFM29" s="289"/>
      <c r="EFN29" s="289"/>
      <c r="EFO29" s="289"/>
      <c r="EFP29" s="289"/>
      <c r="EFQ29" s="289"/>
      <c r="EFR29" s="289"/>
      <c r="EFS29" s="289"/>
      <c r="EFT29" s="289"/>
      <c r="EFU29" s="289"/>
      <c r="EFV29" s="289"/>
      <c r="EFW29" s="289"/>
      <c r="EFX29" s="289"/>
      <c r="EFY29" s="289"/>
      <c r="EFZ29" s="289"/>
      <c r="EGA29" s="289"/>
      <c r="EGB29" s="289"/>
      <c r="EGC29" s="289"/>
      <c r="EGD29" s="289"/>
      <c r="EGE29" s="289"/>
      <c r="EGF29" s="289"/>
      <c r="EGG29" s="289"/>
      <c r="EGH29" s="289"/>
      <c r="EGI29" s="289"/>
      <c r="EGJ29" s="289"/>
      <c r="EGK29" s="289"/>
      <c r="EGL29" s="289"/>
      <c r="EGM29" s="289"/>
      <c r="EGN29" s="289"/>
      <c r="EGO29" s="289"/>
      <c r="EGP29" s="289"/>
      <c r="EGQ29" s="289"/>
      <c r="EGR29" s="289"/>
      <c r="EGS29" s="289"/>
      <c r="EGT29" s="289"/>
      <c r="EGU29" s="289"/>
      <c r="EGV29" s="289"/>
      <c r="EGW29" s="289"/>
      <c r="EGX29" s="289"/>
      <c r="EGY29" s="289"/>
      <c r="EGZ29" s="289"/>
      <c r="EHA29" s="289"/>
      <c r="EHB29" s="289"/>
      <c r="EHC29" s="289"/>
      <c r="EHD29" s="289"/>
      <c r="EHE29" s="289"/>
      <c r="EHF29" s="289"/>
      <c r="EHG29" s="289"/>
      <c r="EHH29" s="289"/>
      <c r="EHI29" s="289"/>
      <c r="EHJ29" s="289"/>
      <c r="EHK29" s="289"/>
      <c r="EHL29" s="289"/>
      <c r="EHM29" s="289"/>
      <c r="EHN29" s="289"/>
      <c r="EHO29" s="289"/>
      <c r="EHP29" s="289"/>
      <c r="EHQ29" s="289"/>
      <c r="EHR29" s="289"/>
      <c r="EHS29" s="289"/>
      <c r="EHT29" s="289"/>
      <c r="EHU29" s="289"/>
      <c r="EHV29" s="289"/>
      <c r="EHW29" s="289"/>
      <c r="EHX29" s="289"/>
      <c r="EHY29" s="289"/>
      <c r="EHZ29" s="289"/>
      <c r="EIA29" s="289"/>
      <c r="EIB29" s="289"/>
      <c r="EIC29" s="289"/>
      <c r="EID29" s="289"/>
      <c r="EIE29" s="289"/>
      <c r="EIF29" s="289"/>
      <c r="EIG29" s="289"/>
      <c r="EIH29" s="289"/>
      <c r="EII29" s="289"/>
      <c r="EIJ29" s="289"/>
      <c r="EIK29" s="289"/>
      <c r="EIL29" s="289"/>
      <c r="EIM29" s="289"/>
      <c r="EIN29" s="289"/>
      <c r="EIO29" s="289"/>
      <c r="EIP29" s="289"/>
      <c r="EIQ29" s="289"/>
      <c r="EIR29" s="289"/>
      <c r="EIS29" s="289"/>
      <c r="EIT29" s="289"/>
      <c r="EIU29" s="289"/>
      <c r="EIV29" s="289"/>
      <c r="EIW29" s="289"/>
      <c r="EIX29" s="289"/>
      <c r="EIY29" s="289"/>
      <c r="EIZ29" s="289"/>
      <c r="EJA29" s="289"/>
      <c r="EJB29" s="289"/>
      <c r="EJC29" s="289"/>
      <c r="EJD29" s="289"/>
      <c r="EJE29" s="289"/>
      <c r="EJF29" s="289"/>
      <c r="EJG29" s="289"/>
      <c r="EJH29" s="289"/>
      <c r="EJI29" s="289"/>
      <c r="EJJ29" s="289"/>
      <c r="EJK29" s="289"/>
      <c r="EJL29" s="289"/>
      <c r="EJM29" s="289"/>
      <c r="EJN29" s="289"/>
      <c r="EJO29" s="289"/>
      <c r="EJP29" s="289"/>
      <c r="EJQ29" s="289"/>
      <c r="EJR29" s="289"/>
      <c r="EJS29" s="289"/>
      <c r="EJT29" s="289"/>
      <c r="EJU29" s="289"/>
      <c r="EJV29" s="289"/>
      <c r="EJW29" s="289"/>
      <c r="EJX29" s="289"/>
      <c r="EJY29" s="289"/>
      <c r="EJZ29" s="289"/>
      <c r="EKA29" s="289"/>
      <c r="EKB29" s="289"/>
      <c r="EKC29" s="289"/>
      <c r="EKD29" s="289"/>
      <c r="EKE29" s="289"/>
      <c r="EKF29" s="289"/>
      <c r="EKG29" s="289"/>
      <c r="EKH29" s="289"/>
      <c r="EKI29" s="289"/>
      <c r="EKJ29" s="289"/>
      <c r="EKK29" s="289"/>
      <c r="EKL29" s="289"/>
      <c r="EKM29" s="289"/>
      <c r="EKN29" s="289"/>
      <c r="EKO29" s="289"/>
      <c r="EKP29" s="289"/>
      <c r="EKQ29" s="289"/>
      <c r="EKR29" s="289"/>
      <c r="EKS29" s="289"/>
      <c r="EKT29" s="289"/>
      <c r="EKU29" s="289"/>
      <c r="EKV29" s="289"/>
      <c r="EKW29" s="289"/>
      <c r="EKX29" s="289"/>
      <c r="EKY29" s="289"/>
      <c r="EKZ29" s="289"/>
      <c r="ELA29" s="289"/>
      <c r="ELB29" s="289"/>
      <c r="ELC29" s="289"/>
      <c r="ELD29" s="289"/>
      <c r="ELE29" s="289"/>
      <c r="ELF29" s="289"/>
      <c r="ELG29" s="289"/>
      <c r="ELH29" s="289"/>
      <c r="ELI29" s="289"/>
      <c r="ELJ29" s="289"/>
      <c r="ELK29" s="289"/>
      <c r="ELL29" s="289"/>
      <c r="ELM29" s="289"/>
      <c r="ELN29" s="289"/>
      <c r="ELO29" s="289"/>
      <c r="ELP29" s="289"/>
      <c r="ELQ29" s="289"/>
      <c r="ELR29" s="289"/>
      <c r="ELS29" s="289"/>
      <c r="ELT29" s="289"/>
      <c r="ELU29" s="289"/>
      <c r="ELV29" s="289"/>
      <c r="ELW29" s="289"/>
      <c r="ELX29" s="289"/>
      <c r="ELY29" s="289"/>
      <c r="ELZ29" s="289"/>
      <c r="EMA29" s="289"/>
      <c r="EMB29" s="289"/>
      <c r="EMC29" s="289"/>
      <c r="EMD29" s="289"/>
      <c r="EME29" s="289"/>
      <c r="EMF29" s="289"/>
      <c r="EMG29" s="289"/>
      <c r="EMH29" s="289"/>
      <c r="EMI29" s="289"/>
      <c r="EMJ29" s="289"/>
      <c r="EMK29" s="289"/>
      <c r="EML29" s="289"/>
      <c r="EMM29" s="289"/>
      <c r="EMN29" s="289"/>
      <c r="EMO29" s="289"/>
      <c r="EMP29" s="289"/>
      <c r="EMQ29" s="289"/>
      <c r="EMR29" s="289"/>
      <c r="EMS29" s="289"/>
      <c r="EMT29" s="289"/>
      <c r="EMU29" s="289"/>
      <c r="EMV29" s="289"/>
      <c r="EMW29" s="289"/>
      <c r="EMX29" s="289"/>
      <c r="EMY29" s="289"/>
      <c r="EMZ29" s="289"/>
      <c r="ENA29" s="289"/>
      <c r="ENB29" s="289"/>
      <c r="ENC29" s="289"/>
      <c r="END29" s="289"/>
      <c r="ENE29" s="289"/>
      <c r="ENF29" s="289"/>
      <c r="ENG29" s="289"/>
      <c r="ENH29" s="289"/>
      <c r="ENI29" s="289"/>
      <c r="ENJ29" s="289"/>
      <c r="ENK29" s="289"/>
      <c r="ENL29" s="289"/>
      <c r="ENM29" s="289"/>
      <c r="ENN29" s="289"/>
      <c r="ENO29" s="289"/>
      <c r="ENP29" s="289"/>
      <c r="ENQ29" s="289"/>
      <c r="ENR29" s="289"/>
      <c r="ENS29" s="289"/>
      <c r="ENT29" s="289"/>
      <c r="ENU29" s="289"/>
      <c r="ENV29" s="289"/>
      <c r="ENW29" s="289"/>
      <c r="ENX29" s="289"/>
      <c r="ENY29" s="289"/>
      <c r="ENZ29" s="289"/>
      <c r="EOA29" s="289"/>
      <c r="EOB29" s="289"/>
      <c r="EOC29" s="289"/>
      <c r="EOD29" s="289"/>
      <c r="EOE29" s="289"/>
      <c r="EOF29" s="289"/>
      <c r="EOG29" s="289"/>
      <c r="EOH29" s="289"/>
      <c r="EOI29" s="289"/>
      <c r="EOJ29" s="289"/>
      <c r="EOK29" s="289"/>
      <c r="EOL29" s="289"/>
      <c r="EOM29" s="289"/>
      <c r="EON29" s="289"/>
      <c r="EOO29" s="289"/>
      <c r="EOP29" s="289"/>
      <c r="EOQ29" s="289"/>
      <c r="EOR29" s="289"/>
      <c r="EOS29" s="289"/>
      <c r="EOT29" s="289"/>
      <c r="EOU29" s="289"/>
      <c r="EOV29" s="289"/>
      <c r="EOW29" s="289"/>
      <c r="EOX29" s="289"/>
      <c r="EOY29" s="289"/>
      <c r="EOZ29" s="289"/>
      <c r="EPA29" s="289"/>
      <c r="EPB29" s="289"/>
      <c r="EPC29" s="289"/>
      <c r="EPD29" s="289"/>
      <c r="EPE29" s="289"/>
      <c r="EPF29" s="289"/>
      <c r="EPG29" s="289"/>
      <c r="EPH29" s="289"/>
      <c r="EPI29" s="289"/>
      <c r="EPJ29" s="289"/>
      <c r="EPK29" s="289"/>
      <c r="EPL29" s="289"/>
      <c r="EPM29" s="289"/>
      <c r="EPN29" s="289"/>
      <c r="EPO29" s="289"/>
      <c r="EPP29" s="289"/>
      <c r="EPQ29" s="289"/>
      <c r="EPR29" s="289"/>
      <c r="EPS29" s="289"/>
      <c r="EPT29" s="289"/>
      <c r="EPU29" s="289"/>
      <c r="EPV29" s="289"/>
      <c r="EPW29" s="289"/>
      <c r="EPX29" s="289"/>
      <c r="EPY29" s="289"/>
      <c r="EPZ29" s="289"/>
      <c r="EQA29" s="289"/>
      <c r="EQB29" s="289"/>
      <c r="EQC29" s="289"/>
      <c r="EQD29" s="289"/>
      <c r="EQE29" s="289"/>
      <c r="EQF29" s="289"/>
      <c r="EQG29" s="289"/>
      <c r="EQH29" s="289"/>
      <c r="EQI29" s="289"/>
      <c r="EQJ29" s="289"/>
      <c r="EQK29" s="289"/>
      <c r="EQL29" s="289"/>
      <c r="EQM29" s="289"/>
      <c r="EQN29" s="289"/>
      <c r="EQO29" s="289"/>
      <c r="EQP29" s="289"/>
      <c r="EQQ29" s="289"/>
      <c r="EQR29" s="289"/>
      <c r="EQS29" s="289"/>
      <c r="EQT29" s="289"/>
      <c r="EQU29" s="289"/>
      <c r="EQV29" s="289"/>
      <c r="EQW29" s="289"/>
      <c r="EQX29" s="289"/>
      <c r="EQY29" s="289"/>
      <c r="EQZ29" s="289"/>
      <c r="ERA29" s="289"/>
      <c r="ERB29" s="289"/>
      <c r="ERC29" s="289"/>
      <c r="ERD29" s="289"/>
      <c r="ERE29" s="289"/>
      <c r="ERF29" s="289"/>
      <c r="ERG29" s="289"/>
      <c r="ERH29" s="289"/>
      <c r="ERI29" s="289"/>
      <c r="ERJ29" s="289"/>
      <c r="ERK29" s="289"/>
      <c r="ERL29" s="289"/>
      <c r="ERM29" s="289"/>
      <c r="ERN29" s="289"/>
      <c r="ERO29" s="289"/>
      <c r="ERP29" s="289"/>
      <c r="ERQ29" s="289"/>
      <c r="ERR29" s="289"/>
      <c r="ERS29" s="289"/>
      <c r="ERT29" s="289"/>
      <c r="ERU29" s="289"/>
      <c r="ERV29" s="289"/>
      <c r="ERW29" s="289"/>
      <c r="ERX29" s="289"/>
      <c r="ERY29" s="289"/>
      <c r="ERZ29" s="289"/>
      <c r="ESA29" s="289"/>
      <c r="ESB29" s="289"/>
      <c r="ESC29" s="289"/>
      <c r="ESD29" s="289"/>
      <c r="ESE29" s="289"/>
      <c r="ESF29" s="289"/>
      <c r="ESG29" s="289"/>
      <c r="ESH29" s="289"/>
      <c r="ESI29" s="289"/>
      <c r="ESJ29" s="289"/>
      <c r="ESK29" s="289"/>
      <c r="ESL29" s="289"/>
      <c r="ESM29" s="289"/>
      <c r="ESN29" s="289"/>
      <c r="ESO29" s="289"/>
      <c r="ESP29" s="289"/>
      <c r="ESQ29" s="289"/>
      <c r="ESR29" s="289"/>
      <c r="ESS29" s="289"/>
      <c r="EST29" s="289"/>
      <c r="ESU29" s="289"/>
      <c r="ESV29" s="289"/>
      <c r="ESW29" s="289"/>
      <c r="ESX29" s="289"/>
      <c r="ESY29" s="289"/>
      <c r="ESZ29" s="289"/>
      <c r="ETA29" s="289"/>
      <c r="ETB29" s="289"/>
      <c r="ETC29" s="289"/>
      <c r="ETD29" s="289"/>
      <c r="ETE29" s="289"/>
      <c r="ETF29" s="289"/>
      <c r="ETG29" s="289"/>
      <c r="ETH29" s="289"/>
      <c r="ETI29" s="289"/>
      <c r="ETJ29" s="289"/>
      <c r="ETK29" s="289"/>
      <c r="ETL29" s="289"/>
      <c r="ETM29" s="289"/>
      <c r="ETN29" s="289"/>
      <c r="ETO29" s="289"/>
      <c r="ETP29" s="289"/>
      <c r="ETQ29" s="289"/>
      <c r="ETR29" s="289"/>
      <c r="ETS29" s="289"/>
      <c r="ETT29" s="289"/>
      <c r="ETU29" s="289"/>
      <c r="ETV29" s="289"/>
      <c r="ETW29" s="289"/>
      <c r="ETX29" s="289"/>
      <c r="ETY29" s="289"/>
      <c r="ETZ29" s="289"/>
      <c r="EUA29" s="289"/>
      <c r="EUB29" s="289"/>
      <c r="EUC29" s="289"/>
      <c r="EUD29" s="289"/>
      <c r="EUE29" s="289"/>
      <c r="EUF29" s="289"/>
      <c r="EUG29" s="289"/>
      <c r="EUH29" s="289"/>
      <c r="EUI29" s="289"/>
      <c r="EUJ29" s="289"/>
      <c r="EUK29" s="289"/>
      <c r="EUL29" s="289"/>
      <c r="EUM29" s="289"/>
      <c r="EUN29" s="289"/>
      <c r="EUO29" s="289"/>
      <c r="EUP29" s="289"/>
      <c r="EUQ29" s="289"/>
      <c r="EUR29" s="289"/>
      <c r="EUS29" s="289"/>
      <c r="EUT29" s="289"/>
      <c r="EUU29" s="289"/>
      <c r="EUV29" s="289"/>
      <c r="EUW29" s="289"/>
      <c r="EUX29" s="289"/>
      <c r="EUY29" s="289"/>
      <c r="EUZ29" s="289"/>
      <c r="EVA29" s="289"/>
      <c r="EVB29" s="289"/>
      <c r="EVC29" s="289"/>
      <c r="EVD29" s="289"/>
      <c r="EVE29" s="289"/>
      <c r="EVF29" s="289"/>
      <c r="EVG29" s="289"/>
      <c r="EVH29" s="289"/>
      <c r="EVI29" s="289"/>
      <c r="EVJ29" s="289"/>
      <c r="EVK29" s="289"/>
      <c r="EVL29" s="289"/>
      <c r="EVM29" s="289"/>
      <c r="EVN29" s="289"/>
      <c r="EVO29" s="289"/>
      <c r="EVP29" s="289"/>
      <c r="EVQ29" s="289"/>
      <c r="EVR29" s="289"/>
      <c r="EVS29" s="289"/>
      <c r="EVT29" s="289"/>
      <c r="EVU29" s="289"/>
      <c r="EVV29" s="289"/>
      <c r="EVW29" s="289"/>
      <c r="EVX29" s="289"/>
      <c r="EVY29" s="289"/>
      <c r="EVZ29" s="289"/>
      <c r="EWA29" s="289"/>
      <c r="EWB29" s="289"/>
      <c r="EWC29" s="289"/>
      <c r="EWD29" s="289"/>
      <c r="EWE29" s="289"/>
      <c r="EWF29" s="289"/>
      <c r="EWG29" s="289"/>
      <c r="EWH29" s="289"/>
      <c r="EWI29" s="289"/>
      <c r="EWJ29" s="289"/>
      <c r="EWK29" s="289"/>
      <c r="EWL29" s="289"/>
      <c r="EWM29" s="289"/>
      <c r="EWN29" s="289"/>
      <c r="EWO29" s="289"/>
      <c r="EWP29" s="289"/>
      <c r="EWQ29" s="289"/>
      <c r="EWR29" s="289"/>
      <c r="EWS29" s="289"/>
      <c r="EWT29" s="289"/>
      <c r="EWU29" s="289"/>
      <c r="EWV29" s="289"/>
      <c r="EWW29" s="289"/>
      <c r="EWX29" s="289"/>
      <c r="EWY29" s="289"/>
      <c r="EWZ29" s="289"/>
      <c r="EXA29" s="289"/>
      <c r="EXB29" s="289"/>
      <c r="EXC29" s="289"/>
      <c r="EXD29" s="289"/>
      <c r="EXE29" s="289"/>
      <c r="EXF29" s="289"/>
      <c r="EXG29" s="289"/>
      <c r="EXH29" s="289"/>
      <c r="EXI29" s="289"/>
      <c r="EXJ29" s="289"/>
      <c r="EXK29" s="289"/>
      <c r="EXL29" s="289"/>
      <c r="EXM29" s="289"/>
      <c r="EXN29" s="289"/>
      <c r="EXO29" s="289"/>
      <c r="EXP29" s="289"/>
      <c r="EXQ29" s="289"/>
      <c r="EXR29" s="289"/>
      <c r="EXS29" s="289"/>
      <c r="EXT29" s="289"/>
      <c r="EXU29" s="289"/>
      <c r="EXV29" s="289"/>
      <c r="EXW29" s="289"/>
      <c r="EXX29" s="289"/>
      <c r="EXY29" s="289"/>
      <c r="EXZ29" s="289"/>
      <c r="EYA29" s="289"/>
      <c r="EYB29" s="289"/>
      <c r="EYC29" s="289"/>
      <c r="EYD29" s="289"/>
      <c r="EYE29" s="289"/>
      <c r="EYF29" s="289"/>
      <c r="EYG29" s="289"/>
      <c r="EYH29" s="289"/>
      <c r="EYI29" s="289"/>
      <c r="EYJ29" s="289"/>
      <c r="EYK29" s="289"/>
      <c r="EYL29" s="289"/>
      <c r="EYM29" s="289"/>
      <c r="EYN29" s="289"/>
      <c r="EYO29" s="289"/>
      <c r="EYP29" s="289"/>
      <c r="EYQ29" s="289"/>
      <c r="EYR29" s="289"/>
      <c r="EYS29" s="289"/>
      <c r="EYT29" s="289"/>
      <c r="EYU29" s="289"/>
      <c r="EYV29" s="289"/>
      <c r="EYW29" s="289"/>
      <c r="EYX29" s="289"/>
      <c r="EYY29" s="289"/>
      <c r="EYZ29" s="289"/>
      <c r="EZA29" s="289"/>
      <c r="EZB29" s="289"/>
      <c r="EZC29" s="289"/>
      <c r="EZD29" s="289"/>
      <c r="EZE29" s="289"/>
      <c r="EZF29" s="289"/>
      <c r="EZG29" s="289"/>
      <c r="EZH29" s="289"/>
      <c r="EZI29" s="289"/>
      <c r="EZJ29" s="289"/>
      <c r="EZK29" s="289"/>
      <c r="EZL29" s="289"/>
      <c r="EZM29" s="289"/>
      <c r="EZN29" s="289"/>
      <c r="EZO29" s="289"/>
      <c r="EZP29" s="289"/>
      <c r="EZQ29" s="289"/>
      <c r="EZR29" s="289"/>
      <c r="EZS29" s="289"/>
      <c r="EZT29" s="289"/>
      <c r="EZU29" s="289"/>
      <c r="EZV29" s="289"/>
      <c r="EZW29" s="289"/>
      <c r="EZX29" s="289"/>
      <c r="EZY29" s="289"/>
      <c r="EZZ29" s="289"/>
      <c r="FAA29" s="289"/>
      <c r="FAB29" s="289"/>
      <c r="FAC29" s="289"/>
      <c r="FAD29" s="289"/>
      <c r="FAE29" s="289"/>
      <c r="FAF29" s="289"/>
      <c r="FAG29" s="289"/>
      <c r="FAH29" s="289"/>
      <c r="FAI29" s="289"/>
      <c r="FAJ29" s="289"/>
      <c r="FAK29" s="289"/>
      <c r="FAL29" s="289"/>
      <c r="FAM29" s="289"/>
      <c r="FAN29" s="289"/>
      <c r="FAO29" s="289"/>
      <c r="FAP29" s="289"/>
      <c r="FAQ29" s="289"/>
      <c r="FAR29" s="289"/>
      <c r="FAS29" s="289"/>
      <c r="FAT29" s="289"/>
      <c r="FAU29" s="289"/>
      <c r="FAV29" s="289"/>
      <c r="FAW29" s="289"/>
      <c r="FAX29" s="289"/>
      <c r="FAY29" s="289"/>
      <c r="FAZ29" s="289"/>
      <c r="FBA29" s="289"/>
      <c r="FBB29" s="289"/>
      <c r="FBC29" s="289"/>
      <c r="FBD29" s="289"/>
      <c r="FBE29" s="289"/>
      <c r="FBF29" s="289"/>
      <c r="FBG29" s="289"/>
      <c r="FBH29" s="289"/>
      <c r="FBI29" s="289"/>
      <c r="FBJ29" s="289"/>
      <c r="FBK29" s="289"/>
      <c r="FBL29" s="289"/>
      <c r="FBM29" s="289"/>
      <c r="FBN29" s="289"/>
      <c r="FBO29" s="289"/>
      <c r="FBP29" s="289"/>
      <c r="FBQ29" s="289"/>
      <c r="FBR29" s="289"/>
      <c r="FBS29" s="289"/>
      <c r="FBT29" s="289"/>
      <c r="FBU29" s="289"/>
      <c r="FBV29" s="289"/>
      <c r="FBW29" s="289"/>
      <c r="FBX29" s="289"/>
      <c r="FBY29" s="289"/>
      <c r="FBZ29" s="289"/>
      <c r="FCA29" s="289"/>
      <c r="FCB29" s="289"/>
      <c r="FCC29" s="289"/>
      <c r="FCD29" s="289"/>
      <c r="FCE29" s="289"/>
      <c r="FCF29" s="289"/>
      <c r="FCG29" s="289"/>
      <c r="FCH29" s="289"/>
      <c r="FCI29" s="289"/>
      <c r="FCJ29" s="289"/>
      <c r="FCK29" s="289"/>
      <c r="FCL29" s="289"/>
      <c r="FCM29" s="289"/>
      <c r="FCN29" s="289"/>
      <c r="FCO29" s="289"/>
      <c r="FCP29" s="289"/>
      <c r="FCQ29" s="289"/>
      <c r="FCR29" s="289"/>
      <c r="FCS29" s="289"/>
      <c r="FCT29" s="289"/>
      <c r="FCU29" s="289"/>
      <c r="FCV29" s="289"/>
      <c r="FCW29" s="289"/>
      <c r="FCX29" s="289"/>
      <c r="FCY29" s="289"/>
      <c r="FCZ29" s="289"/>
      <c r="FDA29" s="289"/>
      <c r="FDB29" s="289"/>
      <c r="FDC29" s="289"/>
      <c r="FDD29" s="289"/>
      <c r="FDE29" s="289"/>
      <c r="FDF29" s="289"/>
      <c r="FDG29" s="289"/>
      <c r="FDH29" s="289"/>
      <c r="FDI29" s="289"/>
      <c r="FDJ29" s="289"/>
      <c r="FDK29" s="289"/>
      <c r="FDL29" s="289"/>
      <c r="FDM29" s="289"/>
      <c r="FDN29" s="289"/>
      <c r="FDO29" s="289"/>
      <c r="FDP29" s="289"/>
      <c r="FDQ29" s="289"/>
      <c r="FDR29" s="289"/>
      <c r="FDS29" s="289"/>
      <c r="FDT29" s="289"/>
      <c r="FDU29" s="289"/>
      <c r="FDV29" s="289"/>
      <c r="FDW29" s="289"/>
      <c r="FDX29" s="289"/>
      <c r="FDY29" s="289"/>
      <c r="FDZ29" s="289"/>
      <c r="FEA29" s="289"/>
      <c r="FEB29" s="289"/>
      <c r="FEC29" s="289"/>
      <c r="FED29" s="289"/>
      <c r="FEE29" s="289"/>
      <c r="FEF29" s="289"/>
      <c r="FEG29" s="289"/>
      <c r="FEH29" s="289"/>
      <c r="FEI29" s="289"/>
      <c r="FEJ29" s="289"/>
      <c r="FEK29" s="289"/>
      <c r="FEL29" s="289"/>
      <c r="FEM29" s="289"/>
      <c r="FEN29" s="289"/>
      <c r="FEO29" s="289"/>
      <c r="FEP29" s="289"/>
      <c r="FEQ29" s="289"/>
      <c r="FER29" s="289"/>
      <c r="FES29" s="289"/>
      <c r="FET29" s="289"/>
      <c r="FEU29" s="289"/>
      <c r="FEV29" s="289"/>
      <c r="FEW29" s="289"/>
      <c r="FEX29" s="289"/>
      <c r="FEY29" s="289"/>
      <c r="FEZ29" s="289"/>
      <c r="FFA29" s="289"/>
      <c r="FFB29" s="289"/>
      <c r="FFC29" s="289"/>
      <c r="FFD29" s="289"/>
      <c r="FFE29" s="289"/>
      <c r="FFF29" s="289"/>
      <c r="FFG29" s="289"/>
      <c r="FFH29" s="289"/>
      <c r="FFI29" s="289"/>
      <c r="FFJ29" s="289"/>
      <c r="FFK29" s="289"/>
      <c r="FFL29" s="289"/>
      <c r="FFM29" s="289"/>
      <c r="FFN29" s="289"/>
      <c r="FFO29" s="289"/>
      <c r="FFP29" s="289"/>
      <c r="FFQ29" s="289"/>
      <c r="FFR29" s="289"/>
      <c r="FFS29" s="289"/>
      <c r="FFT29" s="289"/>
      <c r="FFU29" s="289"/>
      <c r="FFV29" s="289"/>
      <c r="FFW29" s="289"/>
      <c r="FFX29" s="289"/>
      <c r="FFY29" s="289"/>
      <c r="FFZ29" s="289"/>
      <c r="FGA29" s="289"/>
      <c r="FGB29" s="289"/>
      <c r="FGC29" s="289"/>
      <c r="FGD29" s="289"/>
      <c r="FGE29" s="289"/>
      <c r="FGF29" s="289"/>
      <c r="FGG29" s="289"/>
      <c r="FGH29" s="289"/>
      <c r="FGI29" s="289"/>
      <c r="FGJ29" s="289"/>
      <c r="FGK29" s="289"/>
      <c r="FGL29" s="289"/>
      <c r="FGM29" s="289"/>
      <c r="FGN29" s="289"/>
      <c r="FGO29" s="289"/>
      <c r="FGP29" s="289"/>
      <c r="FGQ29" s="289"/>
      <c r="FGR29" s="289"/>
      <c r="FGS29" s="289"/>
      <c r="FGT29" s="289"/>
      <c r="FGU29" s="289"/>
      <c r="FGV29" s="289"/>
      <c r="FGW29" s="289"/>
      <c r="FGX29" s="289"/>
      <c r="FGY29" s="289"/>
      <c r="FGZ29" s="289"/>
      <c r="FHA29" s="289"/>
      <c r="FHB29" s="289"/>
      <c r="FHC29" s="289"/>
      <c r="FHD29" s="289"/>
      <c r="FHE29" s="289"/>
      <c r="FHF29" s="289"/>
      <c r="FHG29" s="289"/>
      <c r="FHH29" s="289"/>
      <c r="FHI29" s="289"/>
      <c r="FHJ29" s="289"/>
      <c r="FHK29" s="289"/>
      <c r="FHL29" s="289"/>
      <c r="FHM29" s="289"/>
      <c r="FHN29" s="289"/>
      <c r="FHO29" s="289"/>
      <c r="FHP29" s="289"/>
      <c r="FHQ29" s="289"/>
      <c r="FHR29" s="289"/>
      <c r="FHS29" s="289"/>
      <c r="FHT29" s="289"/>
      <c r="FHU29" s="289"/>
      <c r="FHV29" s="289"/>
      <c r="FHW29" s="289"/>
      <c r="FHX29" s="289"/>
      <c r="FHY29" s="289"/>
      <c r="FHZ29" s="289"/>
      <c r="FIA29" s="289"/>
      <c r="FIB29" s="289"/>
      <c r="FIC29" s="289"/>
      <c r="FID29" s="289"/>
      <c r="FIE29" s="289"/>
      <c r="FIF29" s="289"/>
      <c r="FIG29" s="289"/>
      <c r="FIH29" s="289"/>
      <c r="FII29" s="289"/>
      <c r="FIJ29" s="289"/>
      <c r="FIK29" s="289"/>
      <c r="FIL29" s="289"/>
      <c r="FIM29" s="289"/>
      <c r="FIN29" s="289"/>
      <c r="FIO29" s="289"/>
      <c r="FIP29" s="289"/>
      <c r="FIQ29" s="289"/>
      <c r="FIR29" s="289"/>
      <c r="FIS29" s="289"/>
      <c r="FIT29" s="289"/>
      <c r="FIU29" s="289"/>
      <c r="FIV29" s="289"/>
      <c r="FIW29" s="289"/>
      <c r="FIX29" s="289"/>
      <c r="FIY29" s="289"/>
      <c r="FIZ29" s="289"/>
      <c r="FJA29" s="289"/>
      <c r="FJB29" s="289"/>
      <c r="FJC29" s="289"/>
      <c r="FJD29" s="289"/>
      <c r="FJE29" s="289"/>
      <c r="FJF29" s="289"/>
      <c r="FJG29" s="289"/>
      <c r="FJH29" s="289"/>
      <c r="FJI29" s="289"/>
      <c r="FJJ29" s="289"/>
      <c r="FJK29" s="289"/>
      <c r="FJL29" s="289"/>
      <c r="FJM29" s="289"/>
      <c r="FJN29" s="289"/>
      <c r="FJO29" s="289"/>
      <c r="FJP29" s="289"/>
      <c r="FJQ29" s="289"/>
      <c r="FJR29" s="289"/>
      <c r="FJS29" s="289"/>
      <c r="FJT29" s="289"/>
      <c r="FJU29" s="289"/>
      <c r="FJV29" s="289"/>
      <c r="FJW29" s="289"/>
      <c r="FJX29" s="289"/>
      <c r="FJY29" s="289"/>
      <c r="FJZ29" s="289"/>
      <c r="FKA29" s="289"/>
      <c r="FKB29" s="289"/>
      <c r="FKC29" s="289"/>
      <c r="FKD29" s="289"/>
      <c r="FKE29" s="289"/>
      <c r="FKF29" s="289"/>
      <c r="FKG29" s="289"/>
      <c r="FKH29" s="289"/>
      <c r="FKI29" s="289"/>
      <c r="FKJ29" s="289"/>
      <c r="FKK29" s="289"/>
      <c r="FKL29" s="289"/>
      <c r="FKM29" s="289"/>
      <c r="FKN29" s="289"/>
      <c r="FKO29" s="289"/>
      <c r="FKP29" s="289"/>
      <c r="FKQ29" s="289"/>
      <c r="FKR29" s="289"/>
      <c r="FKS29" s="289"/>
      <c r="FKT29" s="289"/>
      <c r="FKU29" s="289"/>
      <c r="FKV29" s="289"/>
      <c r="FKW29" s="289"/>
      <c r="FKX29" s="289"/>
      <c r="FKY29" s="289"/>
      <c r="FKZ29" s="289"/>
      <c r="FLA29" s="289"/>
      <c r="FLB29" s="289"/>
      <c r="FLC29" s="289"/>
      <c r="FLD29" s="289"/>
      <c r="FLE29" s="289"/>
      <c r="FLF29" s="289"/>
      <c r="FLG29" s="289"/>
      <c r="FLH29" s="289"/>
      <c r="FLI29" s="289"/>
      <c r="FLJ29" s="289"/>
      <c r="FLK29" s="289"/>
      <c r="FLL29" s="289"/>
      <c r="FLM29" s="289"/>
      <c r="FLN29" s="289"/>
      <c r="FLO29" s="289"/>
      <c r="FLP29" s="289"/>
      <c r="FLQ29" s="289"/>
      <c r="FLR29" s="289"/>
      <c r="FLS29" s="289"/>
      <c r="FLT29" s="289"/>
      <c r="FLU29" s="289"/>
      <c r="FLV29" s="289"/>
      <c r="FLW29" s="289"/>
      <c r="FLX29" s="289"/>
      <c r="FLY29" s="289"/>
      <c r="FLZ29" s="289"/>
      <c r="FMA29" s="289"/>
      <c r="FMB29" s="289"/>
      <c r="FMC29" s="289"/>
      <c r="FMD29" s="289"/>
      <c r="FME29" s="289"/>
      <c r="FMF29" s="289"/>
      <c r="FMG29" s="289"/>
      <c r="FMH29" s="289"/>
      <c r="FMI29" s="289"/>
      <c r="FMJ29" s="289"/>
      <c r="FMK29" s="289"/>
      <c r="FML29" s="289"/>
      <c r="FMM29" s="289"/>
      <c r="FMN29" s="289"/>
      <c r="FMO29" s="289"/>
      <c r="FMP29" s="289"/>
      <c r="FMQ29" s="289"/>
      <c r="FMR29" s="289"/>
      <c r="FMS29" s="289"/>
      <c r="FMT29" s="289"/>
      <c r="FMU29" s="289"/>
      <c r="FMV29" s="289"/>
      <c r="FMW29" s="289"/>
      <c r="FMX29" s="289"/>
      <c r="FMY29" s="289"/>
      <c r="FMZ29" s="289"/>
      <c r="FNA29" s="289"/>
      <c r="FNB29" s="289"/>
      <c r="FNC29" s="289"/>
      <c r="FND29" s="289"/>
      <c r="FNE29" s="289"/>
      <c r="FNF29" s="289"/>
      <c r="FNG29" s="289"/>
      <c r="FNH29" s="289"/>
      <c r="FNI29" s="289"/>
      <c r="FNJ29" s="289"/>
      <c r="FNK29" s="289"/>
      <c r="FNL29" s="289"/>
      <c r="FNM29" s="289"/>
      <c r="FNN29" s="289"/>
      <c r="FNO29" s="289"/>
      <c r="FNP29" s="289"/>
      <c r="FNQ29" s="289"/>
      <c r="FNR29" s="289"/>
      <c r="FNS29" s="289"/>
      <c r="FNT29" s="289"/>
      <c r="FNU29" s="289"/>
      <c r="FNV29" s="289"/>
      <c r="FNW29" s="289"/>
      <c r="FNX29" s="289"/>
      <c r="FNY29" s="289"/>
      <c r="FNZ29" s="289"/>
      <c r="FOA29" s="289"/>
      <c r="FOB29" s="289"/>
      <c r="FOC29" s="289"/>
      <c r="FOD29" s="289"/>
      <c r="FOE29" s="289"/>
      <c r="FOF29" s="289"/>
      <c r="FOG29" s="289"/>
      <c r="FOH29" s="289"/>
      <c r="FOI29" s="289"/>
      <c r="FOJ29" s="289"/>
      <c r="FOK29" s="289"/>
      <c r="FOL29" s="289"/>
      <c r="FOM29" s="289"/>
      <c r="FON29" s="289"/>
      <c r="FOO29" s="289"/>
      <c r="FOP29" s="289"/>
      <c r="FOQ29" s="289"/>
      <c r="FOR29" s="289"/>
      <c r="FOS29" s="289"/>
      <c r="FOT29" s="289"/>
      <c r="FOU29" s="289"/>
      <c r="FOV29" s="289"/>
      <c r="FOW29" s="289"/>
      <c r="FOX29" s="289"/>
      <c r="FOY29" s="289"/>
      <c r="FOZ29" s="289"/>
      <c r="FPA29" s="289"/>
      <c r="FPB29" s="289"/>
      <c r="FPC29" s="289"/>
      <c r="FPD29" s="289"/>
      <c r="FPE29" s="289"/>
      <c r="FPF29" s="289"/>
      <c r="FPG29" s="289"/>
      <c r="FPH29" s="289"/>
      <c r="FPI29" s="289"/>
      <c r="FPJ29" s="289"/>
      <c r="FPK29" s="289"/>
      <c r="FPL29" s="289"/>
      <c r="FPM29" s="289"/>
      <c r="FPN29" s="289"/>
      <c r="FPO29" s="289"/>
      <c r="FPP29" s="289"/>
      <c r="FPQ29" s="289"/>
      <c r="FPR29" s="289"/>
      <c r="FPS29" s="289"/>
      <c r="FPT29" s="289"/>
      <c r="FPU29" s="289"/>
      <c r="FPV29" s="289"/>
      <c r="FPW29" s="289"/>
      <c r="FPX29" s="289"/>
      <c r="FPY29" s="289"/>
      <c r="FPZ29" s="289"/>
      <c r="FQA29" s="289"/>
      <c r="FQB29" s="289"/>
      <c r="FQC29" s="289"/>
      <c r="FQD29" s="289"/>
      <c r="FQE29" s="289"/>
      <c r="FQF29" s="289"/>
      <c r="FQG29" s="289"/>
      <c r="FQH29" s="289"/>
      <c r="FQI29" s="289"/>
      <c r="FQJ29" s="289"/>
      <c r="FQK29" s="289"/>
      <c r="FQL29" s="289"/>
      <c r="FQM29" s="289"/>
      <c r="FQN29" s="289"/>
      <c r="FQO29" s="289"/>
      <c r="FQP29" s="289"/>
      <c r="FQQ29" s="289"/>
      <c r="FQR29" s="289"/>
      <c r="FQS29" s="289"/>
      <c r="FQT29" s="289"/>
      <c r="FQU29" s="289"/>
      <c r="FQV29" s="289"/>
      <c r="FQW29" s="289"/>
      <c r="FQX29" s="289"/>
      <c r="FQY29" s="289"/>
      <c r="FQZ29" s="289"/>
      <c r="FRA29" s="289"/>
      <c r="FRB29" s="289"/>
      <c r="FRC29" s="289"/>
      <c r="FRD29" s="289"/>
      <c r="FRE29" s="289"/>
      <c r="FRF29" s="289"/>
      <c r="FRG29" s="289"/>
      <c r="FRH29" s="289"/>
      <c r="FRI29" s="289"/>
      <c r="FRJ29" s="289"/>
      <c r="FRK29" s="289"/>
      <c r="FRL29" s="289"/>
      <c r="FRM29" s="289"/>
      <c r="FRN29" s="289"/>
      <c r="FRO29" s="289"/>
      <c r="FRP29" s="289"/>
      <c r="FRQ29" s="289"/>
      <c r="FRR29" s="289"/>
      <c r="FRS29" s="289"/>
      <c r="FRT29" s="289"/>
      <c r="FRU29" s="289"/>
      <c r="FRV29" s="289"/>
      <c r="FRW29" s="289"/>
      <c r="FRX29" s="289"/>
      <c r="FRY29" s="289"/>
      <c r="FRZ29" s="289"/>
      <c r="FSA29" s="289"/>
      <c r="FSB29" s="289"/>
      <c r="FSC29" s="289"/>
      <c r="FSD29" s="289"/>
      <c r="FSE29" s="289"/>
      <c r="FSF29" s="289"/>
      <c r="FSG29" s="289"/>
      <c r="FSH29" s="289"/>
      <c r="FSI29" s="289"/>
      <c r="FSJ29" s="289"/>
      <c r="FSK29" s="289"/>
      <c r="FSL29" s="289"/>
      <c r="FSM29" s="289"/>
      <c r="FSN29" s="289"/>
      <c r="FSO29" s="289"/>
      <c r="FSP29" s="289"/>
      <c r="FSQ29" s="289"/>
      <c r="FSR29" s="289"/>
      <c r="FSS29" s="289"/>
      <c r="FST29" s="289"/>
      <c r="FSU29" s="289"/>
      <c r="FSV29" s="289"/>
      <c r="FSW29" s="289"/>
      <c r="FSX29" s="289"/>
      <c r="FSY29" s="289"/>
      <c r="FSZ29" s="289"/>
      <c r="FTA29" s="289"/>
      <c r="FTB29" s="289"/>
      <c r="FTC29" s="289"/>
      <c r="FTD29" s="289"/>
      <c r="FTE29" s="289"/>
      <c r="FTF29" s="289"/>
      <c r="FTG29" s="289"/>
      <c r="FTH29" s="289"/>
      <c r="FTI29" s="289"/>
      <c r="FTJ29" s="289"/>
      <c r="FTK29" s="289"/>
      <c r="FTL29" s="289"/>
      <c r="FTM29" s="289"/>
      <c r="FTN29" s="289"/>
      <c r="FTO29" s="289"/>
      <c r="FTP29" s="289"/>
      <c r="FTQ29" s="289"/>
      <c r="FTR29" s="289"/>
      <c r="FTS29" s="289"/>
      <c r="FTT29" s="289"/>
      <c r="FTU29" s="289"/>
      <c r="FTV29" s="289"/>
      <c r="FTW29" s="289"/>
      <c r="FTX29" s="289"/>
      <c r="FTY29" s="289"/>
      <c r="FTZ29" s="289"/>
      <c r="FUA29" s="289"/>
      <c r="FUB29" s="289"/>
      <c r="FUC29" s="289"/>
      <c r="FUD29" s="289"/>
      <c r="FUE29" s="289"/>
      <c r="FUF29" s="289"/>
      <c r="FUG29" s="289"/>
      <c r="FUH29" s="289"/>
      <c r="FUI29" s="289"/>
      <c r="FUJ29" s="289"/>
      <c r="FUK29" s="289"/>
      <c r="FUL29" s="289"/>
      <c r="FUM29" s="289"/>
      <c r="FUN29" s="289"/>
      <c r="FUO29" s="289"/>
      <c r="FUP29" s="289"/>
      <c r="FUQ29" s="289"/>
      <c r="FUR29" s="289"/>
      <c r="FUS29" s="289"/>
      <c r="FUT29" s="289"/>
      <c r="FUU29" s="289"/>
      <c r="FUV29" s="289"/>
      <c r="FUW29" s="289"/>
      <c r="FUX29" s="289"/>
      <c r="FUY29" s="289"/>
      <c r="FUZ29" s="289"/>
      <c r="FVA29" s="289"/>
      <c r="FVB29" s="289"/>
      <c r="FVC29" s="289"/>
      <c r="FVD29" s="289"/>
      <c r="FVE29" s="289"/>
      <c r="FVF29" s="289"/>
      <c r="FVG29" s="289"/>
      <c r="FVH29" s="289"/>
      <c r="FVI29" s="289"/>
      <c r="FVJ29" s="289"/>
      <c r="FVK29" s="289"/>
      <c r="FVL29" s="289"/>
      <c r="FVM29" s="289"/>
      <c r="FVN29" s="289"/>
      <c r="FVO29" s="289"/>
      <c r="FVP29" s="289"/>
      <c r="FVQ29" s="289"/>
      <c r="FVR29" s="289"/>
      <c r="FVS29" s="289"/>
      <c r="FVT29" s="289"/>
      <c r="FVU29" s="289"/>
      <c r="FVV29" s="289"/>
      <c r="FVW29" s="289"/>
      <c r="FVX29" s="289"/>
      <c r="FVY29" s="289"/>
      <c r="FVZ29" s="289"/>
      <c r="FWA29" s="289"/>
      <c r="FWB29" s="289"/>
      <c r="FWC29" s="289"/>
      <c r="FWD29" s="289"/>
      <c r="FWE29" s="289"/>
      <c r="FWF29" s="289"/>
      <c r="FWG29" s="289"/>
      <c r="FWH29" s="289"/>
      <c r="FWI29" s="289"/>
      <c r="FWJ29" s="289"/>
      <c r="FWK29" s="289"/>
      <c r="FWL29" s="289"/>
      <c r="FWM29" s="289"/>
      <c r="FWN29" s="289"/>
      <c r="FWO29" s="289"/>
      <c r="FWP29" s="289"/>
      <c r="FWQ29" s="289"/>
      <c r="FWR29" s="289"/>
      <c r="FWS29" s="289"/>
      <c r="FWT29" s="289"/>
      <c r="FWU29" s="289"/>
      <c r="FWV29" s="289"/>
      <c r="FWW29" s="289"/>
      <c r="FWX29" s="289"/>
      <c r="FWY29" s="289"/>
      <c r="FWZ29" s="289"/>
      <c r="FXA29" s="289"/>
      <c r="FXB29" s="289"/>
      <c r="FXC29" s="289"/>
      <c r="FXD29" s="289"/>
      <c r="FXE29" s="289"/>
      <c r="FXF29" s="289"/>
      <c r="FXG29" s="289"/>
      <c r="FXH29" s="289"/>
      <c r="FXI29" s="289"/>
      <c r="FXJ29" s="289"/>
      <c r="FXK29" s="289"/>
      <c r="FXL29" s="289"/>
      <c r="FXM29" s="289"/>
      <c r="FXN29" s="289"/>
      <c r="FXO29" s="289"/>
      <c r="FXP29" s="289"/>
      <c r="FXQ29" s="289"/>
      <c r="FXR29" s="289"/>
      <c r="FXS29" s="289"/>
      <c r="FXT29" s="289"/>
      <c r="FXU29" s="289"/>
      <c r="FXV29" s="289"/>
      <c r="FXW29" s="289"/>
      <c r="FXX29" s="289"/>
      <c r="FXY29" s="289"/>
      <c r="FXZ29" s="289"/>
      <c r="FYA29" s="289"/>
      <c r="FYB29" s="289"/>
      <c r="FYC29" s="289"/>
      <c r="FYD29" s="289"/>
      <c r="FYE29" s="289"/>
      <c r="FYF29" s="289"/>
      <c r="FYG29" s="289"/>
      <c r="FYH29" s="289"/>
      <c r="FYI29" s="289"/>
      <c r="FYJ29" s="289"/>
      <c r="FYK29" s="289"/>
      <c r="FYL29" s="289"/>
      <c r="FYM29" s="289"/>
      <c r="FYN29" s="289"/>
      <c r="FYO29" s="289"/>
      <c r="FYP29" s="289"/>
      <c r="FYQ29" s="289"/>
      <c r="FYR29" s="289"/>
      <c r="FYS29" s="289"/>
      <c r="FYT29" s="289"/>
      <c r="FYU29" s="289"/>
      <c r="FYV29" s="289"/>
      <c r="FYW29" s="289"/>
      <c r="FYX29" s="289"/>
      <c r="FYY29" s="289"/>
      <c r="FYZ29" s="289"/>
      <c r="FZA29" s="289"/>
      <c r="FZB29" s="289"/>
      <c r="FZC29" s="289"/>
      <c r="FZD29" s="289"/>
      <c r="FZE29" s="289"/>
      <c r="FZF29" s="289"/>
      <c r="FZG29" s="289"/>
      <c r="FZH29" s="289"/>
      <c r="FZI29" s="289"/>
      <c r="FZJ29" s="289"/>
      <c r="FZK29" s="289"/>
      <c r="FZL29" s="289"/>
      <c r="FZM29" s="289"/>
      <c r="FZN29" s="289"/>
      <c r="FZO29" s="289"/>
      <c r="FZP29" s="289"/>
      <c r="FZQ29" s="289"/>
      <c r="FZR29" s="289"/>
      <c r="FZS29" s="289"/>
      <c r="FZT29" s="289"/>
      <c r="FZU29" s="289"/>
      <c r="FZV29" s="289"/>
      <c r="FZW29" s="289"/>
      <c r="FZX29" s="289"/>
      <c r="FZY29" s="289"/>
      <c r="FZZ29" s="289"/>
      <c r="GAA29" s="289"/>
      <c r="GAB29" s="289"/>
      <c r="GAC29" s="289"/>
      <c r="GAD29" s="289"/>
      <c r="GAE29" s="289"/>
      <c r="GAF29" s="289"/>
      <c r="GAG29" s="289"/>
      <c r="GAH29" s="289"/>
      <c r="GAI29" s="289"/>
      <c r="GAJ29" s="289"/>
      <c r="GAK29" s="289"/>
      <c r="GAL29" s="289"/>
      <c r="GAM29" s="289"/>
      <c r="GAN29" s="289"/>
      <c r="GAO29" s="289"/>
      <c r="GAP29" s="289"/>
      <c r="GAQ29" s="289"/>
      <c r="GAR29" s="289"/>
      <c r="GAS29" s="289"/>
      <c r="GAT29" s="289"/>
      <c r="GAU29" s="289"/>
      <c r="GAV29" s="289"/>
      <c r="GAW29" s="289"/>
      <c r="GAX29" s="289"/>
      <c r="GAY29" s="289"/>
      <c r="GAZ29" s="289"/>
      <c r="GBA29" s="289"/>
      <c r="GBB29" s="289"/>
      <c r="GBC29" s="289"/>
      <c r="GBD29" s="289"/>
      <c r="GBE29" s="289"/>
      <c r="GBF29" s="289"/>
      <c r="GBG29" s="289"/>
      <c r="GBH29" s="289"/>
      <c r="GBI29" s="289"/>
      <c r="GBJ29" s="289"/>
      <c r="GBK29" s="289"/>
      <c r="GBL29" s="289"/>
      <c r="GBM29" s="289"/>
      <c r="GBN29" s="289"/>
      <c r="GBO29" s="289"/>
      <c r="GBP29" s="289"/>
      <c r="GBQ29" s="289"/>
      <c r="GBR29" s="289"/>
      <c r="GBS29" s="289"/>
      <c r="GBT29" s="289"/>
      <c r="GBU29" s="289"/>
      <c r="GBV29" s="289"/>
      <c r="GBW29" s="289"/>
      <c r="GBX29" s="289"/>
      <c r="GBY29" s="289"/>
      <c r="GBZ29" s="289"/>
      <c r="GCA29" s="289"/>
      <c r="GCB29" s="289"/>
      <c r="GCC29" s="289"/>
      <c r="GCD29" s="289"/>
      <c r="GCE29" s="289"/>
      <c r="GCF29" s="289"/>
      <c r="GCG29" s="289"/>
      <c r="GCH29" s="289"/>
      <c r="GCI29" s="289"/>
      <c r="GCJ29" s="289"/>
      <c r="GCK29" s="289"/>
      <c r="GCL29" s="289"/>
      <c r="GCM29" s="289"/>
      <c r="GCN29" s="289"/>
      <c r="GCO29" s="289"/>
      <c r="GCP29" s="289"/>
      <c r="GCQ29" s="289"/>
      <c r="GCR29" s="289"/>
      <c r="GCS29" s="289"/>
      <c r="GCT29" s="289"/>
      <c r="GCU29" s="289"/>
      <c r="GCV29" s="289"/>
      <c r="GCW29" s="289"/>
      <c r="GCX29" s="289"/>
      <c r="GCY29" s="289"/>
      <c r="GCZ29" s="289"/>
      <c r="GDA29" s="289"/>
      <c r="GDB29" s="289"/>
      <c r="GDC29" s="289"/>
      <c r="GDD29" s="289"/>
      <c r="GDE29" s="289"/>
      <c r="GDF29" s="289"/>
      <c r="GDG29" s="289"/>
      <c r="GDH29" s="289"/>
      <c r="GDI29" s="289"/>
      <c r="GDJ29" s="289"/>
      <c r="GDK29" s="289"/>
      <c r="GDL29" s="289"/>
      <c r="GDM29" s="289"/>
      <c r="GDN29" s="289"/>
      <c r="GDO29" s="289"/>
      <c r="GDP29" s="289"/>
      <c r="GDQ29" s="289"/>
      <c r="GDR29" s="289"/>
      <c r="GDS29" s="289"/>
      <c r="GDT29" s="289"/>
      <c r="GDU29" s="289"/>
      <c r="GDV29" s="289"/>
      <c r="GDW29" s="289"/>
      <c r="GDX29" s="289"/>
      <c r="GDY29" s="289"/>
      <c r="GDZ29" s="289"/>
      <c r="GEA29" s="289"/>
      <c r="GEB29" s="289"/>
      <c r="GEC29" s="289"/>
      <c r="GED29" s="289"/>
      <c r="GEE29" s="289"/>
      <c r="GEF29" s="289"/>
      <c r="GEG29" s="289"/>
      <c r="GEH29" s="289"/>
      <c r="GEI29" s="289"/>
      <c r="GEJ29" s="289"/>
      <c r="GEK29" s="289"/>
      <c r="GEL29" s="289"/>
      <c r="GEM29" s="289"/>
      <c r="GEN29" s="289"/>
      <c r="GEO29" s="289"/>
      <c r="GEP29" s="289"/>
      <c r="GEQ29" s="289"/>
      <c r="GER29" s="289"/>
      <c r="GES29" s="289"/>
      <c r="GET29" s="289"/>
      <c r="GEU29" s="289"/>
      <c r="GEV29" s="289"/>
      <c r="GEW29" s="289"/>
      <c r="GEX29" s="289"/>
      <c r="GEY29" s="289"/>
      <c r="GEZ29" s="289"/>
      <c r="GFA29" s="289"/>
      <c r="GFB29" s="289"/>
      <c r="GFC29" s="289"/>
      <c r="GFD29" s="289"/>
      <c r="GFE29" s="289"/>
      <c r="GFF29" s="289"/>
      <c r="GFG29" s="289"/>
      <c r="GFH29" s="289"/>
      <c r="GFI29" s="289"/>
      <c r="GFJ29" s="289"/>
      <c r="GFK29" s="289"/>
      <c r="GFL29" s="289"/>
      <c r="GFM29" s="289"/>
      <c r="GFN29" s="289"/>
      <c r="GFO29" s="289"/>
      <c r="GFP29" s="289"/>
      <c r="GFQ29" s="289"/>
      <c r="GFR29" s="289"/>
      <c r="GFS29" s="289"/>
      <c r="GFT29" s="289"/>
      <c r="GFU29" s="289"/>
      <c r="GFV29" s="289"/>
      <c r="GFW29" s="289"/>
      <c r="GFX29" s="289"/>
      <c r="GFY29" s="289"/>
      <c r="GFZ29" s="289"/>
      <c r="GGA29" s="289"/>
      <c r="GGB29" s="289"/>
      <c r="GGC29" s="289"/>
      <c r="GGD29" s="289"/>
      <c r="GGE29" s="289"/>
      <c r="GGF29" s="289"/>
      <c r="GGG29" s="289"/>
      <c r="GGH29" s="289"/>
      <c r="GGI29" s="289"/>
      <c r="GGJ29" s="289"/>
      <c r="GGK29" s="289"/>
      <c r="GGL29" s="289"/>
      <c r="GGM29" s="289"/>
      <c r="GGN29" s="289"/>
      <c r="GGO29" s="289"/>
      <c r="GGP29" s="289"/>
      <c r="GGQ29" s="289"/>
      <c r="GGR29" s="289"/>
      <c r="GGS29" s="289"/>
      <c r="GGT29" s="289"/>
      <c r="GGU29" s="289"/>
      <c r="GGV29" s="289"/>
      <c r="GGW29" s="289"/>
      <c r="GGX29" s="289"/>
      <c r="GGY29" s="289"/>
      <c r="GGZ29" s="289"/>
      <c r="GHA29" s="289"/>
      <c r="GHB29" s="289"/>
      <c r="GHC29" s="289"/>
      <c r="GHD29" s="289"/>
      <c r="GHE29" s="289"/>
      <c r="GHF29" s="289"/>
      <c r="GHG29" s="289"/>
      <c r="GHH29" s="289"/>
      <c r="GHI29" s="289"/>
      <c r="GHJ29" s="289"/>
      <c r="GHK29" s="289"/>
      <c r="GHL29" s="289"/>
      <c r="GHM29" s="289"/>
      <c r="GHN29" s="289"/>
      <c r="GHO29" s="289"/>
      <c r="GHP29" s="289"/>
      <c r="GHQ29" s="289"/>
      <c r="GHR29" s="289"/>
      <c r="GHS29" s="289"/>
      <c r="GHT29" s="289"/>
      <c r="GHU29" s="289"/>
      <c r="GHV29" s="289"/>
      <c r="GHW29" s="289"/>
      <c r="GHX29" s="289"/>
      <c r="GHY29" s="289"/>
      <c r="GHZ29" s="289"/>
      <c r="GIA29" s="289"/>
      <c r="GIB29" s="289"/>
      <c r="GIC29" s="289"/>
      <c r="GID29" s="289"/>
      <c r="GIE29" s="289"/>
      <c r="GIF29" s="289"/>
      <c r="GIG29" s="289"/>
      <c r="GIH29" s="289"/>
      <c r="GII29" s="289"/>
      <c r="GIJ29" s="289"/>
      <c r="GIK29" s="289"/>
      <c r="GIL29" s="289"/>
      <c r="GIM29" s="289"/>
      <c r="GIN29" s="289"/>
      <c r="GIO29" s="289"/>
      <c r="GIP29" s="289"/>
      <c r="GIQ29" s="289"/>
      <c r="GIR29" s="289"/>
      <c r="GIS29" s="289"/>
      <c r="GIT29" s="289"/>
      <c r="GIU29" s="289"/>
      <c r="GIV29" s="289"/>
      <c r="GIW29" s="289"/>
      <c r="GIX29" s="289"/>
      <c r="GIY29" s="289"/>
      <c r="GIZ29" s="289"/>
      <c r="GJA29" s="289"/>
      <c r="GJB29" s="289"/>
      <c r="GJC29" s="289"/>
      <c r="GJD29" s="289"/>
      <c r="GJE29" s="289"/>
      <c r="GJF29" s="289"/>
      <c r="GJG29" s="289"/>
      <c r="GJH29" s="289"/>
      <c r="GJI29" s="289"/>
      <c r="GJJ29" s="289"/>
      <c r="GJK29" s="289"/>
      <c r="GJL29" s="289"/>
      <c r="GJM29" s="289"/>
      <c r="GJN29" s="289"/>
      <c r="GJO29" s="289"/>
      <c r="GJP29" s="289"/>
      <c r="GJQ29" s="289"/>
      <c r="GJR29" s="289"/>
      <c r="GJS29" s="289"/>
      <c r="GJT29" s="289"/>
      <c r="GJU29" s="289"/>
      <c r="GJV29" s="289"/>
      <c r="GJW29" s="289"/>
      <c r="GJX29" s="289"/>
      <c r="GJY29" s="289"/>
      <c r="GJZ29" s="289"/>
      <c r="GKA29" s="289"/>
      <c r="GKB29" s="289"/>
      <c r="GKC29" s="289"/>
      <c r="GKD29" s="289"/>
      <c r="GKE29" s="289"/>
      <c r="GKF29" s="289"/>
      <c r="GKG29" s="289"/>
      <c r="GKH29" s="289"/>
      <c r="GKI29" s="289"/>
      <c r="GKJ29" s="289"/>
      <c r="GKK29" s="289"/>
      <c r="GKL29" s="289"/>
      <c r="GKM29" s="289"/>
      <c r="GKN29" s="289"/>
      <c r="GKO29" s="289"/>
      <c r="GKP29" s="289"/>
      <c r="GKQ29" s="289"/>
      <c r="GKR29" s="289"/>
      <c r="GKS29" s="289"/>
      <c r="GKT29" s="289"/>
      <c r="GKU29" s="289"/>
      <c r="GKV29" s="289"/>
      <c r="GKW29" s="289"/>
      <c r="GKX29" s="289"/>
      <c r="GKY29" s="289"/>
      <c r="GKZ29" s="289"/>
      <c r="GLA29" s="289"/>
      <c r="GLB29" s="289"/>
      <c r="GLC29" s="289"/>
      <c r="GLD29" s="289"/>
      <c r="GLE29" s="289"/>
      <c r="GLF29" s="289"/>
      <c r="GLG29" s="289"/>
      <c r="GLH29" s="289"/>
      <c r="GLI29" s="289"/>
      <c r="GLJ29" s="289"/>
      <c r="GLK29" s="289"/>
      <c r="GLL29" s="289"/>
      <c r="GLM29" s="289"/>
      <c r="GLN29" s="289"/>
      <c r="GLO29" s="289"/>
      <c r="GLP29" s="289"/>
      <c r="GLQ29" s="289"/>
      <c r="GLR29" s="289"/>
      <c r="GLS29" s="289"/>
      <c r="GLT29" s="289"/>
      <c r="GLU29" s="289"/>
      <c r="GLV29" s="289"/>
      <c r="GLW29" s="289"/>
      <c r="GLX29" s="289"/>
      <c r="GLY29" s="289"/>
      <c r="GLZ29" s="289"/>
      <c r="GMA29" s="289"/>
      <c r="GMB29" s="289"/>
      <c r="GMC29" s="289"/>
      <c r="GMD29" s="289"/>
      <c r="GME29" s="289"/>
      <c r="GMF29" s="289"/>
      <c r="GMG29" s="289"/>
      <c r="GMH29" s="289"/>
      <c r="GMI29" s="289"/>
      <c r="GMJ29" s="289"/>
      <c r="GMK29" s="289"/>
      <c r="GML29" s="289"/>
      <c r="GMM29" s="289"/>
      <c r="GMN29" s="289"/>
      <c r="GMO29" s="289"/>
      <c r="GMP29" s="289"/>
      <c r="GMQ29" s="289"/>
      <c r="GMR29" s="289"/>
      <c r="GMS29" s="289"/>
      <c r="GMT29" s="289"/>
      <c r="GMU29" s="289"/>
      <c r="GMV29" s="289"/>
      <c r="GMW29" s="289"/>
      <c r="GMX29" s="289"/>
      <c r="GMY29" s="289"/>
      <c r="GMZ29" s="289"/>
      <c r="GNA29" s="289"/>
      <c r="GNB29" s="289"/>
      <c r="GNC29" s="289"/>
      <c r="GND29" s="289"/>
      <c r="GNE29" s="289"/>
      <c r="GNF29" s="289"/>
      <c r="GNG29" s="289"/>
      <c r="GNH29" s="289"/>
      <c r="GNI29" s="289"/>
      <c r="GNJ29" s="289"/>
      <c r="GNK29" s="289"/>
      <c r="GNL29" s="289"/>
      <c r="GNM29" s="289"/>
      <c r="GNN29" s="289"/>
      <c r="GNO29" s="289"/>
      <c r="GNP29" s="289"/>
      <c r="GNQ29" s="289"/>
      <c r="GNR29" s="289"/>
      <c r="GNS29" s="289"/>
      <c r="GNT29" s="289"/>
      <c r="GNU29" s="289"/>
      <c r="GNV29" s="289"/>
      <c r="GNW29" s="289"/>
      <c r="GNX29" s="289"/>
      <c r="GNY29" s="289"/>
      <c r="GNZ29" s="289"/>
      <c r="GOA29" s="289"/>
      <c r="GOB29" s="289"/>
      <c r="GOC29" s="289"/>
      <c r="GOD29" s="289"/>
      <c r="GOE29" s="289"/>
      <c r="GOF29" s="289"/>
      <c r="GOG29" s="289"/>
      <c r="GOH29" s="289"/>
      <c r="GOI29" s="289"/>
      <c r="GOJ29" s="289"/>
      <c r="GOK29" s="289"/>
      <c r="GOL29" s="289"/>
      <c r="GOM29" s="289"/>
      <c r="GON29" s="289"/>
      <c r="GOO29" s="289"/>
      <c r="GOP29" s="289"/>
      <c r="GOQ29" s="289"/>
      <c r="GOR29" s="289"/>
      <c r="GOS29" s="289"/>
      <c r="GOT29" s="289"/>
      <c r="GOU29" s="289"/>
      <c r="GOV29" s="289"/>
      <c r="GOW29" s="289"/>
      <c r="GOX29" s="289"/>
      <c r="GOY29" s="289"/>
      <c r="GOZ29" s="289"/>
      <c r="GPA29" s="289"/>
      <c r="GPB29" s="289"/>
      <c r="GPC29" s="289"/>
      <c r="GPD29" s="289"/>
      <c r="GPE29" s="289"/>
      <c r="GPF29" s="289"/>
      <c r="GPG29" s="289"/>
      <c r="GPH29" s="289"/>
      <c r="GPI29" s="289"/>
      <c r="GPJ29" s="289"/>
      <c r="GPK29" s="289"/>
      <c r="GPL29" s="289"/>
      <c r="GPM29" s="289"/>
      <c r="GPN29" s="289"/>
      <c r="GPO29" s="289"/>
      <c r="GPP29" s="289"/>
      <c r="GPQ29" s="289"/>
      <c r="GPR29" s="289"/>
      <c r="GPS29" s="289"/>
      <c r="GPT29" s="289"/>
      <c r="GPU29" s="289"/>
      <c r="GPV29" s="289"/>
      <c r="GPW29" s="289"/>
      <c r="GPX29" s="289"/>
      <c r="GPY29" s="289"/>
      <c r="GPZ29" s="289"/>
      <c r="GQA29" s="289"/>
      <c r="GQB29" s="289"/>
      <c r="GQC29" s="289"/>
      <c r="GQD29" s="289"/>
      <c r="GQE29" s="289"/>
      <c r="GQF29" s="289"/>
      <c r="GQG29" s="289"/>
      <c r="GQH29" s="289"/>
      <c r="GQI29" s="289"/>
      <c r="GQJ29" s="289"/>
      <c r="GQK29" s="289"/>
      <c r="GQL29" s="289"/>
      <c r="GQM29" s="289"/>
      <c r="GQN29" s="289"/>
      <c r="GQO29" s="289"/>
      <c r="GQP29" s="289"/>
      <c r="GQQ29" s="289"/>
      <c r="GQR29" s="289"/>
      <c r="GQS29" s="289"/>
      <c r="GQT29" s="289"/>
      <c r="GQU29" s="289"/>
      <c r="GQV29" s="289"/>
      <c r="GQW29" s="289"/>
      <c r="GQX29" s="289"/>
      <c r="GQY29" s="289"/>
      <c r="GQZ29" s="289"/>
      <c r="GRA29" s="289"/>
      <c r="GRB29" s="289"/>
      <c r="GRC29" s="289"/>
      <c r="GRD29" s="289"/>
      <c r="GRE29" s="289"/>
      <c r="GRF29" s="289"/>
      <c r="GRG29" s="289"/>
      <c r="GRH29" s="289"/>
      <c r="GRI29" s="289"/>
      <c r="GRJ29" s="289"/>
      <c r="GRK29" s="289"/>
      <c r="GRL29" s="289"/>
      <c r="GRM29" s="289"/>
      <c r="GRN29" s="289"/>
      <c r="GRO29" s="289"/>
      <c r="GRP29" s="289"/>
      <c r="GRQ29" s="289"/>
      <c r="GRR29" s="289"/>
      <c r="GRS29" s="289"/>
      <c r="GRT29" s="289"/>
      <c r="GRU29" s="289"/>
      <c r="GRV29" s="289"/>
      <c r="GRW29" s="289"/>
      <c r="GRX29" s="289"/>
      <c r="GRY29" s="289"/>
      <c r="GRZ29" s="289"/>
      <c r="GSA29" s="289"/>
      <c r="GSB29" s="289"/>
      <c r="GSC29" s="289"/>
      <c r="GSD29" s="289"/>
      <c r="GSE29" s="289"/>
      <c r="GSF29" s="289"/>
      <c r="GSG29" s="289"/>
      <c r="GSH29" s="289"/>
      <c r="GSI29" s="289"/>
      <c r="GSJ29" s="289"/>
      <c r="GSK29" s="289"/>
      <c r="GSL29" s="289"/>
      <c r="GSM29" s="289"/>
      <c r="GSN29" s="289"/>
      <c r="GSO29" s="289"/>
      <c r="GSP29" s="289"/>
      <c r="GSQ29" s="289"/>
      <c r="GSR29" s="289"/>
      <c r="GSS29" s="289"/>
      <c r="GST29" s="289"/>
      <c r="GSU29" s="289"/>
      <c r="GSV29" s="289"/>
      <c r="GSW29" s="289"/>
      <c r="GSX29" s="289"/>
      <c r="GSY29" s="289"/>
      <c r="GSZ29" s="289"/>
      <c r="GTA29" s="289"/>
      <c r="GTB29" s="289"/>
      <c r="GTC29" s="289"/>
      <c r="GTD29" s="289"/>
      <c r="GTE29" s="289"/>
      <c r="GTF29" s="289"/>
      <c r="GTG29" s="289"/>
      <c r="GTH29" s="289"/>
      <c r="GTI29" s="289"/>
      <c r="GTJ29" s="289"/>
      <c r="GTK29" s="289"/>
      <c r="GTL29" s="289"/>
      <c r="GTM29" s="289"/>
      <c r="GTN29" s="289"/>
      <c r="GTO29" s="289"/>
      <c r="GTP29" s="289"/>
      <c r="GTQ29" s="289"/>
      <c r="GTR29" s="289"/>
      <c r="GTS29" s="289"/>
      <c r="GTT29" s="289"/>
      <c r="GTU29" s="289"/>
      <c r="GTV29" s="289"/>
      <c r="GTW29" s="289"/>
      <c r="GTX29" s="289"/>
      <c r="GTY29" s="289"/>
      <c r="GTZ29" s="289"/>
      <c r="GUA29" s="289"/>
      <c r="GUB29" s="289"/>
      <c r="GUC29" s="289"/>
      <c r="GUD29" s="289"/>
      <c r="GUE29" s="289"/>
      <c r="GUF29" s="289"/>
      <c r="GUG29" s="289"/>
      <c r="GUH29" s="289"/>
      <c r="GUI29" s="289"/>
      <c r="GUJ29" s="289"/>
      <c r="GUK29" s="289"/>
      <c r="GUL29" s="289"/>
      <c r="GUM29" s="289"/>
      <c r="GUN29" s="289"/>
      <c r="GUO29" s="289"/>
      <c r="GUP29" s="289"/>
      <c r="GUQ29" s="289"/>
      <c r="GUR29" s="289"/>
      <c r="GUS29" s="289"/>
      <c r="GUT29" s="289"/>
      <c r="GUU29" s="289"/>
      <c r="GUV29" s="289"/>
      <c r="GUW29" s="289"/>
      <c r="GUX29" s="289"/>
      <c r="GUY29" s="289"/>
      <c r="GUZ29" s="289"/>
      <c r="GVA29" s="289"/>
      <c r="GVB29" s="289"/>
      <c r="GVC29" s="289"/>
      <c r="GVD29" s="289"/>
      <c r="GVE29" s="289"/>
      <c r="GVF29" s="289"/>
      <c r="GVG29" s="289"/>
      <c r="GVH29" s="289"/>
      <c r="GVI29" s="289"/>
      <c r="GVJ29" s="289"/>
      <c r="GVK29" s="289"/>
      <c r="GVL29" s="289"/>
      <c r="GVM29" s="289"/>
      <c r="GVN29" s="289"/>
      <c r="GVO29" s="289"/>
      <c r="GVP29" s="289"/>
      <c r="GVQ29" s="289"/>
      <c r="GVR29" s="289"/>
      <c r="GVS29" s="289"/>
      <c r="GVT29" s="289"/>
      <c r="GVU29" s="289"/>
      <c r="GVV29" s="289"/>
      <c r="GVW29" s="289"/>
      <c r="GVX29" s="289"/>
      <c r="GVY29" s="289"/>
      <c r="GVZ29" s="289"/>
      <c r="GWA29" s="289"/>
      <c r="GWB29" s="289"/>
      <c r="GWC29" s="289"/>
      <c r="GWD29" s="289"/>
      <c r="GWE29" s="289"/>
      <c r="GWF29" s="289"/>
      <c r="GWG29" s="289"/>
      <c r="GWH29" s="289"/>
      <c r="GWI29" s="289"/>
      <c r="GWJ29" s="289"/>
      <c r="GWK29" s="289"/>
      <c r="GWL29" s="289"/>
      <c r="GWM29" s="289"/>
      <c r="GWN29" s="289"/>
      <c r="GWO29" s="289"/>
      <c r="GWP29" s="289"/>
      <c r="GWQ29" s="289"/>
      <c r="GWR29" s="289"/>
      <c r="GWS29" s="289"/>
      <c r="GWT29" s="289"/>
      <c r="GWU29" s="289"/>
      <c r="GWV29" s="289"/>
      <c r="GWW29" s="289"/>
      <c r="GWX29" s="289"/>
      <c r="GWY29" s="289"/>
      <c r="GWZ29" s="289"/>
      <c r="GXA29" s="289"/>
      <c r="GXB29" s="289"/>
      <c r="GXC29" s="289"/>
      <c r="GXD29" s="289"/>
      <c r="GXE29" s="289"/>
      <c r="GXF29" s="289"/>
      <c r="GXG29" s="289"/>
      <c r="GXH29" s="289"/>
      <c r="GXI29" s="289"/>
      <c r="GXJ29" s="289"/>
      <c r="GXK29" s="289"/>
      <c r="GXL29" s="289"/>
      <c r="GXM29" s="289"/>
      <c r="GXN29" s="289"/>
      <c r="GXO29" s="289"/>
      <c r="GXP29" s="289"/>
      <c r="GXQ29" s="289"/>
      <c r="GXR29" s="289"/>
      <c r="GXS29" s="289"/>
      <c r="GXT29" s="289"/>
      <c r="GXU29" s="289"/>
      <c r="GXV29" s="289"/>
      <c r="GXW29" s="289"/>
      <c r="GXX29" s="289"/>
      <c r="GXY29" s="289"/>
      <c r="GXZ29" s="289"/>
      <c r="GYA29" s="289"/>
      <c r="GYB29" s="289"/>
      <c r="GYC29" s="289"/>
      <c r="GYD29" s="289"/>
      <c r="GYE29" s="289"/>
      <c r="GYF29" s="289"/>
      <c r="GYG29" s="289"/>
      <c r="GYH29" s="289"/>
      <c r="GYI29" s="289"/>
      <c r="GYJ29" s="289"/>
      <c r="GYK29" s="289"/>
      <c r="GYL29" s="289"/>
      <c r="GYM29" s="289"/>
      <c r="GYN29" s="289"/>
      <c r="GYO29" s="289"/>
      <c r="GYP29" s="289"/>
      <c r="GYQ29" s="289"/>
      <c r="GYR29" s="289"/>
      <c r="GYS29" s="289"/>
      <c r="GYT29" s="289"/>
      <c r="GYU29" s="289"/>
      <c r="GYV29" s="289"/>
      <c r="GYW29" s="289"/>
      <c r="GYX29" s="289"/>
      <c r="GYY29" s="289"/>
      <c r="GYZ29" s="289"/>
      <c r="GZA29" s="289"/>
      <c r="GZB29" s="289"/>
      <c r="GZC29" s="289"/>
      <c r="GZD29" s="289"/>
      <c r="GZE29" s="289"/>
      <c r="GZF29" s="289"/>
      <c r="GZG29" s="289"/>
      <c r="GZH29" s="289"/>
      <c r="GZI29" s="289"/>
      <c r="GZJ29" s="289"/>
      <c r="GZK29" s="289"/>
      <c r="GZL29" s="289"/>
      <c r="GZM29" s="289"/>
      <c r="GZN29" s="289"/>
      <c r="GZO29" s="289"/>
      <c r="GZP29" s="289"/>
      <c r="GZQ29" s="289"/>
      <c r="GZR29" s="289"/>
      <c r="GZS29" s="289"/>
      <c r="GZT29" s="289"/>
      <c r="GZU29" s="289"/>
      <c r="GZV29" s="289"/>
      <c r="GZW29" s="289"/>
      <c r="GZX29" s="289"/>
      <c r="GZY29" s="289"/>
      <c r="GZZ29" s="289"/>
      <c r="HAA29" s="289"/>
      <c r="HAB29" s="289"/>
      <c r="HAC29" s="289"/>
      <c r="HAD29" s="289"/>
      <c r="HAE29" s="289"/>
      <c r="HAF29" s="289"/>
      <c r="HAG29" s="289"/>
      <c r="HAH29" s="289"/>
      <c r="HAI29" s="289"/>
      <c r="HAJ29" s="289"/>
      <c r="HAK29" s="289"/>
      <c r="HAL29" s="289"/>
      <c r="HAM29" s="289"/>
      <c r="HAN29" s="289"/>
      <c r="HAO29" s="289"/>
      <c r="HAP29" s="289"/>
      <c r="HAQ29" s="289"/>
      <c r="HAR29" s="289"/>
      <c r="HAS29" s="289"/>
      <c r="HAT29" s="289"/>
      <c r="HAU29" s="289"/>
      <c r="HAV29" s="289"/>
      <c r="HAW29" s="289"/>
      <c r="HAX29" s="289"/>
      <c r="HAY29" s="289"/>
      <c r="HAZ29" s="289"/>
      <c r="HBA29" s="289"/>
      <c r="HBB29" s="289"/>
      <c r="HBC29" s="289"/>
      <c r="HBD29" s="289"/>
      <c r="HBE29" s="289"/>
      <c r="HBF29" s="289"/>
      <c r="HBG29" s="289"/>
      <c r="HBH29" s="289"/>
      <c r="HBI29" s="289"/>
      <c r="HBJ29" s="289"/>
      <c r="HBK29" s="289"/>
      <c r="HBL29" s="289"/>
      <c r="HBM29" s="289"/>
      <c r="HBN29" s="289"/>
      <c r="HBO29" s="289"/>
      <c r="HBP29" s="289"/>
      <c r="HBQ29" s="289"/>
      <c r="HBR29" s="289"/>
      <c r="HBS29" s="289"/>
      <c r="HBT29" s="289"/>
      <c r="HBU29" s="289"/>
      <c r="HBV29" s="289"/>
      <c r="HBW29" s="289"/>
      <c r="HBX29" s="289"/>
      <c r="HBY29" s="289"/>
      <c r="HBZ29" s="289"/>
      <c r="HCA29" s="289"/>
      <c r="HCB29" s="289"/>
      <c r="HCC29" s="289"/>
      <c r="HCD29" s="289"/>
      <c r="HCE29" s="289"/>
      <c r="HCF29" s="289"/>
      <c r="HCG29" s="289"/>
      <c r="HCH29" s="289"/>
      <c r="HCI29" s="289"/>
      <c r="HCJ29" s="289"/>
      <c r="HCK29" s="289"/>
      <c r="HCL29" s="289"/>
      <c r="HCM29" s="289"/>
      <c r="HCN29" s="289"/>
      <c r="HCO29" s="289"/>
      <c r="HCP29" s="289"/>
      <c r="HCQ29" s="289"/>
      <c r="HCR29" s="289"/>
      <c r="HCS29" s="289"/>
      <c r="HCT29" s="289"/>
      <c r="HCU29" s="289"/>
      <c r="HCV29" s="289"/>
      <c r="HCW29" s="289"/>
      <c r="HCX29" s="289"/>
      <c r="HCY29" s="289"/>
      <c r="HCZ29" s="289"/>
      <c r="HDA29" s="289"/>
      <c r="HDB29" s="289"/>
      <c r="HDC29" s="289"/>
      <c r="HDD29" s="289"/>
      <c r="HDE29" s="289"/>
      <c r="HDF29" s="289"/>
      <c r="HDG29" s="289"/>
      <c r="HDH29" s="289"/>
      <c r="HDI29" s="289"/>
      <c r="HDJ29" s="289"/>
      <c r="HDK29" s="289"/>
      <c r="HDL29" s="289"/>
      <c r="HDM29" s="289"/>
      <c r="HDN29" s="289"/>
      <c r="HDO29" s="289"/>
      <c r="HDP29" s="289"/>
      <c r="HDQ29" s="289"/>
      <c r="HDR29" s="289"/>
      <c r="HDS29" s="289"/>
      <c r="HDT29" s="289"/>
      <c r="HDU29" s="289"/>
      <c r="HDV29" s="289"/>
      <c r="HDW29" s="289"/>
      <c r="HDX29" s="289"/>
      <c r="HDY29" s="289"/>
      <c r="HDZ29" s="289"/>
      <c r="HEA29" s="289"/>
      <c r="HEB29" s="289"/>
      <c r="HEC29" s="289"/>
      <c r="HED29" s="289"/>
      <c r="HEE29" s="289"/>
      <c r="HEF29" s="289"/>
      <c r="HEG29" s="289"/>
      <c r="HEH29" s="289"/>
      <c r="HEI29" s="289"/>
      <c r="HEJ29" s="289"/>
      <c r="HEK29" s="289"/>
      <c r="HEL29" s="289"/>
      <c r="HEM29" s="289"/>
      <c r="HEN29" s="289"/>
      <c r="HEO29" s="289"/>
      <c r="HEP29" s="289"/>
      <c r="HEQ29" s="289"/>
      <c r="HER29" s="289"/>
      <c r="HES29" s="289"/>
      <c r="HET29" s="289"/>
      <c r="HEU29" s="289"/>
      <c r="HEV29" s="289"/>
      <c r="HEW29" s="289"/>
      <c r="HEX29" s="289"/>
      <c r="HEY29" s="289"/>
      <c r="HEZ29" s="289"/>
      <c r="HFA29" s="289"/>
      <c r="HFB29" s="289"/>
      <c r="HFC29" s="289"/>
      <c r="HFD29" s="289"/>
      <c r="HFE29" s="289"/>
      <c r="HFF29" s="289"/>
      <c r="HFG29" s="289"/>
      <c r="HFH29" s="289"/>
      <c r="HFI29" s="289"/>
      <c r="HFJ29" s="289"/>
      <c r="HFK29" s="289"/>
      <c r="HFL29" s="289"/>
      <c r="HFM29" s="289"/>
      <c r="HFN29" s="289"/>
      <c r="HFO29" s="289"/>
      <c r="HFP29" s="289"/>
      <c r="HFQ29" s="289"/>
      <c r="HFR29" s="289"/>
      <c r="HFS29" s="289"/>
      <c r="HFT29" s="289"/>
      <c r="HFU29" s="289"/>
      <c r="HFV29" s="289"/>
      <c r="HFW29" s="289"/>
      <c r="HFX29" s="289"/>
      <c r="HFY29" s="289"/>
      <c r="HFZ29" s="289"/>
      <c r="HGA29" s="289"/>
      <c r="HGB29" s="289"/>
      <c r="HGC29" s="289"/>
      <c r="HGD29" s="289"/>
      <c r="HGE29" s="289"/>
      <c r="HGF29" s="289"/>
      <c r="HGG29" s="289"/>
      <c r="HGH29" s="289"/>
      <c r="HGI29" s="289"/>
      <c r="HGJ29" s="289"/>
      <c r="HGK29" s="289"/>
      <c r="HGL29" s="289"/>
      <c r="HGM29" s="289"/>
      <c r="HGN29" s="289"/>
      <c r="HGO29" s="289"/>
      <c r="HGP29" s="289"/>
      <c r="HGQ29" s="289"/>
      <c r="HGR29" s="289"/>
      <c r="HGS29" s="289"/>
      <c r="HGT29" s="289"/>
      <c r="HGU29" s="289"/>
      <c r="HGV29" s="289"/>
      <c r="HGW29" s="289"/>
      <c r="HGX29" s="289"/>
      <c r="HGY29" s="289"/>
      <c r="HGZ29" s="289"/>
      <c r="HHA29" s="289"/>
      <c r="HHB29" s="289"/>
      <c r="HHC29" s="289"/>
      <c r="HHD29" s="289"/>
      <c r="HHE29" s="289"/>
      <c r="HHF29" s="289"/>
      <c r="HHG29" s="289"/>
      <c r="HHH29" s="289"/>
      <c r="HHI29" s="289"/>
      <c r="HHJ29" s="289"/>
      <c r="HHK29" s="289"/>
      <c r="HHL29" s="289"/>
      <c r="HHM29" s="289"/>
      <c r="HHN29" s="289"/>
      <c r="HHO29" s="289"/>
      <c r="HHP29" s="289"/>
      <c r="HHQ29" s="289"/>
      <c r="HHR29" s="289"/>
      <c r="HHS29" s="289"/>
      <c r="HHT29" s="289"/>
      <c r="HHU29" s="289"/>
      <c r="HHV29" s="289"/>
      <c r="HHW29" s="289"/>
      <c r="HHX29" s="289"/>
      <c r="HHY29" s="289"/>
      <c r="HHZ29" s="289"/>
      <c r="HIA29" s="289"/>
      <c r="HIB29" s="289"/>
      <c r="HIC29" s="289"/>
      <c r="HID29" s="289"/>
      <c r="HIE29" s="289"/>
      <c r="HIF29" s="289"/>
      <c r="HIG29" s="289"/>
      <c r="HIH29" s="289"/>
      <c r="HII29" s="289"/>
      <c r="HIJ29" s="289"/>
      <c r="HIK29" s="289"/>
      <c r="HIL29" s="289"/>
      <c r="HIM29" s="289"/>
      <c r="HIN29" s="289"/>
      <c r="HIO29" s="289"/>
      <c r="HIP29" s="289"/>
      <c r="HIQ29" s="289"/>
      <c r="HIR29" s="289"/>
      <c r="HIS29" s="289"/>
      <c r="HIT29" s="289"/>
      <c r="HIU29" s="289"/>
      <c r="HIV29" s="289"/>
      <c r="HIW29" s="289"/>
      <c r="HIX29" s="289"/>
      <c r="HIY29" s="289"/>
      <c r="HIZ29" s="289"/>
      <c r="HJA29" s="289"/>
      <c r="HJB29" s="289"/>
      <c r="HJC29" s="289"/>
      <c r="HJD29" s="289"/>
      <c r="HJE29" s="289"/>
      <c r="HJF29" s="289"/>
      <c r="HJG29" s="289"/>
      <c r="HJH29" s="289"/>
      <c r="HJI29" s="289"/>
      <c r="HJJ29" s="289"/>
      <c r="HJK29" s="289"/>
      <c r="HJL29" s="289"/>
      <c r="HJM29" s="289"/>
      <c r="HJN29" s="289"/>
      <c r="HJO29" s="289"/>
      <c r="HJP29" s="289"/>
      <c r="HJQ29" s="289"/>
      <c r="HJR29" s="289"/>
      <c r="HJS29" s="289"/>
      <c r="HJT29" s="289"/>
      <c r="HJU29" s="289"/>
      <c r="HJV29" s="289"/>
      <c r="HJW29" s="289"/>
      <c r="HJX29" s="289"/>
      <c r="HJY29" s="289"/>
      <c r="HJZ29" s="289"/>
      <c r="HKA29" s="289"/>
      <c r="HKB29" s="289"/>
      <c r="HKC29" s="289"/>
      <c r="HKD29" s="289"/>
      <c r="HKE29" s="289"/>
      <c r="HKF29" s="289"/>
      <c r="HKG29" s="289"/>
      <c r="HKH29" s="289"/>
      <c r="HKI29" s="289"/>
      <c r="HKJ29" s="289"/>
      <c r="HKK29" s="289"/>
      <c r="HKL29" s="289"/>
      <c r="HKM29" s="289"/>
      <c r="HKN29" s="289"/>
      <c r="HKO29" s="289"/>
      <c r="HKP29" s="289"/>
      <c r="HKQ29" s="289"/>
      <c r="HKR29" s="289"/>
      <c r="HKS29" s="289"/>
      <c r="HKT29" s="289"/>
      <c r="HKU29" s="289"/>
      <c r="HKV29" s="289"/>
      <c r="HKW29" s="289"/>
      <c r="HKX29" s="289"/>
      <c r="HKY29" s="289"/>
      <c r="HKZ29" s="289"/>
      <c r="HLA29" s="289"/>
      <c r="HLB29" s="289"/>
      <c r="HLC29" s="289"/>
      <c r="HLD29" s="289"/>
      <c r="HLE29" s="289"/>
      <c r="HLF29" s="289"/>
      <c r="HLG29" s="289"/>
      <c r="HLH29" s="289"/>
      <c r="HLI29" s="289"/>
      <c r="HLJ29" s="289"/>
      <c r="HLK29" s="289"/>
      <c r="HLL29" s="289"/>
      <c r="HLM29" s="289"/>
      <c r="HLN29" s="289"/>
      <c r="HLO29" s="289"/>
      <c r="HLP29" s="289"/>
      <c r="HLQ29" s="289"/>
      <c r="HLR29" s="289"/>
      <c r="HLS29" s="289"/>
      <c r="HLT29" s="289"/>
      <c r="HLU29" s="289"/>
      <c r="HLV29" s="289"/>
      <c r="HLW29" s="289"/>
      <c r="HLX29" s="289"/>
      <c r="HLY29" s="289"/>
      <c r="HLZ29" s="289"/>
      <c r="HMA29" s="289"/>
      <c r="HMB29" s="289"/>
      <c r="HMC29" s="289"/>
      <c r="HMD29" s="289"/>
      <c r="HME29" s="289"/>
      <c r="HMF29" s="289"/>
      <c r="HMG29" s="289"/>
      <c r="HMH29" s="289"/>
      <c r="HMI29" s="289"/>
      <c r="HMJ29" s="289"/>
      <c r="HMK29" s="289"/>
      <c r="HML29" s="289"/>
      <c r="HMM29" s="289"/>
      <c r="HMN29" s="289"/>
      <c r="HMO29" s="289"/>
      <c r="HMP29" s="289"/>
      <c r="HMQ29" s="289"/>
      <c r="HMR29" s="289"/>
      <c r="HMS29" s="289"/>
      <c r="HMT29" s="289"/>
      <c r="HMU29" s="289"/>
      <c r="HMV29" s="289"/>
      <c r="HMW29" s="289"/>
      <c r="HMX29" s="289"/>
      <c r="HMY29" s="289"/>
      <c r="HMZ29" s="289"/>
      <c r="HNA29" s="289"/>
      <c r="HNB29" s="289"/>
      <c r="HNC29" s="289"/>
      <c r="HND29" s="289"/>
      <c r="HNE29" s="289"/>
      <c r="HNF29" s="289"/>
      <c r="HNG29" s="289"/>
      <c r="HNH29" s="289"/>
      <c r="HNI29" s="289"/>
      <c r="HNJ29" s="289"/>
      <c r="HNK29" s="289"/>
      <c r="HNL29" s="289"/>
      <c r="HNM29" s="289"/>
      <c r="HNN29" s="289"/>
      <c r="HNO29" s="289"/>
      <c r="HNP29" s="289"/>
      <c r="HNQ29" s="289"/>
      <c r="HNR29" s="289"/>
      <c r="HNS29" s="289"/>
      <c r="HNT29" s="289"/>
      <c r="HNU29" s="289"/>
      <c r="HNV29" s="289"/>
      <c r="HNW29" s="289"/>
      <c r="HNX29" s="289"/>
      <c r="HNY29" s="289"/>
      <c r="HNZ29" s="289"/>
      <c r="HOA29" s="289"/>
      <c r="HOB29" s="289"/>
      <c r="HOC29" s="289"/>
      <c r="HOD29" s="289"/>
      <c r="HOE29" s="289"/>
      <c r="HOF29" s="289"/>
      <c r="HOG29" s="289"/>
      <c r="HOH29" s="289"/>
      <c r="HOI29" s="289"/>
      <c r="HOJ29" s="289"/>
      <c r="HOK29" s="289"/>
      <c r="HOL29" s="289"/>
      <c r="HOM29" s="289"/>
      <c r="HON29" s="289"/>
      <c r="HOO29" s="289"/>
      <c r="HOP29" s="289"/>
      <c r="HOQ29" s="289"/>
      <c r="HOR29" s="289"/>
      <c r="HOS29" s="289"/>
      <c r="HOT29" s="289"/>
      <c r="HOU29" s="289"/>
      <c r="HOV29" s="289"/>
      <c r="HOW29" s="289"/>
      <c r="HOX29" s="289"/>
      <c r="HOY29" s="289"/>
      <c r="HOZ29" s="289"/>
      <c r="HPA29" s="289"/>
      <c r="HPB29" s="289"/>
      <c r="HPC29" s="289"/>
      <c r="HPD29" s="289"/>
      <c r="HPE29" s="289"/>
      <c r="HPF29" s="289"/>
      <c r="HPG29" s="289"/>
      <c r="HPH29" s="289"/>
      <c r="HPI29" s="289"/>
      <c r="HPJ29" s="289"/>
      <c r="HPK29" s="289"/>
      <c r="HPL29" s="289"/>
      <c r="HPM29" s="289"/>
      <c r="HPN29" s="289"/>
      <c r="HPO29" s="289"/>
      <c r="HPP29" s="289"/>
      <c r="HPQ29" s="289"/>
      <c r="HPR29" s="289"/>
      <c r="HPS29" s="289"/>
      <c r="HPT29" s="289"/>
      <c r="HPU29" s="289"/>
      <c r="HPV29" s="289"/>
      <c r="HPW29" s="289"/>
      <c r="HPX29" s="289"/>
      <c r="HPY29" s="289"/>
      <c r="HPZ29" s="289"/>
      <c r="HQA29" s="289"/>
      <c r="HQB29" s="289"/>
      <c r="HQC29" s="289"/>
      <c r="HQD29" s="289"/>
      <c r="HQE29" s="289"/>
      <c r="HQF29" s="289"/>
      <c r="HQG29" s="289"/>
      <c r="HQH29" s="289"/>
      <c r="HQI29" s="289"/>
      <c r="HQJ29" s="289"/>
      <c r="HQK29" s="289"/>
      <c r="HQL29" s="289"/>
      <c r="HQM29" s="289"/>
      <c r="HQN29" s="289"/>
      <c r="HQO29" s="289"/>
      <c r="HQP29" s="289"/>
      <c r="HQQ29" s="289"/>
      <c r="HQR29" s="289"/>
      <c r="HQS29" s="289"/>
      <c r="HQT29" s="289"/>
      <c r="HQU29" s="289"/>
      <c r="HQV29" s="289"/>
      <c r="HQW29" s="289"/>
      <c r="HQX29" s="289"/>
      <c r="HQY29" s="289"/>
      <c r="HQZ29" s="289"/>
      <c r="HRA29" s="289"/>
      <c r="HRB29" s="289"/>
      <c r="HRC29" s="289"/>
      <c r="HRD29" s="289"/>
      <c r="HRE29" s="289"/>
      <c r="HRF29" s="289"/>
      <c r="HRG29" s="289"/>
      <c r="HRH29" s="289"/>
      <c r="HRI29" s="289"/>
      <c r="HRJ29" s="289"/>
      <c r="HRK29" s="289"/>
      <c r="HRL29" s="289"/>
      <c r="HRM29" s="289"/>
      <c r="HRN29" s="289"/>
      <c r="HRO29" s="289"/>
      <c r="HRP29" s="289"/>
      <c r="HRQ29" s="289"/>
      <c r="HRR29" s="289"/>
      <c r="HRS29" s="289"/>
      <c r="HRT29" s="289"/>
      <c r="HRU29" s="289"/>
      <c r="HRV29" s="289"/>
      <c r="HRW29" s="289"/>
      <c r="HRX29" s="289"/>
      <c r="HRY29" s="289"/>
      <c r="HRZ29" s="289"/>
      <c r="HSA29" s="289"/>
      <c r="HSB29" s="289"/>
      <c r="HSC29" s="289"/>
      <c r="HSD29" s="289"/>
      <c r="HSE29" s="289"/>
      <c r="HSF29" s="289"/>
      <c r="HSG29" s="289"/>
      <c r="HSH29" s="289"/>
      <c r="HSI29" s="289"/>
      <c r="HSJ29" s="289"/>
      <c r="HSK29" s="289"/>
      <c r="HSL29" s="289"/>
      <c r="HSM29" s="289"/>
      <c r="HSN29" s="289"/>
      <c r="HSO29" s="289"/>
      <c r="HSP29" s="289"/>
      <c r="HSQ29" s="289"/>
      <c r="HSR29" s="289"/>
      <c r="HSS29" s="289"/>
      <c r="HST29" s="289"/>
      <c r="HSU29" s="289"/>
      <c r="HSV29" s="289"/>
      <c r="HSW29" s="289"/>
      <c r="HSX29" s="289"/>
      <c r="HSY29" s="289"/>
      <c r="HSZ29" s="289"/>
      <c r="HTA29" s="289"/>
      <c r="HTB29" s="289"/>
      <c r="HTC29" s="289"/>
      <c r="HTD29" s="289"/>
      <c r="HTE29" s="289"/>
      <c r="HTF29" s="289"/>
      <c r="HTG29" s="289"/>
      <c r="HTH29" s="289"/>
      <c r="HTI29" s="289"/>
      <c r="HTJ29" s="289"/>
      <c r="HTK29" s="289"/>
      <c r="HTL29" s="289"/>
      <c r="HTM29" s="289"/>
      <c r="HTN29" s="289"/>
      <c r="HTO29" s="289"/>
      <c r="HTP29" s="289"/>
      <c r="HTQ29" s="289"/>
      <c r="HTR29" s="289"/>
      <c r="HTS29" s="289"/>
      <c r="HTT29" s="289"/>
      <c r="HTU29" s="289"/>
      <c r="HTV29" s="289"/>
      <c r="HTW29" s="289"/>
      <c r="HTX29" s="289"/>
      <c r="HTY29" s="289"/>
      <c r="HTZ29" s="289"/>
      <c r="HUA29" s="289"/>
      <c r="HUB29" s="289"/>
      <c r="HUC29" s="289"/>
      <c r="HUD29" s="289"/>
      <c r="HUE29" s="289"/>
      <c r="HUF29" s="289"/>
      <c r="HUG29" s="289"/>
      <c r="HUH29" s="289"/>
      <c r="HUI29" s="289"/>
      <c r="HUJ29" s="289"/>
      <c r="HUK29" s="289"/>
      <c r="HUL29" s="289"/>
      <c r="HUM29" s="289"/>
      <c r="HUN29" s="289"/>
      <c r="HUO29" s="289"/>
      <c r="HUP29" s="289"/>
      <c r="HUQ29" s="289"/>
      <c r="HUR29" s="289"/>
      <c r="HUS29" s="289"/>
      <c r="HUT29" s="289"/>
      <c r="HUU29" s="289"/>
      <c r="HUV29" s="289"/>
      <c r="HUW29" s="289"/>
      <c r="HUX29" s="289"/>
      <c r="HUY29" s="289"/>
      <c r="HUZ29" s="289"/>
      <c r="HVA29" s="289"/>
      <c r="HVB29" s="289"/>
      <c r="HVC29" s="289"/>
      <c r="HVD29" s="289"/>
      <c r="HVE29" s="289"/>
      <c r="HVF29" s="289"/>
      <c r="HVG29" s="289"/>
      <c r="HVH29" s="289"/>
      <c r="HVI29" s="289"/>
      <c r="HVJ29" s="289"/>
      <c r="HVK29" s="289"/>
      <c r="HVL29" s="289"/>
      <c r="HVM29" s="289"/>
      <c r="HVN29" s="289"/>
      <c r="HVO29" s="289"/>
      <c r="HVP29" s="289"/>
      <c r="HVQ29" s="289"/>
      <c r="HVR29" s="289"/>
      <c r="HVS29" s="289"/>
      <c r="HVT29" s="289"/>
      <c r="HVU29" s="289"/>
      <c r="HVV29" s="289"/>
      <c r="HVW29" s="289"/>
      <c r="HVX29" s="289"/>
      <c r="HVY29" s="289"/>
      <c r="HVZ29" s="289"/>
      <c r="HWA29" s="289"/>
      <c r="HWB29" s="289"/>
      <c r="HWC29" s="289"/>
      <c r="HWD29" s="289"/>
      <c r="HWE29" s="289"/>
      <c r="HWF29" s="289"/>
      <c r="HWG29" s="289"/>
      <c r="HWH29" s="289"/>
      <c r="HWI29" s="289"/>
      <c r="HWJ29" s="289"/>
      <c r="HWK29" s="289"/>
      <c r="HWL29" s="289"/>
      <c r="HWM29" s="289"/>
      <c r="HWN29" s="289"/>
      <c r="HWO29" s="289"/>
      <c r="HWP29" s="289"/>
      <c r="HWQ29" s="289"/>
      <c r="HWR29" s="289"/>
      <c r="HWS29" s="289"/>
      <c r="HWT29" s="289"/>
      <c r="HWU29" s="289"/>
      <c r="HWV29" s="289"/>
      <c r="HWW29" s="289"/>
      <c r="HWX29" s="289"/>
      <c r="HWY29" s="289"/>
      <c r="HWZ29" s="289"/>
      <c r="HXA29" s="289"/>
      <c r="HXB29" s="289"/>
      <c r="HXC29" s="289"/>
      <c r="HXD29" s="289"/>
      <c r="HXE29" s="289"/>
      <c r="HXF29" s="289"/>
      <c r="HXG29" s="289"/>
      <c r="HXH29" s="289"/>
      <c r="HXI29" s="289"/>
      <c r="HXJ29" s="289"/>
      <c r="HXK29" s="289"/>
      <c r="HXL29" s="289"/>
      <c r="HXM29" s="289"/>
      <c r="HXN29" s="289"/>
      <c r="HXO29" s="289"/>
      <c r="HXP29" s="289"/>
      <c r="HXQ29" s="289"/>
      <c r="HXR29" s="289"/>
      <c r="HXS29" s="289"/>
      <c r="HXT29" s="289"/>
      <c r="HXU29" s="289"/>
      <c r="HXV29" s="289"/>
      <c r="HXW29" s="289"/>
      <c r="HXX29" s="289"/>
      <c r="HXY29" s="289"/>
      <c r="HXZ29" s="289"/>
      <c r="HYA29" s="289"/>
      <c r="HYB29" s="289"/>
      <c r="HYC29" s="289"/>
      <c r="HYD29" s="289"/>
      <c r="HYE29" s="289"/>
      <c r="HYF29" s="289"/>
      <c r="HYG29" s="289"/>
      <c r="HYH29" s="289"/>
      <c r="HYI29" s="289"/>
      <c r="HYJ29" s="289"/>
      <c r="HYK29" s="289"/>
      <c r="HYL29" s="289"/>
      <c r="HYM29" s="289"/>
      <c r="HYN29" s="289"/>
      <c r="HYO29" s="289"/>
      <c r="HYP29" s="289"/>
      <c r="HYQ29" s="289"/>
      <c r="HYR29" s="289"/>
      <c r="HYS29" s="289"/>
      <c r="HYT29" s="289"/>
      <c r="HYU29" s="289"/>
      <c r="HYV29" s="289"/>
      <c r="HYW29" s="289"/>
      <c r="HYX29" s="289"/>
      <c r="HYY29" s="289"/>
      <c r="HYZ29" s="289"/>
      <c r="HZA29" s="289"/>
      <c r="HZB29" s="289"/>
      <c r="HZC29" s="289"/>
      <c r="HZD29" s="289"/>
      <c r="HZE29" s="289"/>
      <c r="HZF29" s="289"/>
      <c r="HZG29" s="289"/>
      <c r="HZH29" s="289"/>
      <c r="HZI29" s="289"/>
      <c r="HZJ29" s="289"/>
      <c r="HZK29" s="289"/>
      <c r="HZL29" s="289"/>
      <c r="HZM29" s="289"/>
      <c r="HZN29" s="289"/>
      <c r="HZO29" s="289"/>
      <c r="HZP29" s="289"/>
      <c r="HZQ29" s="289"/>
      <c r="HZR29" s="289"/>
      <c r="HZS29" s="289"/>
      <c r="HZT29" s="289"/>
      <c r="HZU29" s="289"/>
      <c r="HZV29" s="289"/>
      <c r="HZW29" s="289"/>
      <c r="HZX29" s="289"/>
      <c r="HZY29" s="289"/>
      <c r="HZZ29" s="289"/>
      <c r="IAA29" s="289"/>
      <c r="IAB29" s="289"/>
      <c r="IAC29" s="289"/>
      <c r="IAD29" s="289"/>
      <c r="IAE29" s="289"/>
      <c r="IAF29" s="289"/>
      <c r="IAG29" s="289"/>
      <c r="IAH29" s="289"/>
      <c r="IAI29" s="289"/>
      <c r="IAJ29" s="289"/>
      <c r="IAK29" s="289"/>
      <c r="IAL29" s="289"/>
      <c r="IAM29" s="289"/>
      <c r="IAN29" s="289"/>
      <c r="IAO29" s="289"/>
      <c r="IAP29" s="289"/>
      <c r="IAQ29" s="289"/>
      <c r="IAR29" s="289"/>
      <c r="IAS29" s="289"/>
      <c r="IAT29" s="289"/>
      <c r="IAU29" s="289"/>
      <c r="IAV29" s="289"/>
      <c r="IAW29" s="289"/>
      <c r="IAX29" s="289"/>
      <c r="IAY29" s="289"/>
      <c r="IAZ29" s="289"/>
      <c r="IBA29" s="289"/>
      <c r="IBB29" s="289"/>
      <c r="IBC29" s="289"/>
      <c r="IBD29" s="289"/>
      <c r="IBE29" s="289"/>
      <c r="IBF29" s="289"/>
      <c r="IBG29" s="289"/>
      <c r="IBH29" s="289"/>
      <c r="IBI29" s="289"/>
      <c r="IBJ29" s="289"/>
      <c r="IBK29" s="289"/>
      <c r="IBL29" s="289"/>
      <c r="IBM29" s="289"/>
      <c r="IBN29" s="289"/>
      <c r="IBO29" s="289"/>
      <c r="IBP29" s="289"/>
      <c r="IBQ29" s="289"/>
      <c r="IBR29" s="289"/>
      <c r="IBS29" s="289"/>
      <c r="IBT29" s="289"/>
      <c r="IBU29" s="289"/>
      <c r="IBV29" s="289"/>
      <c r="IBW29" s="289"/>
      <c r="IBX29" s="289"/>
      <c r="IBY29" s="289"/>
      <c r="IBZ29" s="289"/>
      <c r="ICA29" s="289"/>
      <c r="ICB29" s="289"/>
      <c r="ICC29" s="289"/>
      <c r="ICD29" s="289"/>
      <c r="ICE29" s="289"/>
      <c r="ICF29" s="289"/>
      <c r="ICG29" s="289"/>
      <c r="ICH29" s="289"/>
      <c r="ICI29" s="289"/>
      <c r="ICJ29" s="289"/>
      <c r="ICK29" s="289"/>
      <c r="ICL29" s="289"/>
      <c r="ICM29" s="289"/>
      <c r="ICN29" s="289"/>
      <c r="ICO29" s="289"/>
      <c r="ICP29" s="289"/>
      <c r="ICQ29" s="289"/>
      <c r="ICR29" s="289"/>
      <c r="ICS29" s="289"/>
      <c r="ICT29" s="289"/>
      <c r="ICU29" s="289"/>
      <c r="ICV29" s="289"/>
      <c r="ICW29" s="289"/>
      <c r="ICX29" s="289"/>
      <c r="ICY29" s="289"/>
      <c r="ICZ29" s="289"/>
      <c r="IDA29" s="289"/>
      <c r="IDB29" s="289"/>
      <c r="IDC29" s="289"/>
      <c r="IDD29" s="289"/>
      <c r="IDE29" s="289"/>
      <c r="IDF29" s="289"/>
      <c r="IDG29" s="289"/>
      <c r="IDH29" s="289"/>
      <c r="IDI29" s="289"/>
      <c r="IDJ29" s="289"/>
      <c r="IDK29" s="289"/>
      <c r="IDL29" s="289"/>
      <c r="IDM29" s="289"/>
      <c r="IDN29" s="289"/>
      <c r="IDO29" s="289"/>
      <c r="IDP29" s="289"/>
      <c r="IDQ29" s="289"/>
      <c r="IDR29" s="289"/>
      <c r="IDS29" s="289"/>
      <c r="IDT29" s="289"/>
      <c r="IDU29" s="289"/>
      <c r="IDV29" s="289"/>
      <c r="IDW29" s="289"/>
      <c r="IDX29" s="289"/>
      <c r="IDY29" s="289"/>
      <c r="IDZ29" s="289"/>
      <c r="IEA29" s="289"/>
      <c r="IEB29" s="289"/>
      <c r="IEC29" s="289"/>
      <c r="IED29" s="289"/>
      <c r="IEE29" s="289"/>
      <c r="IEF29" s="289"/>
      <c r="IEG29" s="289"/>
      <c r="IEH29" s="289"/>
      <c r="IEI29" s="289"/>
      <c r="IEJ29" s="289"/>
      <c r="IEK29" s="289"/>
      <c r="IEL29" s="289"/>
      <c r="IEM29" s="289"/>
      <c r="IEN29" s="289"/>
      <c r="IEO29" s="289"/>
      <c r="IEP29" s="289"/>
      <c r="IEQ29" s="289"/>
      <c r="IER29" s="289"/>
      <c r="IES29" s="289"/>
      <c r="IET29" s="289"/>
      <c r="IEU29" s="289"/>
      <c r="IEV29" s="289"/>
      <c r="IEW29" s="289"/>
      <c r="IEX29" s="289"/>
      <c r="IEY29" s="289"/>
      <c r="IEZ29" s="289"/>
      <c r="IFA29" s="289"/>
      <c r="IFB29" s="289"/>
      <c r="IFC29" s="289"/>
      <c r="IFD29" s="289"/>
      <c r="IFE29" s="289"/>
      <c r="IFF29" s="289"/>
      <c r="IFG29" s="289"/>
      <c r="IFH29" s="289"/>
      <c r="IFI29" s="289"/>
      <c r="IFJ29" s="289"/>
      <c r="IFK29" s="289"/>
      <c r="IFL29" s="289"/>
      <c r="IFM29" s="289"/>
      <c r="IFN29" s="289"/>
      <c r="IFO29" s="289"/>
      <c r="IFP29" s="289"/>
      <c r="IFQ29" s="289"/>
      <c r="IFR29" s="289"/>
      <c r="IFS29" s="289"/>
      <c r="IFT29" s="289"/>
      <c r="IFU29" s="289"/>
      <c r="IFV29" s="289"/>
      <c r="IFW29" s="289"/>
      <c r="IFX29" s="289"/>
      <c r="IFY29" s="289"/>
      <c r="IFZ29" s="289"/>
      <c r="IGA29" s="289"/>
      <c r="IGB29" s="289"/>
      <c r="IGC29" s="289"/>
      <c r="IGD29" s="289"/>
      <c r="IGE29" s="289"/>
      <c r="IGF29" s="289"/>
      <c r="IGG29" s="289"/>
      <c r="IGH29" s="289"/>
      <c r="IGI29" s="289"/>
      <c r="IGJ29" s="289"/>
      <c r="IGK29" s="289"/>
      <c r="IGL29" s="289"/>
      <c r="IGM29" s="289"/>
      <c r="IGN29" s="289"/>
      <c r="IGO29" s="289"/>
      <c r="IGP29" s="289"/>
      <c r="IGQ29" s="289"/>
      <c r="IGR29" s="289"/>
      <c r="IGS29" s="289"/>
      <c r="IGT29" s="289"/>
      <c r="IGU29" s="289"/>
      <c r="IGV29" s="289"/>
      <c r="IGW29" s="289"/>
      <c r="IGX29" s="289"/>
      <c r="IGY29" s="289"/>
      <c r="IGZ29" s="289"/>
      <c r="IHA29" s="289"/>
      <c r="IHB29" s="289"/>
      <c r="IHC29" s="289"/>
      <c r="IHD29" s="289"/>
      <c r="IHE29" s="289"/>
      <c r="IHF29" s="289"/>
      <c r="IHG29" s="289"/>
      <c r="IHH29" s="289"/>
      <c r="IHI29" s="289"/>
      <c r="IHJ29" s="289"/>
      <c r="IHK29" s="289"/>
      <c r="IHL29" s="289"/>
      <c r="IHM29" s="289"/>
      <c r="IHN29" s="289"/>
      <c r="IHO29" s="289"/>
      <c r="IHP29" s="289"/>
      <c r="IHQ29" s="289"/>
      <c r="IHR29" s="289"/>
      <c r="IHS29" s="289"/>
      <c r="IHT29" s="289"/>
      <c r="IHU29" s="289"/>
      <c r="IHV29" s="289"/>
      <c r="IHW29" s="289"/>
      <c r="IHX29" s="289"/>
      <c r="IHY29" s="289"/>
      <c r="IHZ29" s="289"/>
      <c r="IIA29" s="289"/>
      <c r="IIB29" s="289"/>
      <c r="IIC29" s="289"/>
      <c r="IID29" s="289"/>
      <c r="IIE29" s="289"/>
      <c r="IIF29" s="289"/>
      <c r="IIG29" s="289"/>
      <c r="IIH29" s="289"/>
      <c r="III29" s="289"/>
      <c r="IIJ29" s="289"/>
      <c r="IIK29" s="289"/>
      <c r="IIL29" s="289"/>
      <c r="IIM29" s="289"/>
      <c r="IIN29" s="289"/>
      <c r="IIO29" s="289"/>
      <c r="IIP29" s="289"/>
      <c r="IIQ29" s="289"/>
      <c r="IIR29" s="289"/>
      <c r="IIS29" s="289"/>
      <c r="IIT29" s="289"/>
      <c r="IIU29" s="289"/>
      <c r="IIV29" s="289"/>
      <c r="IIW29" s="289"/>
      <c r="IIX29" s="289"/>
      <c r="IIY29" s="289"/>
      <c r="IIZ29" s="289"/>
      <c r="IJA29" s="289"/>
      <c r="IJB29" s="289"/>
      <c r="IJC29" s="289"/>
      <c r="IJD29" s="289"/>
      <c r="IJE29" s="289"/>
      <c r="IJF29" s="289"/>
      <c r="IJG29" s="289"/>
      <c r="IJH29" s="289"/>
      <c r="IJI29" s="289"/>
      <c r="IJJ29" s="289"/>
      <c r="IJK29" s="289"/>
      <c r="IJL29" s="289"/>
      <c r="IJM29" s="289"/>
      <c r="IJN29" s="289"/>
      <c r="IJO29" s="289"/>
      <c r="IJP29" s="289"/>
      <c r="IJQ29" s="289"/>
      <c r="IJR29" s="289"/>
      <c r="IJS29" s="289"/>
      <c r="IJT29" s="289"/>
      <c r="IJU29" s="289"/>
      <c r="IJV29" s="289"/>
      <c r="IJW29" s="289"/>
      <c r="IJX29" s="289"/>
      <c r="IJY29" s="289"/>
      <c r="IJZ29" s="289"/>
      <c r="IKA29" s="289"/>
      <c r="IKB29" s="289"/>
      <c r="IKC29" s="289"/>
      <c r="IKD29" s="289"/>
      <c r="IKE29" s="289"/>
      <c r="IKF29" s="289"/>
      <c r="IKG29" s="289"/>
      <c r="IKH29" s="289"/>
      <c r="IKI29" s="289"/>
      <c r="IKJ29" s="289"/>
      <c r="IKK29" s="289"/>
      <c r="IKL29" s="289"/>
      <c r="IKM29" s="289"/>
      <c r="IKN29" s="289"/>
      <c r="IKO29" s="289"/>
      <c r="IKP29" s="289"/>
      <c r="IKQ29" s="289"/>
      <c r="IKR29" s="289"/>
      <c r="IKS29" s="289"/>
      <c r="IKT29" s="289"/>
      <c r="IKU29" s="289"/>
      <c r="IKV29" s="289"/>
      <c r="IKW29" s="289"/>
      <c r="IKX29" s="289"/>
      <c r="IKY29" s="289"/>
      <c r="IKZ29" s="289"/>
      <c r="ILA29" s="289"/>
      <c r="ILB29" s="289"/>
      <c r="ILC29" s="289"/>
      <c r="ILD29" s="289"/>
      <c r="ILE29" s="289"/>
      <c r="ILF29" s="289"/>
      <c r="ILG29" s="289"/>
      <c r="ILH29" s="289"/>
      <c r="ILI29" s="289"/>
      <c r="ILJ29" s="289"/>
      <c r="ILK29" s="289"/>
      <c r="ILL29" s="289"/>
      <c r="ILM29" s="289"/>
      <c r="ILN29" s="289"/>
      <c r="ILO29" s="289"/>
      <c r="ILP29" s="289"/>
      <c r="ILQ29" s="289"/>
      <c r="ILR29" s="289"/>
      <c r="ILS29" s="289"/>
      <c r="ILT29" s="289"/>
      <c r="ILU29" s="289"/>
      <c r="ILV29" s="289"/>
      <c r="ILW29" s="289"/>
      <c r="ILX29" s="289"/>
      <c r="ILY29" s="289"/>
      <c r="ILZ29" s="289"/>
      <c r="IMA29" s="289"/>
      <c r="IMB29" s="289"/>
      <c r="IMC29" s="289"/>
      <c r="IMD29" s="289"/>
      <c r="IME29" s="289"/>
      <c r="IMF29" s="289"/>
      <c r="IMG29" s="289"/>
      <c r="IMH29" s="289"/>
      <c r="IMI29" s="289"/>
      <c r="IMJ29" s="289"/>
      <c r="IMK29" s="289"/>
      <c r="IML29" s="289"/>
      <c r="IMM29" s="289"/>
      <c r="IMN29" s="289"/>
      <c r="IMO29" s="289"/>
      <c r="IMP29" s="289"/>
      <c r="IMQ29" s="289"/>
      <c r="IMR29" s="289"/>
      <c r="IMS29" s="289"/>
      <c r="IMT29" s="289"/>
      <c r="IMU29" s="289"/>
      <c r="IMV29" s="289"/>
      <c r="IMW29" s="289"/>
      <c r="IMX29" s="289"/>
      <c r="IMY29" s="289"/>
      <c r="IMZ29" s="289"/>
      <c r="INA29" s="289"/>
      <c r="INB29" s="289"/>
      <c r="INC29" s="289"/>
      <c r="IND29" s="289"/>
      <c r="INE29" s="289"/>
      <c r="INF29" s="289"/>
      <c r="ING29" s="289"/>
      <c r="INH29" s="289"/>
      <c r="INI29" s="289"/>
      <c r="INJ29" s="289"/>
      <c r="INK29" s="289"/>
      <c r="INL29" s="289"/>
      <c r="INM29" s="289"/>
      <c r="INN29" s="289"/>
      <c r="INO29" s="289"/>
      <c r="INP29" s="289"/>
      <c r="INQ29" s="289"/>
      <c r="INR29" s="289"/>
      <c r="INS29" s="289"/>
      <c r="INT29" s="289"/>
      <c r="INU29" s="289"/>
      <c r="INV29" s="289"/>
      <c r="INW29" s="289"/>
      <c r="INX29" s="289"/>
      <c r="INY29" s="289"/>
      <c r="INZ29" s="289"/>
      <c r="IOA29" s="289"/>
      <c r="IOB29" s="289"/>
      <c r="IOC29" s="289"/>
      <c r="IOD29" s="289"/>
      <c r="IOE29" s="289"/>
      <c r="IOF29" s="289"/>
      <c r="IOG29" s="289"/>
      <c r="IOH29" s="289"/>
      <c r="IOI29" s="289"/>
      <c r="IOJ29" s="289"/>
      <c r="IOK29" s="289"/>
      <c r="IOL29" s="289"/>
      <c r="IOM29" s="289"/>
      <c r="ION29" s="289"/>
      <c r="IOO29" s="289"/>
      <c r="IOP29" s="289"/>
      <c r="IOQ29" s="289"/>
      <c r="IOR29" s="289"/>
      <c r="IOS29" s="289"/>
      <c r="IOT29" s="289"/>
      <c r="IOU29" s="289"/>
      <c r="IOV29" s="289"/>
      <c r="IOW29" s="289"/>
      <c r="IOX29" s="289"/>
      <c r="IOY29" s="289"/>
      <c r="IOZ29" s="289"/>
      <c r="IPA29" s="289"/>
      <c r="IPB29" s="289"/>
      <c r="IPC29" s="289"/>
      <c r="IPD29" s="289"/>
      <c r="IPE29" s="289"/>
      <c r="IPF29" s="289"/>
      <c r="IPG29" s="289"/>
      <c r="IPH29" s="289"/>
      <c r="IPI29" s="289"/>
      <c r="IPJ29" s="289"/>
      <c r="IPK29" s="289"/>
      <c r="IPL29" s="289"/>
      <c r="IPM29" s="289"/>
      <c r="IPN29" s="289"/>
      <c r="IPO29" s="289"/>
      <c r="IPP29" s="289"/>
      <c r="IPQ29" s="289"/>
      <c r="IPR29" s="289"/>
      <c r="IPS29" s="289"/>
      <c r="IPT29" s="289"/>
      <c r="IPU29" s="289"/>
      <c r="IPV29" s="289"/>
      <c r="IPW29" s="289"/>
      <c r="IPX29" s="289"/>
      <c r="IPY29" s="289"/>
      <c r="IPZ29" s="289"/>
      <c r="IQA29" s="289"/>
      <c r="IQB29" s="289"/>
      <c r="IQC29" s="289"/>
      <c r="IQD29" s="289"/>
      <c r="IQE29" s="289"/>
      <c r="IQF29" s="289"/>
      <c r="IQG29" s="289"/>
      <c r="IQH29" s="289"/>
      <c r="IQI29" s="289"/>
      <c r="IQJ29" s="289"/>
      <c r="IQK29" s="289"/>
      <c r="IQL29" s="289"/>
      <c r="IQM29" s="289"/>
      <c r="IQN29" s="289"/>
      <c r="IQO29" s="289"/>
      <c r="IQP29" s="289"/>
      <c r="IQQ29" s="289"/>
      <c r="IQR29" s="289"/>
      <c r="IQS29" s="289"/>
      <c r="IQT29" s="289"/>
      <c r="IQU29" s="289"/>
      <c r="IQV29" s="289"/>
      <c r="IQW29" s="289"/>
      <c r="IQX29" s="289"/>
      <c r="IQY29" s="289"/>
      <c r="IQZ29" s="289"/>
      <c r="IRA29" s="289"/>
      <c r="IRB29" s="289"/>
      <c r="IRC29" s="289"/>
      <c r="IRD29" s="289"/>
      <c r="IRE29" s="289"/>
      <c r="IRF29" s="289"/>
      <c r="IRG29" s="289"/>
      <c r="IRH29" s="289"/>
      <c r="IRI29" s="289"/>
      <c r="IRJ29" s="289"/>
      <c r="IRK29" s="289"/>
      <c r="IRL29" s="289"/>
      <c r="IRM29" s="289"/>
      <c r="IRN29" s="289"/>
      <c r="IRO29" s="289"/>
      <c r="IRP29" s="289"/>
      <c r="IRQ29" s="289"/>
      <c r="IRR29" s="289"/>
      <c r="IRS29" s="289"/>
      <c r="IRT29" s="289"/>
      <c r="IRU29" s="289"/>
      <c r="IRV29" s="289"/>
      <c r="IRW29" s="289"/>
      <c r="IRX29" s="289"/>
      <c r="IRY29" s="289"/>
      <c r="IRZ29" s="289"/>
      <c r="ISA29" s="289"/>
      <c r="ISB29" s="289"/>
      <c r="ISC29" s="289"/>
      <c r="ISD29" s="289"/>
      <c r="ISE29" s="289"/>
      <c r="ISF29" s="289"/>
      <c r="ISG29" s="289"/>
      <c r="ISH29" s="289"/>
      <c r="ISI29" s="289"/>
      <c r="ISJ29" s="289"/>
      <c r="ISK29" s="289"/>
      <c r="ISL29" s="289"/>
      <c r="ISM29" s="289"/>
      <c r="ISN29" s="289"/>
      <c r="ISO29" s="289"/>
      <c r="ISP29" s="289"/>
      <c r="ISQ29" s="289"/>
      <c r="ISR29" s="289"/>
      <c r="ISS29" s="289"/>
      <c r="IST29" s="289"/>
      <c r="ISU29" s="289"/>
      <c r="ISV29" s="289"/>
      <c r="ISW29" s="289"/>
      <c r="ISX29" s="289"/>
      <c r="ISY29" s="289"/>
      <c r="ISZ29" s="289"/>
      <c r="ITA29" s="289"/>
      <c r="ITB29" s="289"/>
      <c r="ITC29" s="289"/>
      <c r="ITD29" s="289"/>
      <c r="ITE29" s="289"/>
      <c r="ITF29" s="289"/>
      <c r="ITG29" s="289"/>
      <c r="ITH29" s="289"/>
      <c r="ITI29" s="289"/>
      <c r="ITJ29" s="289"/>
      <c r="ITK29" s="289"/>
      <c r="ITL29" s="289"/>
      <c r="ITM29" s="289"/>
      <c r="ITN29" s="289"/>
      <c r="ITO29" s="289"/>
      <c r="ITP29" s="289"/>
      <c r="ITQ29" s="289"/>
      <c r="ITR29" s="289"/>
      <c r="ITS29" s="289"/>
      <c r="ITT29" s="289"/>
      <c r="ITU29" s="289"/>
      <c r="ITV29" s="289"/>
      <c r="ITW29" s="289"/>
      <c r="ITX29" s="289"/>
      <c r="ITY29" s="289"/>
      <c r="ITZ29" s="289"/>
      <c r="IUA29" s="289"/>
      <c r="IUB29" s="289"/>
      <c r="IUC29" s="289"/>
      <c r="IUD29" s="289"/>
      <c r="IUE29" s="289"/>
      <c r="IUF29" s="289"/>
      <c r="IUG29" s="289"/>
      <c r="IUH29" s="289"/>
      <c r="IUI29" s="289"/>
      <c r="IUJ29" s="289"/>
      <c r="IUK29" s="289"/>
      <c r="IUL29" s="289"/>
      <c r="IUM29" s="289"/>
      <c r="IUN29" s="289"/>
      <c r="IUO29" s="289"/>
      <c r="IUP29" s="289"/>
      <c r="IUQ29" s="289"/>
      <c r="IUR29" s="289"/>
      <c r="IUS29" s="289"/>
      <c r="IUT29" s="289"/>
      <c r="IUU29" s="289"/>
      <c r="IUV29" s="289"/>
      <c r="IUW29" s="289"/>
      <c r="IUX29" s="289"/>
      <c r="IUY29" s="289"/>
      <c r="IUZ29" s="289"/>
      <c r="IVA29" s="289"/>
      <c r="IVB29" s="289"/>
      <c r="IVC29" s="289"/>
      <c r="IVD29" s="289"/>
      <c r="IVE29" s="289"/>
      <c r="IVF29" s="289"/>
      <c r="IVG29" s="289"/>
      <c r="IVH29" s="289"/>
      <c r="IVI29" s="289"/>
      <c r="IVJ29" s="289"/>
      <c r="IVK29" s="289"/>
      <c r="IVL29" s="289"/>
      <c r="IVM29" s="289"/>
      <c r="IVN29" s="289"/>
      <c r="IVO29" s="289"/>
      <c r="IVP29" s="289"/>
      <c r="IVQ29" s="289"/>
      <c r="IVR29" s="289"/>
      <c r="IVS29" s="289"/>
      <c r="IVT29" s="289"/>
      <c r="IVU29" s="289"/>
      <c r="IVV29" s="289"/>
      <c r="IVW29" s="289"/>
      <c r="IVX29" s="289"/>
      <c r="IVY29" s="289"/>
      <c r="IVZ29" s="289"/>
      <c r="IWA29" s="289"/>
      <c r="IWB29" s="289"/>
      <c r="IWC29" s="289"/>
      <c r="IWD29" s="289"/>
      <c r="IWE29" s="289"/>
      <c r="IWF29" s="289"/>
      <c r="IWG29" s="289"/>
      <c r="IWH29" s="289"/>
      <c r="IWI29" s="289"/>
      <c r="IWJ29" s="289"/>
      <c r="IWK29" s="289"/>
      <c r="IWL29" s="289"/>
      <c r="IWM29" s="289"/>
      <c r="IWN29" s="289"/>
      <c r="IWO29" s="289"/>
      <c r="IWP29" s="289"/>
      <c r="IWQ29" s="289"/>
      <c r="IWR29" s="289"/>
      <c r="IWS29" s="289"/>
      <c r="IWT29" s="289"/>
      <c r="IWU29" s="289"/>
      <c r="IWV29" s="289"/>
      <c r="IWW29" s="289"/>
      <c r="IWX29" s="289"/>
      <c r="IWY29" s="289"/>
      <c r="IWZ29" s="289"/>
      <c r="IXA29" s="289"/>
      <c r="IXB29" s="289"/>
      <c r="IXC29" s="289"/>
      <c r="IXD29" s="289"/>
      <c r="IXE29" s="289"/>
      <c r="IXF29" s="289"/>
      <c r="IXG29" s="289"/>
      <c r="IXH29" s="289"/>
      <c r="IXI29" s="289"/>
      <c r="IXJ29" s="289"/>
      <c r="IXK29" s="289"/>
      <c r="IXL29" s="289"/>
      <c r="IXM29" s="289"/>
      <c r="IXN29" s="289"/>
      <c r="IXO29" s="289"/>
      <c r="IXP29" s="289"/>
      <c r="IXQ29" s="289"/>
      <c r="IXR29" s="289"/>
      <c r="IXS29" s="289"/>
      <c r="IXT29" s="289"/>
      <c r="IXU29" s="289"/>
      <c r="IXV29" s="289"/>
      <c r="IXW29" s="289"/>
      <c r="IXX29" s="289"/>
      <c r="IXY29" s="289"/>
      <c r="IXZ29" s="289"/>
      <c r="IYA29" s="289"/>
      <c r="IYB29" s="289"/>
      <c r="IYC29" s="289"/>
      <c r="IYD29" s="289"/>
      <c r="IYE29" s="289"/>
      <c r="IYF29" s="289"/>
      <c r="IYG29" s="289"/>
      <c r="IYH29" s="289"/>
      <c r="IYI29" s="289"/>
      <c r="IYJ29" s="289"/>
      <c r="IYK29" s="289"/>
      <c r="IYL29" s="289"/>
      <c r="IYM29" s="289"/>
      <c r="IYN29" s="289"/>
      <c r="IYO29" s="289"/>
      <c r="IYP29" s="289"/>
      <c r="IYQ29" s="289"/>
      <c r="IYR29" s="289"/>
      <c r="IYS29" s="289"/>
      <c r="IYT29" s="289"/>
      <c r="IYU29" s="289"/>
      <c r="IYV29" s="289"/>
      <c r="IYW29" s="289"/>
      <c r="IYX29" s="289"/>
      <c r="IYY29" s="289"/>
      <c r="IYZ29" s="289"/>
      <c r="IZA29" s="289"/>
      <c r="IZB29" s="289"/>
      <c r="IZC29" s="289"/>
      <c r="IZD29" s="289"/>
      <c r="IZE29" s="289"/>
      <c r="IZF29" s="289"/>
      <c r="IZG29" s="289"/>
      <c r="IZH29" s="289"/>
      <c r="IZI29" s="289"/>
      <c r="IZJ29" s="289"/>
      <c r="IZK29" s="289"/>
      <c r="IZL29" s="289"/>
      <c r="IZM29" s="289"/>
      <c r="IZN29" s="289"/>
      <c r="IZO29" s="289"/>
      <c r="IZP29" s="289"/>
      <c r="IZQ29" s="289"/>
      <c r="IZR29" s="289"/>
      <c r="IZS29" s="289"/>
      <c r="IZT29" s="289"/>
      <c r="IZU29" s="289"/>
      <c r="IZV29" s="289"/>
      <c r="IZW29" s="289"/>
      <c r="IZX29" s="289"/>
      <c r="IZY29" s="289"/>
      <c r="IZZ29" s="289"/>
      <c r="JAA29" s="289"/>
      <c r="JAB29" s="289"/>
      <c r="JAC29" s="289"/>
      <c r="JAD29" s="289"/>
      <c r="JAE29" s="289"/>
      <c r="JAF29" s="289"/>
      <c r="JAG29" s="289"/>
      <c r="JAH29" s="289"/>
      <c r="JAI29" s="289"/>
      <c r="JAJ29" s="289"/>
      <c r="JAK29" s="289"/>
      <c r="JAL29" s="289"/>
      <c r="JAM29" s="289"/>
      <c r="JAN29" s="289"/>
      <c r="JAO29" s="289"/>
      <c r="JAP29" s="289"/>
      <c r="JAQ29" s="289"/>
      <c r="JAR29" s="289"/>
      <c r="JAS29" s="289"/>
      <c r="JAT29" s="289"/>
      <c r="JAU29" s="289"/>
      <c r="JAV29" s="289"/>
      <c r="JAW29" s="289"/>
      <c r="JAX29" s="289"/>
      <c r="JAY29" s="289"/>
      <c r="JAZ29" s="289"/>
      <c r="JBA29" s="289"/>
      <c r="JBB29" s="289"/>
      <c r="JBC29" s="289"/>
      <c r="JBD29" s="289"/>
      <c r="JBE29" s="289"/>
      <c r="JBF29" s="289"/>
      <c r="JBG29" s="289"/>
      <c r="JBH29" s="289"/>
      <c r="JBI29" s="289"/>
      <c r="JBJ29" s="289"/>
      <c r="JBK29" s="289"/>
      <c r="JBL29" s="289"/>
      <c r="JBM29" s="289"/>
      <c r="JBN29" s="289"/>
      <c r="JBO29" s="289"/>
      <c r="JBP29" s="289"/>
      <c r="JBQ29" s="289"/>
      <c r="JBR29" s="289"/>
      <c r="JBS29" s="289"/>
      <c r="JBT29" s="289"/>
      <c r="JBU29" s="289"/>
      <c r="JBV29" s="289"/>
      <c r="JBW29" s="289"/>
      <c r="JBX29" s="289"/>
      <c r="JBY29" s="289"/>
      <c r="JBZ29" s="289"/>
      <c r="JCA29" s="289"/>
      <c r="JCB29" s="289"/>
      <c r="JCC29" s="289"/>
      <c r="JCD29" s="289"/>
      <c r="JCE29" s="289"/>
      <c r="JCF29" s="289"/>
      <c r="JCG29" s="289"/>
      <c r="JCH29" s="289"/>
      <c r="JCI29" s="289"/>
      <c r="JCJ29" s="289"/>
      <c r="JCK29" s="289"/>
      <c r="JCL29" s="289"/>
      <c r="JCM29" s="289"/>
      <c r="JCN29" s="289"/>
      <c r="JCO29" s="289"/>
      <c r="JCP29" s="289"/>
      <c r="JCQ29" s="289"/>
      <c r="JCR29" s="289"/>
      <c r="JCS29" s="289"/>
      <c r="JCT29" s="289"/>
      <c r="JCU29" s="289"/>
      <c r="JCV29" s="289"/>
      <c r="JCW29" s="289"/>
      <c r="JCX29" s="289"/>
      <c r="JCY29" s="289"/>
      <c r="JCZ29" s="289"/>
      <c r="JDA29" s="289"/>
      <c r="JDB29" s="289"/>
      <c r="JDC29" s="289"/>
      <c r="JDD29" s="289"/>
      <c r="JDE29" s="289"/>
      <c r="JDF29" s="289"/>
      <c r="JDG29" s="289"/>
      <c r="JDH29" s="289"/>
      <c r="JDI29" s="289"/>
      <c r="JDJ29" s="289"/>
      <c r="JDK29" s="289"/>
      <c r="JDL29" s="289"/>
      <c r="JDM29" s="289"/>
      <c r="JDN29" s="289"/>
      <c r="JDO29" s="289"/>
      <c r="JDP29" s="289"/>
      <c r="JDQ29" s="289"/>
      <c r="JDR29" s="289"/>
      <c r="JDS29" s="289"/>
      <c r="JDT29" s="289"/>
      <c r="JDU29" s="289"/>
      <c r="JDV29" s="289"/>
      <c r="JDW29" s="289"/>
      <c r="JDX29" s="289"/>
      <c r="JDY29" s="289"/>
      <c r="JDZ29" s="289"/>
      <c r="JEA29" s="289"/>
      <c r="JEB29" s="289"/>
      <c r="JEC29" s="289"/>
      <c r="JED29" s="289"/>
      <c r="JEE29" s="289"/>
      <c r="JEF29" s="289"/>
      <c r="JEG29" s="289"/>
      <c r="JEH29" s="289"/>
      <c r="JEI29" s="289"/>
      <c r="JEJ29" s="289"/>
      <c r="JEK29" s="289"/>
      <c r="JEL29" s="289"/>
      <c r="JEM29" s="289"/>
      <c r="JEN29" s="289"/>
      <c r="JEO29" s="289"/>
      <c r="JEP29" s="289"/>
      <c r="JEQ29" s="289"/>
      <c r="JER29" s="289"/>
      <c r="JES29" s="289"/>
      <c r="JET29" s="289"/>
      <c r="JEU29" s="289"/>
      <c r="JEV29" s="289"/>
      <c r="JEW29" s="289"/>
      <c r="JEX29" s="289"/>
      <c r="JEY29" s="289"/>
      <c r="JEZ29" s="289"/>
      <c r="JFA29" s="289"/>
      <c r="JFB29" s="289"/>
      <c r="JFC29" s="289"/>
      <c r="JFD29" s="289"/>
      <c r="JFE29" s="289"/>
      <c r="JFF29" s="289"/>
      <c r="JFG29" s="289"/>
      <c r="JFH29" s="289"/>
      <c r="JFI29" s="289"/>
      <c r="JFJ29" s="289"/>
      <c r="JFK29" s="289"/>
      <c r="JFL29" s="289"/>
      <c r="JFM29" s="289"/>
      <c r="JFN29" s="289"/>
      <c r="JFO29" s="289"/>
      <c r="JFP29" s="289"/>
      <c r="JFQ29" s="289"/>
      <c r="JFR29" s="289"/>
      <c r="JFS29" s="289"/>
      <c r="JFT29" s="289"/>
      <c r="JFU29" s="289"/>
      <c r="JFV29" s="289"/>
      <c r="JFW29" s="289"/>
      <c r="JFX29" s="289"/>
      <c r="JFY29" s="289"/>
      <c r="JFZ29" s="289"/>
      <c r="JGA29" s="289"/>
      <c r="JGB29" s="289"/>
      <c r="JGC29" s="289"/>
      <c r="JGD29" s="289"/>
      <c r="JGE29" s="289"/>
      <c r="JGF29" s="289"/>
      <c r="JGG29" s="289"/>
      <c r="JGH29" s="289"/>
      <c r="JGI29" s="289"/>
      <c r="JGJ29" s="289"/>
      <c r="JGK29" s="289"/>
      <c r="JGL29" s="289"/>
      <c r="JGM29" s="289"/>
      <c r="JGN29" s="289"/>
      <c r="JGO29" s="289"/>
      <c r="JGP29" s="289"/>
      <c r="JGQ29" s="289"/>
      <c r="JGR29" s="289"/>
      <c r="JGS29" s="289"/>
      <c r="JGT29" s="289"/>
      <c r="JGU29" s="289"/>
      <c r="JGV29" s="289"/>
      <c r="JGW29" s="289"/>
      <c r="JGX29" s="289"/>
      <c r="JGY29" s="289"/>
      <c r="JGZ29" s="289"/>
      <c r="JHA29" s="289"/>
      <c r="JHB29" s="289"/>
      <c r="JHC29" s="289"/>
      <c r="JHD29" s="289"/>
      <c r="JHE29" s="289"/>
      <c r="JHF29" s="289"/>
      <c r="JHG29" s="289"/>
      <c r="JHH29" s="289"/>
      <c r="JHI29" s="289"/>
      <c r="JHJ29" s="289"/>
      <c r="JHK29" s="289"/>
      <c r="JHL29" s="289"/>
      <c r="JHM29" s="289"/>
      <c r="JHN29" s="289"/>
      <c r="JHO29" s="289"/>
      <c r="JHP29" s="289"/>
      <c r="JHQ29" s="289"/>
      <c r="JHR29" s="289"/>
      <c r="JHS29" s="289"/>
      <c r="JHT29" s="289"/>
      <c r="JHU29" s="289"/>
      <c r="JHV29" s="289"/>
      <c r="JHW29" s="289"/>
      <c r="JHX29" s="289"/>
      <c r="JHY29" s="289"/>
      <c r="JHZ29" s="289"/>
      <c r="JIA29" s="289"/>
      <c r="JIB29" s="289"/>
      <c r="JIC29" s="289"/>
      <c r="JID29" s="289"/>
      <c r="JIE29" s="289"/>
      <c r="JIF29" s="289"/>
      <c r="JIG29" s="289"/>
      <c r="JIH29" s="289"/>
      <c r="JII29" s="289"/>
      <c r="JIJ29" s="289"/>
      <c r="JIK29" s="289"/>
      <c r="JIL29" s="289"/>
      <c r="JIM29" s="289"/>
      <c r="JIN29" s="289"/>
      <c r="JIO29" s="289"/>
      <c r="JIP29" s="289"/>
      <c r="JIQ29" s="289"/>
      <c r="JIR29" s="289"/>
      <c r="JIS29" s="289"/>
      <c r="JIT29" s="289"/>
      <c r="JIU29" s="289"/>
      <c r="JIV29" s="289"/>
      <c r="JIW29" s="289"/>
      <c r="JIX29" s="289"/>
      <c r="JIY29" s="289"/>
      <c r="JIZ29" s="289"/>
      <c r="JJA29" s="289"/>
      <c r="JJB29" s="289"/>
      <c r="JJC29" s="289"/>
      <c r="JJD29" s="289"/>
      <c r="JJE29" s="289"/>
      <c r="JJF29" s="289"/>
      <c r="JJG29" s="289"/>
      <c r="JJH29" s="289"/>
      <c r="JJI29" s="289"/>
      <c r="JJJ29" s="289"/>
      <c r="JJK29" s="289"/>
      <c r="JJL29" s="289"/>
      <c r="JJM29" s="289"/>
      <c r="JJN29" s="289"/>
      <c r="JJO29" s="289"/>
      <c r="JJP29" s="289"/>
      <c r="JJQ29" s="289"/>
      <c r="JJR29" s="289"/>
      <c r="JJS29" s="289"/>
      <c r="JJT29" s="289"/>
      <c r="JJU29" s="289"/>
      <c r="JJV29" s="289"/>
      <c r="JJW29" s="289"/>
      <c r="JJX29" s="289"/>
      <c r="JJY29" s="289"/>
      <c r="JJZ29" s="289"/>
      <c r="JKA29" s="289"/>
      <c r="JKB29" s="289"/>
      <c r="JKC29" s="289"/>
      <c r="JKD29" s="289"/>
      <c r="JKE29" s="289"/>
      <c r="JKF29" s="289"/>
      <c r="JKG29" s="289"/>
      <c r="JKH29" s="289"/>
      <c r="JKI29" s="289"/>
      <c r="JKJ29" s="289"/>
      <c r="JKK29" s="289"/>
      <c r="JKL29" s="289"/>
      <c r="JKM29" s="289"/>
      <c r="JKN29" s="289"/>
      <c r="JKO29" s="289"/>
      <c r="JKP29" s="289"/>
      <c r="JKQ29" s="289"/>
      <c r="JKR29" s="289"/>
      <c r="JKS29" s="289"/>
      <c r="JKT29" s="289"/>
      <c r="JKU29" s="289"/>
      <c r="JKV29" s="289"/>
      <c r="JKW29" s="289"/>
      <c r="JKX29" s="289"/>
      <c r="JKY29" s="289"/>
      <c r="JKZ29" s="289"/>
      <c r="JLA29" s="289"/>
      <c r="JLB29" s="289"/>
      <c r="JLC29" s="289"/>
      <c r="JLD29" s="289"/>
      <c r="JLE29" s="289"/>
      <c r="JLF29" s="289"/>
      <c r="JLG29" s="289"/>
      <c r="JLH29" s="289"/>
      <c r="JLI29" s="289"/>
      <c r="JLJ29" s="289"/>
      <c r="JLK29" s="289"/>
      <c r="JLL29" s="289"/>
      <c r="JLM29" s="289"/>
      <c r="JLN29" s="289"/>
      <c r="JLO29" s="289"/>
      <c r="JLP29" s="289"/>
      <c r="JLQ29" s="289"/>
      <c r="JLR29" s="289"/>
      <c r="JLS29" s="289"/>
      <c r="JLT29" s="289"/>
      <c r="JLU29" s="289"/>
      <c r="JLV29" s="289"/>
      <c r="JLW29" s="289"/>
      <c r="JLX29" s="289"/>
      <c r="JLY29" s="289"/>
      <c r="JLZ29" s="289"/>
      <c r="JMA29" s="289"/>
      <c r="JMB29" s="289"/>
      <c r="JMC29" s="289"/>
      <c r="JMD29" s="289"/>
      <c r="JME29" s="289"/>
      <c r="JMF29" s="289"/>
      <c r="JMG29" s="289"/>
      <c r="JMH29" s="289"/>
      <c r="JMI29" s="289"/>
      <c r="JMJ29" s="289"/>
      <c r="JMK29" s="289"/>
      <c r="JML29" s="289"/>
      <c r="JMM29" s="289"/>
      <c r="JMN29" s="289"/>
      <c r="JMO29" s="289"/>
      <c r="JMP29" s="289"/>
      <c r="JMQ29" s="289"/>
      <c r="JMR29" s="289"/>
      <c r="JMS29" s="289"/>
      <c r="JMT29" s="289"/>
      <c r="JMU29" s="289"/>
      <c r="JMV29" s="289"/>
      <c r="JMW29" s="289"/>
      <c r="JMX29" s="289"/>
      <c r="JMY29" s="289"/>
      <c r="JMZ29" s="289"/>
      <c r="JNA29" s="289"/>
      <c r="JNB29" s="289"/>
      <c r="JNC29" s="289"/>
      <c r="JND29" s="289"/>
      <c r="JNE29" s="289"/>
      <c r="JNF29" s="289"/>
      <c r="JNG29" s="289"/>
      <c r="JNH29" s="289"/>
      <c r="JNI29" s="289"/>
      <c r="JNJ29" s="289"/>
      <c r="JNK29" s="289"/>
      <c r="JNL29" s="289"/>
      <c r="JNM29" s="289"/>
      <c r="JNN29" s="289"/>
      <c r="JNO29" s="289"/>
      <c r="JNP29" s="289"/>
      <c r="JNQ29" s="289"/>
      <c r="JNR29" s="289"/>
      <c r="JNS29" s="289"/>
      <c r="JNT29" s="289"/>
      <c r="JNU29" s="289"/>
      <c r="JNV29" s="289"/>
      <c r="JNW29" s="289"/>
      <c r="JNX29" s="289"/>
      <c r="JNY29" s="289"/>
      <c r="JNZ29" s="289"/>
      <c r="JOA29" s="289"/>
      <c r="JOB29" s="289"/>
      <c r="JOC29" s="289"/>
      <c r="JOD29" s="289"/>
      <c r="JOE29" s="289"/>
      <c r="JOF29" s="289"/>
      <c r="JOG29" s="289"/>
      <c r="JOH29" s="289"/>
      <c r="JOI29" s="289"/>
      <c r="JOJ29" s="289"/>
      <c r="JOK29" s="289"/>
      <c r="JOL29" s="289"/>
      <c r="JOM29" s="289"/>
      <c r="JON29" s="289"/>
      <c r="JOO29" s="289"/>
      <c r="JOP29" s="289"/>
      <c r="JOQ29" s="289"/>
      <c r="JOR29" s="289"/>
      <c r="JOS29" s="289"/>
      <c r="JOT29" s="289"/>
      <c r="JOU29" s="289"/>
      <c r="JOV29" s="289"/>
      <c r="JOW29" s="289"/>
      <c r="JOX29" s="289"/>
      <c r="JOY29" s="289"/>
      <c r="JOZ29" s="289"/>
      <c r="JPA29" s="289"/>
      <c r="JPB29" s="289"/>
      <c r="JPC29" s="289"/>
      <c r="JPD29" s="289"/>
      <c r="JPE29" s="289"/>
      <c r="JPF29" s="289"/>
      <c r="JPG29" s="289"/>
      <c r="JPH29" s="289"/>
      <c r="JPI29" s="289"/>
      <c r="JPJ29" s="289"/>
      <c r="JPK29" s="289"/>
      <c r="JPL29" s="289"/>
      <c r="JPM29" s="289"/>
      <c r="JPN29" s="289"/>
      <c r="JPO29" s="289"/>
      <c r="JPP29" s="289"/>
      <c r="JPQ29" s="289"/>
      <c r="JPR29" s="289"/>
      <c r="JPS29" s="289"/>
      <c r="JPT29" s="289"/>
      <c r="JPU29" s="289"/>
      <c r="JPV29" s="289"/>
      <c r="JPW29" s="289"/>
      <c r="JPX29" s="289"/>
      <c r="JPY29" s="289"/>
      <c r="JPZ29" s="289"/>
      <c r="JQA29" s="289"/>
      <c r="JQB29" s="289"/>
      <c r="JQC29" s="289"/>
      <c r="JQD29" s="289"/>
      <c r="JQE29" s="289"/>
      <c r="JQF29" s="289"/>
      <c r="JQG29" s="289"/>
      <c r="JQH29" s="289"/>
      <c r="JQI29" s="289"/>
      <c r="JQJ29" s="289"/>
      <c r="JQK29" s="289"/>
      <c r="JQL29" s="289"/>
      <c r="JQM29" s="289"/>
      <c r="JQN29" s="289"/>
      <c r="JQO29" s="289"/>
      <c r="JQP29" s="289"/>
      <c r="JQQ29" s="289"/>
      <c r="JQR29" s="289"/>
      <c r="JQS29" s="289"/>
      <c r="JQT29" s="289"/>
      <c r="JQU29" s="289"/>
      <c r="JQV29" s="289"/>
      <c r="JQW29" s="289"/>
      <c r="JQX29" s="289"/>
      <c r="JQY29" s="289"/>
      <c r="JQZ29" s="289"/>
      <c r="JRA29" s="289"/>
      <c r="JRB29" s="289"/>
      <c r="JRC29" s="289"/>
      <c r="JRD29" s="289"/>
      <c r="JRE29" s="289"/>
      <c r="JRF29" s="289"/>
      <c r="JRG29" s="289"/>
      <c r="JRH29" s="289"/>
      <c r="JRI29" s="289"/>
      <c r="JRJ29" s="289"/>
      <c r="JRK29" s="289"/>
      <c r="JRL29" s="289"/>
      <c r="JRM29" s="289"/>
      <c r="JRN29" s="289"/>
      <c r="JRO29" s="289"/>
      <c r="JRP29" s="289"/>
      <c r="JRQ29" s="289"/>
      <c r="JRR29" s="289"/>
      <c r="JRS29" s="289"/>
      <c r="JRT29" s="289"/>
      <c r="JRU29" s="289"/>
      <c r="JRV29" s="289"/>
      <c r="JRW29" s="289"/>
      <c r="JRX29" s="289"/>
      <c r="JRY29" s="289"/>
      <c r="JRZ29" s="289"/>
      <c r="JSA29" s="289"/>
      <c r="JSB29" s="289"/>
      <c r="JSC29" s="289"/>
      <c r="JSD29" s="289"/>
      <c r="JSE29" s="289"/>
      <c r="JSF29" s="289"/>
      <c r="JSG29" s="289"/>
      <c r="JSH29" s="289"/>
      <c r="JSI29" s="289"/>
      <c r="JSJ29" s="289"/>
      <c r="JSK29" s="289"/>
      <c r="JSL29" s="289"/>
      <c r="JSM29" s="289"/>
      <c r="JSN29" s="289"/>
      <c r="JSO29" s="289"/>
      <c r="JSP29" s="289"/>
      <c r="JSQ29" s="289"/>
      <c r="JSR29" s="289"/>
      <c r="JSS29" s="289"/>
      <c r="JST29" s="289"/>
      <c r="JSU29" s="289"/>
      <c r="JSV29" s="289"/>
      <c r="JSW29" s="289"/>
      <c r="JSX29" s="289"/>
      <c r="JSY29" s="289"/>
      <c r="JSZ29" s="289"/>
      <c r="JTA29" s="289"/>
      <c r="JTB29" s="289"/>
      <c r="JTC29" s="289"/>
      <c r="JTD29" s="289"/>
      <c r="JTE29" s="289"/>
      <c r="JTF29" s="289"/>
      <c r="JTG29" s="289"/>
      <c r="JTH29" s="289"/>
      <c r="JTI29" s="289"/>
      <c r="JTJ29" s="289"/>
      <c r="JTK29" s="289"/>
      <c r="JTL29" s="289"/>
      <c r="JTM29" s="289"/>
      <c r="JTN29" s="289"/>
      <c r="JTO29" s="289"/>
      <c r="JTP29" s="289"/>
      <c r="JTQ29" s="289"/>
      <c r="JTR29" s="289"/>
      <c r="JTS29" s="289"/>
      <c r="JTT29" s="289"/>
      <c r="JTU29" s="289"/>
      <c r="JTV29" s="289"/>
      <c r="JTW29" s="289"/>
      <c r="JTX29" s="289"/>
      <c r="JTY29" s="289"/>
      <c r="JTZ29" s="289"/>
      <c r="JUA29" s="289"/>
      <c r="JUB29" s="289"/>
      <c r="JUC29" s="289"/>
      <c r="JUD29" s="289"/>
      <c r="JUE29" s="289"/>
      <c r="JUF29" s="289"/>
      <c r="JUG29" s="289"/>
      <c r="JUH29" s="289"/>
      <c r="JUI29" s="289"/>
      <c r="JUJ29" s="289"/>
      <c r="JUK29" s="289"/>
      <c r="JUL29" s="289"/>
      <c r="JUM29" s="289"/>
      <c r="JUN29" s="289"/>
      <c r="JUO29" s="289"/>
      <c r="JUP29" s="289"/>
      <c r="JUQ29" s="289"/>
      <c r="JUR29" s="289"/>
      <c r="JUS29" s="289"/>
      <c r="JUT29" s="289"/>
      <c r="JUU29" s="289"/>
      <c r="JUV29" s="289"/>
      <c r="JUW29" s="289"/>
      <c r="JUX29" s="289"/>
      <c r="JUY29" s="289"/>
      <c r="JUZ29" s="289"/>
      <c r="JVA29" s="289"/>
      <c r="JVB29" s="289"/>
      <c r="JVC29" s="289"/>
      <c r="JVD29" s="289"/>
      <c r="JVE29" s="289"/>
      <c r="JVF29" s="289"/>
      <c r="JVG29" s="289"/>
      <c r="JVH29" s="289"/>
      <c r="JVI29" s="289"/>
      <c r="JVJ29" s="289"/>
      <c r="JVK29" s="289"/>
      <c r="JVL29" s="289"/>
      <c r="JVM29" s="289"/>
      <c r="JVN29" s="289"/>
      <c r="JVO29" s="289"/>
      <c r="JVP29" s="289"/>
      <c r="JVQ29" s="289"/>
      <c r="JVR29" s="289"/>
      <c r="JVS29" s="289"/>
      <c r="JVT29" s="289"/>
      <c r="JVU29" s="289"/>
      <c r="JVV29" s="289"/>
      <c r="JVW29" s="289"/>
      <c r="JVX29" s="289"/>
      <c r="JVY29" s="289"/>
      <c r="JVZ29" s="289"/>
      <c r="JWA29" s="289"/>
      <c r="JWB29" s="289"/>
      <c r="JWC29" s="289"/>
      <c r="JWD29" s="289"/>
      <c r="JWE29" s="289"/>
      <c r="JWF29" s="289"/>
      <c r="JWG29" s="289"/>
      <c r="JWH29" s="289"/>
      <c r="JWI29" s="289"/>
      <c r="JWJ29" s="289"/>
      <c r="JWK29" s="289"/>
      <c r="JWL29" s="289"/>
      <c r="JWM29" s="289"/>
      <c r="JWN29" s="289"/>
      <c r="JWO29" s="289"/>
      <c r="JWP29" s="289"/>
      <c r="JWQ29" s="289"/>
      <c r="JWR29" s="289"/>
      <c r="JWS29" s="289"/>
      <c r="JWT29" s="289"/>
      <c r="JWU29" s="289"/>
      <c r="JWV29" s="289"/>
      <c r="JWW29" s="289"/>
      <c r="JWX29" s="289"/>
      <c r="JWY29" s="289"/>
      <c r="JWZ29" s="289"/>
      <c r="JXA29" s="289"/>
      <c r="JXB29" s="289"/>
      <c r="JXC29" s="289"/>
      <c r="JXD29" s="289"/>
      <c r="JXE29" s="289"/>
      <c r="JXF29" s="289"/>
      <c r="JXG29" s="289"/>
      <c r="JXH29" s="289"/>
      <c r="JXI29" s="289"/>
      <c r="JXJ29" s="289"/>
      <c r="JXK29" s="289"/>
      <c r="JXL29" s="289"/>
      <c r="JXM29" s="289"/>
      <c r="JXN29" s="289"/>
      <c r="JXO29" s="289"/>
      <c r="JXP29" s="289"/>
      <c r="JXQ29" s="289"/>
      <c r="JXR29" s="289"/>
      <c r="JXS29" s="289"/>
      <c r="JXT29" s="289"/>
      <c r="JXU29" s="289"/>
      <c r="JXV29" s="289"/>
      <c r="JXW29" s="289"/>
      <c r="JXX29" s="289"/>
      <c r="JXY29" s="289"/>
      <c r="JXZ29" s="289"/>
      <c r="JYA29" s="289"/>
      <c r="JYB29" s="289"/>
      <c r="JYC29" s="289"/>
      <c r="JYD29" s="289"/>
      <c r="JYE29" s="289"/>
      <c r="JYF29" s="289"/>
      <c r="JYG29" s="289"/>
      <c r="JYH29" s="289"/>
      <c r="JYI29" s="289"/>
      <c r="JYJ29" s="289"/>
      <c r="JYK29" s="289"/>
      <c r="JYL29" s="289"/>
      <c r="JYM29" s="289"/>
      <c r="JYN29" s="289"/>
      <c r="JYO29" s="289"/>
      <c r="JYP29" s="289"/>
      <c r="JYQ29" s="289"/>
      <c r="JYR29" s="289"/>
      <c r="JYS29" s="289"/>
      <c r="JYT29" s="289"/>
      <c r="JYU29" s="289"/>
      <c r="JYV29" s="289"/>
      <c r="JYW29" s="289"/>
      <c r="JYX29" s="289"/>
      <c r="JYY29" s="289"/>
      <c r="JYZ29" s="289"/>
      <c r="JZA29" s="289"/>
      <c r="JZB29" s="289"/>
      <c r="JZC29" s="289"/>
      <c r="JZD29" s="289"/>
      <c r="JZE29" s="289"/>
      <c r="JZF29" s="289"/>
      <c r="JZG29" s="289"/>
      <c r="JZH29" s="289"/>
      <c r="JZI29" s="289"/>
      <c r="JZJ29" s="289"/>
      <c r="JZK29" s="289"/>
      <c r="JZL29" s="289"/>
      <c r="JZM29" s="289"/>
      <c r="JZN29" s="289"/>
      <c r="JZO29" s="289"/>
      <c r="JZP29" s="289"/>
      <c r="JZQ29" s="289"/>
      <c r="JZR29" s="289"/>
      <c r="JZS29" s="289"/>
      <c r="JZT29" s="289"/>
      <c r="JZU29" s="289"/>
      <c r="JZV29" s="289"/>
      <c r="JZW29" s="289"/>
      <c r="JZX29" s="289"/>
      <c r="JZY29" s="289"/>
      <c r="JZZ29" s="289"/>
      <c r="KAA29" s="289"/>
      <c r="KAB29" s="289"/>
      <c r="KAC29" s="289"/>
      <c r="KAD29" s="289"/>
      <c r="KAE29" s="289"/>
      <c r="KAF29" s="289"/>
      <c r="KAG29" s="289"/>
      <c r="KAH29" s="289"/>
      <c r="KAI29" s="289"/>
      <c r="KAJ29" s="289"/>
      <c r="KAK29" s="289"/>
      <c r="KAL29" s="289"/>
      <c r="KAM29" s="289"/>
      <c r="KAN29" s="289"/>
      <c r="KAO29" s="289"/>
      <c r="KAP29" s="289"/>
      <c r="KAQ29" s="289"/>
      <c r="KAR29" s="289"/>
      <c r="KAS29" s="289"/>
      <c r="KAT29" s="289"/>
      <c r="KAU29" s="289"/>
      <c r="KAV29" s="289"/>
      <c r="KAW29" s="289"/>
      <c r="KAX29" s="289"/>
      <c r="KAY29" s="289"/>
      <c r="KAZ29" s="289"/>
      <c r="KBA29" s="289"/>
      <c r="KBB29" s="289"/>
      <c r="KBC29" s="289"/>
      <c r="KBD29" s="289"/>
      <c r="KBE29" s="289"/>
      <c r="KBF29" s="289"/>
      <c r="KBG29" s="289"/>
      <c r="KBH29" s="289"/>
      <c r="KBI29" s="289"/>
      <c r="KBJ29" s="289"/>
      <c r="KBK29" s="289"/>
      <c r="KBL29" s="289"/>
      <c r="KBM29" s="289"/>
      <c r="KBN29" s="289"/>
      <c r="KBO29" s="289"/>
      <c r="KBP29" s="289"/>
      <c r="KBQ29" s="289"/>
      <c r="KBR29" s="289"/>
      <c r="KBS29" s="289"/>
      <c r="KBT29" s="289"/>
      <c r="KBU29" s="289"/>
      <c r="KBV29" s="289"/>
      <c r="KBW29" s="289"/>
      <c r="KBX29" s="289"/>
      <c r="KBY29" s="289"/>
      <c r="KBZ29" s="289"/>
      <c r="KCA29" s="289"/>
      <c r="KCB29" s="289"/>
      <c r="KCC29" s="289"/>
      <c r="KCD29" s="289"/>
      <c r="KCE29" s="289"/>
      <c r="KCF29" s="289"/>
      <c r="KCG29" s="289"/>
      <c r="KCH29" s="289"/>
      <c r="KCI29" s="289"/>
      <c r="KCJ29" s="289"/>
      <c r="KCK29" s="289"/>
      <c r="KCL29" s="289"/>
      <c r="KCM29" s="289"/>
      <c r="KCN29" s="289"/>
      <c r="KCO29" s="289"/>
      <c r="KCP29" s="289"/>
      <c r="KCQ29" s="289"/>
      <c r="KCR29" s="289"/>
      <c r="KCS29" s="289"/>
      <c r="KCT29" s="289"/>
      <c r="KCU29" s="289"/>
      <c r="KCV29" s="289"/>
      <c r="KCW29" s="289"/>
      <c r="KCX29" s="289"/>
      <c r="KCY29" s="289"/>
      <c r="KCZ29" s="289"/>
      <c r="KDA29" s="289"/>
      <c r="KDB29" s="289"/>
      <c r="KDC29" s="289"/>
      <c r="KDD29" s="289"/>
      <c r="KDE29" s="289"/>
      <c r="KDF29" s="289"/>
      <c r="KDG29" s="289"/>
      <c r="KDH29" s="289"/>
      <c r="KDI29" s="289"/>
      <c r="KDJ29" s="289"/>
      <c r="KDK29" s="289"/>
      <c r="KDL29" s="289"/>
      <c r="KDM29" s="289"/>
      <c r="KDN29" s="289"/>
      <c r="KDO29" s="289"/>
      <c r="KDP29" s="289"/>
      <c r="KDQ29" s="289"/>
      <c r="KDR29" s="289"/>
      <c r="KDS29" s="289"/>
      <c r="KDT29" s="289"/>
      <c r="KDU29" s="289"/>
      <c r="KDV29" s="289"/>
      <c r="KDW29" s="289"/>
      <c r="KDX29" s="289"/>
      <c r="KDY29" s="289"/>
      <c r="KDZ29" s="289"/>
      <c r="KEA29" s="289"/>
      <c r="KEB29" s="289"/>
      <c r="KEC29" s="289"/>
      <c r="KED29" s="289"/>
      <c r="KEE29" s="289"/>
      <c r="KEF29" s="289"/>
      <c r="KEG29" s="289"/>
      <c r="KEH29" s="289"/>
      <c r="KEI29" s="289"/>
      <c r="KEJ29" s="289"/>
      <c r="KEK29" s="289"/>
      <c r="KEL29" s="289"/>
      <c r="KEM29" s="289"/>
      <c r="KEN29" s="289"/>
      <c r="KEO29" s="289"/>
      <c r="KEP29" s="289"/>
      <c r="KEQ29" s="289"/>
      <c r="KER29" s="289"/>
      <c r="KES29" s="289"/>
      <c r="KET29" s="289"/>
      <c r="KEU29" s="289"/>
      <c r="KEV29" s="289"/>
      <c r="KEW29" s="289"/>
      <c r="KEX29" s="289"/>
      <c r="KEY29" s="289"/>
      <c r="KEZ29" s="289"/>
      <c r="KFA29" s="289"/>
      <c r="KFB29" s="289"/>
      <c r="KFC29" s="289"/>
      <c r="KFD29" s="289"/>
      <c r="KFE29" s="289"/>
      <c r="KFF29" s="289"/>
      <c r="KFG29" s="289"/>
      <c r="KFH29" s="289"/>
      <c r="KFI29" s="289"/>
      <c r="KFJ29" s="289"/>
      <c r="KFK29" s="289"/>
      <c r="KFL29" s="289"/>
      <c r="KFM29" s="289"/>
      <c r="KFN29" s="289"/>
      <c r="KFO29" s="289"/>
      <c r="KFP29" s="289"/>
      <c r="KFQ29" s="289"/>
      <c r="KFR29" s="289"/>
      <c r="KFS29" s="289"/>
      <c r="KFT29" s="289"/>
      <c r="KFU29" s="289"/>
      <c r="KFV29" s="289"/>
      <c r="KFW29" s="289"/>
      <c r="KFX29" s="289"/>
      <c r="KFY29" s="289"/>
      <c r="KFZ29" s="289"/>
      <c r="KGA29" s="289"/>
      <c r="KGB29" s="289"/>
      <c r="KGC29" s="289"/>
      <c r="KGD29" s="289"/>
      <c r="KGE29" s="289"/>
      <c r="KGF29" s="289"/>
      <c r="KGG29" s="289"/>
      <c r="KGH29" s="289"/>
      <c r="KGI29" s="289"/>
      <c r="KGJ29" s="289"/>
      <c r="KGK29" s="289"/>
      <c r="KGL29" s="289"/>
      <c r="KGM29" s="289"/>
      <c r="KGN29" s="289"/>
      <c r="KGO29" s="289"/>
      <c r="KGP29" s="289"/>
      <c r="KGQ29" s="289"/>
      <c r="KGR29" s="289"/>
      <c r="KGS29" s="289"/>
      <c r="KGT29" s="289"/>
      <c r="KGU29" s="289"/>
      <c r="KGV29" s="289"/>
      <c r="KGW29" s="289"/>
      <c r="KGX29" s="289"/>
      <c r="KGY29" s="289"/>
      <c r="KGZ29" s="289"/>
      <c r="KHA29" s="289"/>
      <c r="KHB29" s="289"/>
      <c r="KHC29" s="289"/>
      <c r="KHD29" s="289"/>
      <c r="KHE29" s="289"/>
      <c r="KHF29" s="289"/>
      <c r="KHG29" s="289"/>
      <c r="KHH29" s="289"/>
      <c r="KHI29" s="289"/>
      <c r="KHJ29" s="289"/>
      <c r="KHK29" s="289"/>
      <c r="KHL29" s="289"/>
      <c r="KHM29" s="289"/>
      <c r="KHN29" s="289"/>
      <c r="KHO29" s="289"/>
      <c r="KHP29" s="289"/>
      <c r="KHQ29" s="289"/>
      <c r="KHR29" s="289"/>
      <c r="KHS29" s="289"/>
      <c r="KHT29" s="289"/>
      <c r="KHU29" s="289"/>
      <c r="KHV29" s="289"/>
      <c r="KHW29" s="289"/>
      <c r="KHX29" s="289"/>
      <c r="KHY29" s="289"/>
      <c r="KHZ29" s="289"/>
      <c r="KIA29" s="289"/>
      <c r="KIB29" s="289"/>
      <c r="KIC29" s="289"/>
      <c r="KID29" s="289"/>
      <c r="KIE29" s="289"/>
      <c r="KIF29" s="289"/>
      <c r="KIG29" s="289"/>
      <c r="KIH29" s="289"/>
      <c r="KII29" s="289"/>
      <c r="KIJ29" s="289"/>
      <c r="KIK29" s="289"/>
      <c r="KIL29" s="289"/>
      <c r="KIM29" s="289"/>
      <c r="KIN29" s="289"/>
      <c r="KIO29" s="289"/>
      <c r="KIP29" s="289"/>
      <c r="KIQ29" s="289"/>
      <c r="KIR29" s="289"/>
      <c r="KIS29" s="289"/>
      <c r="KIT29" s="289"/>
      <c r="KIU29" s="289"/>
      <c r="KIV29" s="289"/>
      <c r="KIW29" s="289"/>
      <c r="KIX29" s="289"/>
      <c r="KIY29" s="289"/>
      <c r="KIZ29" s="289"/>
      <c r="KJA29" s="289"/>
      <c r="KJB29" s="289"/>
      <c r="KJC29" s="289"/>
      <c r="KJD29" s="289"/>
      <c r="KJE29" s="289"/>
      <c r="KJF29" s="289"/>
      <c r="KJG29" s="289"/>
      <c r="KJH29" s="289"/>
      <c r="KJI29" s="289"/>
      <c r="KJJ29" s="289"/>
      <c r="KJK29" s="289"/>
      <c r="KJL29" s="289"/>
      <c r="KJM29" s="289"/>
      <c r="KJN29" s="289"/>
      <c r="KJO29" s="289"/>
      <c r="KJP29" s="289"/>
      <c r="KJQ29" s="289"/>
      <c r="KJR29" s="289"/>
      <c r="KJS29" s="289"/>
      <c r="KJT29" s="289"/>
      <c r="KJU29" s="289"/>
      <c r="KJV29" s="289"/>
      <c r="KJW29" s="289"/>
      <c r="KJX29" s="289"/>
      <c r="KJY29" s="289"/>
      <c r="KJZ29" s="289"/>
      <c r="KKA29" s="289"/>
      <c r="KKB29" s="289"/>
      <c r="KKC29" s="289"/>
      <c r="KKD29" s="289"/>
      <c r="KKE29" s="289"/>
      <c r="KKF29" s="289"/>
      <c r="KKG29" s="289"/>
      <c r="KKH29" s="289"/>
      <c r="KKI29" s="289"/>
      <c r="KKJ29" s="289"/>
      <c r="KKK29" s="289"/>
      <c r="KKL29" s="289"/>
      <c r="KKM29" s="289"/>
      <c r="KKN29" s="289"/>
      <c r="KKO29" s="289"/>
      <c r="KKP29" s="289"/>
      <c r="KKQ29" s="289"/>
      <c r="KKR29" s="289"/>
      <c r="KKS29" s="289"/>
      <c r="KKT29" s="289"/>
      <c r="KKU29" s="289"/>
      <c r="KKV29" s="289"/>
      <c r="KKW29" s="289"/>
      <c r="KKX29" s="289"/>
      <c r="KKY29" s="289"/>
      <c r="KKZ29" s="289"/>
      <c r="KLA29" s="289"/>
      <c r="KLB29" s="289"/>
      <c r="KLC29" s="289"/>
      <c r="KLD29" s="289"/>
      <c r="KLE29" s="289"/>
      <c r="KLF29" s="289"/>
      <c r="KLG29" s="289"/>
      <c r="KLH29" s="289"/>
      <c r="KLI29" s="289"/>
      <c r="KLJ29" s="289"/>
      <c r="KLK29" s="289"/>
      <c r="KLL29" s="289"/>
      <c r="KLM29" s="289"/>
      <c r="KLN29" s="289"/>
      <c r="KLO29" s="289"/>
      <c r="KLP29" s="289"/>
      <c r="KLQ29" s="289"/>
      <c r="KLR29" s="289"/>
      <c r="KLS29" s="289"/>
      <c r="KLT29" s="289"/>
      <c r="KLU29" s="289"/>
      <c r="KLV29" s="289"/>
      <c r="KLW29" s="289"/>
      <c r="KLX29" s="289"/>
      <c r="KLY29" s="289"/>
      <c r="KLZ29" s="289"/>
      <c r="KMA29" s="289"/>
      <c r="KMB29" s="289"/>
      <c r="KMC29" s="289"/>
      <c r="KMD29" s="289"/>
      <c r="KME29" s="289"/>
      <c r="KMF29" s="289"/>
      <c r="KMG29" s="289"/>
      <c r="KMH29" s="289"/>
      <c r="KMI29" s="289"/>
      <c r="KMJ29" s="289"/>
      <c r="KMK29" s="289"/>
      <c r="KML29" s="289"/>
      <c r="KMM29" s="289"/>
      <c r="KMN29" s="289"/>
      <c r="KMO29" s="289"/>
      <c r="KMP29" s="289"/>
      <c r="KMQ29" s="289"/>
      <c r="KMR29" s="289"/>
      <c r="KMS29" s="289"/>
      <c r="KMT29" s="289"/>
      <c r="KMU29" s="289"/>
      <c r="KMV29" s="289"/>
      <c r="KMW29" s="289"/>
      <c r="KMX29" s="289"/>
      <c r="KMY29" s="289"/>
      <c r="KMZ29" s="289"/>
      <c r="KNA29" s="289"/>
      <c r="KNB29" s="289"/>
      <c r="KNC29" s="289"/>
      <c r="KND29" s="289"/>
      <c r="KNE29" s="289"/>
      <c r="KNF29" s="289"/>
      <c r="KNG29" s="289"/>
      <c r="KNH29" s="289"/>
      <c r="KNI29" s="289"/>
      <c r="KNJ29" s="289"/>
      <c r="KNK29" s="289"/>
      <c r="KNL29" s="289"/>
      <c r="KNM29" s="289"/>
      <c r="KNN29" s="289"/>
      <c r="KNO29" s="289"/>
      <c r="KNP29" s="289"/>
      <c r="KNQ29" s="289"/>
      <c r="KNR29" s="289"/>
      <c r="KNS29" s="289"/>
      <c r="KNT29" s="289"/>
      <c r="KNU29" s="289"/>
      <c r="KNV29" s="289"/>
      <c r="KNW29" s="289"/>
      <c r="KNX29" s="289"/>
      <c r="KNY29" s="289"/>
      <c r="KNZ29" s="289"/>
      <c r="KOA29" s="289"/>
      <c r="KOB29" s="289"/>
      <c r="KOC29" s="289"/>
      <c r="KOD29" s="289"/>
      <c r="KOE29" s="289"/>
      <c r="KOF29" s="289"/>
      <c r="KOG29" s="289"/>
      <c r="KOH29" s="289"/>
      <c r="KOI29" s="289"/>
      <c r="KOJ29" s="289"/>
      <c r="KOK29" s="289"/>
      <c r="KOL29" s="289"/>
      <c r="KOM29" s="289"/>
      <c r="KON29" s="289"/>
      <c r="KOO29" s="289"/>
      <c r="KOP29" s="289"/>
      <c r="KOQ29" s="289"/>
      <c r="KOR29" s="289"/>
      <c r="KOS29" s="289"/>
      <c r="KOT29" s="289"/>
      <c r="KOU29" s="289"/>
      <c r="KOV29" s="289"/>
      <c r="KOW29" s="289"/>
      <c r="KOX29" s="289"/>
      <c r="KOY29" s="289"/>
      <c r="KOZ29" s="289"/>
      <c r="KPA29" s="289"/>
      <c r="KPB29" s="289"/>
      <c r="KPC29" s="289"/>
      <c r="KPD29" s="289"/>
      <c r="KPE29" s="289"/>
      <c r="KPF29" s="289"/>
      <c r="KPG29" s="289"/>
      <c r="KPH29" s="289"/>
      <c r="KPI29" s="289"/>
      <c r="KPJ29" s="289"/>
      <c r="KPK29" s="289"/>
      <c r="KPL29" s="289"/>
      <c r="KPM29" s="289"/>
      <c r="KPN29" s="289"/>
      <c r="KPO29" s="289"/>
      <c r="KPP29" s="289"/>
      <c r="KPQ29" s="289"/>
      <c r="KPR29" s="289"/>
      <c r="KPS29" s="289"/>
      <c r="KPT29" s="289"/>
      <c r="KPU29" s="289"/>
      <c r="KPV29" s="289"/>
      <c r="KPW29" s="289"/>
      <c r="KPX29" s="289"/>
      <c r="KPY29" s="289"/>
      <c r="KPZ29" s="289"/>
      <c r="KQA29" s="289"/>
      <c r="KQB29" s="289"/>
      <c r="KQC29" s="289"/>
      <c r="KQD29" s="289"/>
      <c r="KQE29" s="289"/>
      <c r="KQF29" s="289"/>
      <c r="KQG29" s="289"/>
      <c r="KQH29" s="289"/>
      <c r="KQI29" s="289"/>
      <c r="KQJ29" s="289"/>
      <c r="KQK29" s="289"/>
      <c r="KQL29" s="289"/>
      <c r="KQM29" s="289"/>
      <c r="KQN29" s="289"/>
      <c r="KQO29" s="289"/>
      <c r="KQP29" s="289"/>
      <c r="KQQ29" s="289"/>
      <c r="KQR29" s="289"/>
      <c r="KQS29" s="289"/>
      <c r="KQT29" s="289"/>
      <c r="KQU29" s="289"/>
      <c r="KQV29" s="289"/>
      <c r="KQW29" s="289"/>
      <c r="KQX29" s="289"/>
      <c r="KQY29" s="289"/>
      <c r="KQZ29" s="289"/>
      <c r="KRA29" s="289"/>
      <c r="KRB29" s="289"/>
      <c r="KRC29" s="289"/>
      <c r="KRD29" s="289"/>
      <c r="KRE29" s="289"/>
      <c r="KRF29" s="289"/>
      <c r="KRG29" s="289"/>
      <c r="KRH29" s="289"/>
      <c r="KRI29" s="289"/>
      <c r="KRJ29" s="289"/>
      <c r="KRK29" s="289"/>
      <c r="KRL29" s="289"/>
      <c r="KRM29" s="289"/>
      <c r="KRN29" s="289"/>
      <c r="KRO29" s="289"/>
      <c r="KRP29" s="289"/>
      <c r="KRQ29" s="289"/>
      <c r="KRR29" s="289"/>
      <c r="KRS29" s="289"/>
      <c r="KRT29" s="289"/>
      <c r="KRU29" s="289"/>
      <c r="KRV29" s="289"/>
      <c r="KRW29" s="289"/>
      <c r="KRX29" s="289"/>
      <c r="KRY29" s="289"/>
      <c r="KRZ29" s="289"/>
      <c r="KSA29" s="289"/>
      <c r="KSB29" s="289"/>
      <c r="KSC29" s="289"/>
      <c r="KSD29" s="289"/>
      <c r="KSE29" s="289"/>
      <c r="KSF29" s="289"/>
      <c r="KSG29" s="289"/>
      <c r="KSH29" s="289"/>
      <c r="KSI29" s="289"/>
      <c r="KSJ29" s="289"/>
      <c r="KSK29" s="289"/>
      <c r="KSL29" s="289"/>
      <c r="KSM29" s="289"/>
      <c r="KSN29" s="289"/>
      <c r="KSO29" s="289"/>
      <c r="KSP29" s="289"/>
      <c r="KSQ29" s="289"/>
      <c r="KSR29" s="289"/>
      <c r="KSS29" s="289"/>
      <c r="KST29" s="289"/>
      <c r="KSU29" s="289"/>
      <c r="KSV29" s="289"/>
      <c r="KSW29" s="289"/>
      <c r="KSX29" s="289"/>
      <c r="KSY29" s="289"/>
      <c r="KSZ29" s="289"/>
      <c r="KTA29" s="289"/>
      <c r="KTB29" s="289"/>
      <c r="KTC29" s="289"/>
      <c r="KTD29" s="289"/>
      <c r="KTE29" s="289"/>
      <c r="KTF29" s="289"/>
      <c r="KTG29" s="289"/>
      <c r="KTH29" s="289"/>
      <c r="KTI29" s="289"/>
      <c r="KTJ29" s="289"/>
      <c r="KTK29" s="289"/>
      <c r="KTL29" s="289"/>
      <c r="KTM29" s="289"/>
      <c r="KTN29" s="289"/>
      <c r="KTO29" s="289"/>
      <c r="KTP29" s="289"/>
      <c r="KTQ29" s="289"/>
      <c r="KTR29" s="289"/>
      <c r="KTS29" s="289"/>
      <c r="KTT29" s="289"/>
      <c r="KTU29" s="289"/>
      <c r="KTV29" s="289"/>
      <c r="KTW29" s="289"/>
      <c r="KTX29" s="289"/>
      <c r="KTY29" s="289"/>
      <c r="KTZ29" s="289"/>
      <c r="KUA29" s="289"/>
      <c r="KUB29" s="289"/>
      <c r="KUC29" s="289"/>
      <c r="KUD29" s="289"/>
      <c r="KUE29" s="289"/>
      <c r="KUF29" s="289"/>
      <c r="KUG29" s="289"/>
      <c r="KUH29" s="289"/>
      <c r="KUI29" s="289"/>
      <c r="KUJ29" s="289"/>
      <c r="KUK29" s="289"/>
      <c r="KUL29" s="289"/>
      <c r="KUM29" s="289"/>
      <c r="KUN29" s="289"/>
      <c r="KUO29" s="289"/>
      <c r="KUP29" s="289"/>
      <c r="KUQ29" s="289"/>
      <c r="KUR29" s="289"/>
      <c r="KUS29" s="289"/>
      <c r="KUT29" s="289"/>
      <c r="KUU29" s="289"/>
      <c r="KUV29" s="289"/>
      <c r="KUW29" s="289"/>
      <c r="KUX29" s="289"/>
      <c r="KUY29" s="289"/>
      <c r="KUZ29" s="289"/>
      <c r="KVA29" s="289"/>
      <c r="KVB29" s="289"/>
      <c r="KVC29" s="289"/>
      <c r="KVD29" s="289"/>
      <c r="KVE29" s="289"/>
      <c r="KVF29" s="289"/>
      <c r="KVG29" s="289"/>
      <c r="KVH29" s="289"/>
      <c r="KVI29" s="289"/>
      <c r="KVJ29" s="289"/>
      <c r="KVK29" s="289"/>
      <c r="KVL29" s="289"/>
      <c r="KVM29" s="289"/>
      <c r="KVN29" s="289"/>
      <c r="KVO29" s="289"/>
      <c r="KVP29" s="289"/>
      <c r="KVQ29" s="289"/>
      <c r="KVR29" s="289"/>
      <c r="KVS29" s="289"/>
      <c r="KVT29" s="289"/>
      <c r="KVU29" s="289"/>
      <c r="KVV29" s="289"/>
      <c r="KVW29" s="289"/>
      <c r="KVX29" s="289"/>
      <c r="KVY29" s="289"/>
      <c r="KVZ29" s="289"/>
      <c r="KWA29" s="289"/>
      <c r="KWB29" s="289"/>
      <c r="KWC29" s="289"/>
      <c r="KWD29" s="289"/>
      <c r="KWE29" s="289"/>
      <c r="KWF29" s="289"/>
      <c r="KWG29" s="289"/>
      <c r="KWH29" s="289"/>
      <c r="KWI29" s="289"/>
      <c r="KWJ29" s="289"/>
      <c r="KWK29" s="289"/>
      <c r="KWL29" s="289"/>
      <c r="KWM29" s="289"/>
      <c r="KWN29" s="289"/>
      <c r="KWO29" s="289"/>
      <c r="KWP29" s="289"/>
      <c r="KWQ29" s="289"/>
      <c r="KWR29" s="289"/>
      <c r="KWS29" s="289"/>
      <c r="KWT29" s="289"/>
      <c r="KWU29" s="289"/>
      <c r="KWV29" s="289"/>
      <c r="KWW29" s="289"/>
      <c r="KWX29" s="289"/>
      <c r="KWY29" s="289"/>
      <c r="KWZ29" s="289"/>
      <c r="KXA29" s="289"/>
      <c r="KXB29" s="289"/>
      <c r="KXC29" s="289"/>
      <c r="KXD29" s="289"/>
      <c r="KXE29" s="289"/>
      <c r="KXF29" s="289"/>
      <c r="KXG29" s="289"/>
      <c r="KXH29" s="289"/>
      <c r="KXI29" s="289"/>
      <c r="KXJ29" s="289"/>
      <c r="KXK29" s="289"/>
      <c r="KXL29" s="289"/>
      <c r="KXM29" s="289"/>
      <c r="KXN29" s="289"/>
      <c r="KXO29" s="289"/>
      <c r="KXP29" s="289"/>
      <c r="KXQ29" s="289"/>
      <c r="KXR29" s="289"/>
      <c r="KXS29" s="289"/>
      <c r="KXT29" s="289"/>
      <c r="KXU29" s="289"/>
      <c r="KXV29" s="289"/>
      <c r="KXW29" s="289"/>
      <c r="KXX29" s="289"/>
      <c r="KXY29" s="289"/>
      <c r="KXZ29" s="289"/>
      <c r="KYA29" s="289"/>
      <c r="KYB29" s="289"/>
      <c r="KYC29" s="289"/>
      <c r="KYD29" s="289"/>
      <c r="KYE29" s="289"/>
      <c r="KYF29" s="289"/>
      <c r="KYG29" s="289"/>
      <c r="KYH29" s="289"/>
      <c r="KYI29" s="289"/>
      <c r="KYJ29" s="289"/>
      <c r="KYK29" s="289"/>
      <c r="KYL29" s="289"/>
      <c r="KYM29" s="289"/>
      <c r="KYN29" s="289"/>
      <c r="KYO29" s="289"/>
      <c r="KYP29" s="289"/>
      <c r="KYQ29" s="289"/>
      <c r="KYR29" s="289"/>
      <c r="KYS29" s="289"/>
      <c r="KYT29" s="289"/>
      <c r="KYU29" s="289"/>
      <c r="KYV29" s="289"/>
      <c r="KYW29" s="289"/>
      <c r="KYX29" s="289"/>
      <c r="KYY29" s="289"/>
      <c r="KYZ29" s="289"/>
      <c r="KZA29" s="289"/>
      <c r="KZB29" s="289"/>
      <c r="KZC29" s="289"/>
      <c r="KZD29" s="289"/>
      <c r="KZE29" s="289"/>
      <c r="KZF29" s="289"/>
      <c r="KZG29" s="289"/>
      <c r="KZH29" s="289"/>
      <c r="KZI29" s="289"/>
      <c r="KZJ29" s="289"/>
      <c r="KZK29" s="289"/>
      <c r="KZL29" s="289"/>
      <c r="KZM29" s="289"/>
      <c r="KZN29" s="289"/>
      <c r="KZO29" s="289"/>
      <c r="KZP29" s="289"/>
      <c r="KZQ29" s="289"/>
      <c r="KZR29" s="289"/>
      <c r="KZS29" s="289"/>
      <c r="KZT29" s="289"/>
      <c r="KZU29" s="289"/>
      <c r="KZV29" s="289"/>
      <c r="KZW29" s="289"/>
      <c r="KZX29" s="289"/>
      <c r="KZY29" s="289"/>
      <c r="KZZ29" s="289"/>
      <c r="LAA29" s="289"/>
      <c r="LAB29" s="289"/>
      <c r="LAC29" s="289"/>
      <c r="LAD29" s="289"/>
      <c r="LAE29" s="289"/>
      <c r="LAF29" s="289"/>
      <c r="LAG29" s="289"/>
      <c r="LAH29" s="289"/>
      <c r="LAI29" s="289"/>
      <c r="LAJ29" s="289"/>
      <c r="LAK29" s="289"/>
      <c r="LAL29" s="289"/>
      <c r="LAM29" s="289"/>
      <c r="LAN29" s="289"/>
      <c r="LAO29" s="289"/>
      <c r="LAP29" s="289"/>
      <c r="LAQ29" s="289"/>
      <c r="LAR29" s="289"/>
      <c r="LAS29" s="289"/>
      <c r="LAT29" s="289"/>
      <c r="LAU29" s="289"/>
      <c r="LAV29" s="289"/>
      <c r="LAW29" s="289"/>
      <c r="LAX29" s="289"/>
      <c r="LAY29" s="289"/>
      <c r="LAZ29" s="289"/>
      <c r="LBA29" s="289"/>
      <c r="LBB29" s="289"/>
      <c r="LBC29" s="289"/>
      <c r="LBD29" s="289"/>
      <c r="LBE29" s="289"/>
      <c r="LBF29" s="289"/>
      <c r="LBG29" s="289"/>
      <c r="LBH29" s="289"/>
      <c r="LBI29" s="289"/>
      <c r="LBJ29" s="289"/>
      <c r="LBK29" s="289"/>
      <c r="LBL29" s="289"/>
      <c r="LBM29" s="289"/>
      <c r="LBN29" s="289"/>
      <c r="LBO29" s="289"/>
      <c r="LBP29" s="289"/>
      <c r="LBQ29" s="289"/>
      <c r="LBR29" s="289"/>
      <c r="LBS29" s="289"/>
      <c r="LBT29" s="289"/>
      <c r="LBU29" s="289"/>
      <c r="LBV29" s="289"/>
      <c r="LBW29" s="289"/>
      <c r="LBX29" s="289"/>
      <c r="LBY29" s="289"/>
      <c r="LBZ29" s="289"/>
      <c r="LCA29" s="289"/>
      <c r="LCB29" s="289"/>
      <c r="LCC29" s="289"/>
      <c r="LCD29" s="289"/>
      <c r="LCE29" s="289"/>
      <c r="LCF29" s="289"/>
      <c r="LCG29" s="289"/>
      <c r="LCH29" s="289"/>
      <c r="LCI29" s="289"/>
      <c r="LCJ29" s="289"/>
      <c r="LCK29" s="289"/>
      <c r="LCL29" s="289"/>
      <c r="LCM29" s="289"/>
      <c r="LCN29" s="289"/>
      <c r="LCO29" s="289"/>
      <c r="LCP29" s="289"/>
      <c r="LCQ29" s="289"/>
      <c r="LCR29" s="289"/>
      <c r="LCS29" s="289"/>
      <c r="LCT29" s="289"/>
      <c r="LCU29" s="289"/>
      <c r="LCV29" s="289"/>
      <c r="LCW29" s="289"/>
      <c r="LCX29" s="289"/>
      <c r="LCY29" s="289"/>
      <c r="LCZ29" s="289"/>
      <c r="LDA29" s="289"/>
      <c r="LDB29" s="289"/>
      <c r="LDC29" s="289"/>
      <c r="LDD29" s="289"/>
      <c r="LDE29" s="289"/>
      <c r="LDF29" s="289"/>
      <c r="LDG29" s="289"/>
      <c r="LDH29" s="289"/>
      <c r="LDI29" s="289"/>
      <c r="LDJ29" s="289"/>
      <c r="LDK29" s="289"/>
      <c r="LDL29" s="289"/>
      <c r="LDM29" s="289"/>
      <c r="LDN29" s="289"/>
      <c r="LDO29" s="289"/>
      <c r="LDP29" s="289"/>
      <c r="LDQ29" s="289"/>
      <c r="LDR29" s="289"/>
      <c r="LDS29" s="289"/>
      <c r="LDT29" s="289"/>
      <c r="LDU29" s="289"/>
      <c r="LDV29" s="289"/>
      <c r="LDW29" s="289"/>
      <c r="LDX29" s="289"/>
      <c r="LDY29" s="289"/>
      <c r="LDZ29" s="289"/>
      <c r="LEA29" s="289"/>
      <c r="LEB29" s="289"/>
      <c r="LEC29" s="289"/>
      <c r="LED29" s="289"/>
      <c r="LEE29" s="289"/>
      <c r="LEF29" s="289"/>
      <c r="LEG29" s="289"/>
      <c r="LEH29" s="289"/>
      <c r="LEI29" s="289"/>
      <c r="LEJ29" s="289"/>
      <c r="LEK29" s="289"/>
      <c r="LEL29" s="289"/>
      <c r="LEM29" s="289"/>
      <c r="LEN29" s="289"/>
      <c r="LEO29" s="289"/>
      <c r="LEP29" s="289"/>
      <c r="LEQ29" s="289"/>
      <c r="LER29" s="289"/>
      <c r="LES29" s="289"/>
      <c r="LET29" s="289"/>
      <c r="LEU29" s="289"/>
      <c r="LEV29" s="289"/>
      <c r="LEW29" s="289"/>
      <c r="LEX29" s="289"/>
      <c r="LEY29" s="289"/>
      <c r="LEZ29" s="289"/>
      <c r="LFA29" s="289"/>
      <c r="LFB29" s="289"/>
      <c r="LFC29" s="289"/>
      <c r="LFD29" s="289"/>
      <c r="LFE29" s="289"/>
      <c r="LFF29" s="289"/>
      <c r="LFG29" s="289"/>
      <c r="LFH29" s="289"/>
      <c r="LFI29" s="289"/>
      <c r="LFJ29" s="289"/>
      <c r="LFK29" s="289"/>
      <c r="LFL29" s="289"/>
      <c r="LFM29" s="289"/>
      <c r="LFN29" s="289"/>
      <c r="LFO29" s="289"/>
      <c r="LFP29" s="289"/>
      <c r="LFQ29" s="289"/>
      <c r="LFR29" s="289"/>
      <c r="LFS29" s="289"/>
      <c r="LFT29" s="289"/>
      <c r="LFU29" s="289"/>
      <c r="LFV29" s="289"/>
      <c r="LFW29" s="289"/>
      <c r="LFX29" s="289"/>
      <c r="LFY29" s="289"/>
      <c r="LFZ29" s="289"/>
      <c r="LGA29" s="289"/>
      <c r="LGB29" s="289"/>
      <c r="LGC29" s="289"/>
      <c r="LGD29" s="289"/>
      <c r="LGE29" s="289"/>
      <c r="LGF29" s="289"/>
      <c r="LGG29" s="289"/>
      <c r="LGH29" s="289"/>
      <c r="LGI29" s="289"/>
      <c r="LGJ29" s="289"/>
      <c r="LGK29" s="289"/>
      <c r="LGL29" s="289"/>
      <c r="LGM29" s="289"/>
      <c r="LGN29" s="289"/>
      <c r="LGO29" s="289"/>
      <c r="LGP29" s="289"/>
      <c r="LGQ29" s="289"/>
      <c r="LGR29" s="289"/>
      <c r="LGS29" s="289"/>
      <c r="LGT29" s="289"/>
      <c r="LGU29" s="289"/>
      <c r="LGV29" s="289"/>
      <c r="LGW29" s="289"/>
      <c r="LGX29" s="289"/>
      <c r="LGY29" s="289"/>
      <c r="LGZ29" s="289"/>
      <c r="LHA29" s="289"/>
      <c r="LHB29" s="289"/>
      <c r="LHC29" s="289"/>
      <c r="LHD29" s="289"/>
      <c r="LHE29" s="289"/>
      <c r="LHF29" s="289"/>
      <c r="LHG29" s="289"/>
      <c r="LHH29" s="289"/>
      <c r="LHI29" s="289"/>
      <c r="LHJ29" s="289"/>
      <c r="LHK29" s="289"/>
      <c r="LHL29" s="289"/>
      <c r="LHM29" s="289"/>
      <c r="LHN29" s="289"/>
      <c r="LHO29" s="289"/>
      <c r="LHP29" s="289"/>
      <c r="LHQ29" s="289"/>
      <c r="LHR29" s="289"/>
      <c r="LHS29" s="289"/>
      <c r="LHT29" s="289"/>
      <c r="LHU29" s="289"/>
      <c r="LHV29" s="289"/>
      <c r="LHW29" s="289"/>
      <c r="LHX29" s="289"/>
      <c r="LHY29" s="289"/>
      <c r="LHZ29" s="289"/>
      <c r="LIA29" s="289"/>
      <c r="LIB29" s="289"/>
      <c r="LIC29" s="289"/>
      <c r="LID29" s="289"/>
      <c r="LIE29" s="289"/>
      <c r="LIF29" s="289"/>
      <c r="LIG29" s="289"/>
      <c r="LIH29" s="289"/>
      <c r="LII29" s="289"/>
      <c r="LIJ29" s="289"/>
      <c r="LIK29" s="289"/>
      <c r="LIL29" s="289"/>
      <c r="LIM29" s="289"/>
      <c r="LIN29" s="289"/>
      <c r="LIO29" s="289"/>
      <c r="LIP29" s="289"/>
      <c r="LIQ29" s="289"/>
      <c r="LIR29" s="289"/>
      <c r="LIS29" s="289"/>
      <c r="LIT29" s="289"/>
      <c r="LIU29" s="289"/>
      <c r="LIV29" s="289"/>
      <c r="LIW29" s="289"/>
      <c r="LIX29" s="289"/>
      <c r="LIY29" s="289"/>
      <c r="LIZ29" s="289"/>
      <c r="LJA29" s="289"/>
      <c r="LJB29" s="289"/>
      <c r="LJC29" s="289"/>
      <c r="LJD29" s="289"/>
      <c r="LJE29" s="289"/>
      <c r="LJF29" s="289"/>
      <c r="LJG29" s="289"/>
      <c r="LJH29" s="289"/>
      <c r="LJI29" s="289"/>
      <c r="LJJ29" s="289"/>
      <c r="LJK29" s="289"/>
      <c r="LJL29" s="289"/>
      <c r="LJM29" s="289"/>
      <c r="LJN29" s="289"/>
      <c r="LJO29" s="289"/>
      <c r="LJP29" s="289"/>
      <c r="LJQ29" s="289"/>
      <c r="LJR29" s="289"/>
      <c r="LJS29" s="289"/>
      <c r="LJT29" s="289"/>
      <c r="LJU29" s="289"/>
      <c r="LJV29" s="289"/>
      <c r="LJW29" s="289"/>
      <c r="LJX29" s="289"/>
      <c r="LJY29" s="289"/>
      <c r="LJZ29" s="289"/>
      <c r="LKA29" s="289"/>
      <c r="LKB29" s="289"/>
      <c r="LKC29" s="289"/>
      <c r="LKD29" s="289"/>
      <c r="LKE29" s="289"/>
      <c r="LKF29" s="289"/>
      <c r="LKG29" s="289"/>
      <c r="LKH29" s="289"/>
      <c r="LKI29" s="289"/>
      <c r="LKJ29" s="289"/>
      <c r="LKK29" s="289"/>
      <c r="LKL29" s="289"/>
      <c r="LKM29" s="289"/>
      <c r="LKN29" s="289"/>
      <c r="LKO29" s="289"/>
      <c r="LKP29" s="289"/>
      <c r="LKQ29" s="289"/>
      <c r="LKR29" s="289"/>
      <c r="LKS29" s="289"/>
      <c r="LKT29" s="289"/>
      <c r="LKU29" s="289"/>
      <c r="LKV29" s="289"/>
      <c r="LKW29" s="289"/>
      <c r="LKX29" s="289"/>
      <c r="LKY29" s="289"/>
      <c r="LKZ29" s="289"/>
      <c r="LLA29" s="289"/>
      <c r="LLB29" s="289"/>
      <c r="LLC29" s="289"/>
      <c r="LLD29" s="289"/>
      <c r="LLE29" s="289"/>
      <c r="LLF29" s="289"/>
      <c r="LLG29" s="289"/>
      <c r="LLH29" s="289"/>
      <c r="LLI29" s="289"/>
      <c r="LLJ29" s="289"/>
      <c r="LLK29" s="289"/>
      <c r="LLL29" s="289"/>
      <c r="LLM29" s="289"/>
      <c r="LLN29" s="289"/>
      <c r="LLO29" s="289"/>
      <c r="LLP29" s="289"/>
      <c r="LLQ29" s="289"/>
      <c r="LLR29" s="289"/>
      <c r="LLS29" s="289"/>
      <c r="LLT29" s="289"/>
      <c r="LLU29" s="289"/>
      <c r="LLV29" s="289"/>
      <c r="LLW29" s="289"/>
      <c r="LLX29" s="289"/>
      <c r="LLY29" s="289"/>
      <c r="LLZ29" s="289"/>
      <c r="LMA29" s="289"/>
      <c r="LMB29" s="289"/>
      <c r="LMC29" s="289"/>
      <c r="LMD29" s="289"/>
      <c r="LME29" s="289"/>
      <c r="LMF29" s="289"/>
      <c r="LMG29" s="289"/>
      <c r="LMH29" s="289"/>
      <c r="LMI29" s="289"/>
      <c r="LMJ29" s="289"/>
      <c r="LMK29" s="289"/>
      <c r="LML29" s="289"/>
      <c r="LMM29" s="289"/>
      <c r="LMN29" s="289"/>
      <c r="LMO29" s="289"/>
      <c r="LMP29" s="289"/>
      <c r="LMQ29" s="289"/>
      <c r="LMR29" s="289"/>
      <c r="LMS29" s="289"/>
      <c r="LMT29" s="289"/>
      <c r="LMU29" s="289"/>
      <c r="LMV29" s="289"/>
      <c r="LMW29" s="289"/>
      <c r="LMX29" s="289"/>
      <c r="LMY29" s="289"/>
      <c r="LMZ29" s="289"/>
      <c r="LNA29" s="289"/>
      <c r="LNB29" s="289"/>
      <c r="LNC29" s="289"/>
      <c r="LND29" s="289"/>
      <c r="LNE29" s="289"/>
      <c r="LNF29" s="289"/>
      <c r="LNG29" s="289"/>
      <c r="LNH29" s="289"/>
      <c r="LNI29" s="289"/>
      <c r="LNJ29" s="289"/>
      <c r="LNK29" s="289"/>
      <c r="LNL29" s="289"/>
      <c r="LNM29" s="289"/>
      <c r="LNN29" s="289"/>
      <c r="LNO29" s="289"/>
      <c r="LNP29" s="289"/>
      <c r="LNQ29" s="289"/>
      <c r="LNR29" s="289"/>
      <c r="LNS29" s="289"/>
      <c r="LNT29" s="289"/>
      <c r="LNU29" s="289"/>
      <c r="LNV29" s="289"/>
      <c r="LNW29" s="289"/>
      <c r="LNX29" s="289"/>
      <c r="LNY29" s="289"/>
      <c r="LNZ29" s="289"/>
      <c r="LOA29" s="289"/>
      <c r="LOB29" s="289"/>
      <c r="LOC29" s="289"/>
      <c r="LOD29" s="289"/>
      <c r="LOE29" s="289"/>
      <c r="LOF29" s="289"/>
      <c r="LOG29" s="289"/>
      <c r="LOH29" s="289"/>
      <c r="LOI29" s="289"/>
      <c r="LOJ29" s="289"/>
      <c r="LOK29" s="289"/>
      <c r="LOL29" s="289"/>
      <c r="LOM29" s="289"/>
      <c r="LON29" s="289"/>
      <c r="LOO29" s="289"/>
      <c r="LOP29" s="289"/>
      <c r="LOQ29" s="289"/>
      <c r="LOR29" s="289"/>
      <c r="LOS29" s="289"/>
      <c r="LOT29" s="289"/>
      <c r="LOU29" s="289"/>
      <c r="LOV29" s="289"/>
      <c r="LOW29" s="289"/>
      <c r="LOX29" s="289"/>
      <c r="LOY29" s="289"/>
      <c r="LOZ29" s="289"/>
      <c r="LPA29" s="289"/>
      <c r="LPB29" s="289"/>
      <c r="LPC29" s="289"/>
      <c r="LPD29" s="289"/>
      <c r="LPE29" s="289"/>
      <c r="LPF29" s="289"/>
      <c r="LPG29" s="289"/>
      <c r="LPH29" s="289"/>
      <c r="LPI29" s="289"/>
      <c r="LPJ29" s="289"/>
      <c r="LPK29" s="289"/>
      <c r="LPL29" s="289"/>
      <c r="LPM29" s="289"/>
      <c r="LPN29" s="289"/>
      <c r="LPO29" s="289"/>
      <c r="LPP29" s="289"/>
      <c r="LPQ29" s="289"/>
      <c r="LPR29" s="289"/>
      <c r="LPS29" s="289"/>
      <c r="LPT29" s="289"/>
      <c r="LPU29" s="289"/>
      <c r="LPV29" s="289"/>
      <c r="LPW29" s="289"/>
      <c r="LPX29" s="289"/>
      <c r="LPY29" s="289"/>
      <c r="LPZ29" s="289"/>
      <c r="LQA29" s="289"/>
      <c r="LQB29" s="289"/>
      <c r="LQC29" s="289"/>
      <c r="LQD29" s="289"/>
      <c r="LQE29" s="289"/>
      <c r="LQF29" s="289"/>
      <c r="LQG29" s="289"/>
      <c r="LQH29" s="289"/>
      <c r="LQI29" s="289"/>
      <c r="LQJ29" s="289"/>
      <c r="LQK29" s="289"/>
      <c r="LQL29" s="289"/>
      <c r="LQM29" s="289"/>
      <c r="LQN29" s="289"/>
      <c r="LQO29" s="289"/>
      <c r="LQP29" s="289"/>
      <c r="LQQ29" s="289"/>
      <c r="LQR29" s="289"/>
      <c r="LQS29" s="289"/>
      <c r="LQT29" s="289"/>
      <c r="LQU29" s="289"/>
      <c r="LQV29" s="289"/>
      <c r="LQW29" s="289"/>
      <c r="LQX29" s="289"/>
      <c r="LQY29" s="289"/>
      <c r="LQZ29" s="289"/>
      <c r="LRA29" s="289"/>
      <c r="LRB29" s="289"/>
      <c r="LRC29" s="289"/>
      <c r="LRD29" s="289"/>
      <c r="LRE29" s="289"/>
      <c r="LRF29" s="289"/>
      <c r="LRG29" s="289"/>
      <c r="LRH29" s="289"/>
      <c r="LRI29" s="289"/>
      <c r="LRJ29" s="289"/>
      <c r="LRK29" s="289"/>
      <c r="LRL29" s="289"/>
      <c r="LRM29" s="289"/>
      <c r="LRN29" s="289"/>
      <c r="LRO29" s="289"/>
      <c r="LRP29" s="289"/>
      <c r="LRQ29" s="289"/>
      <c r="LRR29" s="289"/>
      <c r="LRS29" s="289"/>
      <c r="LRT29" s="289"/>
      <c r="LRU29" s="289"/>
      <c r="LRV29" s="289"/>
      <c r="LRW29" s="289"/>
      <c r="LRX29" s="289"/>
      <c r="LRY29" s="289"/>
      <c r="LRZ29" s="289"/>
      <c r="LSA29" s="289"/>
      <c r="LSB29" s="289"/>
      <c r="LSC29" s="289"/>
      <c r="LSD29" s="289"/>
      <c r="LSE29" s="289"/>
      <c r="LSF29" s="289"/>
      <c r="LSG29" s="289"/>
      <c r="LSH29" s="289"/>
      <c r="LSI29" s="289"/>
      <c r="LSJ29" s="289"/>
      <c r="LSK29" s="289"/>
      <c r="LSL29" s="289"/>
      <c r="LSM29" s="289"/>
      <c r="LSN29" s="289"/>
      <c r="LSO29" s="289"/>
      <c r="LSP29" s="289"/>
      <c r="LSQ29" s="289"/>
      <c r="LSR29" s="289"/>
      <c r="LSS29" s="289"/>
      <c r="LST29" s="289"/>
      <c r="LSU29" s="289"/>
      <c r="LSV29" s="289"/>
      <c r="LSW29" s="289"/>
      <c r="LSX29" s="289"/>
      <c r="LSY29" s="289"/>
      <c r="LSZ29" s="289"/>
      <c r="LTA29" s="289"/>
      <c r="LTB29" s="289"/>
      <c r="LTC29" s="289"/>
      <c r="LTD29" s="289"/>
      <c r="LTE29" s="289"/>
      <c r="LTF29" s="289"/>
      <c r="LTG29" s="289"/>
      <c r="LTH29" s="289"/>
      <c r="LTI29" s="289"/>
      <c r="LTJ29" s="289"/>
      <c r="LTK29" s="289"/>
      <c r="LTL29" s="289"/>
      <c r="LTM29" s="289"/>
      <c r="LTN29" s="289"/>
      <c r="LTO29" s="289"/>
      <c r="LTP29" s="289"/>
      <c r="LTQ29" s="289"/>
      <c r="LTR29" s="289"/>
      <c r="LTS29" s="289"/>
      <c r="LTT29" s="289"/>
      <c r="LTU29" s="289"/>
      <c r="LTV29" s="289"/>
      <c r="LTW29" s="289"/>
      <c r="LTX29" s="289"/>
      <c r="LTY29" s="289"/>
      <c r="LTZ29" s="289"/>
      <c r="LUA29" s="289"/>
      <c r="LUB29" s="289"/>
      <c r="LUC29" s="289"/>
      <c r="LUD29" s="289"/>
      <c r="LUE29" s="289"/>
      <c r="LUF29" s="289"/>
      <c r="LUG29" s="289"/>
      <c r="LUH29" s="289"/>
      <c r="LUI29" s="289"/>
      <c r="LUJ29" s="289"/>
      <c r="LUK29" s="289"/>
      <c r="LUL29" s="289"/>
      <c r="LUM29" s="289"/>
      <c r="LUN29" s="289"/>
      <c r="LUO29" s="289"/>
      <c r="LUP29" s="289"/>
      <c r="LUQ29" s="289"/>
      <c r="LUR29" s="289"/>
      <c r="LUS29" s="289"/>
      <c r="LUT29" s="289"/>
      <c r="LUU29" s="289"/>
      <c r="LUV29" s="289"/>
      <c r="LUW29" s="289"/>
      <c r="LUX29" s="289"/>
      <c r="LUY29" s="289"/>
      <c r="LUZ29" s="289"/>
      <c r="LVA29" s="289"/>
      <c r="LVB29" s="289"/>
      <c r="LVC29" s="289"/>
      <c r="LVD29" s="289"/>
      <c r="LVE29" s="289"/>
      <c r="LVF29" s="289"/>
      <c r="LVG29" s="289"/>
      <c r="LVH29" s="289"/>
      <c r="LVI29" s="289"/>
      <c r="LVJ29" s="289"/>
      <c r="LVK29" s="289"/>
      <c r="LVL29" s="289"/>
      <c r="LVM29" s="289"/>
      <c r="LVN29" s="289"/>
      <c r="LVO29" s="289"/>
      <c r="LVP29" s="289"/>
      <c r="LVQ29" s="289"/>
      <c r="LVR29" s="289"/>
      <c r="LVS29" s="289"/>
      <c r="LVT29" s="289"/>
      <c r="LVU29" s="289"/>
      <c r="LVV29" s="289"/>
      <c r="LVW29" s="289"/>
      <c r="LVX29" s="289"/>
      <c r="LVY29" s="289"/>
      <c r="LVZ29" s="289"/>
      <c r="LWA29" s="289"/>
      <c r="LWB29" s="289"/>
      <c r="LWC29" s="289"/>
      <c r="LWD29" s="289"/>
      <c r="LWE29" s="289"/>
      <c r="LWF29" s="289"/>
      <c r="LWG29" s="289"/>
      <c r="LWH29" s="289"/>
      <c r="LWI29" s="289"/>
      <c r="LWJ29" s="289"/>
      <c r="LWK29" s="289"/>
      <c r="LWL29" s="289"/>
      <c r="LWM29" s="289"/>
      <c r="LWN29" s="289"/>
      <c r="LWO29" s="289"/>
      <c r="LWP29" s="289"/>
      <c r="LWQ29" s="289"/>
      <c r="LWR29" s="289"/>
      <c r="LWS29" s="289"/>
      <c r="LWT29" s="289"/>
      <c r="LWU29" s="289"/>
      <c r="LWV29" s="289"/>
      <c r="LWW29" s="289"/>
      <c r="LWX29" s="289"/>
      <c r="LWY29" s="289"/>
      <c r="LWZ29" s="289"/>
      <c r="LXA29" s="289"/>
      <c r="LXB29" s="289"/>
      <c r="LXC29" s="289"/>
      <c r="LXD29" s="289"/>
      <c r="LXE29" s="289"/>
      <c r="LXF29" s="289"/>
      <c r="LXG29" s="289"/>
      <c r="LXH29" s="289"/>
      <c r="LXI29" s="289"/>
      <c r="LXJ29" s="289"/>
      <c r="LXK29" s="289"/>
      <c r="LXL29" s="289"/>
      <c r="LXM29" s="289"/>
      <c r="LXN29" s="289"/>
      <c r="LXO29" s="289"/>
      <c r="LXP29" s="289"/>
      <c r="LXQ29" s="289"/>
      <c r="LXR29" s="289"/>
      <c r="LXS29" s="289"/>
      <c r="LXT29" s="289"/>
      <c r="LXU29" s="289"/>
      <c r="LXV29" s="289"/>
      <c r="LXW29" s="289"/>
      <c r="LXX29" s="289"/>
      <c r="LXY29" s="289"/>
      <c r="LXZ29" s="289"/>
      <c r="LYA29" s="289"/>
      <c r="LYB29" s="289"/>
      <c r="LYC29" s="289"/>
      <c r="LYD29" s="289"/>
      <c r="LYE29" s="289"/>
      <c r="LYF29" s="289"/>
      <c r="LYG29" s="289"/>
      <c r="LYH29" s="289"/>
      <c r="LYI29" s="289"/>
      <c r="LYJ29" s="289"/>
      <c r="LYK29" s="289"/>
      <c r="LYL29" s="289"/>
      <c r="LYM29" s="289"/>
      <c r="LYN29" s="289"/>
      <c r="LYO29" s="289"/>
      <c r="LYP29" s="289"/>
      <c r="LYQ29" s="289"/>
      <c r="LYR29" s="289"/>
      <c r="LYS29" s="289"/>
      <c r="LYT29" s="289"/>
      <c r="LYU29" s="289"/>
      <c r="LYV29" s="289"/>
      <c r="LYW29" s="289"/>
      <c r="LYX29" s="289"/>
      <c r="LYY29" s="289"/>
      <c r="LYZ29" s="289"/>
      <c r="LZA29" s="289"/>
      <c r="LZB29" s="289"/>
      <c r="LZC29" s="289"/>
      <c r="LZD29" s="289"/>
      <c r="LZE29" s="289"/>
      <c r="LZF29" s="289"/>
      <c r="LZG29" s="289"/>
      <c r="LZH29" s="289"/>
      <c r="LZI29" s="289"/>
      <c r="LZJ29" s="289"/>
      <c r="LZK29" s="289"/>
      <c r="LZL29" s="289"/>
      <c r="LZM29" s="289"/>
      <c r="LZN29" s="289"/>
      <c r="LZO29" s="289"/>
      <c r="LZP29" s="289"/>
      <c r="LZQ29" s="289"/>
      <c r="LZR29" s="289"/>
      <c r="LZS29" s="289"/>
      <c r="LZT29" s="289"/>
      <c r="LZU29" s="289"/>
      <c r="LZV29" s="289"/>
      <c r="LZW29" s="289"/>
      <c r="LZX29" s="289"/>
      <c r="LZY29" s="289"/>
      <c r="LZZ29" s="289"/>
      <c r="MAA29" s="289"/>
      <c r="MAB29" s="289"/>
      <c r="MAC29" s="289"/>
      <c r="MAD29" s="289"/>
      <c r="MAE29" s="289"/>
      <c r="MAF29" s="289"/>
      <c r="MAG29" s="289"/>
      <c r="MAH29" s="289"/>
      <c r="MAI29" s="289"/>
      <c r="MAJ29" s="289"/>
      <c r="MAK29" s="289"/>
      <c r="MAL29" s="289"/>
      <c r="MAM29" s="289"/>
      <c r="MAN29" s="289"/>
      <c r="MAO29" s="289"/>
      <c r="MAP29" s="289"/>
      <c r="MAQ29" s="289"/>
      <c r="MAR29" s="289"/>
      <c r="MAS29" s="289"/>
      <c r="MAT29" s="289"/>
      <c r="MAU29" s="289"/>
      <c r="MAV29" s="289"/>
      <c r="MAW29" s="289"/>
      <c r="MAX29" s="289"/>
      <c r="MAY29" s="289"/>
      <c r="MAZ29" s="289"/>
      <c r="MBA29" s="289"/>
      <c r="MBB29" s="289"/>
      <c r="MBC29" s="289"/>
      <c r="MBD29" s="289"/>
      <c r="MBE29" s="289"/>
      <c r="MBF29" s="289"/>
      <c r="MBG29" s="289"/>
      <c r="MBH29" s="289"/>
      <c r="MBI29" s="289"/>
      <c r="MBJ29" s="289"/>
      <c r="MBK29" s="289"/>
      <c r="MBL29" s="289"/>
      <c r="MBM29" s="289"/>
      <c r="MBN29" s="289"/>
      <c r="MBO29" s="289"/>
      <c r="MBP29" s="289"/>
      <c r="MBQ29" s="289"/>
      <c r="MBR29" s="289"/>
      <c r="MBS29" s="289"/>
      <c r="MBT29" s="289"/>
      <c r="MBU29" s="289"/>
      <c r="MBV29" s="289"/>
      <c r="MBW29" s="289"/>
      <c r="MBX29" s="289"/>
      <c r="MBY29" s="289"/>
      <c r="MBZ29" s="289"/>
      <c r="MCA29" s="289"/>
      <c r="MCB29" s="289"/>
      <c r="MCC29" s="289"/>
      <c r="MCD29" s="289"/>
      <c r="MCE29" s="289"/>
      <c r="MCF29" s="289"/>
      <c r="MCG29" s="289"/>
      <c r="MCH29" s="289"/>
      <c r="MCI29" s="289"/>
      <c r="MCJ29" s="289"/>
      <c r="MCK29" s="289"/>
      <c r="MCL29" s="289"/>
      <c r="MCM29" s="289"/>
      <c r="MCN29" s="289"/>
      <c r="MCO29" s="289"/>
      <c r="MCP29" s="289"/>
      <c r="MCQ29" s="289"/>
      <c r="MCR29" s="289"/>
      <c r="MCS29" s="289"/>
      <c r="MCT29" s="289"/>
      <c r="MCU29" s="289"/>
      <c r="MCV29" s="289"/>
      <c r="MCW29" s="289"/>
      <c r="MCX29" s="289"/>
      <c r="MCY29" s="289"/>
      <c r="MCZ29" s="289"/>
      <c r="MDA29" s="289"/>
      <c r="MDB29" s="289"/>
      <c r="MDC29" s="289"/>
      <c r="MDD29" s="289"/>
      <c r="MDE29" s="289"/>
      <c r="MDF29" s="289"/>
      <c r="MDG29" s="289"/>
      <c r="MDH29" s="289"/>
      <c r="MDI29" s="289"/>
      <c r="MDJ29" s="289"/>
      <c r="MDK29" s="289"/>
      <c r="MDL29" s="289"/>
      <c r="MDM29" s="289"/>
      <c r="MDN29" s="289"/>
      <c r="MDO29" s="289"/>
      <c r="MDP29" s="289"/>
      <c r="MDQ29" s="289"/>
      <c r="MDR29" s="289"/>
      <c r="MDS29" s="289"/>
      <c r="MDT29" s="289"/>
      <c r="MDU29" s="289"/>
      <c r="MDV29" s="289"/>
      <c r="MDW29" s="289"/>
      <c r="MDX29" s="289"/>
      <c r="MDY29" s="289"/>
      <c r="MDZ29" s="289"/>
      <c r="MEA29" s="289"/>
      <c r="MEB29" s="289"/>
      <c r="MEC29" s="289"/>
      <c r="MED29" s="289"/>
      <c r="MEE29" s="289"/>
      <c r="MEF29" s="289"/>
      <c r="MEG29" s="289"/>
      <c r="MEH29" s="289"/>
      <c r="MEI29" s="289"/>
      <c r="MEJ29" s="289"/>
      <c r="MEK29" s="289"/>
      <c r="MEL29" s="289"/>
      <c r="MEM29" s="289"/>
      <c r="MEN29" s="289"/>
      <c r="MEO29" s="289"/>
      <c r="MEP29" s="289"/>
      <c r="MEQ29" s="289"/>
      <c r="MER29" s="289"/>
      <c r="MES29" s="289"/>
      <c r="MET29" s="289"/>
      <c r="MEU29" s="289"/>
      <c r="MEV29" s="289"/>
      <c r="MEW29" s="289"/>
      <c r="MEX29" s="289"/>
      <c r="MEY29" s="289"/>
      <c r="MEZ29" s="289"/>
      <c r="MFA29" s="289"/>
      <c r="MFB29" s="289"/>
      <c r="MFC29" s="289"/>
      <c r="MFD29" s="289"/>
      <c r="MFE29" s="289"/>
      <c r="MFF29" s="289"/>
      <c r="MFG29" s="289"/>
      <c r="MFH29" s="289"/>
      <c r="MFI29" s="289"/>
      <c r="MFJ29" s="289"/>
      <c r="MFK29" s="289"/>
      <c r="MFL29" s="289"/>
      <c r="MFM29" s="289"/>
      <c r="MFN29" s="289"/>
      <c r="MFO29" s="289"/>
      <c r="MFP29" s="289"/>
      <c r="MFQ29" s="289"/>
      <c r="MFR29" s="289"/>
      <c r="MFS29" s="289"/>
      <c r="MFT29" s="289"/>
      <c r="MFU29" s="289"/>
      <c r="MFV29" s="289"/>
      <c r="MFW29" s="289"/>
      <c r="MFX29" s="289"/>
      <c r="MFY29" s="289"/>
      <c r="MFZ29" s="289"/>
      <c r="MGA29" s="289"/>
      <c r="MGB29" s="289"/>
      <c r="MGC29" s="289"/>
      <c r="MGD29" s="289"/>
      <c r="MGE29" s="289"/>
      <c r="MGF29" s="289"/>
      <c r="MGG29" s="289"/>
      <c r="MGH29" s="289"/>
      <c r="MGI29" s="289"/>
      <c r="MGJ29" s="289"/>
      <c r="MGK29" s="289"/>
      <c r="MGL29" s="289"/>
      <c r="MGM29" s="289"/>
      <c r="MGN29" s="289"/>
      <c r="MGO29" s="289"/>
      <c r="MGP29" s="289"/>
      <c r="MGQ29" s="289"/>
      <c r="MGR29" s="289"/>
      <c r="MGS29" s="289"/>
      <c r="MGT29" s="289"/>
      <c r="MGU29" s="289"/>
      <c r="MGV29" s="289"/>
      <c r="MGW29" s="289"/>
      <c r="MGX29" s="289"/>
      <c r="MGY29" s="289"/>
      <c r="MGZ29" s="289"/>
      <c r="MHA29" s="289"/>
      <c r="MHB29" s="289"/>
      <c r="MHC29" s="289"/>
      <c r="MHD29" s="289"/>
      <c r="MHE29" s="289"/>
      <c r="MHF29" s="289"/>
      <c r="MHG29" s="289"/>
      <c r="MHH29" s="289"/>
      <c r="MHI29" s="289"/>
      <c r="MHJ29" s="289"/>
      <c r="MHK29" s="289"/>
      <c r="MHL29" s="289"/>
      <c r="MHM29" s="289"/>
      <c r="MHN29" s="289"/>
      <c r="MHO29" s="289"/>
      <c r="MHP29" s="289"/>
      <c r="MHQ29" s="289"/>
      <c r="MHR29" s="289"/>
      <c r="MHS29" s="289"/>
      <c r="MHT29" s="289"/>
      <c r="MHU29" s="289"/>
      <c r="MHV29" s="289"/>
      <c r="MHW29" s="289"/>
      <c r="MHX29" s="289"/>
      <c r="MHY29" s="289"/>
      <c r="MHZ29" s="289"/>
      <c r="MIA29" s="289"/>
      <c r="MIB29" s="289"/>
      <c r="MIC29" s="289"/>
      <c r="MID29" s="289"/>
      <c r="MIE29" s="289"/>
      <c r="MIF29" s="289"/>
      <c r="MIG29" s="289"/>
      <c r="MIH29" s="289"/>
      <c r="MII29" s="289"/>
      <c r="MIJ29" s="289"/>
      <c r="MIK29" s="289"/>
      <c r="MIL29" s="289"/>
      <c r="MIM29" s="289"/>
      <c r="MIN29" s="289"/>
      <c r="MIO29" s="289"/>
      <c r="MIP29" s="289"/>
      <c r="MIQ29" s="289"/>
      <c r="MIR29" s="289"/>
      <c r="MIS29" s="289"/>
      <c r="MIT29" s="289"/>
      <c r="MIU29" s="289"/>
      <c r="MIV29" s="289"/>
      <c r="MIW29" s="289"/>
      <c r="MIX29" s="289"/>
      <c r="MIY29" s="289"/>
      <c r="MIZ29" s="289"/>
      <c r="MJA29" s="289"/>
      <c r="MJB29" s="289"/>
      <c r="MJC29" s="289"/>
      <c r="MJD29" s="289"/>
      <c r="MJE29" s="289"/>
      <c r="MJF29" s="289"/>
      <c r="MJG29" s="289"/>
      <c r="MJH29" s="289"/>
      <c r="MJI29" s="289"/>
      <c r="MJJ29" s="289"/>
      <c r="MJK29" s="289"/>
      <c r="MJL29" s="289"/>
      <c r="MJM29" s="289"/>
      <c r="MJN29" s="289"/>
      <c r="MJO29" s="289"/>
      <c r="MJP29" s="289"/>
      <c r="MJQ29" s="289"/>
      <c r="MJR29" s="289"/>
      <c r="MJS29" s="289"/>
      <c r="MJT29" s="289"/>
      <c r="MJU29" s="289"/>
      <c r="MJV29" s="289"/>
      <c r="MJW29" s="289"/>
      <c r="MJX29" s="289"/>
      <c r="MJY29" s="289"/>
      <c r="MJZ29" s="289"/>
      <c r="MKA29" s="289"/>
      <c r="MKB29" s="289"/>
      <c r="MKC29" s="289"/>
      <c r="MKD29" s="289"/>
      <c r="MKE29" s="289"/>
      <c r="MKF29" s="289"/>
      <c r="MKG29" s="289"/>
      <c r="MKH29" s="289"/>
      <c r="MKI29" s="289"/>
      <c r="MKJ29" s="289"/>
      <c r="MKK29" s="289"/>
      <c r="MKL29" s="289"/>
      <c r="MKM29" s="289"/>
      <c r="MKN29" s="289"/>
      <c r="MKO29" s="289"/>
      <c r="MKP29" s="289"/>
      <c r="MKQ29" s="289"/>
      <c r="MKR29" s="289"/>
      <c r="MKS29" s="289"/>
      <c r="MKT29" s="289"/>
      <c r="MKU29" s="289"/>
      <c r="MKV29" s="289"/>
      <c r="MKW29" s="289"/>
      <c r="MKX29" s="289"/>
      <c r="MKY29" s="289"/>
      <c r="MKZ29" s="289"/>
      <c r="MLA29" s="289"/>
      <c r="MLB29" s="289"/>
      <c r="MLC29" s="289"/>
      <c r="MLD29" s="289"/>
      <c r="MLE29" s="289"/>
      <c r="MLF29" s="289"/>
      <c r="MLG29" s="289"/>
      <c r="MLH29" s="289"/>
      <c r="MLI29" s="289"/>
      <c r="MLJ29" s="289"/>
      <c r="MLK29" s="289"/>
      <c r="MLL29" s="289"/>
      <c r="MLM29" s="289"/>
      <c r="MLN29" s="289"/>
      <c r="MLO29" s="289"/>
      <c r="MLP29" s="289"/>
      <c r="MLQ29" s="289"/>
      <c r="MLR29" s="289"/>
      <c r="MLS29" s="289"/>
      <c r="MLT29" s="289"/>
      <c r="MLU29" s="289"/>
      <c r="MLV29" s="289"/>
      <c r="MLW29" s="289"/>
      <c r="MLX29" s="289"/>
      <c r="MLY29" s="289"/>
      <c r="MLZ29" s="289"/>
      <c r="MMA29" s="289"/>
      <c r="MMB29" s="289"/>
      <c r="MMC29" s="289"/>
      <c r="MMD29" s="289"/>
      <c r="MME29" s="289"/>
      <c r="MMF29" s="289"/>
      <c r="MMG29" s="289"/>
      <c r="MMH29" s="289"/>
      <c r="MMI29" s="289"/>
      <c r="MMJ29" s="289"/>
      <c r="MMK29" s="289"/>
      <c r="MML29" s="289"/>
      <c r="MMM29" s="289"/>
      <c r="MMN29" s="289"/>
      <c r="MMO29" s="289"/>
      <c r="MMP29" s="289"/>
      <c r="MMQ29" s="289"/>
      <c r="MMR29" s="289"/>
      <c r="MMS29" s="289"/>
      <c r="MMT29" s="289"/>
      <c r="MMU29" s="289"/>
      <c r="MMV29" s="289"/>
      <c r="MMW29" s="289"/>
      <c r="MMX29" s="289"/>
      <c r="MMY29" s="289"/>
      <c r="MMZ29" s="289"/>
      <c r="MNA29" s="289"/>
      <c r="MNB29" s="289"/>
      <c r="MNC29" s="289"/>
      <c r="MND29" s="289"/>
      <c r="MNE29" s="289"/>
      <c r="MNF29" s="289"/>
      <c r="MNG29" s="289"/>
      <c r="MNH29" s="289"/>
      <c r="MNI29" s="289"/>
      <c r="MNJ29" s="289"/>
      <c r="MNK29" s="289"/>
      <c r="MNL29" s="289"/>
      <c r="MNM29" s="289"/>
      <c r="MNN29" s="289"/>
      <c r="MNO29" s="289"/>
      <c r="MNP29" s="289"/>
      <c r="MNQ29" s="289"/>
      <c r="MNR29" s="289"/>
      <c r="MNS29" s="289"/>
      <c r="MNT29" s="289"/>
      <c r="MNU29" s="289"/>
      <c r="MNV29" s="289"/>
      <c r="MNW29" s="289"/>
      <c r="MNX29" s="289"/>
      <c r="MNY29" s="289"/>
      <c r="MNZ29" s="289"/>
      <c r="MOA29" s="289"/>
      <c r="MOB29" s="289"/>
      <c r="MOC29" s="289"/>
      <c r="MOD29" s="289"/>
      <c r="MOE29" s="289"/>
      <c r="MOF29" s="289"/>
      <c r="MOG29" s="289"/>
      <c r="MOH29" s="289"/>
      <c r="MOI29" s="289"/>
      <c r="MOJ29" s="289"/>
      <c r="MOK29" s="289"/>
      <c r="MOL29" s="289"/>
      <c r="MOM29" s="289"/>
      <c r="MON29" s="289"/>
      <c r="MOO29" s="289"/>
      <c r="MOP29" s="289"/>
      <c r="MOQ29" s="289"/>
      <c r="MOR29" s="289"/>
      <c r="MOS29" s="289"/>
      <c r="MOT29" s="289"/>
      <c r="MOU29" s="289"/>
      <c r="MOV29" s="289"/>
      <c r="MOW29" s="289"/>
      <c r="MOX29" s="289"/>
      <c r="MOY29" s="289"/>
      <c r="MOZ29" s="289"/>
      <c r="MPA29" s="289"/>
      <c r="MPB29" s="289"/>
      <c r="MPC29" s="289"/>
      <c r="MPD29" s="289"/>
      <c r="MPE29" s="289"/>
      <c r="MPF29" s="289"/>
      <c r="MPG29" s="289"/>
      <c r="MPH29" s="289"/>
      <c r="MPI29" s="289"/>
      <c r="MPJ29" s="289"/>
      <c r="MPK29" s="289"/>
      <c r="MPL29" s="289"/>
      <c r="MPM29" s="289"/>
      <c r="MPN29" s="289"/>
      <c r="MPO29" s="289"/>
      <c r="MPP29" s="289"/>
      <c r="MPQ29" s="289"/>
      <c r="MPR29" s="289"/>
      <c r="MPS29" s="289"/>
      <c r="MPT29" s="289"/>
      <c r="MPU29" s="289"/>
      <c r="MPV29" s="289"/>
      <c r="MPW29" s="289"/>
      <c r="MPX29" s="289"/>
      <c r="MPY29" s="289"/>
      <c r="MPZ29" s="289"/>
      <c r="MQA29" s="289"/>
      <c r="MQB29" s="289"/>
      <c r="MQC29" s="289"/>
      <c r="MQD29" s="289"/>
      <c r="MQE29" s="289"/>
      <c r="MQF29" s="289"/>
      <c r="MQG29" s="289"/>
      <c r="MQH29" s="289"/>
      <c r="MQI29" s="289"/>
      <c r="MQJ29" s="289"/>
      <c r="MQK29" s="289"/>
      <c r="MQL29" s="289"/>
      <c r="MQM29" s="289"/>
      <c r="MQN29" s="289"/>
      <c r="MQO29" s="289"/>
      <c r="MQP29" s="289"/>
      <c r="MQQ29" s="289"/>
      <c r="MQR29" s="289"/>
      <c r="MQS29" s="289"/>
      <c r="MQT29" s="289"/>
      <c r="MQU29" s="289"/>
      <c r="MQV29" s="289"/>
      <c r="MQW29" s="289"/>
      <c r="MQX29" s="289"/>
      <c r="MQY29" s="289"/>
      <c r="MQZ29" s="289"/>
      <c r="MRA29" s="289"/>
      <c r="MRB29" s="289"/>
      <c r="MRC29" s="289"/>
      <c r="MRD29" s="289"/>
      <c r="MRE29" s="289"/>
      <c r="MRF29" s="289"/>
      <c r="MRG29" s="289"/>
      <c r="MRH29" s="289"/>
      <c r="MRI29" s="289"/>
      <c r="MRJ29" s="289"/>
      <c r="MRK29" s="289"/>
      <c r="MRL29" s="289"/>
      <c r="MRM29" s="289"/>
      <c r="MRN29" s="289"/>
      <c r="MRO29" s="289"/>
      <c r="MRP29" s="289"/>
      <c r="MRQ29" s="289"/>
      <c r="MRR29" s="289"/>
      <c r="MRS29" s="289"/>
      <c r="MRT29" s="289"/>
      <c r="MRU29" s="289"/>
      <c r="MRV29" s="289"/>
      <c r="MRW29" s="289"/>
      <c r="MRX29" s="289"/>
      <c r="MRY29" s="289"/>
      <c r="MRZ29" s="289"/>
      <c r="MSA29" s="289"/>
      <c r="MSB29" s="289"/>
      <c r="MSC29" s="289"/>
      <c r="MSD29" s="289"/>
      <c r="MSE29" s="289"/>
      <c r="MSF29" s="289"/>
      <c r="MSG29" s="289"/>
      <c r="MSH29" s="289"/>
      <c r="MSI29" s="289"/>
      <c r="MSJ29" s="289"/>
      <c r="MSK29" s="289"/>
      <c r="MSL29" s="289"/>
      <c r="MSM29" s="289"/>
      <c r="MSN29" s="289"/>
      <c r="MSO29" s="289"/>
      <c r="MSP29" s="289"/>
      <c r="MSQ29" s="289"/>
      <c r="MSR29" s="289"/>
      <c r="MSS29" s="289"/>
      <c r="MST29" s="289"/>
      <c r="MSU29" s="289"/>
      <c r="MSV29" s="289"/>
      <c r="MSW29" s="289"/>
      <c r="MSX29" s="289"/>
      <c r="MSY29" s="289"/>
      <c r="MSZ29" s="289"/>
      <c r="MTA29" s="289"/>
      <c r="MTB29" s="289"/>
      <c r="MTC29" s="289"/>
      <c r="MTD29" s="289"/>
      <c r="MTE29" s="289"/>
      <c r="MTF29" s="289"/>
      <c r="MTG29" s="289"/>
      <c r="MTH29" s="289"/>
      <c r="MTI29" s="289"/>
      <c r="MTJ29" s="289"/>
      <c r="MTK29" s="289"/>
      <c r="MTL29" s="289"/>
      <c r="MTM29" s="289"/>
      <c r="MTN29" s="289"/>
      <c r="MTO29" s="289"/>
      <c r="MTP29" s="289"/>
      <c r="MTQ29" s="289"/>
      <c r="MTR29" s="289"/>
      <c r="MTS29" s="289"/>
      <c r="MTT29" s="289"/>
      <c r="MTU29" s="289"/>
      <c r="MTV29" s="289"/>
      <c r="MTW29" s="289"/>
      <c r="MTX29" s="289"/>
      <c r="MTY29" s="289"/>
      <c r="MTZ29" s="289"/>
      <c r="MUA29" s="289"/>
      <c r="MUB29" s="289"/>
      <c r="MUC29" s="289"/>
      <c r="MUD29" s="289"/>
      <c r="MUE29" s="289"/>
      <c r="MUF29" s="289"/>
      <c r="MUG29" s="289"/>
      <c r="MUH29" s="289"/>
      <c r="MUI29" s="289"/>
      <c r="MUJ29" s="289"/>
      <c r="MUK29" s="289"/>
      <c r="MUL29" s="289"/>
      <c r="MUM29" s="289"/>
      <c r="MUN29" s="289"/>
      <c r="MUO29" s="289"/>
      <c r="MUP29" s="289"/>
      <c r="MUQ29" s="289"/>
      <c r="MUR29" s="289"/>
      <c r="MUS29" s="289"/>
      <c r="MUT29" s="289"/>
      <c r="MUU29" s="289"/>
      <c r="MUV29" s="289"/>
      <c r="MUW29" s="289"/>
      <c r="MUX29" s="289"/>
      <c r="MUY29" s="289"/>
      <c r="MUZ29" s="289"/>
      <c r="MVA29" s="289"/>
      <c r="MVB29" s="289"/>
      <c r="MVC29" s="289"/>
      <c r="MVD29" s="289"/>
      <c r="MVE29" s="289"/>
      <c r="MVF29" s="289"/>
      <c r="MVG29" s="289"/>
      <c r="MVH29" s="289"/>
      <c r="MVI29" s="289"/>
      <c r="MVJ29" s="289"/>
      <c r="MVK29" s="289"/>
      <c r="MVL29" s="289"/>
      <c r="MVM29" s="289"/>
      <c r="MVN29" s="289"/>
      <c r="MVO29" s="289"/>
      <c r="MVP29" s="289"/>
      <c r="MVQ29" s="289"/>
      <c r="MVR29" s="289"/>
      <c r="MVS29" s="289"/>
      <c r="MVT29" s="289"/>
      <c r="MVU29" s="289"/>
      <c r="MVV29" s="289"/>
      <c r="MVW29" s="289"/>
      <c r="MVX29" s="289"/>
      <c r="MVY29" s="289"/>
      <c r="MVZ29" s="289"/>
      <c r="MWA29" s="289"/>
      <c r="MWB29" s="289"/>
      <c r="MWC29" s="289"/>
      <c r="MWD29" s="289"/>
      <c r="MWE29" s="289"/>
      <c r="MWF29" s="289"/>
      <c r="MWG29" s="289"/>
      <c r="MWH29" s="289"/>
      <c r="MWI29" s="289"/>
      <c r="MWJ29" s="289"/>
      <c r="MWK29" s="289"/>
      <c r="MWL29" s="289"/>
      <c r="MWM29" s="289"/>
      <c r="MWN29" s="289"/>
      <c r="MWO29" s="289"/>
      <c r="MWP29" s="289"/>
      <c r="MWQ29" s="289"/>
      <c r="MWR29" s="289"/>
      <c r="MWS29" s="289"/>
      <c r="MWT29" s="289"/>
      <c r="MWU29" s="289"/>
      <c r="MWV29" s="289"/>
      <c r="MWW29" s="289"/>
      <c r="MWX29" s="289"/>
      <c r="MWY29" s="289"/>
      <c r="MWZ29" s="289"/>
      <c r="MXA29" s="289"/>
      <c r="MXB29" s="289"/>
      <c r="MXC29" s="289"/>
      <c r="MXD29" s="289"/>
      <c r="MXE29" s="289"/>
      <c r="MXF29" s="289"/>
      <c r="MXG29" s="289"/>
      <c r="MXH29" s="289"/>
      <c r="MXI29" s="289"/>
      <c r="MXJ29" s="289"/>
      <c r="MXK29" s="289"/>
      <c r="MXL29" s="289"/>
      <c r="MXM29" s="289"/>
      <c r="MXN29" s="289"/>
      <c r="MXO29" s="289"/>
      <c r="MXP29" s="289"/>
      <c r="MXQ29" s="289"/>
      <c r="MXR29" s="289"/>
      <c r="MXS29" s="289"/>
      <c r="MXT29" s="289"/>
      <c r="MXU29" s="289"/>
      <c r="MXV29" s="289"/>
      <c r="MXW29" s="289"/>
      <c r="MXX29" s="289"/>
      <c r="MXY29" s="289"/>
      <c r="MXZ29" s="289"/>
      <c r="MYA29" s="289"/>
      <c r="MYB29" s="289"/>
      <c r="MYC29" s="289"/>
      <c r="MYD29" s="289"/>
      <c r="MYE29" s="289"/>
      <c r="MYF29" s="289"/>
      <c r="MYG29" s="289"/>
      <c r="MYH29" s="289"/>
      <c r="MYI29" s="289"/>
      <c r="MYJ29" s="289"/>
      <c r="MYK29" s="289"/>
      <c r="MYL29" s="289"/>
      <c r="MYM29" s="289"/>
      <c r="MYN29" s="289"/>
      <c r="MYO29" s="289"/>
      <c r="MYP29" s="289"/>
      <c r="MYQ29" s="289"/>
      <c r="MYR29" s="289"/>
      <c r="MYS29" s="289"/>
      <c r="MYT29" s="289"/>
      <c r="MYU29" s="289"/>
      <c r="MYV29" s="289"/>
      <c r="MYW29" s="289"/>
      <c r="MYX29" s="289"/>
      <c r="MYY29" s="289"/>
      <c r="MYZ29" s="289"/>
      <c r="MZA29" s="289"/>
      <c r="MZB29" s="289"/>
      <c r="MZC29" s="289"/>
      <c r="MZD29" s="289"/>
      <c r="MZE29" s="289"/>
      <c r="MZF29" s="289"/>
      <c r="MZG29" s="289"/>
      <c r="MZH29" s="289"/>
      <c r="MZI29" s="289"/>
      <c r="MZJ29" s="289"/>
      <c r="MZK29" s="289"/>
      <c r="MZL29" s="289"/>
      <c r="MZM29" s="289"/>
      <c r="MZN29" s="289"/>
      <c r="MZO29" s="289"/>
      <c r="MZP29" s="289"/>
      <c r="MZQ29" s="289"/>
      <c r="MZR29" s="289"/>
      <c r="MZS29" s="289"/>
      <c r="MZT29" s="289"/>
      <c r="MZU29" s="289"/>
      <c r="MZV29" s="289"/>
      <c r="MZW29" s="289"/>
      <c r="MZX29" s="289"/>
      <c r="MZY29" s="289"/>
      <c r="MZZ29" s="289"/>
      <c r="NAA29" s="289"/>
      <c r="NAB29" s="289"/>
      <c r="NAC29" s="289"/>
      <c r="NAD29" s="289"/>
      <c r="NAE29" s="289"/>
      <c r="NAF29" s="289"/>
      <c r="NAG29" s="289"/>
      <c r="NAH29" s="289"/>
      <c r="NAI29" s="289"/>
      <c r="NAJ29" s="289"/>
      <c r="NAK29" s="289"/>
      <c r="NAL29" s="289"/>
      <c r="NAM29" s="289"/>
      <c r="NAN29" s="289"/>
      <c r="NAO29" s="289"/>
      <c r="NAP29" s="289"/>
      <c r="NAQ29" s="289"/>
      <c r="NAR29" s="289"/>
      <c r="NAS29" s="289"/>
      <c r="NAT29" s="289"/>
      <c r="NAU29" s="289"/>
      <c r="NAV29" s="289"/>
      <c r="NAW29" s="289"/>
      <c r="NAX29" s="289"/>
      <c r="NAY29" s="289"/>
      <c r="NAZ29" s="289"/>
      <c r="NBA29" s="289"/>
      <c r="NBB29" s="289"/>
      <c r="NBC29" s="289"/>
      <c r="NBD29" s="289"/>
      <c r="NBE29" s="289"/>
      <c r="NBF29" s="289"/>
      <c r="NBG29" s="289"/>
      <c r="NBH29" s="289"/>
      <c r="NBI29" s="289"/>
      <c r="NBJ29" s="289"/>
      <c r="NBK29" s="289"/>
      <c r="NBL29" s="289"/>
      <c r="NBM29" s="289"/>
      <c r="NBN29" s="289"/>
      <c r="NBO29" s="289"/>
      <c r="NBP29" s="289"/>
      <c r="NBQ29" s="289"/>
      <c r="NBR29" s="289"/>
      <c r="NBS29" s="289"/>
      <c r="NBT29" s="289"/>
      <c r="NBU29" s="289"/>
      <c r="NBV29" s="289"/>
      <c r="NBW29" s="289"/>
      <c r="NBX29" s="289"/>
      <c r="NBY29" s="289"/>
      <c r="NBZ29" s="289"/>
      <c r="NCA29" s="289"/>
      <c r="NCB29" s="289"/>
      <c r="NCC29" s="289"/>
      <c r="NCD29" s="289"/>
      <c r="NCE29" s="289"/>
      <c r="NCF29" s="289"/>
      <c r="NCG29" s="289"/>
      <c r="NCH29" s="289"/>
      <c r="NCI29" s="289"/>
      <c r="NCJ29" s="289"/>
      <c r="NCK29" s="289"/>
      <c r="NCL29" s="289"/>
      <c r="NCM29" s="289"/>
      <c r="NCN29" s="289"/>
      <c r="NCO29" s="289"/>
      <c r="NCP29" s="289"/>
      <c r="NCQ29" s="289"/>
      <c r="NCR29" s="289"/>
      <c r="NCS29" s="289"/>
      <c r="NCT29" s="289"/>
      <c r="NCU29" s="289"/>
      <c r="NCV29" s="289"/>
      <c r="NCW29" s="289"/>
      <c r="NCX29" s="289"/>
      <c r="NCY29" s="289"/>
      <c r="NCZ29" s="289"/>
      <c r="NDA29" s="289"/>
      <c r="NDB29" s="289"/>
      <c r="NDC29" s="289"/>
      <c r="NDD29" s="289"/>
      <c r="NDE29" s="289"/>
      <c r="NDF29" s="289"/>
      <c r="NDG29" s="289"/>
      <c r="NDH29" s="289"/>
      <c r="NDI29" s="289"/>
      <c r="NDJ29" s="289"/>
      <c r="NDK29" s="289"/>
      <c r="NDL29" s="289"/>
      <c r="NDM29" s="289"/>
      <c r="NDN29" s="289"/>
      <c r="NDO29" s="289"/>
      <c r="NDP29" s="289"/>
      <c r="NDQ29" s="289"/>
      <c r="NDR29" s="289"/>
      <c r="NDS29" s="289"/>
      <c r="NDT29" s="289"/>
      <c r="NDU29" s="289"/>
      <c r="NDV29" s="289"/>
      <c r="NDW29" s="289"/>
      <c r="NDX29" s="289"/>
      <c r="NDY29" s="289"/>
      <c r="NDZ29" s="289"/>
      <c r="NEA29" s="289"/>
      <c r="NEB29" s="289"/>
      <c r="NEC29" s="289"/>
      <c r="NED29" s="289"/>
      <c r="NEE29" s="289"/>
      <c r="NEF29" s="289"/>
      <c r="NEG29" s="289"/>
      <c r="NEH29" s="289"/>
      <c r="NEI29" s="289"/>
      <c r="NEJ29" s="289"/>
      <c r="NEK29" s="289"/>
      <c r="NEL29" s="289"/>
      <c r="NEM29" s="289"/>
      <c r="NEN29" s="289"/>
      <c r="NEO29" s="289"/>
      <c r="NEP29" s="289"/>
      <c r="NEQ29" s="289"/>
      <c r="NER29" s="289"/>
      <c r="NES29" s="289"/>
      <c r="NET29" s="289"/>
      <c r="NEU29" s="289"/>
      <c r="NEV29" s="289"/>
      <c r="NEW29" s="289"/>
      <c r="NEX29" s="289"/>
      <c r="NEY29" s="289"/>
      <c r="NEZ29" s="289"/>
      <c r="NFA29" s="289"/>
      <c r="NFB29" s="289"/>
      <c r="NFC29" s="289"/>
      <c r="NFD29" s="289"/>
      <c r="NFE29" s="289"/>
      <c r="NFF29" s="289"/>
      <c r="NFG29" s="289"/>
      <c r="NFH29" s="289"/>
      <c r="NFI29" s="289"/>
      <c r="NFJ29" s="289"/>
      <c r="NFK29" s="289"/>
      <c r="NFL29" s="289"/>
      <c r="NFM29" s="289"/>
      <c r="NFN29" s="289"/>
      <c r="NFO29" s="289"/>
      <c r="NFP29" s="289"/>
      <c r="NFQ29" s="289"/>
      <c r="NFR29" s="289"/>
      <c r="NFS29" s="289"/>
      <c r="NFT29" s="289"/>
      <c r="NFU29" s="289"/>
      <c r="NFV29" s="289"/>
      <c r="NFW29" s="289"/>
      <c r="NFX29" s="289"/>
      <c r="NFY29" s="289"/>
      <c r="NFZ29" s="289"/>
      <c r="NGA29" s="289"/>
      <c r="NGB29" s="289"/>
      <c r="NGC29" s="289"/>
      <c r="NGD29" s="289"/>
      <c r="NGE29" s="289"/>
      <c r="NGF29" s="289"/>
      <c r="NGG29" s="289"/>
      <c r="NGH29" s="289"/>
      <c r="NGI29" s="289"/>
      <c r="NGJ29" s="289"/>
      <c r="NGK29" s="289"/>
      <c r="NGL29" s="289"/>
      <c r="NGM29" s="289"/>
      <c r="NGN29" s="289"/>
      <c r="NGO29" s="289"/>
      <c r="NGP29" s="289"/>
      <c r="NGQ29" s="289"/>
      <c r="NGR29" s="289"/>
      <c r="NGS29" s="289"/>
      <c r="NGT29" s="289"/>
      <c r="NGU29" s="289"/>
      <c r="NGV29" s="289"/>
      <c r="NGW29" s="289"/>
      <c r="NGX29" s="289"/>
      <c r="NGY29" s="289"/>
      <c r="NGZ29" s="289"/>
      <c r="NHA29" s="289"/>
      <c r="NHB29" s="289"/>
      <c r="NHC29" s="289"/>
      <c r="NHD29" s="289"/>
      <c r="NHE29" s="289"/>
      <c r="NHF29" s="289"/>
      <c r="NHG29" s="289"/>
      <c r="NHH29" s="289"/>
      <c r="NHI29" s="289"/>
      <c r="NHJ29" s="289"/>
      <c r="NHK29" s="289"/>
      <c r="NHL29" s="289"/>
      <c r="NHM29" s="289"/>
      <c r="NHN29" s="289"/>
      <c r="NHO29" s="289"/>
      <c r="NHP29" s="289"/>
      <c r="NHQ29" s="289"/>
      <c r="NHR29" s="289"/>
      <c r="NHS29" s="289"/>
      <c r="NHT29" s="289"/>
      <c r="NHU29" s="289"/>
      <c r="NHV29" s="289"/>
      <c r="NHW29" s="289"/>
      <c r="NHX29" s="289"/>
      <c r="NHY29" s="289"/>
      <c r="NHZ29" s="289"/>
      <c r="NIA29" s="289"/>
      <c r="NIB29" s="289"/>
      <c r="NIC29" s="289"/>
      <c r="NID29" s="289"/>
      <c r="NIE29" s="289"/>
      <c r="NIF29" s="289"/>
      <c r="NIG29" s="289"/>
      <c r="NIH29" s="289"/>
      <c r="NII29" s="289"/>
      <c r="NIJ29" s="289"/>
      <c r="NIK29" s="289"/>
      <c r="NIL29" s="289"/>
      <c r="NIM29" s="289"/>
      <c r="NIN29" s="289"/>
      <c r="NIO29" s="289"/>
      <c r="NIP29" s="289"/>
      <c r="NIQ29" s="289"/>
      <c r="NIR29" s="289"/>
      <c r="NIS29" s="289"/>
      <c r="NIT29" s="289"/>
      <c r="NIU29" s="289"/>
      <c r="NIV29" s="289"/>
      <c r="NIW29" s="289"/>
      <c r="NIX29" s="289"/>
      <c r="NIY29" s="289"/>
      <c r="NIZ29" s="289"/>
      <c r="NJA29" s="289"/>
      <c r="NJB29" s="289"/>
      <c r="NJC29" s="289"/>
      <c r="NJD29" s="289"/>
      <c r="NJE29" s="289"/>
      <c r="NJF29" s="289"/>
      <c r="NJG29" s="289"/>
      <c r="NJH29" s="289"/>
      <c r="NJI29" s="289"/>
      <c r="NJJ29" s="289"/>
      <c r="NJK29" s="289"/>
      <c r="NJL29" s="289"/>
      <c r="NJM29" s="289"/>
      <c r="NJN29" s="289"/>
      <c r="NJO29" s="289"/>
      <c r="NJP29" s="289"/>
      <c r="NJQ29" s="289"/>
      <c r="NJR29" s="289"/>
      <c r="NJS29" s="289"/>
      <c r="NJT29" s="289"/>
      <c r="NJU29" s="289"/>
      <c r="NJV29" s="289"/>
      <c r="NJW29" s="289"/>
      <c r="NJX29" s="289"/>
      <c r="NJY29" s="289"/>
      <c r="NJZ29" s="289"/>
      <c r="NKA29" s="289"/>
      <c r="NKB29" s="289"/>
      <c r="NKC29" s="289"/>
      <c r="NKD29" s="289"/>
      <c r="NKE29" s="289"/>
      <c r="NKF29" s="289"/>
      <c r="NKG29" s="289"/>
      <c r="NKH29" s="289"/>
      <c r="NKI29" s="289"/>
      <c r="NKJ29" s="289"/>
      <c r="NKK29" s="289"/>
      <c r="NKL29" s="289"/>
      <c r="NKM29" s="289"/>
      <c r="NKN29" s="289"/>
      <c r="NKO29" s="289"/>
      <c r="NKP29" s="289"/>
      <c r="NKQ29" s="289"/>
      <c r="NKR29" s="289"/>
      <c r="NKS29" s="289"/>
      <c r="NKT29" s="289"/>
      <c r="NKU29" s="289"/>
      <c r="NKV29" s="289"/>
      <c r="NKW29" s="289"/>
      <c r="NKX29" s="289"/>
      <c r="NKY29" s="289"/>
      <c r="NKZ29" s="289"/>
      <c r="NLA29" s="289"/>
      <c r="NLB29" s="289"/>
      <c r="NLC29" s="289"/>
      <c r="NLD29" s="289"/>
      <c r="NLE29" s="289"/>
      <c r="NLF29" s="289"/>
      <c r="NLG29" s="289"/>
      <c r="NLH29" s="289"/>
      <c r="NLI29" s="289"/>
      <c r="NLJ29" s="289"/>
      <c r="NLK29" s="289"/>
      <c r="NLL29" s="289"/>
      <c r="NLM29" s="289"/>
      <c r="NLN29" s="289"/>
      <c r="NLO29" s="289"/>
      <c r="NLP29" s="289"/>
      <c r="NLQ29" s="289"/>
      <c r="NLR29" s="289"/>
      <c r="NLS29" s="289"/>
      <c r="NLT29" s="289"/>
      <c r="NLU29" s="289"/>
      <c r="NLV29" s="289"/>
      <c r="NLW29" s="289"/>
      <c r="NLX29" s="289"/>
      <c r="NLY29" s="289"/>
      <c r="NLZ29" s="289"/>
      <c r="NMA29" s="289"/>
      <c r="NMB29" s="289"/>
      <c r="NMC29" s="289"/>
      <c r="NMD29" s="289"/>
      <c r="NME29" s="289"/>
      <c r="NMF29" s="289"/>
      <c r="NMG29" s="289"/>
      <c r="NMH29" s="289"/>
      <c r="NMI29" s="289"/>
      <c r="NMJ29" s="289"/>
      <c r="NMK29" s="289"/>
      <c r="NML29" s="289"/>
      <c r="NMM29" s="289"/>
      <c r="NMN29" s="289"/>
      <c r="NMO29" s="289"/>
      <c r="NMP29" s="289"/>
      <c r="NMQ29" s="289"/>
      <c r="NMR29" s="289"/>
      <c r="NMS29" s="289"/>
      <c r="NMT29" s="289"/>
      <c r="NMU29" s="289"/>
      <c r="NMV29" s="289"/>
      <c r="NMW29" s="289"/>
      <c r="NMX29" s="289"/>
      <c r="NMY29" s="289"/>
      <c r="NMZ29" s="289"/>
      <c r="NNA29" s="289"/>
      <c r="NNB29" s="289"/>
      <c r="NNC29" s="289"/>
      <c r="NND29" s="289"/>
      <c r="NNE29" s="289"/>
      <c r="NNF29" s="289"/>
      <c r="NNG29" s="289"/>
      <c r="NNH29" s="289"/>
      <c r="NNI29" s="289"/>
      <c r="NNJ29" s="289"/>
      <c r="NNK29" s="289"/>
      <c r="NNL29" s="289"/>
      <c r="NNM29" s="289"/>
      <c r="NNN29" s="289"/>
      <c r="NNO29" s="289"/>
      <c r="NNP29" s="289"/>
      <c r="NNQ29" s="289"/>
      <c r="NNR29" s="289"/>
      <c r="NNS29" s="289"/>
      <c r="NNT29" s="289"/>
      <c r="NNU29" s="289"/>
      <c r="NNV29" s="289"/>
      <c r="NNW29" s="289"/>
      <c r="NNX29" s="289"/>
      <c r="NNY29" s="289"/>
      <c r="NNZ29" s="289"/>
      <c r="NOA29" s="289"/>
      <c r="NOB29" s="289"/>
      <c r="NOC29" s="289"/>
      <c r="NOD29" s="289"/>
      <c r="NOE29" s="289"/>
      <c r="NOF29" s="289"/>
      <c r="NOG29" s="289"/>
      <c r="NOH29" s="289"/>
      <c r="NOI29" s="289"/>
      <c r="NOJ29" s="289"/>
      <c r="NOK29" s="289"/>
      <c r="NOL29" s="289"/>
      <c r="NOM29" s="289"/>
      <c r="NON29" s="289"/>
      <c r="NOO29" s="289"/>
      <c r="NOP29" s="289"/>
      <c r="NOQ29" s="289"/>
      <c r="NOR29" s="289"/>
      <c r="NOS29" s="289"/>
      <c r="NOT29" s="289"/>
      <c r="NOU29" s="289"/>
      <c r="NOV29" s="289"/>
      <c r="NOW29" s="289"/>
      <c r="NOX29" s="289"/>
      <c r="NOY29" s="289"/>
      <c r="NOZ29" s="289"/>
      <c r="NPA29" s="289"/>
      <c r="NPB29" s="289"/>
      <c r="NPC29" s="289"/>
      <c r="NPD29" s="289"/>
      <c r="NPE29" s="289"/>
      <c r="NPF29" s="289"/>
      <c r="NPG29" s="289"/>
      <c r="NPH29" s="289"/>
      <c r="NPI29" s="289"/>
      <c r="NPJ29" s="289"/>
      <c r="NPK29" s="289"/>
      <c r="NPL29" s="289"/>
      <c r="NPM29" s="289"/>
      <c r="NPN29" s="289"/>
      <c r="NPO29" s="289"/>
      <c r="NPP29" s="289"/>
      <c r="NPQ29" s="289"/>
      <c r="NPR29" s="289"/>
      <c r="NPS29" s="289"/>
      <c r="NPT29" s="289"/>
      <c r="NPU29" s="289"/>
      <c r="NPV29" s="289"/>
      <c r="NPW29" s="289"/>
      <c r="NPX29" s="289"/>
      <c r="NPY29" s="289"/>
      <c r="NPZ29" s="289"/>
      <c r="NQA29" s="289"/>
      <c r="NQB29" s="289"/>
      <c r="NQC29" s="289"/>
      <c r="NQD29" s="289"/>
      <c r="NQE29" s="289"/>
      <c r="NQF29" s="289"/>
      <c r="NQG29" s="289"/>
      <c r="NQH29" s="289"/>
      <c r="NQI29" s="289"/>
      <c r="NQJ29" s="289"/>
      <c r="NQK29" s="289"/>
      <c r="NQL29" s="289"/>
      <c r="NQM29" s="289"/>
      <c r="NQN29" s="289"/>
      <c r="NQO29" s="289"/>
      <c r="NQP29" s="289"/>
      <c r="NQQ29" s="289"/>
      <c r="NQR29" s="289"/>
      <c r="NQS29" s="289"/>
      <c r="NQT29" s="289"/>
      <c r="NQU29" s="289"/>
      <c r="NQV29" s="289"/>
      <c r="NQW29" s="289"/>
      <c r="NQX29" s="289"/>
      <c r="NQY29" s="289"/>
      <c r="NQZ29" s="289"/>
      <c r="NRA29" s="289"/>
      <c r="NRB29" s="289"/>
      <c r="NRC29" s="289"/>
      <c r="NRD29" s="289"/>
      <c r="NRE29" s="289"/>
      <c r="NRF29" s="289"/>
      <c r="NRG29" s="289"/>
      <c r="NRH29" s="289"/>
      <c r="NRI29" s="289"/>
      <c r="NRJ29" s="289"/>
      <c r="NRK29" s="289"/>
      <c r="NRL29" s="289"/>
      <c r="NRM29" s="289"/>
      <c r="NRN29" s="289"/>
      <c r="NRO29" s="289"/>
      <c r="NRP29" s="289"/>
      <c r="NRQ29" s="289"/>
      <c r="NRR29" s="289"/>
      <c r="NRS29" s="289"/>
      <c r="NRT29" s="289"/>
      <c r="NRU29" s="289"/>
      <c r="NRV29" s="289"/>
      <c r="NRW29" s="289"/>
      <c r="NRX29" s="289"/>
      <c r="NRY29" s="289"/>
      <c r="NRZ29" s="289"/>
      <c r="NSA29" s="289"/>
      <c r="NSB29" s="289"/>
      <c r="NSC29" s="289"/>
      <c r="NSD29" s="289"/>
      <c r="NSE29" s="289"/>
      <c r="NSF29" s="289"/>
      <c r="NSG29" s="289"/>
      <c r="NSH29" s="289"/>
      <c r="NSI29" s="289"/>
      <c r="NSJ29" s="289"/>
      <c r="NSK29" s="289"/>
      <c r="NSL29" s="289"/>
      <c r="NSM29" s="289"/>
      <c r="NSN29" s="289"/>
      <c r="NSO29" s="289"/>
      <c r="NSP29" s="289"/>
      <c r="NSQ29" s="289"/>
      <c r="NSR29" s="289"/>
      <c r="NSS29" s="289"/>
      <c r="NST29" s="289"/>
      <c r="NSU29" s="289"/>
      <c r="NSV29" s="289"/>
      <c r="NSW29" s="289"/>
      <c r="NSX29" s="289"/>
      <c r="NSY29" s="289"/>
      <c r="NSZ29" s="289"/>
      <c r="NTA29" s="289"/>
      <c r="NTB29" s="289"/>
      <c r="NTC29" s="289"/>
      <c r="NTD29" s="289"/>
      <c r="NTE29" s="289"/>
      <c r="NTF29" s="289"/>
      <c r="NTG29" s="289"/>
      <c r="NTH29" s="289"/>
      <c r="NTI29" s="289"/>
      <c r="NTJ29" s="289"/>
      <c r="NTK29" s="289"/>
      <c r="NTL29" s="289"/>
      <c r="NTM29" s="289"/>
      <c r="NTN29" s="289"/>
      <c r="NTO29" s="289"/>
      <c r="NTP29" s="289"/>
      <c r="NTQ29" s="289"/>
      <c r="NTR29" s="289"/>
      <c r="NTS29" s="289"/>
      <c r="NTT29" s="289"/>
      <c r="NTU29" s="289"/>
      <c r="NTV29" s="289"/>
      <c r="NTW29" s="289"/>
      <c r="NTX29" s="289"/>
      <c r="NTY29" s="289"/>
      <c r="NTZ29" s="289"/>
      <c r="NUA29" s="289"/>
      <c r="NUB29" s="289"/>
      <c r="NUC29" s="289"/>
      <c r="NUD29" s="289"/>
      <c r="NUE29" s="289"/>
      <c r="NUF29" s="289"/>
      <c r="NUG29" s="289"/>
      <c r="NUH29" s="289"/>
      <c r="NUI29" s="289"/>
      <c r="NUJ29" s="289"/>
      <c r="NUK29" s="289"/>
      <c r="NUL29" s="289"/>
      <c r="NUM29" s="289"/>
      <c r="NUN29" s="289"/>
      <c r="NUO29" s="289"/>
      <c r="NUP29" s="289"/>
      <c r="NUQ29" s="289"/>
      <c r="NUR29" s="289"/>
      <c r="NUS29" s="289"/>
      <c r="NUT29" s="289"/>
      <c r="NUU29" s="289"/>
      <c r="NUV29" s="289"/>
      <c r="NUW29" s="289"/>
      <c r="NUX29" s="289"/>
      <c r="NUY29" s="289"/>
      <c r="NUZ29" s="289"/>
      <c r="NVA29" s="289"/>
      <c r="NVB29" s="289"/>
      <c r="NVC29" s="289"/>
      <c r="NVD29" s="289"/>
      <c r="NVE29" s="289"/>
      <c r="NVF29" s="289"/>
      <c r="NVG29" s="289"/>
      <c r="NVH29" s="289"/>
      <c r="NVI29" s="289"/>
      <c r="NVJ29" s="289"/>
      <c r="NVK29" s="289"/>
      <c r="NVL29" s="289"/>
      <c r="NVM29" s="289"/>
      <c r="NVN29" s="289"/>
      <c r="NVO29" s="289"/>
      <c r="NVP29" s="289"/>
      <c r="NVQ29" s="289"/>
      <c r="NVR29" s="289"/>
      <c r="NVS29" s="289"/>
      <c r="NVT29" s="289"/>
      <c r="NVU29" s="289"/>
      <c r="NVV29" s="289"/>
      <c r="NVW29" s="289"/>
      <c r="NVX29" s="289"/>
      <c r="NVY29" s="289"/>
      <c r="NVZ29" s="289"/>
      <c r="NWA29" s="289"/>
      <c r="NWB29" s="289"/>
      <c r="NWC29" s="289"/>
      <c r="NWD29" s="289"/>
      <c r="NWE29" s="289"/>
      <c r="NWF29" s="289"/>
      <c r="NWG29" s="289"/>
      <c r="NWH29" s="289"/>
      <c r="NWI29" s="289"/>
      <c r="NWJ29" s="289"/>
      <c r="NWK29" s="289"/>
      <c r="NWL29" s="289"/>
      <c r="NWM29" s="289"/>
      <c r="NWN29" s="289"/>
      <c r="NWO29" s="289"/>
      <c r="NWP29" s="289"/>
      <c r="NWQ29" s="289"/>
      <c r="NWR29" s="289"/>
      <c r="NWS29" s="289"/>
      <c r="NWT29" s="289"/>
      <c r="NWU29" s="289"/>
      <c r="NWV29" s="289"/>
      <c r="NWW29" s="289"/>
      <c r="NWX29" s="289"/>
      <c r="NWY29" s="289"/>
      <c r="NWZ29" s="289"/>
      <c r="NXA29" s="289"/>
      <c r="NXB29" s="289"/>
      <c r="NXC29" s="289"/>
      <c r="NXD29" s="289"/>
      <c r="NXE29" s="289"/>
      <c r="NXF29" s="289"/>
      <c r="NXG29" s="289"/>
      <c r="NXH29" s="289"/>
      <c r="NXI29" s="289"/>
      <c r="NXJ29" s="289"/>
      <c r="NXK29" s="289"/>
      <c r="NXL29" s="289"/>
      <c r="NXM29" s="289"/>
      <c r="NXN29" s="289"/>
      <c r="NXO29" s="289"/>
      <c r="NXP29" s="289"/>
      <c r="NXQ29" s="289"/>
      <c r="NXR29" s="289"/>
      <c r="NXS29" s="289"/>
      <c r="NXT29" s="289"/>
      <c r="NXU29" s="289"/>
      <c r="NXV29" s="289"/>
      <c r="NXW29" s="289"/>
      <c r="NXX29" s="289"/>
      <c r="NXY29" s="289"/>
      <c r="NXZ29" s="289"/>
      <c r="NYA29" s="289"/>
      <c r="NYB29" s="289"/>
      <c r="NYC29" s="289"/>
      <c r="NYD29" s="289"/>
      <c r="NYE29" s="289"/>
      <c r="NYF29" s="289"/>
      <c r="NYG29" s="289"/>
      <c r="NYH29" s="289"/>
      <c r="NYI29" s="289"/>
      <c r="NYJ29" s="289"/>
      <c r="NYK29" s="289"/>
      <c r="NYL29" s="289"/>
      <c r="NYM29" s="289"/>
      <c r="NYN29" s="289"/>
      <c r="NYO29" s="289"/>
      <c r="NYP29" s="289"/>
      <c r="NYQ29" s="289"/>
      <c r="NYR29" s="289"/>
      <c r="NYS29" s="289"/>
      <c r="NYT29" s="289"/>
      <c r="NYU29" s="289"/>
      <c r="NYV29" s="289"/>
      <c r="NYW29" s="289"/>
      <c r="NYX29" s="289"/>
      <c r="NYY29" s="289"/>
      <c r="NYZ29" s="289"/>
      <c r="NZA29" s="289"/>
      <c r="NZB29" s="289"/>
      <c r="NZC29" s="289"/>
      <c r="NZD29" s="289"/>
      <c r="NZE29" s="289"/>
      <c r="NZF29" s="289"/>
      <c r="NZG29" s="289"/>
      <c r="NZH29" s="289"/>
      <c r="NZI29" s="289"/>
      <c r="NZJ29" s="289"/>
      <c r="NZK29" s="289"/>
      <c r="NZL29" s="289"/>
      <c r="NZM29" s="289"/>
      <c r="NZN29" s="289"/>
      <c r="NZO29" s="289"/>
      <c r="NZP29" s="289"/>
      <c r="NZQ29" s="289"/>
      <c r="NZR29" s="289"/>
      <c r="NZS29" s="289"/>
      <c r="NZT29" s="289"/>
      <c r="NZU29" s="289"/>
      <c r="NZV29" s="289"/>
      <c r="NZW29" s="289"/>
      <c r="NZX29" s="289"/>
      <c r="NZY29" s="289"/>
      <c r="NZZ29" s="289"/>
      <c r="OAA29" s="289"/>
      <c r="OAB29" s="289"/>
      <c r="OAC29" s="289"/>
      <c r="OAD29" s="289"/>
      <c r="OAE29" s="289"/>
      <c r="OAF29" s="289"/>
      <c r="OAG29" s="289"/>
      <c r="OAH29" s="289"/>
      <c r="OAI29" s="289"/>
      <c r="OAJ29" s="289"/>
      <c r="OAK29" s="289"/>
      <c r="OAL29" s="289"/>
      <c r="OAM29" s="289"/>
      <c r="OAN29" s="289"/>
      <c r="OAO29" s="289"/>
      <c r="OAP29" s="289"/>
      <c r="OAQ29" s="289"/>
      <c r="OAR29" s="289"/>
      <c r="OAS29" s="289"/>
      <c r="OAT29" s="289"/>
      <c r="OAU29" s="289"/>
      <c r="OAV29" s="289"/>
      <c r="OAW29" s="289"/>
      <c r="OAX29" s="289"/>
      <c r="OAY29" s="289"/>
      <c r="OAZ29" s="289"/>
      <c r="OBA29" s="289"/>
      <c r="OBB29" s="289"/>
      <c r="OBC29" s="289"/>
      <c r="OBD29" s="289"/>
      <c r="OBE29" s="289"/>
      <c r="OBF29" s="289"/>
      <c r="OBG29" s="289"/>
      <c r="OBH29" s="289"/>
      <c r="OBI29" s="289"/>
      <c r="OBJ29" s="289"/>
      <c r="OBK29" s="289"/>
      <c r="OBL29" s="289"/>
      <c r="OBM29" s="289"/>
      <c r="OBN29" s="289"/>
      <c r="OBO29" s="289"/>
      <c r="OBP29" s="289"/>
      <c r="OBQ29" s="289"/>
      <c r="OBR29" s="289"/>
      <c r="OBS29" s="289"/>
      <c r="OBT29" s="289"/>
      <c r="OBU29" s="289"/>
      <c r="OBV29" s="289"/>
      <c r="OBW29" s="289"/>
      <c r="OBX29" s="289"/>
      <c r="OBY29" s="289"/>
      <c r="OBZ29" s="289"/>
      <c r="OCA29" s="289"/>
      <c r="OCB29" s="289"/>
      <c r="OCC29" s="289"/>
      <c r="OCD29" s="289"/>
      <c r="OCE29" s="289"/>
      <c r="OCF29" s="289"/>
      <c r="OCG29" s="289"/>
      <c r="OCH29" s="289"/>
      <c r="OCI29" s="289"/>
      <c r="OCJ29" s="289"/>
      <c r="OCK29" s="289"/>
      <c r="OCL29" s="289"/>
      <c r="OCM29" s="289"/>
      <c r="OCN29" s="289"/>
      <c r="OCO29" s="289"/>
      <c r="OCP29" s="289"/>
      <c r="OCQ29" s="289"/>
      <c r="OCR29" s="289"/>
      <c r="OCS29" s="289"/>
      <c r="OCT29" s="289"/>
      <c r="OCU29" s="289"/>
      <c r="OCV29" s="289"/>
      <c r="OCW29" s="289"/>
      <c r="OCX29" s="289"/>
      <c r="OCY29" s="289"/>
      <c r="OCZ29" s="289"/>
      <c r="ODA29" s="289"/>
      <c r="ODB29" s="289"/>
      <c r="ODC29" s="289"/>
      <c r="ODD29" s="289"/>
      <c r="ODE29" s="289"/>
      <c r="ODF29" s="289"/>
      <c r="ODG29" s="289"/>
      <c r="ODH29" s="289"/>
      <c r="ODI29" s="289"/>
      <c r="ODJ29" s="289"/>
      <c r="ODK29" s="289"/>
      <c r="ODL29" s="289"/>
      <c r="ODM29" s="289"/>
      <c r="ODN29" s="289"/>
      <c r="ODO29" s="289"/>
      <c r="ODP29" s="289"/>
      <c r="ODQ29" s="289"/>
      <c r="ODR29" s="289"/>
      <c r="ODS29" s="289"/>
      <c r="ODT29" s="289"/>
      <c r="ODU29" s="289"/>
      <c r="ODV29" s="289"/>
      <c r="ODW29" s="289"/>
      <c r="ODX29" s="289"/>
      <c r="ODY29" s="289"/>
      <c r="ODZ29" s="289"/>
      <c r="OEA29" s="289"/>
      <c r="OEB29" s="289"/>
      <c r="OEC29" s="289"/>
      <c r="OED29" s="289"/>
      <c r="OEE29" s="289"/>
      <c r="OEF29" s="289"/>
      <c r="OEG29" s="289"/>
      <c r="OEH29" s="289"/>
      <c r="OEI29" s="289"/>
      <c r="OEJ29" s="289"/>
      <c r="OEK29" s="289"/>
      <c r="OEL29" s="289"/>
      <c r="OEM29" s="289"/>
      <c r="OEN29" s="289"/>
      <c r="OEO29" s="289"/>
      <c r="OEP29" s="289"/>
      <c r="OEQ29" s="289"/>
      <c r="OER29" s="289"/>
      <c r="OES29" s="289"/>
      <c r="OET29" s="289"/>
      <c r="OEU29" s="289"/>
      <c r="OEV29" s="289"/>
      <c r="OEW29" s="289"/>
      <c r="OEX29" s="289"/>
      <c r="OEY29" s="289"/>
      <c r="OEZ29" s="289"/>
      <c r="OFA29" s="289"/>
      <c r="OFB29" s="289"/>
      <c r="OFC29" s="289"/>
      <c r="OFD29" s="289"/>
      <c r="OFE29" s="289"/>
      <c r="OFF29" s="289"/>
      <c r="OFG29" s="289"/>
      <c r="OFH29" s="289"/>
      <c r="OFI29" s="289"/>
      <c r="OFJ29" s="289"/>
      <c r="OFK29" s="289"/>
      <c r="OFL29" s="289"/>
      <c r="OFM29" s="289"/>
      <c r="OFN29" s="289"/>
      <c r="OFO29" s="289"/>
      <c r="OFP29" s="289"/>
      <c r="OFQ29" s="289"/>
      <c r="OFR29" s="289"/>
      <c r="OFS29" s="289"/>
      <c r="OFT29" s="289"/>
      <c r="OFU29" s="289"/>
      <c r="OFV29" s="289"/>
      <c r="OFW29" s="289"/>
      <c r="OFX29" s="289"/>
      <c r="OFY29" s="289"/>
      <c r="OFZ29" s="289"/>
      <c r="OGA29" s="289"/>
      <c r="OGB29" s="289"/>
      <c r="OGC29" s="289"/>
      <c r="OGD29" s="289"/>
      <c r="OGE29" s="289"/>
      <c r="OGF29" s="289"/>
      <c r="OGG29" s="289"/>
      <c r="OGH29" s="289"/>
      <c r="OGI29" s="289"/>
      <c r="OGJ29" s="289"/>
      <c r="OGK29" s="289"/>
      <c r="OGL29" s="289"/>
      <c r="OGM29" s="289"/>
      <c r="OGN29" s="289"/>
      <c r="OGO29" s="289"/>
      <c r="OGP29" s="289"/>
      <c r="OGQ29" s="289"/>
      <c r="OGR29" s="289"/>
      <c r="OGS29" s="289"/>
      <c r="OGT29" s="289"/>
      <c r="OGU29" s="289"/>
      <c r="OGV29" s="289"/>
      <c r="OGW29" s="289"/>
      <c r="OGX29" s="289"/>
      <c r="OGY29" s="289"/>
      <c r="OGZ29" s="289"/>
      <c r="OHA29" s="289"/>
      <c r="OHB29" s="289"/>
      <c r="OHC29" s="289"/>
      <c r="OHD29" s="289"/>
      <c r="OHE29" s="289"/>
      <c r="OHF29" s="289"/>
      <c r="OHG29" s="289"/>
      <c r="OHH29" s="289"/>
      <c r="OHI29" s="289"/>
      <c r="OHJ29" s="289"/>
      <c r="OHK29" s="289"/>
      <c r="OHL29" s="289"/>
      <c r="OHM29" s="289"/>
      <c r="OHN29" s="289"/>
      <c r="OHO29" s="289"/>
      <c r="OHP29" s="289"/>
      <c r="OHQ29" s="289"/>
      <c r="OHR29" s="289"/>
      <c r="OHS29" s="289"/>
      <c r="OHT29" s="289"/>
      <c r="OHU29" s="289"/>
      <c r="OHV29" s="289"/>
      <c r="OHW29" s="289"/>
      <c r="OHX29" s="289"/>
      <c r="OHY29" s="289"/>
      <c r="OHZ29" s="289"/>
      <c r="OIA29" s="289"/>
      <c r="OIB29" s="289"/>
      <c r="OIC29" s="289"/>
      <c r="OID29" s="289"/>
      <c r="OIE29" s="289"/>
      <c r="OIF29" s="289"/>
      <c r="OIG29" s="289"/>
      <c r="OIH29" s="289"/>
      <c r="OII29" s="289"/>
      <c r="OIJ29" s="289"/>
      <c r="OIK29" s="289"/>
      <c r="OIL29" s="289"/>
      <c r="OIM29" s="289"/>
      <c r="OIN29" s="289"/>
      <c r="OIO29" s="289"/>
      <c r="OIP29" s="289"/>
      <c r="OIQ29" s="289"/>
      <c r="OIR29" s="289"/>
      <c r="OIS29" s="289"/>
      <c r="OIT29" s="289"/>
      <c r="OIU29" s="289"/>
      <c r="OIV29" s="289"/>
      <c r="OIW29" s="289"/>
      <c r="OIX29" s="289"/>
      <c r="OIY29" s="289"/>
      <c r="OIZ29" s="289"/>
      <c r="OJA29" s="289"/>
      <c r="OJB29" s="289"/>
      <c r="OJC29" s="289"/>
      <c r="OJD29" s="289"/>
      <c r="OJE29" s="289"/>
      <c r="OJF29" s="289"/>
      <c r="OJG29" s="289"/>
      <c r="OJH29" s="289"/>
      <c r="OJI29" s="289"/>
      <c r="OJJ29" s="289"/>
      <c r="OJK29" s="289"/>
      <c r="OJL29" s="289"/>
      <c r="OJM29" s="289"/>
      <c r="OJN29" s="289"/>
      <c r="OJO29" s="289"/>
      <c r="OJP29" s="289"/>
      <c r="OJQ29" s="289"/>
      <c r="OJR29" s="289"/>
      <c r="OJS29" s="289"/>
      <c r="OJT29" s="289"/>
      <c r="OJU29" s="289"/>
      <c r="OJV29" s="289"/>
      <c r="OJW29" s="289"/>
      <c r="OJX29" s="289"/>
      <c r="OJY29" s="289"/>
      <c r="OJZ29" s="289"/>
      <c r="OKA29" s="289"/>
      <c r="OKB29" s="289"/>
      <c r="OKC29" s="289"/>
      <c r="OKD29" s="289"/>
      <c r="OKE29" s="289"/>
      <c r="OKF29" s="289"/>
      <c r="OKG29" s="289"/>
      <c r="OKH29" s="289"/>
      <c r="OKI29" s="289"/>
      <c r="OKJ29" s="289"/>
      <c r="OKK29" s="289"/>
      <c r="OKL29" s="289"/>
      <c r="OKM29" s="289"/>
      <c r="OKN29" s="289"/>
      <c r="OKO29" s="289"/>
      <c r="OKP29" s="289"/>
      <c r="OKQ29" s="289"/>
      <c r="OKR29" s="289"/>
      <c r="OKS29" s="289"/>
      <c r="OKT29" s="289"/>
      <c r="OKU29" s="289"/>
      <c r="OKV29" s="289"/>
      <c r="OKW29" s="289"/>
      <c r="OKX29" s="289"/>
      <c r="OKY29" s="289"/>
      <c r="OKZ29" s="289"/>
      <c r="OLA29" s="289"/>
      <c r="OLB29" s="289"/>
      <c r="OLC29" s="289"/>
      <c r="OLD29" s="289"/>
      <c r="OLE29" s="289"/>
      <c r="OLF29" s="289"/>
      <c r="OLG29" s="289"/>
      <c r="OLH29" s="289"/>
      <c r="OLI29" s="289"/>
      <c r="OLJ29" s="289"/>
      <c r="OLK29" s="289"/>
      <c r="OLL29" s="289"/>
      <c r="OLM29" s="289"/>
      <c r="OLN29" s="289"/>
      <c r="OLO29" s="289"/>
      <c r="OLP29" s="289"/>
      <c r="OLQ29" s="289"/>
      <c r="OLR29" s="289"/>
      <c r="OLS29" s="289"/>
      <c r="OLT29" s="289"/>
      <c r="OLU29" s="289"/>
      <c r="OLV29" s="289"/>
      <c r="OLW29" s="289"/>
      <c r="OLX29" s="289"/>
      <c r="OLY29" s="289"/>
      <c r="OLZ29" s="289"/>
      <c r="OMA29" s="289"/>
      <c r="OMB29" s="289"/>
      <c r="OMC29" s="289"/>
      <c r="OMD29" s="289"/>
      <c r="OME29" s="289"/>
      <c r="OMF29" s="289"/>
      <c r="OMG29" s="289"/>
      <c r="OMH29" s="289"/>
      <c r="OMI29" s="289"/>
      <c r="OMJ29" s="289"/>
      <c r="OMK29" s="289"/>
      <c r="OML29" s="289"/>
      <c r="OMM29" s="289"/>
      <c r="OMN29" s="289"/>
      <c r="OMO29" s="289"/>
      <c r="OMP29" s="289"/>
      <c r="OMQ29" s="289"/>
      <c r="OMR29" s="289"/>
      <c r="OMS29" s="289"/>
      <c r="OMT29" s="289"/>
      <c r="OMU29" s="289"/>
      <c r="OMV29" s="289"/>
      <c r="OMW29" s="289"/>
      <c r="OMX29" s="289"/>
      <c r="OMY29" s="289"/>
      <c r="OMZ29" s="289"/>
      <c r="ONA29" s="289"/>
      <c r="ONB29" s="289"/>
      <c r="ONC29" s="289"/>
      <c r="OND29" s="289"/>
      <c r="ONE29" s="289"/>
      <c r="ONF29" s="289"/>
      <c r="ONG29" s="289"/>
      <c r="ONH29" s="289"/>
      <c r="ONI29" s="289"/>
      <c r="ONJ29" s="289"/>
      <c r="ONK29" s="289"/>
      <c r="ONL29" s="289"/>
      <c r="ONM29" s="289"/>
      <c r="ONN29" s="289"/>
      <c r="ONO29" s="289"/>
      <c r="ONP29" s="289"/>
      <c r="ONQ29" s="289"/>
      <c r="ONR29" s="289"/>
      <c r="ONS29" s="289"/>
      <c r="ONT29" s="289"/>
      <c r="ONU29" s="289"/>
      <c r="ONV29" s="289"/>
      <c r="ONW29" s="289"/>
      <c r="ONX29" s="289"/>
      <c r="ONY29" s="289"/>
      <c r="ONZ29" s="289"/>
      <c r="OOA29" s="289"/>
      <c r="OOB29" s="289"/>
      <c r="OOC29" s="289"/>
      <c r="OOD29" s="289"/>
      <c r="OOE29" s="289"/>
      <c r="OOF29" s="289"/>
      <c r="OOG29" s="289"/>
      <c r="OOH29" s="289"/>
      <c r="OOI29" s="289"/>
      <c r="OOJ29" s="289"/>
      <c r="OOK29" s="289"/>
      <c r="OOL29" s="289"/>
      <c r="OOM29" s="289"/>
      <c r="OON29" s="289"/>
      <c r="OOO29" s="289"/>
      <c r="OOP29" s="289"/>
      <c r="OOQ29" s="289"/>
      <c r="OOR29" s="289"/>
      <c r="OOS29" s="289"/>
      <c r="OOT29" s="289"/>
      <c r="OOU29" s="289"/>
      <c r="OOV29" s="289"/>
      <c r="OOW29" s="289"/>
      <c r="OOX29" s="289"/>
      <c r="OOY29" s="289"/>
      <c r="OOZ29" s="289"/>
      <c r="OPA29" s="289"/>
      <c r="OPB29" s="289"/>
      <c r="OPC29" s="289"/>
      <c r="OPD29" s="289"/>
      <c r="OPE29" s="289"/>
      <c r="OPF29" s="289"/>
      <c r="OPG29" s="289"/>
      <c r="OPH29" s="289"/>
      <c r="OPI29" s="289"/>
      <c r="OPJ29" s="289"/>
      <c r="OPK29" s="289"/>
      <c r="OPL29" s="289"/>
      <c r="OPM29" s="289"/>
      <c r="OPN29" s="289"/>
      <c r="OPO29" s="289"/>
      <c r="OPP29" s="289"/>
      <c r="OPQ29" s="289"/>
      <c r="OPR29" s="289"/>
      <c r="OPS29" s="289"/>
      <c r="OPT29" s="289"/>
      <c r="OPU29" s="289"/>
      <c r="OPV29" s="289"/>
      <c r="OPW29" s="289"/>
      <c r="OPX29" s="289"/>
      <c r="OPY29" s="289"/>
      <c r="OPZ29" s="289"/>
      <c r="OQA29" s="289"/>
      <c r="OQB29" s="289"/>
      <c r="OQC29" s="289"/>
      <c r="OQD29" s="289"/>
      <c r="OQE29" s="289"/>
      <c r="OQF29" s="289"/>
      <c r="OQG29" s="289"/>
      <c r="OQH29" s="289"/>
      <c r="OQI29" s="289"/>
      <c r="OQJ29" s="289"/>
      <c r="OQK29" s="289"/>
      <c r="OQL29" s="289"/>
      <c r="OQM29" s="289"/>
      <c r="OQN29" s="289"/>
      <c r="OQO29" s="289"/>
      <c r="OQP29" s="289"/>
      <c r="OQQ29" s="289"/>
      <c r="OQR29" s="289"/>
      <c r="OQS29" s="289"/>
      <c r="OQT29" s="289"/>
      <c r="OQU29" s="289"/>
      <c r="OQV29" s="289"/>
      <c r="OQW29" s="289"/>
      <c r="OQX29" s="289"/>
      <c r="OQY29" s="289"/>
      <c r="OQZ29" s="289"/>
      <c r="ORA29" s="289"/>
      <c r="ORB29" s="289"/>
      <c r="ORC29" s="289"/>
      <c r="ORD29" s="289"/>
      <c r="ORE29" s="289"/>
      <c r="ORF29" s="289"/>
      <c r="ORG29" s="289"/>
      <c r="ORH29" s="289"/>
      <c r="ORI29" s="289"/>
      <c r="ORJ29" s="289"/>
      <c r="ORK29" s="289"/>
      <c r="ORL29" s="289"/>
      <c r="ORM29" s="289"/>
      <c r="ORN29" s="289"/>
      <c r="ORO29" s="289"/>
      <c r="ORP29" s="289"/>
      <c r="ORQ29" s="289"/>
      <c r="ORR29" s="289"/>
      <c r="ORS29" s="289"/>
      <c r="ORT29" s="289"/>
      <c r="ORU29" s="289"/>
      <c r="ORV29" s="289"/>
      <c r="ORW29" s="289"/>
      <c r="ORX29" s="289"/>
      <c r="ORY29" s="289"/>
      <c r="ORZ29" s="289"/>
      <c r="OSA29" s="289"/>
      <c r="OSB29" s="289"/>
      <c r="OSC29" s="289"/>
      <c r="OSD29" s="289"/>
      <c r="OSE29" s="289"/>
      <c r="OSF29" s="289"/>
      <c r="OSG29" s="289"/>
      <c r="OSH29" s="289"/>
      <c r="OSI29" s="289"/>
      <c r="OSJ29" s="289"/>
      <c r="OSK29" s="289"/>
      <c r="OSL29" s="289"/>
      <c r="OSM29" s="289"/>
      <c r="OSN29" s="289"/>
      <c r="OSO29" s="289"/>
      <c r="OSP29" s="289"/>
      <c r="OSQ29" s="289"/>
      <c r="OSR29" s="289"/>
      <c r="OSS29" s="289"/>
      <c r="OST29" s="289"/>
      <c r="OSU29" s="289"/>
      <c r="OSV29" s="289"/>
      <c r="OSW29" s="289"/>
      <c r="OSX29" s="289"/>
      <c r="OSY29" s="289"/>
      <c r="OSZ29" s="289"/>
      <c r="OTA29" s="289"/>
      <c r="OTB29" s="289"/>
      <c r="OTC29" s="289"/>
      <c r="OTD29" s="289"/>
      <c r="OTE29" s="289"/>
      <c r="OTF29" s="289"/>
      <c r="OTG29" s="289"/>
      <c r="OTH29" s="289"/>
      <c r="OTI29" s="289"/>
      <c r="OTJ29" s="289"/>
      <c r="OTK29" s="289"/>
      <c r="OTL29" s="289"/>
      <c r="OTM29" s="289"/>
      <c r="OTN29" s="289"/>
      <c r="OTO29" s="289"/>
      <c r="OTP29" s="289"/>
      <c r="OTQ29" s="289"/>
      <c r="OTR29" s="289"/>
      <c r="OTS29" s="289"/>
      <c r="OTT29" s="289"/>
      <c r="OTU29" s="289"/>
      <c r="OTV29" s="289"/>
      <c r="OTW29" s="289"/>
      <c r="OTX29" s="289"/>
      <c r="OTY29" s="289"/>
      <c r="OTZ29" s="289"/>
      <c r="OUA29" s="289"/>
      <c r="OUB29" s="289"/>
      <c r="OUC29" s="289"/>
      <c r="OUD29" s="289"/>
      <c r="OUE29" s="289"/>
      <c r="OUF29" s="289"/>
      <c r="OUG29" s="289"/>
      <c r="OUH29" s="289"/>
      <c r="OUI29" s="289"/>
      <c r="OUJ29" s="289"/>
      <c r="OUK29" s="289"/>
      <c r="OUL29" s="289"/>
      <c r="OUM29" s="289"/>
      <c r="OUN29" s="289"/>
      <c r="OUO29" s="289"/>
      <c r="OUP29" s="289"/>
      <c r="OUQ29" s="289"/>
      <c r="OUR29" s="289"/>
      <c r="OUS29" s="289"/>
      <c r="OUT29" s="289"/>
      <c r="OUU29" s="289"/>
      <c r="OUV29" s="289"/>
      <c r="OUW29" s="289"/>
      <c r="OUX29" s="289"/>
      <c r="OUY29" s="289"/>
      <c r="OUZ29" s="289"/>
      <c r="OVA29" s="289"/>
      <c r="OVB29" s="289"/>
      <c r="OVC29" s="289"/>
      <c r="OVD29" s="289"/>
      <c r="OVE29" s="289"/>
      <c r="OVF29" s="289"/>
      <c r="OVG29" s="289"/>
      <c r="OVH29" s="289"/>
      <c r="OVI29" s="289"/>
      <c r="OVJ29" s="289"/>
      <c r="OVK29" s="289"/>
      <c r="OVL29" s="289"/>
      <c r="OVM29" s="289"/>
      <c r="OVN29" s="289"/>
      <c r="OVO29" s="289"/>
      <c r="OVP29" s="289"/>
      <c r="OVQ29" s="289"/>
      <c r="OVR29" s="289"/>
      <c r="OVS29" s="289"/>
      <c r="OVT29" s="289"/>
      <c r="OVU29" s="289"/>
      <c r="OVV29" s="289"/>
      <c r="OVW29" s="289"/>
      <c r="OVX29" s="289"/>
      <c r="OVY29" s="289"/>
      <c r="OVZ29" s="289"/>
      <c r="OWA29" s="289"/>
      <c r="OWB29" s="289"/>
      <c r="OWC29" s="289"/>
      <c r="OWD29" s="289"/>
      <c r="OWE29" s="289"/>
      <c r="OWF29" s="289"/>
      <c r="OWG29" s="289"/>
      <c r="OWH29" s="289"/>
      <c r="OWI29" s="289"/>
      <c r="OWJ29" s="289"/>
      <c r="OWK29" s="289"/>
      <c r="OWL29" s="289"/>
      <c r="OWM29" s="289"/>
      <c r="OWN29" s="289"/>
      <c r="OWO29" s="289"/>
      <c r="OWP29" s="289"/>
      <c r="OWQ29" s="289"/>
      <c r="OWR29" s="289"/>
      <c r="OWS29" s="289"/>
      <c r="OWT29" s="289"/>
      <c r="OWU29" s="289"/>
      <c r="OWV29" s="289"/>
      <c r="OWW29" s="289"/>
      <c r="OWX29" s="289"/>
      <c r="OWY29" s="289"/>
      <c r="OWZ29" s="289"/>
      <c r="OXA29" s="289"/>
      <c r="OXB29" s="289"/>
      <c r="OXC29" s="289"/>
      <c r="OXD29" s="289"/>
      <c r="OXE29" s="289"/>
      <c r="OXF29" s="289"/>
      <c r="OXG29" s="289"/>
      <c r="OXH29" s="289"/>
      <c r="OXI29" s="289"/>
      <c r="OXJ29" s="289"/>
      <c r="OXK29" s="289"/>
      <c r="OXL29" s="289"/>
      <c r="OXM29" s="289"/>
      <c r="OXN29" s="289"/>
      <c r="OXO29" s="289"/>
      <c r="OXP29" s="289"/>
      <c r="OXQ29" s="289"/>
      <c r="OXR29" s="289"/>
      <c r="OXS29" s="289"/>
      <c r="OXT29" s="289"/>
      <c r="OXU29" s="289"/>
      <c r="OXV29" s="289"/>
      <c r="OXW29" s="289"/>
      <c r="OXX29" s="289"/>
      <c r="OXY29" s="289"/>
      <c r="OXZ29" s="289"/>
      <c r="OYA29" s="289"/>
      <c r="OYB29" s="289"/>
      <c r="OYC29" s="289"/>
      <c r="OYD29" s="289"/>
      <c r="OYE29" s="289"/>
      <c r="OYF29" s="289"/>
      <c r="OYG29" s="289"/>
      <c r="OYH29" s="289"/>
      <c r="OYI29" s="289"/>
      <c r="OYJ29" s="289"/>
      <c r="OYK29" s="289"/>
      <c r="OYL29" s="289"/>
      <c r="OYM29" s="289"/>
      <c r="OYN29" s="289"/>
      <c r="OYO29" s="289"/>
      <c r="OYP29" s="289"/>
      <c r="OYQ29" s="289"/>
      <c r="OYR29" s="289"/>
      <c r="OYS29" s="289"/>
      <c r="OYT29" s="289"/>
      <c r="OYU29" s="289"/>
      <c r="OYV29" s="289"/>
      <c r="OYW29" s="289"/>
      <c r="OYX29" s="289"/>
      <c r="OYY29" s="289"/>
      <c r="OYZ29" s="289"/>
      <c r="OZA29" s="289"/>
      <c r="OZB29" s="289"/>
      <c r="OZC29" s="289"/>
      <c r="OZD29" s="289"/>
      <c r="OZE29" s="289"/>
      <c r="OZF29" s="289"/>
      <c r="OZG29" s="289"/>
      <c r="OZH29" s="289"/>
      <c r="OZI29" s="289"/>
      <c r="OZJ29" s="289"/>
      <c r="OZK29" s="289"/>
      <c r="OZL29" s="289"/>
      <c r="OZM29" s="289"/>
      <c r="OZN29" s="289"/>
      <c r="OZO29" s="289"/>
      <c r="OZP29" s="289"/>
      <c r="OZQ29" s="289"/>
      <c r="OZR29" s="289"/>
      <c r="OZS29" s="289"/>
      <c r="OZT29" s="289"/>
      <c r="OZU29" s="289"/>
      <c r="OZV29" s="289"/>
      <c r="OZW29" s="289"/>
      <c r="OZX29" s="289"/>
      <c r="OZY29" s="289"/>
      <c r="OZZ29" s="289"/>
      <c r="PAA29" s="289"/>
      <c r="PAB29" s="289"/>
      <c r="PAC29" s="289"/>
      <c r="PAD29" s="289"/>
      <c r="PAE29" s="289"/>
      <c r="PAF29" s="289"/>
      <c r="PAG29" s="289"/>
      <c r="PAH29" s="289"/>
      <c r="PAI29" s="289"/>
      <c r="PAJ29" s="289"/>
      <c r="PAK29" s="289"/>
      <c r="PAL29" s="289"/>
      <c r="PAM29" s="289"/>
      <c r="PAN29" s="289"/>
      <c r="PAO29" s="289"/>
      <c r="PAP29" s="289"/>
      <c r="PAQ29" s="289"/>
      <c r="PAR29" s="289"/>
      <c r="PAS29" s="289"/>
      <c r="PAT29" s="289"/>
      <c r="PAU29" s="289"/>
      <c r="PAV29" s="289"/>
      <c r="PAW29" s="289"/>
      <c r="PAX29" s="289"/>
      <c r="PAY29" s="289"/>
      <c r="PAZ29" s="289"/>
      <c r="PBA29" s="289"/>
      <c r="PBB29" s="289"/>
      <c r="PBC29" s="289"/>
      <c r="PBD29" s="289"/>
      <c r="PBE29" s="289"/>
      <c r="PBF29" s="289"/>
      <c r="PBG29" s="289"/>
      <c r="PBH29" s="289"/>
      <c r="PBI29" s="289"/>
      <c r="PBJ29" s="289"/>
      <c r="PBK29" s="289"/>
      <c r="PBL29" s="289"/>
      <c r="PBM29" s="289"/>
      <c r="PBN29" s="289"/>
      <c r="PBO29" s="289"/>
      <c r="PBP29" s="289"/>
      <c r="PBQ29" s="289"/>
      <c r="PBR29" s="289"/>
      <c r="PBS29" s="289"/>
      <c r="PBT29" s="289"/>
      <c r="PBU29" s="289"/>
      <c r="PBV29" s="289"/>
      <c r="PBW29" s="289"/>
      <c r="PBX29" s="289"/>
      <c r="PBY29" s="289"/>
      <c r="PBZ29" s="289"/>
      <c r="PCA29" s="289"/>
      <c r="PCB29" s="289"/>
      <c r="PCC29" s="289"/>
      <c r="PCD29" s="289"/>
      <c r="PCE29" s="289"/>
      <c r="PCF29" s="289"/>
      <c r="PCG29" s="289"/>
      <c r="PCH29" s="289"/>
      <c r="PCI29" s="289"/>
      <c r="PCJ29" s="289"/>
      <c r="PCK29" s="289"/>
      <c r="PCL29" s="289"/>
      <c r="PCM29" s="289"/>
      <c r="PCN29" s="289"/>
      <c r="PCO29" s="289"/>
      <c r="PCP29" s="289"/>
      <c r="PCQ29" s="289"/>
      <c r="PCR29" s="289"/>
      <c r="PCS29" s="289"/>
      <c r="PCT29" s="289"/>
      <c r="PCU29" s="289"/>
      <c r="PCV29" s="289"/>
      <c r="PCW29" s="289"/>
      <c r="PCX29" s="289"/>
      <c r="PCY29" s="289"/>
      <c r="PCZ29" s="289"/>
      <c r="PDA29" s="289"/>
      <c r="PDB29" s="289"/>
      <c r="PDC29" s="289"/>
      <c r="PDD29" s="289"/>
      <c r="PDE29" s="289"/>
      <c r="PDF29" s="289"/>
      <c r="PDG29" s="289"/>
      <c r="PDH29" s="289"/>
      <c r="PDI29" s="289"/>
      <c r="PDJ29" s="289"/>
      <c r="PDK29" s="289"/>
      <c r="PDL29" s="289"/>
      <c r="PDM29" s="289"/>
      <c r="PDN29" s="289"/>
      <c r="PDO29" s="289"/>
      <c r="PDP29" s="289"/>
      <c r="PDQ29" s="289"/>
      <c r="PDR29" s="289"/>
      <c r="PDS29" s="289"/>
      <c r="PDT29" s="289"/>
      <c r="PDU29" s="289"/>
      <c r="PDV29" s="289"/>
      <c r="PDW29" s="289"/>
      <c r="PDX29" s="289"/>
      <c r="PDY29" s="289"/>
      <c r="PDZ29" s="289"/>
      <c r="PEA29" s="289"/>
      <c r="PEB29" s="289"/>
      <c r="PEC29" s="289"/>
      <c r="PED29" s="289"/>
      <c r="PEE29" s="289"/>
      <c r="PEF29" s="289"/>
      <c r="PEG29" s="289"/>
      <c r="PEH29" s="289"/>
      <c r="PEI29" s="289"/>
      <c r="PEJ29" s="289"/>
      <c r="PEK29" s="289"/>
      <c r="PEL29" s="289"/>
      <c r="PEM29" s="289"/>
      <c r="PEN29" s="289"/>
      <c r="PEO29" s="289"/>
      <c r="PEP29" s="289"/>
      <c r="PEQ29" s="289"/>
      <c r="PER29" s="289"/>
      <c r="PES29" s="289"/>
      <c r="PET29" s="289"/>
      <c r="PEU29" s="289"/>
      <c r="PEV29" s="289"/>
      <c r="PEW29" s="289"/>
      <c r="PEX29" s="289"/>
      <c r="PEY29" s="289"/>
      <c r="PEZ29" s="289"/>
      <c r="PFA29" s="289"/>
      <c r="PFB29" s="289"/>
      <c r="PFC29" s="289"/>
      <c r="PFD29" s="289"/>
      <c r="PFE29" s="289"/>
      <c r="PFF29" s="289"/>
      <c r="PFG29" s="289"/>
      <c r="PFH29" s="289"/>
      <c r="PFI29" s="289"/>
      <c r="PFJ29" s="289"/>
      <c r="PFK29" s="289"/>
      <c r="PFL29" s="289"/>
      <c r="PFM29" s="289"/>
      <c r="PFN29" s="289"/>
      <c r="PFO29" s="289"/>
      <c r="PFP29" s="289"/>
      <c r="PFQ29" s="289"/>
      <c r="PFR29" s="289"/>
      <c r="PFS29" s="289"/>
      <c r="PFT29" s="289"/>
      <c r="PFU29" s="289"/>
      <c r="PFV29" s="289"/>
      <c r="PFW29" s="289"/>
      <c r="PFX29" s="289"/>
      <c r="PFY29" s="289"/>
      <c r="PFZ29" s="289"/>
      <c r="PGA29" s="289"/>
      <c r="PGB29" s="289"/>
      <c r="PGC29" s="289"/>
      <c r="PGD29" s="289"/>
      <c r="PGE29" s="289"/>
      <c r="PGF29" s="289"/>
      <c r="PGG29" s="289"/>
      <c r="PGH29" s="289"/>
      <c r="PGI29" s="289"/>
      <c r="PGJ29" s="289"/>
      <c r="PGK29" s="289"/>
      <c r="PGL29" s="289"/>
      <c r="PGM29" s="289"/>
      <c r="PGN29" s="289"/>
      <c r="PGO29" s="289"/>
      <c r="PGP29" s="289"/>
      <c r="PGQ29" s="289"/>
      <c r="PGR29" s="289"/>
      <c r="PGS29" s="289"/>
      <c r="PGT29" s="289"/>
      <c r="PGU29" s="289"/>
      <c r="PGV29" s="289"/>
      <c r="PGW29" s="289"/>
      <c r="PGX29" s="289"/>
      <c r="PGY29" s="289"/>
      <c r="PGZ29" s="289"/>
      <c r="PHA29" s="289"/>
      <c r="PHB29" s="289"/>
      <c r="PHC29" s="289"/>
      <c r="PHD29" s="289"/>
      <c r="PHE29" s="289"/>
      <c r="PHF29" s="289"/>
      <c r="PHG29" s="289"/>
      <c r="PHH29" s="289"/>
      <c r="PHI29" s="289"/>
      <c r="PHJ29" s="289"/>
      <c r="PHK29" s="289"/>
      <c r="PHL29" s="289"/>
      <c r="PHM29" s="289"/>
      <c r="PHN29" s="289"/>
      <c r="PHO29" s="289"/>
      <c r="PHP29" s="289"/>
      <c r="PHQ29" s="289"/>
      <c r="PHR29" s="289"/>
      <c r="PHS29" s="289"/>
      <c r="PHT29" s="289"/>
      <c r="PHU29" s="289"/>
      <c r="PHV29" s="289"/>
      <c r="PHW29" s="289"/>
      <c r="PHX29" s="289"/>
      <c r="PHY29" s="289"/>
      <c r="PHZ29" s="289"/>
      <c r="PIA29" s="289"/>
      <c r="PIB29" s="289"/>
      <c r="PIC29" s="289"/>
      <c r="PID29" s="289"/>
      <c r="PIE29" s="289"/>
      <c r="PIF29" s="289"/>
      <c r="PIG29" s="289"/>
      <c r="PIH29" s="289"/>
      <c r="PII29" s="289"/>
      <c r="PIJ29" s="289"/>
      <c r="PIK29" s="289"/>
      <c r="PIL29" s="289"/>
      <c r="PIM29" s="289"/>
      <c r="PIN29" s="289"/>
      <c r="PIO29" s="289"/>
      <c r="PIP29" s="289"/>
      <c r="PIQ29" s="289"/>
      <c r="PIR29" s="289"/>
      <c r="PIS29" s="289"/>
      <c r="PIT29" s="289"/>
      <c r="PIU29" s="289"/>
      <c r="PIV29" s="289"/>
      <c r="PIW29" s="289"/>
      <c r="PIX29" s="289"/>
      <c r="PIY29" s="289"/>
      <c r="PIZ29" s="289"/>
      <c r="PJA29" s="289"/>
      <c r="PJB29" s="289"/>
      <c r="PJC29" s="289"/>
      <c r="PJD29" s="289"/>
      <c r="PJE29" s="289"/>
      <c r="PJF29" s="289"/>
      <c r="PJG29" s="289"/>
      <c r="PJH29" s="289"/>
      <c r="PJI29" s="289"/>
      <c r="PJJ29" s="289"/>
      <c r="PJK29" s="289"/>
      <c r="PJL29" s="289"/>
      <c r="PJM29" s="289"/>
      <c r="PJN29" s="289"/>
      <c r="PJO29" s="289"/>
      <c r="PJP29" s="289"/>
      <c r="PJQ29" s="289"/>
      <c r="PJR29" s="289"/>
      <c r="PJS29" s="289"/>
      <c r="PJT29" s="289"/>
      <c r="PJU29" s="289"/>
      <c r="PJV29" s="289"/>
      <c r="PJW29" s="289"/>
      <c r="PJX29" s="289"/>
      <c r="PJY29" s="289"/>
      <c r="PJZ29" s="289"/>
      <c r="PKA29" s="289"/>
      <c r="PKB29" s="289"/>
      <c r="PKC29" s="289"/>
      <c r="PKD29" s="289"/>
      <c r="PKE29" s="289"/>
      <c r="PKF29" s="289"/>
      <c r="PKG29" s="289"/>
      <c r="PKH29" s="289"/>
      <c r="PKI29" s="289"/>
      <c r="PKJ29" s="289"/>
      <c r="PKK29" s="289"/>
      <c r="PKL29" s="289"/>
      <c r="PKM29" s="289"/>
      <c r="PKN29" s="289"/>
      <c r="PKO29" s="289"/>
      <c r="PKP29" s="289"/>
      <c r="PKQ29" s="289"/>
      <c r="PKR29" s="289"/>
      <c r="PKS29" s="289"/>
      <c r="PKT29" s="289"/>
      <c r="PKU29" s="289"/>
      <c r="PKV29" s="289"/>
      <c r="PKW29" s="289"/>
      <c r="PKX29" s="289"/>
      <c r="PKY29" s="289"/>
      <c r="PKZ29" s="289"/>
      <c r="PLA29" s="289"/>
      <c r="PLB29" s="289"/>
      <c r="PLC29" s="289"/>
      <c r="PLD29" s="289"/>
      <c r="PLE29" s="289"/>
      <c r="PLF29" s="289"/>
      <c r="PLG29" s="289"/>
      <c r="PLH29" s="289"/>
      <c r="PLI29" s="289"/>
      <c r="PLJ29" s="289"/>
      <c r="PLK29" s="289"/>
      <c r="PLL29" s="289"/>
      <c r="PLM29" s="289"/>
      <c r="PLN29" s="289"/>
      <c r="PLO29" s="289"/>
      <c r="PLP29" s="289"/>
      <c r="PLQ29" s="289"/>
      <c r="PLR29" s="289"/>
      <c r="PLS29" s="289"/>
      <c r="PLT29" s="289"/>
      <c r="PLU29" s="289"/>
      <c r="PLV29" s="289"/>
      <c r="PLW29" s="289"/>
      <c r="PLX29" s="289"/>
      <c r="PLY29" s="289"/>
      <c r="PLZ29" s="289"/>
      <c r="PMA29" s="289"/>
      <c r="PMB29" s="289"/>
      <c r="PMC29" s="289"/>
      <c r="PMD29" s="289"/>
      <c r="PME29" s="289"/>
      <c r="PMF29" s="289"/>
      <c r="PMG29" s="289"/>
      <c r="PMH29" s="289"/>
      <c r="PMI29" s="289"/>
      <c r="PMJ29" s="289"/>
      <c r="PMK29" s="289"/>
      <c r="PML29" s="289"/>
      <c r="PMM29" s="289"/>
      <c r="PMN29" s="289"/>
      <c r="PMO29" s="289"/>
      <c r="PMP29" s="289"/>
      <c r="PMQ29" s="289"/>
      <c r="PMR29" s="289"/>
      <c r="PMS29" s="289"/>
      <c r="PMT29" s="289"/>
      <c r="PMU29" s="289"/>
      <c r="PMV29" s="289"/>
      <c r="PMW29" s="289"/>
      <c r="PMX29" s="289"/>
      <c r="PMY29" s="289"/>
      <c r="PMZ29" s="289"/>
      <c r="PNA29" s="289"/>
      <c r="PNB29" s="289"/>
      <c r="PNC29" s="289"/>
      <c r="PND29" s="289"/>
      <c r="PNE29" s="289"/>
      <c r="PNF29" s="289"/>
      <c r="PNG29" s="289"/>
      <c r="PNH29" s="289"/>
      <c r="PNI29" s="289"/>
      <c r="PNJ29" s="289"/>
      <c r="PNK29" s="289"/>
      <c r="PNL29" s="289"/>
      <c r="PNM29" s="289"/>
      <c r="PNN29" s="289"/>
      <c r="PNO29" s="289"/>
      <c r="PNP29" s="289"/>
      <c r="PNQ29" s="289"/>
      <c r="PNR29" s="289"/>
      <c r="PNS29" s="289"/>
      <c r="PNT29" s="289"/>
      <c r="PNU29" s="289"/>
      <c r="PNV29" s="289"/>
      <c r="PNW29" s="289"/>
      <c r="PNX29" s="289"/>
      <c r="PNY29" s="289"/>
      <c r="PNZ29" s="289"/>
      <c r="POA29" s="289"/>
      <c r="POB29" s="289"/>
      <c r="POC29" s="289"/>
      <c r="POD29" s="289"/>
      <c r="POE29" s="289"/>
      <c r="POF29" s="289"/>
      <c r="POG29" s="289"/>
      <c r="POH29" s="289"/>
      <c r="POI29" s="289"/>
      <c r="POJ29" s="289"/>
      <c r="POK29" s="289"/>
      <c r="POL29" s="289"/>
      <c r="POM29" s="289"/>
      <c r="PON29" s="289"/>
      <c r="POO29" s="289"/>
      <c r="POP29" s="289"/>
      <c r="POQ29" s="289"/>
      <c r="POR29" s="289"/>
      <c r="POS29" s="289"/>
      <c r="POT29" s="289"/>
      <c r="POU29" s="289"/>
      <c r="POV29" s="289"/>
      <c r="POW29" s="289"/>
      <c r="POX29" s="289"/>
      <c r="POY29" s="289"/>
      <c r="POZ29" s="289"/>
      <c r="PPA29" s="289"/>
      <c r="PPB29" s="289"/>
      <c r="PPC29" s="289"/>
      <c r="PPD29" s="289"/>
      <c r="PPE29" s="289"/>
      <c r="PPF29" s="289"/>
      <c r="PPG29" s="289"/>
      <c r="PPH29" s="289"/>
      <c r="PPI29" s="289"/>
      <c r="PPJ29" s="289"/>
      <c r="PPK29" s="289"/>
      <c r="PPL29" s="289"/>
      <c r="PPM29" s="289"/>
      <c r="PPN29" s="289"/>
      <c r="PPO29" s="289"/>
      <c r="PPP29" s="289"/>
      <c r="PPQ29" s="289"/>
      <c r="PPR29" s="289"/>
      <c r="PPS29" s="289"/>
      <c r="PPT29" s="289"/>
      <c r="PPU29" s="289"/>
      <c r="PPV29" s="289"/>
      <c r="PPW29" s="289"/>
      <c r="PPX29" s="289"/>
      <c r="PPY29" s="289"/>
      <c r="PPZ29" s="289"/>
      <c r="PQA29" s="289"/>
      <c r="PQB29" s="289"/>
      <c r="PQC29" s="289"/>
      <c r="PQD29" s="289"/>
      <c r="PQE29" s="289"/>
      <c r="PQF29" s="289"/>
      <c r="PQG29" s="289"/>
      <c r="PQH29" s="289"/>
      <c r="PQI29" s="289"/>
      <c r="PQJ29" s="289"/>
      <c r="PQK29" s="289"/>
      <c r="PQL29" s="289"/>
      <c r="PQM29" s="289"/>
      <c r="PQN29" s="289"/>
      <c r="PQO29" s="289"/>
      <c r="PQP29" s="289"/>
      <c r="PQQ29" s="289"/>
      <c r="PQR29" s="289"/>
      <c r="PQS29" s="289"/>
      <c r="PQT29" s="289"/>
      <c r="PQU29" s="289"/>
      <c r="PQV29" s="289"/>
      <c r="PQW29" s="289"/>
      <c r="PQX29" s="289"/>
      <c r="PQY29" s="289"/>
      <c r="PQZ29" s="289"/>
      <c r="PRA29" s="289"/>
      <c r="PRB29" s="289"/>
      <c r="PRC29" s="289"/>
      <c r="PRD29" s="289"/>
      <c r="PRE29" s="289"/>
      <c r="PRF29" s="289"/>
      <c r="PRG29" s="289"/>
      <c r="PRH29" s="289"/>
      <c r="PRI29" s="289"/>
      <c r="PRJ29" s="289"/>
      <c r="PRK29" s="289"/>
      <c r="PRL29" s="289"/>
      <c r="PRM29" s="289"/>
      <c r="PRN29" s="289"/>
      <c r="PRO29" s="289"/>
      <c r="PRP29" s="289"/>
      <c r="PRQ29" s="289"/>
      <c r="PRR29" s="289"/>
      <c r="PRS29" s="289"/>
      <c r="PRT29" s="289"/>
      <c r="PRU29" s="289"/>
      <c r="PRV29" s="289"/>
      <c r="PRW29" s="289"/>
      <c r="PRX29" s="289"/>
      <c r="PRY29" s="289"/>
      <c r="PRZ29" s="289"/>
      <c r="PSA29" s="289"/>
      <c r="PSB29" s="289"/>
      <c r="PSC29" s="289"/>
      <c r="PSD29" s="289"/>
      <c r="PSE29" s="289"/>
      <c r="PSF29" s="289"/>
      <c r="PSG29" s="289"/>
      <c r="PSH29" s="289"/>
      <c r="PSI29" s="289"/>
      <c r="PSJ29" s="289"/>
      <c r="PSK29" s="289"/>
      <c r="PSL29" s="289"/>
      <c r="PSM29" s="289"/>
      <c r="PSN29" s="289"/>
      <c r="PSO29" s="289"/>
      <c r="PSP29" s="289"/>
      <c r="PSQ29" s="289"/>
      <c r="PSR29" s="289"/>
      <c r="PSS29" s="289"/>
      <c r="PST29" s="289"/>
      <c r="PSU29" s="289"/>
      <c r="PSV29" s="289"/>
      <c r="PSW29" s="289"/>
      <c r="PSX29" s="289"/>
      <c r="PSY29" s="289"/>
      <c r="PSZ29" s="289"/>
      <c r="PTA29" s="289"/>
      <c r="PTB29" s="289"/>
      <c r="PTC29" s="289"/>
      <c r="PTD29" s="289"/>
      <c r="PTE29" s="289"/>
      <c r="PTF29" s="289"/>
      <c r="PTG29" s="289"/>
      <c r="PTH29" s="289"/>
      <c r="PTI29" s="289"/>
      <c r="PTJ29" s="289"/>
      <c r="PTK29" s="289"/>
      <c r="PTL29" s="289"/>
      <c r="PTM29" s="289"/>
      <c r="PTN29" s="289"/>
      <c r="PTO29" s="289"/>
      <c r="PTP29" s="289"/>
      <c r="PTQ29" s="289"/>
      <c r="PTR29" s="289"/>
      <c r="PTS29" s="289"/>
      <c r="PTT29" s="289"/>
      <c r="PTU29" s="289"/>
      <c r="PTV29" s="289"/>
      <c r="PTW29" s="289"/>
      <c r="PTX29" s="289"/>
      <c r="PTY29" s="289"/>
      <c r="PTZ29" s="289"/>
      <c r="PUA29" s="289"/>
      <c r="PUB29" s="289"/>
      <c r="PUC29" s="289"/>
      <c r="PUD29" s="289"/>
      <c r="PUE29" s="289"/>
      <c r="PUF29" s="289"/>
      <c r="PUG29" s="289"/>
      <c r="PUH29" s="289"/>
      <c r="PUI29" s="289"/>
      <c r="PUJ29" s="289"/>
      <c r="PUK29" s="289"/>
      <c r="PUL29" s="289"/>
      <c r="PUM29" s="289"/>
      <c r="PUN29" s="289"/>
      <c r="PUO29" s="289"/>
      <c r="PUP29" s="289"/>
      <c r="PUQ29" s="289"/>
      <c r="PUR29" s="289"/>
      <c r="PUS29" s="289"/>
      <c r="PUT29" s="289"/>
      <c r="PUU29" s="289"/>
      <c r="PUV29" s="289"/>
      <c r="PUW29" s="289"/>
      <c r="PUX29" s="289"/>
      <c r="PUY29" s="289"/>
      <c r="PUZ29" s="289"/>
      <c r="PVA29" s="289"/>
      <c r="PVB29" s="289"/>
      <c r="PVC29" s="289"/>
      <c r="PVD29" s="289"/>
      <c r="PVE29" s="289"/>
      <c r="PVF29" s="289"/>
      <c r="PVG29" s="289"/>
      <c r="PVH29" s="289"/>
      <c r="PVI29" s="289"/>
      <c r="PVJ29" s="289"/>
      <c r="PVK29" s="289"/>
      <c r="PVL29" s="289"/>
      <c r="PVM29" s="289"/>
      <c r="PVN29" s="289"/>
      <c r="PVO29" s="289"/>
      <c r="PVP29" s="289"/>
      <c r="PVQ29" s="289"/>
      <c r="PVR29" s="289"/>
      <c r="PVS29" s="289"/>
      <c r="PVT29" s="289"/>
      <c r="PVU29" s="289"/>
      <c r="PVV29" s="289"/>
      <c r="PVW29" s="289"/>
      <c r="PVX29" s="289"/>
      <c r="PVY29" s="289"/>
      <c r="PVZ29" s="289"/>
      <c r="PWA29" s="289"/>
      <c r="PWB29" s="289"/>
      <c r="PWC29" s="289"/>
      <c r="PWD29" s="289"/>
      <c r="PWE29" s="289"/>
      <c r="PWF29" s="289"/>
      <c r="PWG29" s="289"/>
      <c r="PWH29" s="289"/>
      <c r="PWI29" s="289"/>
      <c r="PWJ29" s="289"/>
      <c r="PWK29" s="289"/>
      <c r="PWL29" s="289"/>
      <c r="PWM29" s="289"/>
      <c r="PWN29" s="289"/>
      <c r="PWO29" s="289"/>
      <c r="PWP29" s="289"/>
      <c r="PWQ29" s="289"/>
      <c r="PWR29" s="289"/>
      <c r="PWS29" s="289"/>
      <c r="PWT29" s="289"/>
      <c r="PWU29" s="289"/>
      <c r="PWV29" s="289"/>
      <c r="PWW29" s="289"/>
      <c r="PWX29" s="289"/>
      <c r="PWY29" s="289"/>
      <c r="PWZ29" s="289"/>
      <c r="PXA29" s="289"/>
      <c r="PXB29" s="289"/>
      <c r="PXC29" s="289"/>
      <c r="PXD29" s="289"/>
      <c r="PXE29" s="289"/>
      <c r="PXF29" s="289"/>
      <c r="PXG29" s="289"/>
      <c r="PXH29" s="289"/>
      <c r="PXI29" s="289"/>
      <c r="PXJ29" s="289"/>
      <c r="PXK29" s="289"/>
      <c r="PXL29" s="289"/>
      <c r="PXM29" s="289"/>
      <c r="PXN29" s="289"/>
      <c r="PXO29" s="289"/>
      <c r="PXP29" s="289"/>
      <c r="PXQ29" s="289"/>
      <c r="PXR29" s="289"/>
      <c r="PXS29" s="289"/>
      <c r="PXT29" s="289"/>
      <c r="PXU29" s="289"/>
      <c r="PXV29" s="289"/>
      <c r="PXW29" s="289"/>
      <c r="PXX29" s="289"/>
      <c r="PXY29" s="289"/>
      <c r="PXZ29" s="289"/>
      <c r="PYA29" s="289"/>
      <c r="PYB29" s="289"/>
      <c r="PYC29" s="289"/>
      <c r="PYD29" s="289"/>
      <c r="PYE29" s="289"/>
      <c r="PYF29" s="289"/>
      <c r="PYG29" s="289"/>
      <c r="PYH29" s="289"/>
      <c r="PYI29" s="289"/>
      <c r="PYJ29" s="289"/>
      <c r="PYK29" s="289"/>
      <c r="PYL29" s="289"/>
      <c r="PYM29" s="289"/>
      <c r="PYN29" s="289"/>
      <c r="PYO29" s="289"/>
      <c r="PYP29" s="289"/>
      <c r="PYQ29" s="289"/>
      <c r="PYR29" s="289"/>
      <c r="PYS29" s="289"/>
      <c r="PYT29" s="289"/>
      <c r="PYU29" s="289"/>
      <c r="PYV29" s="289"/>
      <c r="PYW29" s="289"/>
      <c r="PYX29" s="289"/>
      <c r="PYY29" s="289"/>
      <c r="PYZ29" s="289"/>
      <c r="PZA29" s="289"/>
      <c r="PZB29" s="289"/>
      <c r="PZC29" s="289"/>
      <c r="PZD29" s="289"/>
      <c r="PZE29" s="289"/>
      <c r="PZF29" s="289"/>
      <c r="PZG29" s="289"/>
      <c r="PZH29" s="289"/>
      <c r="PZI29" s="289"/>
      <c r="PZJ29" s="289"/>
      <c r="PZK29" s="289"/>
      <c r="PZL29" s="289"/>
      <c r="PZM29" s="289"/>
      <c r="PZN29" s="289"/>
      <c r="PZO29" s="289"/>
      <c r="PZP29" s="289"/>
      <c r="PZQ29" s="289"/>
      <c r="PZR29" s="289"/>
      <c r="PZS29" s="289"/>
      <c r="PZT29" s="289"/>
      <c r="PZU29" s="289"/>
      <c r="PZV29" s="289"/>
      <c r="PZW29" s="289"/>
      <c r="PZX29" s="289"/>
      <c r="PZY29" s="289"/>
      <c r="PZZ29" s="289"/>
      <c r="QAA29" s="289"/>
      <c r="QAB29" s="289"/>
      <c r="QAC29" s="289"/>
      <c r="QAD29" s="289"/>
      <c r="QAE29" s="289"/>
      <c r="QAF29" s="289"/>
      <c r="QAG29" s="289"/>
      <c r="QAH29" s="289"/>
      <c r="QAI29" s="289"/>
      <c r="QAJ29" s="289"/>
      <c r="QAK29" s="289"/>
      <c r="QAL29" s="289"/>
      <c r="QAM29" s="289"/>
      <c r="QAN29" s="289"/>
      <c r="QAO29" s="289"/>
      <c r="QAP29" s="289"/>
      <c r="QAQ29" s="289"/>
      <c r="QAR29" s="289"/>
      <c r="QAS29" s="289"/>
      <c r="QAT29" s="289"/>
      <c r="QAU29" s="289"/>
      <c r="QAV29" s="289"/>
      <c r="QAW29" s="289"/>
      <c r="QAX29" s="289"/>
      <c r="QAY29" s="289"/>
      <c r="QAZ29" s="289"/>
      <c r="QBA29" s="289"/>
      <c r="QBB29" s="289"/>
      <c r="QBC29" s="289"/>
      <c r="QBD29" s="289"/>
      <c r="QBE29" s="289"/>
      <c r="QBF29" s="289"/>
      <c r="QBG29" s="289"/>
      <c r="QBH29" s="289"/>
      <c r="QBI29" s="289"/>
      <c r="QBJ29" s="289"/>
      <c r="QBK29" s="289"/>
      <c r="QBL29" s="289"/>
      <c r="QBM29" s="289"/>
      <c r="QBN29" s="289"/>
      <c r="QBO29" s="289"/>
      <c r="QBP29" s="289"/>
      <c r="QBQ29" s="289"/>
      <c r="QBR29" s="289"/>
      <c r="QBS29" s="289"/>
      <c r="QBT29" s="289"/>
      <c r="QBU29" s="289"/>
      <c r="QBV29" s="289"/>
      <c r="QBW29" s="289"/>
      <c r="QBX29" s="289"/>
      <c r="QBY29" s="289"/>
      <c r="QBZ29" s="289"/>
      <c r="QCA29" s="289"/>
      <c r="QCB29" s="289"/>
      <c r="QCC29" s="289"/>
      <c r="QCD29" s="289"/>
      <c r="QCE29" s="289"/>
      <c r="QCF29" s="289"/>
      <c r="QCG29" s="289"/>
      <c r="QCH29" s="289"/>
      <c r="QCI29" s="289"/>
      <c r="QCJ29" s="289"/>
      <c r="QCK29" s="289"/>
      <c r="QCL29" s="289"/>
      <c r="QCM29" s="289"/>
      <c r="QCN29" s="289"/>
      <c r="QCO29" s="289"/>
      <c r="QCP29" s="289"/>
      <c r="QCQ29" s="289"/>
      <c r="QCR29" s="289"/>
      <c r="QCS29" s="289"/>
      <c r="QCT29" s="289"/>
      <c r="QCU29" s="289"/>
      <c r="QCV29" s="289"/>
      <c r="QCW29" s="289"/>
      <c r="QCX29" s="289"/>
      <c r="QCY29" s="289"/>
      <c r="QCZ29" s="289"/>
      <c r="QDA29" s="289"/>
      <c r="QDB29" s="289"/>
      <c r="QDC29" s="289"/>
      <c r="QDD29" s="289"/>
      <c r="QDE29" s="289"/>
      <c r="QDF29" s="289"/>
      <c r="QDG29" s="289"/>
      <c r="QDH29" s="289"/>
      <c r="QDI29" s="289"/>
      <c r="QDJ29" s="289"/>
      <c r="QDK29" s="289"/>
      <c r="QDL29" s="289"/>
      <c r="QDM29" s="289"/>
      <c r="QDN29" s="289"/>
      <c r="QDO29" s="289"/>
      <c r="QDP29" s="289"/>
      <c r="QDQ29" s="289"/>
      <c r="QDR29" s="289"/>
      <c r="QDS29" s="289"/>
      <c r="QDT29" s="289"/>
      <c r="QDU29" s="289"/>
      <c r="QDV29" s="289"/>
      <c r="QDW29" s="289"/>
      <c r="QDX29" s="289"/>
      <c r="QDY29" s="289"/>
      <c r="QDZ29" s="289"/>
      <c r="QEA29" s="289"/>
      <c r="QEB29" s="289"/>
      <c r="QEC29" s="289"/>
      <c r="QED29" s="289"/>
      <c r="QEE29" s="289"/>
      <c r="QEF29" s="289"/>
      <c r="QEG29" s="289"/>
      <c r="QEH29" s="289"/>
      <c r="QEI29" s="289"/>
      <c r="QEJ29" s="289"/>
      <c r="QEK29" s="289"/>
      <c r="QEL29" s="289"/>
      <c r="QEM29" s="289"/>
      <c r="QEN29" s="289"/>
      <c r="QEO29" s="289"/>
      <c r="QEP29" s="289"/>
      <c r="QEQ29" s="289"/>
      <c r="QER29" s="289"/>
      <c r="QES29" s="289"/>
      <c r="QET29" s="289"/>
      <c r="QEU29" s="289"/>
      <c r="QEV29" s="289"/>
      <c r="QEW29" s="289"/>
      <c r="QEX29" s="289"/>
      <c r="QEY29" s="289"/>
      <c r="QEZ29" s="289"/>
      <c r="QFA29" s="289"/>
      <c r="QFB29" s="289"/>
      <c r="QFC29" s="289"/>
      <c r="QFD29" s="289"/>
      <c r="QFE29" s="289"/>
      <c r="QFF29" s="289"/>
      <c r="QFG29" s="289"/>
      <c r="QFH29" s="289"/>
      <c r="QFI29" s="289"/>
      <c r="QFJ29" s="289"/>
      <c r="QFK29" s="289"/>
      <c r="QFL29" s="289"/>
      <c r="QFM29" s="289"/>
      <c r="QFN29" s="289"/>
      <c r="QFO29" s="289"/>
      <c r="QFP29" s="289"/>
      <c r="QFQ29" s="289"/>
      <c r="QFR29" s="289"/>
      <c r="QFS29" s="289"/>
      <c r="QFT29" s="289"/>
      <c r="QFU29" s="289"/>
      <c r="QFV29" s="289"/>
      <c r="QFW29" s="289"/>
      <c r="QFX29" s="289"/>
      <c r="QFY29" s="289"/>
      <c r="QFZ29" s="289"/>
      <c r="QGA29" s="289"/>
      <c r="QGB29" s="289"/>
      <c r="QGC29" s="289"/>
      <c r="QGD29" s="289"/>
      <c r="QGE29" s="289"/>
      <c r="QGF29" s="289"/>
      <c r="QGG29" s="289"/>
      <c r="QGH29" s="289"/>
      <c r="QGI29" s="289"/>
      <c r="QGJ29" s="289"/>
      <c r="QGK29" s="289"/>
      <c r="QGL29" s="289"/>
      <c r="QGM29" s="289"/>
      <c r="QGN29" s="289"/>
      <c r="QGO29" s="289"/>
      <c r="QGP29" s="289"/>
      <c r="QGQ29" s="289"/>
      <c r="QGR29" s="289"/>
      <c r="QGS29" s="289"/>
      <c r="QGT29" s="289"/>
      <c r="QGU29" s="289"/>
      <c r="QGV29" s="289"/>
      <c r="QGW29" s="289"/>
      <c r="QGX29" s="289"/>
      <c r="QGY29" s="289"/>
      <c r="QGZ29" s="289"/>
      <c r="QHA29" s="289"/>
      <c r="QHB29" s="289"/>
      <c r="QHC29" s="289"/>
      <c r="QHD29" s="289"/>
      <c r="QHE29" s="289"/>
      <c r="QHF29" s="289"/>
      <c r="QHG29" s="289"/>
      <c r="QHH29" s="289"/>
      <c r="QHI29" s="289"/>
      <c r="QHJ29" s="289"/>
      <c r="QHK29" s="289"/>
      <c r="QHL29" s="289"/>
      <c r="QHM29" s="289"/>
      <c r="QHN29" s="289"/>
      <c r="QHO29" s="289"/>
      <c r="QHP29" s="289"/>
      <c r="QHQ29" s="289"/>
      <c r="QHR29" s="289"/>
      <c r="QHS29" s="289"/>
      <c r="QHT29" s="289"/>
      <c r="QHU29" s="289"/>
      <c r="QHV29" s="289"/>
      <c r="QHW29" s="289"/>
      <c r="QHX29" s="289"/>
      <c r="QHY29" s="289"/>
      <c r="QHZ29" s="289"/>
      <c r="QIA29" s="289"/>
      <c r="QIB29" s="289"/>
      <c r="QIC29" s="289"/>
      <c r="QID29" s="289"/>
      <c r="QIE29" s="289"/>
      <c r="QIF29" s="289"/>
      <c r="QIG29" s="289"/>
      <c r="QIH29" s="289"/>
      <c r="QII29" s="289"/>
      <c r="QIJ29" s="289"/>
      <c r="QIK29" s="289"/>
      <c r="QIL29" s="289"/>
      <c r="QIM29" s="289"/>
      <c r="QIN29" s="289"/>
      <c r="QIO29" s="289"/>
      <c r="QIP29" s="289"/>
      <c r="QIQ29" s="289"/>
      <c r="QIR29" s="289"/>
      <c r="QIS29" s="289"/>
      <c r="QIT29" s="289"/>
      <c r="QIU29" s="289"/>
      <c r="QIV29" s="289"/>
      <c r="QIW29" s="289"/>
      <c r="QIX29" s="289"/>
      <c r="QIY29" s="289"/>
      <c r="QIZ29" s="289"/>
      <c r="QJA29" s="289"/>
      <c r="QJB29" s="289"/>
      <c r="QJC29" s="289"/>
      <c r="QJD29" s="289"/>
      <c r="QJE29" s="289"/>
      <c r="QJF29" s="289"/>
      <c r="QJG29" s="289"/>
      <c r="QJH29" s="289"/>
      <c r="QJI29" s="289"/>
      <c r="QJJ29" s="289"/>
      <c r="QJK29" s="289"/>
      <c r="QJL29" s="289"/>
      <c r="QJM29" s="289"/>
      <c r="QJN29" s="289"/>
      <c r="QJO29" s="289"/>
      <c r="QJP29" s="289"/>
      <c r="QJQ29" s="289"/>
      <c r="QJR29" s="289"/>
      <c r="QJS29" s="289"/>
      <c r="QJT29" s="289"/>
      <c r="QJU29" s="289"/>
      <c r="QJV29" s="289"/>
      <c r="QJW29" s="289"/>
      <c r="QJX29" s="289"/>
      <c r="QJY29" s="289"/>
      <c r="QJZ29" s="289"/>
      <c r="QKA29" s="289"/>
      <c r="QKB29" s="289"/>
      <c r="QKC29" s="289"/>
      <c r="QKD29" s="289"/>
      <c r="QKE29" s="289"/>
      <c r="QKF29" s="289"/>
      <c r="QKG29" s="289"/>
      <c r="QKH29" s="289"/>
      <c r="QKI29" s="289"/>
      <c r="QKJ29" s="289"/>
      <c r="QKK29" s="289"/>
      <c r="QKL29" s="289"/>
      <c r="QKM29" s="289"/>
      <c r="QKN29" s="289"/>
      <c r="QKO29" s="289"/>
      <c r="QKP29" s="289"/>
      <c r="QKQ29" s="289"/>
      <c r="QKR29" s="289"/>
      <c r="QKS29" s="289"/>
      <c r="QKT29" s="289"/>
      <c r="QKU29" s="289"/>
      <c r="QKV29" s="289"/>
      <c r="QKW29" s="289"/>
      <c r="QKX29" s="289"/>
      <c r="QKY29" s="289"/>
      <c r="QKZ29" s="289"/>
      <c r="QLA29" s="289"/>
      <c r="QLB29" s="289"/>
      <c r="QLC29" s="289"/>
      <c r="QLD29" s="289"/>
      <c r="QLE29" s="289"/>
      <c r="QLF29" s="289"/>
      <c r="QLG29" s="289"/>
      <c r="QLH29" s="289"/>
      <c r="QLI29" s="289"/>
      <c r="QLJ29" s="289"/>
      <c r="QLK29" s="289"/>
      <c r="QLL29" s="289"/>
      <c r="QLM29" s="289"/>
      <c r="QLN29" s="289"/>
      <c r="QLO29" s="289"/>
      <c r="QLP29" s="289"/>
      <c r="QLQ29" s="289"/>
      <c r="QLR29" s="289"/>
      <c r="QLS29" s="289"/>
      <c r="QLT29" s="289"/>
      <c r="QLU29" s="289"/>
      <c r="QLV29" s="289"/>
      <c r="QLW29" s="289"/>
      <c r="QLX29" s="289"/>
      <c r="QLY29" s="289"/>
      <c r="QLZ29" s="289"/>
      <c r="QMA29" s="289"/>
      <c r="QMB29" s="289"/>
      <c r="QMC29" s="289"/>
      <c r="QMD29" s="289"/>
      <c r="QME29" s="289"/>
      <c r="QMF29" s="289"/>
      <c r="QMG29" s="289"/>
      <c r="QMH29" s="289"/>
      <c r="QMI29" s="289"/>
      <c r="QMJ29" s="289"/>
      <c r="QMK29" s="289"/>
      <c r="QML29" s="289"/>
      <c r="QMM29" s="289"/>
      <c r="QMN29" s="289"/>
      <c r="QMO29" s="289"/>
      <c r="QMP29" s="289"/>
      <c r="QMQ29" s="289"/>
      <c r="QMR29" s="289"/>
      <c r="QMS29" s="289"/>
      <c r="QMT29" s="289"/>
      <c r="QMU29" s="289"/>
      <c r="QMV29" s="289"/>
      <c r="QMW29" s="289"/>
      <c r="QMX29" s="289"/>
      <c r="QMY29" s="289"/>
      <c r="QMZ29" s="289"/>
      <c r="QNA29" s="289"/>
      <c r="QNB29" s="289"/>
      <c r="QNC29" s="289"/>
      <c r="QND29" s="289"/>
      <c r="QNE29" s="289"/>
      <c r="QNF29" s="289"/>
      <c r="QNG29" s="289"/>
      <c r="QNH29" s="289"/>
      <c r="QNI29" s="289"/>
      <c r="QNJ29" s="289"/>
      <c r="QNK29" s="289"/>
      <c r="QNL29" s="289"/>
      <c r="QNM29" s="289"/>
      <c r="QNN29" s="289"/>
      <c r="QNO29" s="289"/>
      <c r="QNP29" s="289"/>
      <c r="QNQ29" s="289"/>
      <c r="QNR29" s="289"/>
      <c r="QNS29" s="289"/>
      <c r="QNT29" s="289"/>
      <c r="QNU29" s="289"/>
      <c r="QNV29" s="289"/>
      <c r="QNW29" s="289"/>
      <c r="QNX29" s="289"/>
      <c r="QNY29" s="289"/>
      <c r="QNZ29" s="289"/>
      <c r="QOA29" s="289"/>
      <c r="QOB29" s="289"/>
      <c r="QOC29" s="289"/>
      <c r="QOD29" s="289"/>
      <c r="QOE29" s="289"/>
      <c r="QOF29" s="289"/>
      <c r="QOG29" s="289"/>
      <c r="QOH29" s="289"/>
      <c r="QOI29" s="289"/>
      <c r="QOJ29" s="289"/>
      <c r="QOK29" s="289"/>
      <c r="QOL29" s="289"/>
      <c r="QOM29" s="289"/>
      <c r="QON29" s="289"/>
      <c r="QOO29" s="289"/>
      <c r="QOP29" s="289"/>
      <c r="QOQ29" s="289"/>
      <c r="QOR29" s="289"/>
      <c r="QOS29" s="289"/>
      <c r="QOT29" s="289"/>
      <c r="QOU29" s="289"/>
      <c r="QOV29" s="289"/>
      <c r="QOW29" s="289"/>
      <c r="QOX29" s="289"/>
      <c r="QOY29" s="289"/>
      <c r="QOZ29" s="289"/>
      <c r="QPA29" s="289"/>
      <c r="QPB29" s="289"/>
      <c r="QPC29" s="289"/>
      <c r="QPD29" s="289"/>
      <c r="QPE29" s="289"/>
      <c r="QPF29" s="289"/>
      <c r="QPG29" s="289"/>
      <c r="QPH29" s="289"/>
      <c r="QPI29" s="289"/>
      <c r="QPJ29" s="289"/>
      <c r="QPK29" s="289"/>
      <c r="QPL29" s="289"/>
      <c r="QPM29" s="289"/>
      <c r="QPN29" s="289"/>
      <c r="QPO29" s="289"/>
      <c r="QPP29" s="289"/>
      <c r="QPQ29" s="289"/>
      <c r="QPR29" s="289"/>
      <c r="QPS29" s="289"/>
      <c r="QPT29" s="289"/>
      <c r="QPU29" s="289"/>
      <c r="QPV29" s="289"/>
      <c r="QPW29" s="289"/>
      <c r="QPX29" s="289"/>
      <c r="QPY29" s="289"/>
      <c r="QPZ29" s="289"/>
      <c r="QQA29" s="289"/>
      <c r="QQB29" s="289"/>
      <c r="QQC29" s="289"/>
      <c r="QQD29" s="289"/>
      <c r="QQE29" s="289"/>
      <c r="QQF29" s="289"/>
      <c r="QQG29" s="289"/>
      <c r="QQH29" s="289"/>
      <c r="QQI29" s="289"/>
      <c r="QQJ29" s="289"/>
      <c r="QQK29" s="289"/>
      <c r="QQL29" s="289"/>
      <c r="QQM29" s="289"/>
      <c r="QQN29" s="289"/>
      <c r="QQO29" s="289"/>
      <c r="QQP29" s="289"/>
      <c r="QQQ29" s="289"/>
      <c r="QQR29" s="289"/>
      <c r="QQS29" s="289"/>
      <c r="QQT29" s="289"/>
      <c r="QQU29" s="289"/>
      <c r="QQV29" s="289"/>
      <c r="QQW29" s="289"/>
      <c r="QQX29" s="289"/>
      <c r="QQY29" s="289"/>
      <c r="QQZ29" s="289"/>
      <c r="QRA29" s="289"/>
      <c r="QRB29" s="289"/>
      <c r="QRC29" s="289"/>
      <c r="QRD29" s="289"/>
      <c r="QRE29" s="289"/>
      <c r="QRF29" s="289"/>
      <c r="QRG29" s="289"/>
      <c r="QRH29" s="289"/>
      <c r="QRI29" s="289"/>
      <c r="QRJ29" s="289"/>
      <c r="QRK29" s="289"/>
      <c r="QRL29" s="289"/>
      <c r="QRM29" s="289"/>
      <c r="QRN29" s="289"/>
      <c r="QRO29" s="289"/>
      <c r="QRP29" s="289"/>
      <c r="QRQ29" s="289"/>
      <c r="QRR29" s="289"/>
      <c r="QRS29" s="289"/>
      <c r="QRT29" s="289"/>
      <c r="QRU29" s="289"/>
      <c r="QRV29" s="289"/>
      <c r="QRW29" s="289"/>
      <c r="QRX29" s="289"/>
      <c r="QRY29" s="289"/>
      <c r="QRZ29" s="289"/>
      <c r="QSA29" s="289"/>
      <c r="QSB29" s="289"/>
      <c r="QSC29" s="289"/>
      <c r="QSD29" s="289"/>
      <c r="QSE29" s="289"/>
      <c r="QSF29" s="289"/>
      <c r="QSG29" s="289"/>
      <c r="QSH29" s="289"/>
      <c r="QSI29" s="289"/>
      <c r="QSJ29" s="289"/>
      <c r="QSK29" s="289"/>
      <c r="QSL29" s="289"/>
      <c r="QSM29" s="289"/>
      <c r="QSN29" s="289"/>
      <c r="QSO29" s="289"/>
      <c r="QSP29" s="289"/>
      <c r="QSQ29" s="289"/>
      <c r="QSR29" s="289"/>
      <c r="QSS29" s="289"/>
      <c r="QST29" s="289"/>
      <c r="QSU29" s="289"/>
      <c r="QSV29" s="289"/>
      <c r="QSW29" s="289"/>
      <c r="QSX29" s="289"/>
      <c r="QSY29" s="289"/>
      <c r="QSZ29" s="289"/>
      <c r="QTA29" s="289"/>
      <c r="QTB29" s="289"/>
      <c r="QTC29" s="289"/>
      <c r="QTD29" s="289"/>
      <c r="QTE29" s="289"/>
      <c r="QTF29" s="289"/>
      <c r="QTG29" s="289"/>
      <c r="QTH29" s="289"/>
      <c r="QTI29" s="289"/>
      <c r="QTJ29" s="289"/>
      <c r="QTK29" s="289"/>
      <c r="QTL29" s="289"/>
      <c r="QTM29" s="289"/>
      <c r="QTN29" s="289"/>
      <c r="QTO29" s="289"/>
      <c r="QTP29" s="289"/>
      <c r="QTQ29" s="289"/>
      <c r="QTR29" s="289"/>
      <c r="QTS29" s="289"/>
      <c r="QTT29" s="289"/>
      <c r="QTU29" s="289"/>
      <c r="QTV29" s="289"/>
      <c r="QTW29" s="289"/>
      <c r="QTX29" s="289"/>
      <c r="QTY29" s="289"/>
      <c r="QTZ29" s="289"/>
      <c r="QUA29" s="289"/>
      <c r="QUB29" s="289"/>
      <c r="QUC29" s="289"/>
      <c r="QUD29" s="289"/>
      <c r="QUE29" s="289"/>
      <c r="QUF29" s="289"/>
      <c r="QUG29" s="289"/>
      <c r="QUH29" s="289"/>
      <c r="QUI29" s="289"/>
      <c r="QUJ29" s="289"/>
      <c r="QUK29" s="289"/>
      <c r="QUL29" s="289"/>
      <c r="QUM29" s="289"/>
      <c r="QUN29" s="289"/>
      <c r="QUO29" s="289"/>
      <c r="QUP29" s="289"/>
      <c r="QUQ29" s="289"/>
      <c r="QUR29" s="289"/>
      <c r="QUS29" s="289"/>
      <c r="QUT29" s="289"/>
      <c r="QUU29" s="289"/>
      <c r="QUV29" s="289"/>
      <c r="QUW29" s="289"/>
      <c r="QUX29" s="289"/>
      <c r="QUY29" s="289"/>
      <c r="QUZ29" s="289"/>
      <c r="QVA29" s="289"/>
      <c r="QVB29" s="289"/>
      <c r="QVC29" s="289"/>
      <c r="QVD29" s="289"/>
      <c r="QVE29" s="289"/>
      <c r="QVF29" s="289"/>
      <c r="QVG29" s="289"/>
      <c r="QVH29" s="289"/>
      <c r="QVI29" s="289"/>
      <c r="QVJ29" s="289"/>
      <c r="QVK29" s="289"/>
      <c r="QVL29" s="289"/>
      <c r="QVM29" s="289"/>
      <c r="QVN29" s="289"/>
      <c r="QVO29" s="289"/>
      <c r="QVP29" s="289"/>
      <c r="QVQ29" s="289"/>
      <c r="QVR29" s="289"/>
      <c r="QVS29" s="289"/>
      <c r="QVT29" s="289"/>
      <c r="QVU29" s="289"/>
      <c r="QVV29" s="289"/>
      <c r="QVW29" s="289"/>
      <c r="QVX29" s="289"/>
      <c r="QVY29" s="289"/>
      <c r="QVZ29" s="289"/>
      <c r="QWA29" s="289"/>
      <c r="QWB29" s="289"/>
      <c r="QWC29" s="289"/>
      <c r="QWD29" s="289"/>
      <c r="QWE29" s="289"/>
      <c r="QWF29" s="289"/>
      <c r="QWG29" s="289"/>
      <c r="QWH29" s="289"/>
      <c r="QWI29" s="289"/>
      <c r="QWJ29" s="289"/>
      <c r="QWK29" s="289"/>
      <c r="QWL29" s="289"/>
      <c r="QWM29" s="289"/>
      <c r="QWN29" s="289"/>
      <c r="QWO29" s="289"/>
      <c r="QWP29" s="289"/>
      <c r="QWQ29" s="289"/>
      <c r="QWR29" s="289"/>
      <c r="QWS29" s="289"/>
      <c r="QWT29" s="289"/>
      <c r="QWU29" s="289"/>
      <c r="QWV29" s="289"/>
      <c r="QWW29" s="289"/>
      <c r="QWX29" s="289"/>
      <c r="QWY29" s="289"/>
      <c r="QWZ29" s="289"/>
      <c r="QXA29" s="289"/>
      <c r="QXB29" s="289"/>
      <c r="QXC29" s="289"/>
      <c r="QXD29" s="289"/>
      <c r="QXE29" s="289"/>
      <c r="QXF29" s="289"/>
      <c r="QXG29" s="289"/>
      <c r="QXH29" s="289"/>
      <c r="QXI29" s="289"/>
      <c r="QXJ29" s="289"/>
      <c r="QXK29" s="289"/>
      <c r="QXL29" s="289"/>
      <c r="QXM29" s="289"/>
      <c r="QXN29" s="289"/>
      <c r="QXO29" s="289"/>
      <c r="QXP29" s="289"/>
      <c r="QXQ29" s="289"/>
      <c r="QXR29" s="289"/>
      <c r="QXS29" s="289"/>
      <c r="QXT29" s="289"/>
      <c r="QXU29" s="289"/>
      <c r="QXV29" s="289"/>
      <c r="QXW29" s="289"/>
      <c r="QXX29" s="289"/>
      <c r="QXY29" s="289"/>
      <c r="QXZ29" s="289"/>
      <c r="QYA29" s="289"/>
      <c r="QYB29" s="289"/>
      <c r="QYC29" s="289"/>
      <c r="QYD29" s="289"/>
      <c r="QYE29" s="289"/>
      <c r="QYF29" s="289"/>
      <c r="QYG29" s="289"/>
      <c r="QYH29" s="289"/>
      <c r="QYI29" s="289"/>
      <c r="QYJ29" s="289"/>
      <c r="QYK29" s="289"/>
      <c r="QYL29" s="289"/>
      <c r="QYM29" s="289"/>
      <c r="QYN29" s="289"/>
      <c r="QYO29" s="289"/>
      <c r="QYP29" s="289"/>
      <c r="QYQ29" s="289"/>
      <c r="QYR29" s="289"/>
      <c r="QYS29" s="289"/>
      <c r="QYT29" s="289"/>
      <c r="QYU29" s="289"/>
      <c r="QYV29" s="289"/>
      <c r="QYW29" s="289"/>
      <c r="QYX29" s="289"/>
      <c r="QYY29" s="289"/>
      <c r="QYZ29" s="289"/>
      <c r="QZA29" s="289"/>
      <c r="QZB29" s="289"/>
      <c r="QZC29" s="289"/>
      <c r="QZD29" s="289"/>
      <c r="QZE29" s="289"/>
      <c r="QZF29" s="289"/>
      <c r="QZG29" s="289"/>
      <c r="QZH29" s="289"/>
      <c r="QZI29" s="289"/>
      <c r="QZJ29" s="289"/>
      <c r="QZK29" s="289"/>
      <c r="QZL29" s="289"/>
      <c r="QZM29" s="289"/>
      <c r="QZN29" s="289"/>
      <c r="QZO29" s="289"/>
      <c r="QZP29" s="289"/>
      <c r="QZQ29" s="289"/>
      <c r="QZR29" s="289"/>
      <c r="QZS29" s="289"/>
      <c r="QZT29" s="289"/>
      <c r="QZU29" s="289"/>
      <c r="QZV29" s="289"/>
      <c r="QZW29" s="289"/>
      <c r="QZX29" s="289"/>
      <c r="QZY29" s="289"/>
      <c r="QZZ29" s="289"/>
      <c r="RAA29" s="289"/>
      <c r="RAB29" s="289"/>
      <c r="RAC29" s="289"/>
      <c r="RAD29" s="289"/>
      <c r="RAE29" s="289"/>
      <c r="RAF29" s="289"/>
      <c r="RAG29" s="289"/>
      <c r="RAH29" s="289"/>
      <c r="RAI29" s="289"/>
      <c r="RAJ29" s="289"/>
      <c r="RAK29" s="289"/>
      <c r="RAL29" s="289"/>
      <c r="RAM29" s="289"/>
      <c r="RAN29" s="289"/>
      <c r="RAO29" s="289"/>
      <c r="RAP29" s="289"/>
      <c r="RAQ29" s="289"/>
      <c r="RAR29" s="289"/>
      <c r="RAS29" s="289"/>
      <c r="RAT29" s="289"/>
      <c r="RAU29" s="289"/>
      <c r="RAV29" s="289"/>
      <c r="RAW29" s="289"/>
      <c r="RAX29" s="289"/>
      <c r="RAY29" s="289"/>
      <c r="RAZ29" s="289"/>
      <c r="RBA29" s="289"/>
      <c r="RBB29" s="289"/>
      <c r="RBC29" s="289"/>
      <c r="RBD29" s="289"/>
      <c r="RBE29" s="289"/>
      <c r="RBF29" s="289"/>
      <c r="RBG29" s="289"/>
      <c r="RBH29" s="289"/>
      <c r="RBI29" s="289"/>
      <c r="RBJ29" s="289"/>
      <c r="RBK29" s="289"/>
      <c r="RBL29" s="289"/>
      <c r="RBM29" s="289"/>
      <c r="RBN29" s="289"/>
      <c r="RBO29" s="289"/>
      <c r="RBP29" s="289"/>
      <c r="RBQ29" s="289"/>
      <c r="RBR29" s="289"/>
      <c r="RBS29" s="289"/>
      <c r="RBT29" s="289"/>
      <c r="RBU29" s="289"/>
      <c r="RBV29" s="289"/>
      <c r="RBW29" s="289"/>
      <c r="RBX29" s="289"/>
      <c r="RBY29" s="289"/>
      <c r="RBZ29" s="289"/>
      <c r="RCA29" s="289"/>
      <c r="RCB29" s="289"/>
      <c r="RCC29" s="289"/>
      <c r="RCD29" s="289"/>
      <c r="RCE29" s="289"/>
      <c r="RCF29" s="289"/>
      <c r="RCG29" s="289"/>
      <c r="RCH29" s="289"/>
      <c r="RCI29" s="289"/>
      <c r="RCJ29" s="289"/>
      <c r="RCK29" s="289"/>
      <c r="RCL29" s="289"/>
      <c r="RCM29" s="289"/>
      <c r="RCN29" s="289"/>
      <c r="RCO29" s="289"/>
      <c r="RCP29" s="289"/>
      <c r="RCQ29" s="289"/>
      <c r="RCR29" s="289"/>
      <c r="RCS29" s="289"/>
      <c r="RCT29" s="289"/>
      <c r="RCU29" s="289"/>
      <c r="RCV29" s="289"/>
      <c r="RCW29" s="289"/>
      <c r="RCX29" s="289"/>
      <c r="RCY29" s="289"/>
      <c r="RCZ29" s="289"/>
      <c r="RDA29" s="289"/>
      <c r="RDB29" s="289"/>
      <c r="RDC29" s="289"/>
      <c r="RDD29" s="289"/>
      <c r="RDE29" s="289"/>
      <c r="RDF29" s="289"/>
      <c r="RDG29" s="289"/>
      <c r="RDH29" s="289"/>
      <c r="RDI29" s="289"/>
      <c r="RDJ29" s="289"/>
      <c r="RDK29" s="289"/>
      <c r="RDL29" s="289"/>
      <c r="RDM29" s="289"/>
      <c r="RDN29" s="289"/>
      <c r="RDO29" s="289"/>
      <c r="RDP29" s="289"/>
      <c r="RDQ29" s="289"/>
      <c r="RDR29" s="289"/>
      <c r="RDS29" s="289"/>
      <c r="RDT29" s="289"/>
      <c r="RDU29" s="289"/>
      <c r="RDV29" s="289"/>
      <c r="RDW29" s="289"/>
      <c r="RDX29" s="289"/>
      <c r="RDY29" s="289"/>
      <c r="RDZ29" s="289"/>
      <c r="REA29" s="289"/>
      <c r="REB29" s="289"/>
      <c r="REC29" s="289"/>
      <c r="RED29" s="289"/>
      <c r="REE29" s="289"/>
      <c r="REF29" s="289"/>
      <c r="REG29" s="289"/>
      <c r="REH29" s="289"/>
      <c r="REI29" s="289"/>
      <c r="REJ29" s="289"/>
      <c r="REK29" s="289"/>
      <c r="REL29" s="289"/>
      <c r="REM29" s="289"/>
      <c r="REN29" s="289"/>
      <c r="REO29" s="289"/>
      <c r="REP29" s="289"/>
      <c r="REQ29" s="289"/>
      <c r="RER29" s="289"/>
      <c r="RES29" s="289"/>
      <c r="RET29" s="289"/>
      <c r="REU29" s="289"/>
      <c r="REV29" s="289"/>
      <c r="REW29" s="289"/>
      <c r="REX29" s="289"/>
      <c r="REY29" s="289"/>
      <c r="REZ29" s="289"/>
      <c r="RFA29" s="289"/>
      <c r="RFB29" s="289"/>
      <c r="RFC29" s="289"/>
      <c r="RFD29" s="289"/>
      <c r="RFE29" s="289"/>
      <c r="RFF29" s="289"/>
      <c r="RFG29" s="289"/>
      <c r="RFH29" s="289"/>
      <c r="RFI29" s="289"/>
      <c r="RFJ29" s="289"/>
      <c r="RFK29" s="289"/>
      <c r="RFL29" s="289"/>
      <c r="RFM29" s="289"/>
      <c r="RFN29" s="289"/>
      <c r="RFO29" s="289"/>
      <c r="RFP29" s="289"/>
      <c r="RFQ29" s="289"/>
      <c r="RFR29" s="289"/>
      <c r="RFS29" s="289"/>
      <c r="RFT29" s="289"/>
      <c r="RFU29" s="289"/>
      <c r="RFV29" s="289"/>
      <c r="RFW29" s="289"/>
      <c r="RFX29" s="289"/>
      <c r="RFY29" s="289"/>
      <c r="RFZ29" s="289"/>
      <c r="RGA29" s="289"/>
      <c r="RGB29" s="289"/>
      <c r="RGC29" s="289"/>
      <c r="RGD29" s="289"/>
      <c r="RGE29" s="289"/>
      <c r="RGF29" s="289"/>
      <c r="RGG29" s="289"/>
      <c r="RGH29" s="289"/>
      <c r="RGI29" s="289"/>
      <c r="RGJ29" s="289"/>
      <c r="RGK29" s="289"/>
      <c r="RGL29" s="289"/>
      <c r="RGM29" s="289"/>
      <c r="RGN29" s="289"/>
      <c r="RGO29" s="289"/>
      <c r="RGP29" s="289"/>
      <c r="RGQ29" s="289"/>
      <c r="RGR29" s="289"/>
      <c r="RGS29" s="289"/>
      <c r="RGT29" s="289"/>
      <c r="RGU29" s="289"/>
      <c r="RGV29" s="289"/>
      <c r="RGW29" s="289"/>
      <c r="RGX29" s="289"/>
      <c r="RGY29" s="289"/>
      <c r="RGZ29" s="289"/>
      <c r="RHA29" s="289"/>
      <c r="RHB29" s="289"/>
      <c r="RHC29" s="289"/>
      <c r="RHD29" s="289"/>
      <c r="RHE29" s="289"/>
      <c r="RHF29" s="289"/>
      <c r="RHG29" s="289"/>
      <c r="RHH29" s="289"/>
      <c r="RHI29" s="289"/>
      <c r="RHJ29" s="289"/>
      <c r="RHK29" s="289"/>
      <c r="RHL29" s="289"/>
      <c r="RHM29" s="289"/>
      <c r="RHN29" s="289"/>
      <c r="RHO29" s="289"/>
      <c r="RHP29" s="289"/>
      <c r="RHQ29" s="289"/>
      <c r="RHR29" s="289"/>
      <c r="RHS29" s="289"/>
      <c r="RHT29" s="289"/>
      <c r="RHU29" s="289"/>
      <c r="RHV29" s="289"/>
      <c r="RHW29" s="289"/>
      <c r="RHX29" s="289"/>
      <c r="RHY29" s="289"/>
      <c r="RHZ29" s="289"/>
      <c r="RIA29" s="289"/>
      <c r="RIB29" s="289"/>
      <c r="RIC29" s="289"/>
      <c r="RID29" s="289"/>
      <c r="RIE29" s="289"/>
      <c r="RIF29" s="289"/>
      <c r="RIG29" s="289"/>
      <c r="RIH29" s="289"/>
      <c r="RII29" s="289"/>
      <c r="RIJ29" s="289"/>
      <c r="RIK29" s="289"/>
      <c r="RIL29" s="289"/>
      <c r="RIM29" s="289"/>
      <c r="RIN29" s="289"/>
      <c r="RIO29" s="289"/>
      <c r="RIP29" s="289"/>
      <c r="RIQ29" s="289"/>
      <c r="RIR29" s="289"/>
      <c r="RIS29" s="289"/>
      <c r="RIT29" s="289"/>
      <c r="RIU29" s="289"/>
      <c r="RIV29" s="289"/>
      <c r="RIW29" s="289"/>
      <c r="RIX29" s="289"/>
      <c r="RIY29" s="289"/>
      <c r="RIZ29" s="289"/>
      <c r="RJA29" s="289"/>
      <c r="RJB29" s="289"/>
      <c r="RJC29" s="289"/>
      <c r="RJD29" s="289"/>
      <c r="RJE29" s="289"/>
      <c r="RJF29" s="289"/>
      <c r="RJG29" s="289"/>
      <c r="RJH29" s="289"/>
      <c r="RJI29" s="289"/>
      <c r="RJJ29" s="289"/>
      <c r="RJK29" s="289"/>
      <c r="RJL29" s="289"/>
      <c r="RJM29" s="289"/>
      <c r="RJN29" s="289"/>
      <c r="RJO29" s="289"/>
      <c r="RJP29" s="289"/>
      <c r="RJQ29" s="289"/>
      <c r="RJR29" s="289"/>
      <c r="RJS29" s="289"/>
      <c r="RJT29" s="289"/>
      <c r="RJU29" s="289"/>
      <c r="RJV29" s="289"/>
      <c r="RJW29" s="289"/>
      <c r="RJX29" s="289"/>
      <c r="RJY29" s="289"/>
      <c r="RJZ29" s="289"/>
      <c r="RKA29" s="289"/>
      <c r="RKB29" s="289"/>
      <c r="RKC29" s="289"/>
      <c r="RKD29" s="289"/>
      <c r="RKE29" s="289"/>
      <c r="RKF29" s="289"/>
      <c r="RKG29" s="289"/>
      <c r="RKH29" s="289"/>
      <c r="RKI29" s="289"/>
      <c r="RKJ29" s="289"/>
      <c r="RKK29" s="289"/>
      <c r="RKL29" s="289"/>
      <c r="RKM29" s="289"/>
      <c r="RKN29" s="289"/>
      <c r="RKO29" s="289"/>
      <c r="RKP29" s="289"/>
      <c r="RKQ29" s="289"/>
      <c r="RKR29" s="289"/>
      <c r="RKS29" s="289"/>
      <c r="RKT29" s="289"/>
      <c r="RKU29" s="289"/>
      <c r="RKV29" s="289"/>
      <c r="RKW29" s="289"/>
      <c r="RKX29" s="289"/>
      <c r="RKY29" s="289"/>
      <c r="RKZ29" s="289"/>
      <c r="RLA29" s="289"/>
      <c r="RLB29" s="289"/>
      <c r="RLC29" s="289"/>
      <c r="RLD29" s="289"/>
      <c r="RLE29" s="289"/>
      <c r="RLF29" s="289"/>
      <c r="RLG29" s="289"/>
      <c r="RLH29" s="289"/>
      <c r="RLI29" s="289"/>
      <c r="RLJ29" s="289"/>
      <c r="RLK29" s="289"/>
      <c r="RLL29" s="289"/>
      <c r="RLM29" s="289"/>
      <c r="RLN29" s="289"/>
      <c r="RLO29" s="289"/>
      <c r="RLP29" s="289"/>
      <c r="RLQ29" s="289"/>
      <c r="RLR29" s="289"/>
      <c r="RLS29" s="289"/>
      <c r="RLT29" s="289"/>
      <c r="RLU29" s="289"/>
      <c r="RLV29" s="289"/>
      <c r="RLW29" s="289"/>
      <c r="RLX29" s="289"/>
      <c r="RLY29" s="289"/>
      <c r="RLZ29" s="289"/>
      <c r="RMA29" s="289"/>
      <c r="RMB29" s="289"/>
      <c r="RMC29" s="289"/>
      <c r="RMD29" s="289"/>
      <c r="RME29" s="289"/>
      <c r="RMF29" s="289"/>
      <c r="RMG29" s="289"/>
      <c r="RMH29" s="289"/>
      <c r="RMI29" s="289"/>
      <c r="RMJ29" s="289"/>
      <c r="RMK29" s="289"/>
      <c r="RML29" s="289"/>
      <c r="RMM29" s="289"/>
      <c r="RMN29" s="289"/>
      <c r="RMO29" s="289"/>
      <c r="RMP29" s="289"/>
      <c r="RMQ29" s="289"/>
      <c r="RMR29" s="289"/>
      <c r="RMS29" s="289"/>
      <c r="RMT29" s="289"/>
      <c r="RMU29" s="289"/>
      <c r="RMV29" s="289"/>
      <c r="RMW29" s="289"/>
      <c r="RMX29" s="289"/>
      <c r="RMY29" s="289"/>
      <c r="RMZ29" s="289"/>
      <c r="RNA29" s="289"/>
      <c r="RNB29" s="289"/>
      <c r="RNC29" s="289"/>
      <c r="RND29" s="289"/>
      <c r="RNE29" s="289"/>
      <c r="RNF29" s="289"/>
      <c r="RNG29" s="289"/>
      <c r="RNH29" s="289"/>
      <c r="RNI29" s="289"/>
      <c r="RNJ29" s="289"/>
      <c r="RNK29" s="289"/>
      <c r="RNL29" s="289"/>
      <c r="RNM29" s="289"/>
      <c r="RNN29" s="289"/>
      <c r="RNO29" s="289"/>
      <c r="RNP29" s="289"/>
      <c r="RNQ29" s="289"/>
      <c r="RNR29" s="289"/>
      <c r="RNS29" s="289"/>
      <c r="RNT29" s="289"/>
      <c r="RNU29" s="289"/>
      <c r="RNV29" s="289"/>
      <c r="RNW29" s="289"/>
      <c r="RNX29" s="289"/>
      <c r="RNY29" s="289"/>
      <c r="RNZ29" s="289"/>
      <c r="ROA29" s="289"/>
      <c r="ROB29" s="289"/>
      <c r="ROC29" s="289"/>
      <c r="ROD29" s="289"/>
      <c r="ROE29" s="289"/>
      <c r="ROF29" s="289"/>
      <c r="ROG29" s="289"/>
      <c r="ROH29" s="289"/>
      <c r="ROI29" s="289"/>
      <c r="ROJ29" s="289"/>
      <c r="ROK29" s="289"/>
      <c r="ROL29" s="289"/>
      <c r="ROM29" s="289"/>
      <c r="RON29" s="289"/>
      <c r="ROO29" s="289"/>
      <c r="ROP29" s="289"/>
      <c r="ROQ29" s="289"/>
      <c r="ROR29" s="289"/>
      <c r="ROS29" s="289"/>
      <c r="ROT29" s="289"/>
      <c r="ROU29" s="289"/>
      <c r="ROV29" s="289"/>
      <c r="ROW29" s="289"/>
      <c r="ROX29" s="289"/>
      <c r="ROY29" s="289"/>
      <c r="ROZ29" s="289"/>
      <c r="RPA29" s="289"/>
      <c r="RPB29" s="289"/>
      <c r="RPC29" s="289"/>
      <c r="RPD29" s="289"/>
      <c r="RPE29" s="289"/>
      <c r="RPF29" s="289"/>
      <c r="RPG29" s="289"/>
      <c r="RPH29" s="289"/>
      <c r="RPI29" s="289"/>
      <c r="RPJ29" s="289"/>
      <c r="RPK29" s="289"/>
      <c r="RPL29" s="289"/>
      <c r="RPM29" s="289"/>
      <c r="RPN29" s="289"/>
      <c r="RPO29" s="289"/>
      <c r="RPP29" s="289"/>
      <c r="RPQ29" s="289"/>
      <c r="RPR29" s="289"/>
      <c r="RPS29" s="289"/>
      <c r="RPT29" s="289"/>
      <c r="RPU29" s="289"/>
      <c r="RPV29" s="289"/>
      <c r="RPW29" s="289"/>
      <c r="RPX29" s="289"/>
      <c r="RPY29" s="289"/>
      <c r="RPZ29" s="289"/>
      <c r="RQA29" s="289"/>
      <c r="RQB29" s="289"/>
      <c r="RQC29" s="289"/>
      <c r="RQD29" s="289"/>
      <c r="RQE29" s="289"/>
      <c r="RQF29" s="289"/>
      <c r="RQG29" s="289"/>
      <c r="RQH29" s="289"/>
      <c r="RQI29" s="289"/>
      <c r="RQJ29" s="289"/>
      <c r="RQK29" s="289"/>
      <c r="RQL29" s="289"/>
      <c r="RQM29" s="289"/>
      <c r="RQN29" s="289"/>
      <c r="RQO29" s="289"/>
      <c r="RQP29" s="289"/>
      <c r="RQQ29" s="289"/>
      <c r="RQR29" s="289"/>
      <c r="RQS29" s="289"/>
      <c r="RQT29" s="289"/>
      <c r="RQU29" s="289"/>
      <c r="RQV29" s="289"/>
      <c r="RQW29" s="289"/>
      <c r="RQX29" s="289"/>
      <c r="RQY29" s="289"/>
      <c r="RQZ29" s="289"/>
      <c r="RRA29" s="289"/>
      <c r="RRB29" s="289"/>
      <c r="RRC29" s="289"/>
      <c r="RRD29" s="289"/>
      <c r="RRE29" s="289"/>
      <c r="RRF29" s="289"/>
      <c r="RRG29" s="289"/>
      <c r="RRH29" s="289"/>
      <c r="RRI29" s="289"/>
      <c r="RRJ29" s="289"/>
      <c r="RRK29" s="289"/>
      <c r="RRL29" s="289"/>
      <c r="RRM29" s="289"/>
      <c r="RRN29" s="289"/>
      <c r="RRO29" s="289"/>
      <c r="RRP29" s="289"/>
      <c r="RRQ29" s="289"/>
      <c r="RRR29" s="289"/>
      <c r="RRS29" s="289"/>
      <c r="RRT29" s="289"/>
      <c r="RRU29" s="289"/>
      <c r="RRV29" s="289"/>
      <c r="RRW29" s="289"/>
      <c r="RRX29" s="289"/>
      <c r="RRY29" s="289"/>
      <c r="RRZ29" s="289"/>
      <c r="RSA29" s="289"/>
      <c r="RSB29" s="289"/>
      <c r="RSC29" s="289"/>
      <c r="RSD29" s="289"/>
      <c r="RSE29" s="289"/>
      <c r="RSF29" s="289"/>
      <c r="RSG29" s="289"/>
      <c r="RSH29" s="289"/>
      <c r="RSI29" s="289"/>
      <c r="RSJ29" s="289"/>
      <c r="RSK29" s="289"/>
      <c r="RSL29" s="289"/>
      <c r="RSM29" s="289"/>
      <c r="RSN29" s="289"/>
      <c r="RSO29" s="289"/>
      <c r="RSP29" s="289"/>
      <c r="RSQ29" s="289"/>
      <c r="RSR29" s="289"/>
      <c r="RSS29" s="289"/>
      <c r="RST29" s="289"/>
      <c r="RSU29" s="289"/>
      <c r="RSV29" s="289"/>
      <c r="RSW29" s="289"/>
      <c r="RSX29" s="289"/>
      <c r="RSY29" s="289"/>
      <c r="RSZ29" s="289"/>
      <c r="RTA29" s="289"/>
      <c r="RTB29" s="289"/>
      <c r="RTC29" s="289"/>
      <c r="RTD29" s="289"/>
      <c r="RTE29" s="289"/>
      <c r="RTF29" s="289"/>
      <c r="RTG29" s="289"/>
      <c r="RTH29" s="289"/>
      <c r="RTI29" s="289"/>
      <c r="RTJ29" s="289"/>
      <c r="RTK29" s="289"/>
      <c r="RTL29" s="289"/>
      <c r="RTM29" s="289"/>
      <c r="RTN29" s="289"/>
      <c r="RTO29" s="289"/>
      <c r="RTP29" s="289"/>
      <c r="RTQ29" s="289"/>
      <c r="RTR29" s="289"/>
      <c r="RTS29" s="289"/>
      <c r="RTT29" s="289"/>
      <c r="RTU29" s="289"/>
      <c r="RTV29" s="289"/>
      <c r="RTW29" s="289"/>
      <c r="RTX29" s="289"/>
      <c r="RTY29" s="289"/>
      <c r="RTZ29" s="289"/>
      <c r="RUA29" s="289"/>
      <c r="RUB29" s="289"/>
      <c r="RUC29" s="289"/>
      <c r="RUD29" s="289"/>
      <c r="RUE29" s="289"/>
      <c r="RUF29" s="289"/>
      <c r="RUG29" s="289"/>
      <c r="RUH29" s="289"/>
      <c r="RUI29" s="289"/>
      <c r="RUJ29" s="289"/>
      <c r="RUK29" s="289"/>
      <c r="RUL29" s="289"/>
      <c r="RUM29" s="289"/>
      <c r="RUN29" s="289"/>
      <c r="RUO29" s="289"/>
      <c r="RUP29" s="289"/>
      <c r="RUQ29" s="289"/>
      <c r="RUR29" s="289"/>
      <c r="RUS29" s="289"/>
      <c r="RUT29" s="289"/>
      <c r="RUU29" s="289"/>
      <c r="RUV29" s="289"/>
      <c r="RUW29" s="289"/>
      <c r="RUX29" s="289"/>
      <c r="RUY29" s="289"/>
      <c r="RUZ29" s="289"/>
      <c r="RVA29" s="289"/>
      <c r="RVB29" s="289"/>
      <c r="RVC29" s="289"/>
      <c r="RVD29" s="289"/>
      <c r="RVE29" s="289"/>
      <c r="RVF29" s="289"/>
      <c r="RVG29" s="289"/>
      <c r="RVH29" s="289"/>
      <c r="RVI29" s="289"/>
      <c r="RVJ29" s="289"/>
      <c r="RVK29" s="289"/>
      <c r="RVL29" s="289"/>
      <c r="RVM29" s="289"/>
      <c r="RVN29" s="289"/>
      <c r="RVO29" s="289"/>
      <c r="RVP29" s="289"/>
      <c r="RVQ29" s="289"/>
      <c r="RVR29" s="289"/>
      <c r="RVS29" s="289"/>
      <c r="RVT29" s="289"/>
      <c r="RVU29" s="289"/>
      <c r="RVV29" s="289"/>
      <c r="RVW29" s="289"/>
      <c r="RVX29" s="289"/>
      <c r="RVY29" s="289"/>
      <c r="RVZ29" s="289"/>
      <c r="RWA29" s="289"/>
      <c r="RWB29" s="289"/>
      <c r="RWC29" s="289"/>
      <c r="RWD29" s="289"/>
      <c r="RWE29" s="289"/>
      <c r="RWF29" s="289"/>
      <c r="RWG29" s="289"/>
      <c r="RWH29" s="289"/>
      <c r="RWI29" s="289"/>
      <c r="RWJ29" s="289"/>
      <c r="RWK29" s="289"/>
      <c r="RWL29" s="289"/>
      <c r="RWM29" s="289"/>
      <c r="RWN29" s="289"/>
      <c r="RWO29" s="289"/>
      <c r="RWP29" s="289"/>
      <c r="RWQ29" s="289"/>
      <c r="RWR29" s="289"/>
      <c r="RWS29" s="289"/>
      <c r="RWT29" s="289"/>
      <c r="RWU29" s="289"/>
      <c r="RWV29" s="289"/>
      <c r="RWW29" s="289"/>
      <c r="RWX29" s="289"/>
      <c r="RWY29" s="289"/>
      <c r="RWZ29" s="289"/>
      <c r="RXA29" s="289"/>
      <c r="RXB29" s="289"/>
      <c r="RXC29" s="289"/>
      <c r="RXD29" s="289"/>
      <c r="RXE29" s="289"/>
      <c r="RXF29" s="289"/>
      <c r="RXG29" s="289"/>
      <c r="RXH29" s="289"/>
      <c r="RXI29" s="289"/>
      <c r="RXJ29" s="289"/>
      <c r="RXK29" s="289"/>
      <c r="RXL29" s="289"/>
      <c r="RXM29" s="289"/>
      <c r="RXN29" s="289"/>
      <c r="RXO29" s="289"/>
      <c r="RXP29" s="289"/>
      <c r="RXQ29" s="289"/>
      <c r="RXR29" s="289"/>
      <c r="RXS29" s="289"/>
      <c r="RXT29" s="289"/>
      <c r="RXU29" s="289"/>
      <c r="RXV29" s="289"/>
      <c r="RXW29" s="289"/>
      <c r="RXX29" s="289"/>
      <c r="RXY29" s="289"/>
      <c r="RXZ29" s="289"/>
      <c r="RYA29" s="289"/>
      <c r="RYB29" s="289"/>
      <c r="RYC29" s="289"/>
      <c r="RYD29" s="289"/>
      <c r="RYE29" s="289"/>
      <c r="RYF29" s="289"/>
      <c r="RYG29" s="289"/>
      <c r="RYH29" s="289"/>
      <c r="RYI29" s="289"/>
      <c r="RYJ29" s="289"/>
      <c r="RYK29" s="289"/>
      <c r="RYL29" s="289"/>
      <c r="RYM29" s="289"/>
      <c r="RYN29" s="289"/>
      <c r="RYO29" s="289"/>
      <c r="RYP29" s="289"/>
      <c r="RYQ29" s="289"/>
      <c r="RYR29" s="289"/>
      <c r="RYS29" s="289"/>
      <c r="RYT29" s="289"/>
      <c r="RYU29" s="289"/>
      <c r="RYV29" s="289"/>
      <c r="RYW29" s="289"/>
      <c r="RYX29" s="289"/>
      <c r="RYY29" s="289"/>
      <c r="RYZ29" s="289"/>
      <c r="RZA29" s="289"/>
      <c r="RZB29" s="289"/>
      <c r="RZC29" s="289"/>
      <c r="RZD29" s="289"/>
      <c r="RZE29" s="289"/>
      <c r="RZF29" s="289"/>
      <c r="RZG29" s="289"/>
      <c r="RZH29" s="289"/>
      <c r="RZI29" s="289"/>
      <c r="RZJ29" s="289"/>
      <c r="RZK29" s="289"/>
      <c r="RZL29" s="289"/>
      <c r="RZM29" s="289"/>
      <c r="RZN29" s="289"/>
      <c r="RZO29" s="289"/>
      <c r="RZP29" s="289"/>
      <c r="RZQ29" s="289"/>
      <c r="RZR29" s="289"/>
      <c r="RZS29" s="289"/>
      <c r="RZT29" s="289"/>
      <c r="RZU29" s="289"/>
      <c r="RZV29" s="289"/>
      <c r="RZW29" s="289"/>
      <c r="RZX29" s="289"/>
      <c r="RZY29" s="289"/>
      <c r="RZZ29" s="289"/>
      <c r="SAA29" s="289"/>
      <c r="SAB29" s="289"/>
      <c r="SAC29" s="289"/>
      <c r="SAD29" s="289"/>
      <c r="SAE29" s="289"/>
      <c r="SAF29" s="289"/>
      <c r="SAG29" s="289"/>
      <c r="SAH29" s="289"/>
      <c r="SAI29" s="289"/>
      <c r="SAJ29" s="289"/>
      <c r="SAK29" s="289"/>
      <c r="SAL29" s="289"/>
      <c r="SAM29" s="289"/>
      <c r="SAN29" s="289"/>
      <c r="SAO29" s="289"/>
      <c r="SAP29" s="289"/>
      <c r="SAQ29" s="289"/>
      <c r="SAR29" s="289"/>
      <c r="SAS29" s="289"/>
      <c r="SAT29" s="289"/>
      <c r="SAU29" s="289"/>
      <c r="SAV29" s="289"/>
      <c r="SAW29" s="289"/>
      <c r="SAX29" s="289"/>
      <c r="SAY29" s="289"/>
      <c r="SAZ29" s="289"/>
      <c r="SBA29" s="289"/>
      <c r="SBB29" s="289"/>
      <c r="SBC29" s="289"/>
      <c r="SBD29" s="289"/>
      <c r="SBE29" s="289"/>
      <c r="SBF29" s="289"/>
      <c r="SBG29" s="289"/>
      <c r="SBH29" s="289"/>
      <c r="SBI29" s="289"/>
      <c r="SBJ29" s="289"/>
      <c r="SBK29" s="289"/>
      <c r="SBL29" s="289"/>
      <c r="SBM29" s="289"/>
      <c r="SBN29" s="289"/>
      <c r="SBO29" s="289"/>
      <c r="SBP29" s="289"/>
      <c r="SBQ29" s="289"/>
      <c r="SBR29" s="289"/>
      <c r="SBS29" s="289"/>
      <c r="SBT29" s="289"/>
      <c r="SBU29" s="289"/>
      <c r="SBV29" s="289"/>
      <c r="SBW29" s="289"/>
      <c r="SBX29" s="289"/>
      <c r="SBY29" s="289"/>
      <c r="SBZ29" s="289"/>
      <c r="SCA29" s="289"/>
      <c r="SCB29" s="289"/>
      <c r="SCC29" s="289"/>
      <c r="SCD29" s="289"/>
      <c r="SCE29" s="289"/>
      <c r="SCF29" s="289"/>
      <c r="SCG29" s="289"/>
      <c r="SCH29" s="289"/>
      <c r="SCI29" s="289"/>
      <c r="SCJ29" s="289"/>
      <c r="SCK29" s="289"/>
      <c r="SCL29" s="289"/>
      <c r="SCM29" s="289"/>
      <c r="SCN29" s="289"/>
      <c r="SCO29" s="289"/>
      <c r="SCP29" s="289"/>
      <c r="SCQ29" s="289"/>
      <c r="SCR29" s="289"/>
      <c r="SCS29" s="289"/>
      <c r="SCT29" s="289"/>
      <c r="SCU29" s="289"/>
      <c r="SCV29" s="289"/>
      <c r="SCW29" s="289"/>
      <c r="SCX29" s="289"/>
      <c r="SCY29" s="289"/>
      <c r="SCZ29" s="289"/>
      <c r="SDA29" s="289"/>
      <c r="SDB29" s="289"/>
      <c r="SDC29" s="289"/>
      <c r="SDD29" s="289"/>
      <c r="SDE29" s="289"/>
      <c r="SDF29" s="289"/>
      <c r="SDG29" s="289"/>
      <c r="SDH29" s="289"/>
      <c r="SDI29" s="289"/>
      <c r="SDJ29" s="289"/>
      <c r="SDK29" s="289"/>
      <c r="SDL29" s="289"/>
      <c r="SDM29" s="289"/>
      <c r="SDN29" s="289"/>
      <c r="SDO29" s="289"/>
      <c r="SDP29" s="289"/>
      <c r="SDQ29" s="289"/>
      <c r="SDR29" s="289"/>
      <c r="SDS29" s="289"/>
      <c r="SDT29" s="289"/>
      <c r="SDU29" s="289"/>
      <c r="SDV29" s="289"/>
      <c r="SDW29" s="289"/>
      <c r="SDX29" s="289"/>
      <c r="SDY29" s="289"/>
      <c r="SDZ29" s="289"/>
      <c r="SEA29" s="289"/>
      <c r="SEB29" s="289"/>
      <c r="SEC29" s="289"/>
      <c r="SED29" s="289"/>
      <c r="SEE29" s="289"/>
      <c r="SEF29" s="289"/>
      <c r="SEG29" s="289"/>
      <c r="SEH29" s="289"/>
      <c r="SEI29" s="289"/>
      <c r="SEJ29" s="289"/>
      <c r="SEK29" s="289"/>
      <c r="SEL29" s="289"/>
      <c r="SEM29" s="289"/>
      <c r="SEN29" s="289"/>
      <c r="SEO29" s="289"/>
      <c r="SEP29" s="289"/>
      <c r="SEQ29" s="289"/>
      <c r="SER29" s="289"/>
      <c r="SES29" s="289"/>
      <c r="SET29" s="289"/>
      <c r="SEU29" s="289"/>
      <c r="SEV29" s="289"/>
      <c r="SEW29" s="289"/>
      <c r="SEX29" s="289"/>
      <c r="SEY29" s="289"/>
      <c r="SEZ29" s="289"/>
      <c r="SFA29" s="289"/>
      <c r="SFB29" s="289"/>
      <c r="SFC29" s="289"/>
      <c r="SFD29" s="289"/>
      <c r="SFE29" s="289"/>
      <c r="SFF29" s="289"/>
      <c r="SFG29" s="289"/>
      <c r="SFH29" s="289"/>
      <c r="SFI29" s="289"/>
      <c r="SFJ29" s="289"/>
      <c r="SFK29" s="289"/>
      <c r="SFL29" s="289"/>
      <c r="SFM29" s="289"/>
      <c r="SFN29" s="289"/>
      <c r="SFO29" s="289"/>
      <c r="SFP29" s="289"/>
      <c r="SFQ29" s="289"/>
      <c r="SFR29" s="289"/>
      <c r="SFS29" s="289"/>
      <c r="SFT29" s="289"/>
      <c r="SFU29" s="289"/>
      <c r="SFV29" s="289"/>
      <c r="SFW29" s="289"/>
      <c r="SFX29" s="289"/>
      <c r="SFY29" s="289"/>
      <c r="SFZ29" s="289"/>
      <c r="SGA29" s="289"/>
      <c r="SGB29" s="289"/>
      <c r="SGC29" s="289"/>
      <c r="SGD29" s="289"/>
      <c r="SGE29" s="289"/>
      <c r="SGF29" s="289"/>
      <c r="SGG29" s="289"/>
      <c r="SGH29" s="289"/>
      <c r="SGI29" s="289"/>
      <c r="SGJ29" s="289"/>
      <c r="SGK29" s="289"/>
      <c r="SGL29" s="289"/>
      <c r="SGM29" s="289"/>
      <c r="SGN29" s="289"/>
      <c r="SGO29" s="289"/>
      <c r="SGP29" s="289"/>
      <c r="SGQ29" s="289"/>
      <c r="SGR29" s="289"/>
      <c r="SGS29" s="289"/>
      <c r="SGT29" s="289"/>
      <c r="SGU29" s="289"/>
      <c r="SGV29" s="289"/>
      <c r="SGW29" s="289"/>
      <c r="SGX29" s="289"/>
      <c r="SGY29" s="289"/>
      <c r="SGZ29" s="289"/>
      <c r="SHA29" s="289"/>
      <c r="SHB29" s="289"/>
      <c r="SHC29" s="289"/>
      <c r="SHD29" s="289"/>
      <c r="SHE29" s="289"/>
      <c r="SHF29" s="289"/>
      <c r="SHG29" s="289"/>
      <c r="SHH29" s="289"/>
      <c r="SHI29" s="289"/>
      <c r="SHJ29" s="289"/>
      <c r="SHK29" s="289"/>
      <c r="SHL29" s="289"/>
      <c r="SHM29" s="289"/>
      <c r="SHN29" s="289"/>
      <c r="SHO29" s="289"/>
      <c r="SHP29" s="289"/>
      <c r="SHQ29" s="289"/>
      <c r="SHR29" s="289"/>
      <c r="SHS29" s="289"/>
      <c r="SHT29" s="289"/>
      <c r="SHU29" s="289"/>
      <c r="SHV29" s="289"/>
      <c r="SHW29" s="289"/>
      <c r="SHX29" s="289"/>
      <c r="SHY29" s="289"/>
      <c r="SHZ29" s="289"/>
      <c r="SIA29" s="289"/>
      <c r="SIB29" s="289"/>
      <c r="SIC29" s="289"/>
      <c r="SID29" s="289"/>
      <c r="SIE29" s="289"/>
      <c r="SIF29" s="289"/>
      <c r="SIG29" s="289"/>
      <c r="SIH29" s="289"/>
      <c r="SII29" s="289"/>
      <c r="SIJ29" s="289"/>
      <c r="SIK29" s="289"/>
      <c r="SIL29" s="289"/>
      <c r="SIM29" s="289"/>
      <c r="SIN29" s="289"/>
      <c r="SIO29" s="289"/>
      <c r="SIP29" s="289"/>
      <c r="SIQ29" s="289"/>
      <c r="SIR29" s="289"/>
      <c r="SIS29" s="289"/>
      <c r="SIT29" s="289"/>
      <c r="SIU29" s="289"/>
      <c r="SIV29" s="289"/>
      <c r="SIW29" s="289"/>
      <c r="SIX29" s="289"/>
      <c r="SIY29" s="289"/>
      <c r="SIZ29" s="289"/>
      <c r="SJA29" s="289"/>
      <c r="SJB29" s="289"/>
      <c r="SJC29" s="289"/>
      <c r="SJD29" s="289"/>
      <c r="SJE29" s="289"/>
      <c r="SJF29" s="289"/>
      <c r="SJG29" s="289"/>
      <c r="SJH29" s="289"/>
      <c r="SJI29" s="289"/>
      <c r="SJJ29" s="289"/>
      <c r="SJK29" s="289"/>
      <c r="SJL29" s="289"/>
      <c r="SJM29" s="289"/>
      <c r="SJN29" s="289"/>
      <c r="SJO29" s="289"/>
      <c r="SJP29" s="289"/>
      <c r="SJQ29" s="289"/>
      <c r="SJR29" s="289"/>
      <c r="SJS29" s="289"/>
      <c r="SJT29" s="289"/>
      <c r="SJU29" s="289"/>
      <c r="SJV29" s="289"/>
      <c r="SJW29" s="289"/>
      <c r="SJX29" s="289"/>
      <c r="SJY29" s="289"/>
      <c r="SJZ29" s="289"/>
      <c r="SKA29" s="289"/>
      <c r="SKB29" s="289"/>
      <c r="SKC29" s="289"/>
      <c r="SKD29" s="289"/>
      <c r="SKE29" s="289"/>
      <c r="SKF29" s="289"/>
      <c r="SKG29" s="289"/>
      <c r="SKH29" s="289"/>
      <c r="SKI29" s="289"/>
      <c r="SKJ29" s="289"/>
      <c r="SKK29" s="289"/>
      <c r="SKL29" s="289"/>
      <c r="SKM29" s="289"/>
      <c r="SKN29" s="289"/>
      <c r="SKO29" s="289"/>
      <c r="SKP29" s="289"/>
      <c r="SKQ29" s="289"/>
      <c r="SKR29" s="289"/>
      <c r="SKS29" s="289"/>
      <c r="SKT29" s="289"/>
      <c r="SKU29" s="289"/>
      <c r="SKV29" s="289"/>
      <c r="SKW29" s="289"/>
      <c r="SKX29" s="289"/>
      <c r="SKY29" s="289"/>
      <c r="SKZ29" s="289"/>
      <c r="SLA29" s="289"/>
      <c r="SLB29" s="289"/>
      <c r="SLC29" s="289"/>
      <c r="SLD29" s="289"/>
      <c r="SLE29" s="289"/>
      <c r="SLF29" s="289"/>
      <c r="SLG29" s="289"/>
      <c r="SLH29" s="289"/>
      <c r="SLI29" s="289"/>
      <c r="SLJ29" s="289"/>
      <c r="SLK29" s="289"/>
      <c r="SLL29" s="289"/>
      <c r="SLM29" s="289"/>
      <c r="SLN29" s="289"/>
      <c r="SLO29" s="289"/>
      <c r="SLP29" s="289"/>
      <c r="SLQ29" s="289"/>
      <c r="SLR29" s="289"/>
      <c r="SLS29" s="289"/>
      <c r="SLT29" s="289"/>
      <c r="SLU29" s="289"/>
      <c r="SLV29" s="289"/>
      <c r="SLW29" s="289"/>
      <c r="SLX29" s="289"/>
      <c r="SLY29" s="289"/>
      <c r="SLZ29" s="289"/>
      <c r="SMA29" s="289"/>
      <c r="SMB29" s="289"/>
      <c r="SMC29" s="289"/>
      <c r="SMD29" s="289"/>
      <c r="SME29" s="289"/>
      <c r="SMF29" s="289"/>
      <c r="SMG29" s="289"/>
      <c r="SMH29" s="289"/>
      <c r="SMI29" s="289"/>
      <c r="SMJ29" s="289"/>
      <c r="SMK29" s="289"/>
      <c r="SML29" s="289"/>
      <c r="SMM29" s="289"/>
      <c r="SMN29" s="289"/>
      <c r="SMO29" s="289"/>
      <c r="SMP29" s="289"/>
      <c r="SMQ29" s="289"/>
      <c r="SMR29" s="289"/>
      <c r="SMS29" s="289"/>
      <c r="SMT29" s="289"/>
      <c r="SMU29" s="289"/>
      <c r="SMV29" s="289"/>
      <c r="SMW29" s="289"/>
      <c r="SMX29" s="289"/>
      <c r="SMY29" s="289"/>
      <c r="SMZ29" s="289"/>
      <c r="SNA29" s="289"/>
      <c r="SNB29" s="289"/>
      <c r="SNC29" s="289"/>
      <c r="SND29" s="289"/>
      <c r="SNE29" s="289"/>
      <c r="SNF29" s="289"/>
      <c r="SNG29" s="289"/>
      <c r="SNH29" s="289"/>
      <c r="SNI29" s="289"/>
      <c r="SNJ29" s="289"/>
      <c r="SNK29" s="289"/>
      <c r="SNL29" s="289"/>
      <c r="SNM29" s="289"/>
      <c r="SNN29" s="289"/>
      <c r="SNO29" s="289"/>
      <c r="SNP29" s="289"/>
      <c r="SNQ29" s="289"/>
      <c r="SNR29" s="289"/>
      <c r="SNS29" s="289"/>
      <c r="SNT29" s="289"/>
      <c r="SNU29" s="289"/>
      <c r="SNV29" s="289"/>
      <c r="SNW29" s="289"/>
      <c r="SNX29" s="289"/>
      <c r="SNY29" s="289"/>
      <c r="SNZ29" s="289"/>
      <c r="SOA29" s="289"/>
      <c r="SOB29" s="289"/>
      <c r="SOC29" s="289"/>
      <c r="SOD29" s="289"/>
      <c r="SOE29" s="289"/>
      <c r="SOF29" s="289"/>
      <c r="SOG29" s="289"/>
      <c r="SOH29" s="289"/>
      <c r="SOI29" s="289"/>
      <c r="SOJ29" s="289"/>
      <c r="SOK29" s="289"/>
      <c r="SOL29" s="289"/>
      <c r="SOM29" s="289"/>
      <c r="SON29" s="289"/>
      <c r="SOO29" s="289"/>
      <c r="SOP29" s="289"/>
      <c r="SOQ29" s="289"/>
      <c r="SOR29" s="289"/>
      <c r="SOS29" s="289"/>
      <c r="SOT29" s="289"/>
      <c r="SOU29" s="289"/>
      <c r="SOV29" s="289"/>
      <c r="SOW29" s="289"/>
      <c r="SOX29" s="289"/>
      <c r="SOY29" s="289"/>
      <c r="SOZ29" s="289"/>
      <c r="SPA29" s="289"/>
      <c r="SPB29" s="289"/>
      <c r="SPC29" s="289"/>
      <c r="SPD29" s="289"/>
      <c r="SPE29" s="289"/>
      <c r="SPF29" s="289"/>
      <c r="SPG29" s="289"/>
      <c r="SPH29" s="289"/>
      <c r="SPI29" s="289"/>
      <c r="SPJ29" s="289"/>
      <c r="SPK29" s="289"/>
      <c r="SPL29" s="289"/>
      <c r="SPM29" s="289"/>
      <c r="SPN29" s="289"/>
      <c r="SPO29" s="289"/>
      <c r="SPP29" s="289"/>
      <c r="SPQ29" s="289"/>
      <c r="SPR29" s="289"/>
      <c r="SPS29" s="289"/>
      <c r="SPT29" s="289"/>
      <c r="SPU29" s="289"/>
      <c r="SPV29" s="289"/>
      <c r="SPW29" s="289"/>
      <c r="SPX29" s="289"/>
      <c r="SPY29" s="289"/>
      <c r="SPZ29" s="289"/>
      <c r="SQA29" s="289"/>
      <c r="SQB29" s="289"/>
      <c r="SQC29" s="289"/>
      <c r="SQD29" s="289"/>
      <c r="SQE29" s="289"/>
      <c r="SQF29" s="289"/>
      <c r="SQG29" s="289"/>
      <c r="SQH29" s="289"/>
      <c r="SQI29" s="289"/>
      <c r="SQJ29" s="289"/>
      <c r="SQK29" s="289"/>
      <c r="SQL29" s="289"/>
      <c r="SQM29" s="289"/>
      <c r="SQN29" s="289"/>
      <c r="SQO29" s="289"/>
      <c r="SQP29" s="289"/>
      <c r="SQQ29" s="289"/>
      <c r="SQR29" s="289"/>
      <c r="SQS29" s="289"/>
      <c r="SQT29" s="289"/>
      <c r="SQU29" s="289"/>
      <c r="SQV29" s="289"/>
      <c r="SQW29" s="289"/>
      <c r="SQX29" s="289"/>
      <c r="SQY29" s="289"/>
      <c r="SQZ29" s="289"/>
      <c r="SRA29" s="289"/>
      <c r="SRB29" s="289"/>
      <c r="SRC29" s="289"/>
      <c r="SRD29" s="289"/>
      <c r="SRE29" s="289"/>
      <c r="SRF29" s="289"/>
      <c r="SRG29" s="289"/>
      <c r="SRH29" s="289"/>
      <c r="SRI29" s="289"/>
      <c r="SRJ29" s="289"/>
      <c r="SRK29" s="289"/>
      <c r="SRL29" s="289"/>
      <c r="SRM29" s="289"/>
      <c r="SRN29" s="289"/>
      <c r="SRO29" s="289"/>
      <c r="SRP29" s="289"/>
      <c r="SRQ29" s="289"/>
      <c r="SRR29" s="289"/>
      <c r="SRS29" s="289"/>
      <c r="SRT29" s="289"/>
      <c r="SRU29" s="289"/>
      <c r="SRV29" s="289"/>
      <c r="SRW29" s="289"/>
      <c r="SRX29" s="289"/>
      <c r="SRY29" s="289"/>
      <c r="SRZ29" s="289"/>
      <c r="SSA29" s="289"/>
      <c r="SSB29" s="289"/>
      <c r="SSC29" s="289"/>
      <c r="SSD29" s="289"/>
      <c r="SSE29" s="289"/>
      <c r="SSF29" s="289"/>
      <c r="SSG29" s="289"/>
      <c r="SSH29" s="289"/>
      <c r="SSI29" s="289"/>
      <c r="SSJ29" s="289"/>
      <c r="SSK29" s="289"/>
      <c r="SSL29" s="289"/>
      <c r="SSM29" s="289"/>
      <c r="SSN29" s="289"/>
      <c r="SSO29" s="289"/>
      <c r="SSP29" s="289"/>
      <c r="SSQ29" s="289"/>
      <c r="SSR29" s="289"/>
      <c r="SSS29" s="289"/>
      <c r="SST29" s="289"/>
      <c r="SSU29" s="289"/>
      <c r="SSV29" s="289"/>
      <c r="SSW29" s="289"/>
      <c r="SSX29" s="289"/>
      <c r="SSY29" s="289"/>
      <c r="SSZ29" s="289"/>
      <c r="STA29" s="289"/>
      <c r="STB29" s="289"/>
      <c r="STC29" s="289"/>
      <c r="STD29" s="289"/>
      <c r="STE29" s="289"/>
      <c r="STF29" s="289"/>
      <c r="STG29" s="289"/>
      <c r="STH29" s="289"/>
      <c r="STI29" s="289"/>
      <c r="STJ29" s="289"/>
      <c r="STK29" s="289"/>
      <c r="STL29" s="289"/>
      <c r="STM29" s="289"/>
      <c r="STN29" s="289"/>
      <c r="STO29" s="289"/>
      <c r="STP29" s="289"/>
      <c r="STQ29" s="289"/>
      <c r="STR29" s="289"/>
      <c r="STS29" s="289"/>
      <c r="STT29" s="289"/>
      <c r="STU29" s="289"/>
      <c r="STV29" s="289"/>
      <c r="STW29" s="289"/>
      <c r="STX29" s="289"/>
      <c r="STY29" s="289"/>
      <c r="STZ29" s="289"/>
      <c r="SUA29" s="289"/>
      <c r="SUB29" s="289"/>
      <c r="SUC29" s="289"/>
      <c r="SUD29" s="289"/>
      <c r="SUE29" s="289"/>
      <c r="SUF29" s="289"/>
      <c r="SUG29" s="289"/>
      <c r="SUH29" s="289"/>
      <c r="SUI29" s="289"/>
      <c r="SUJ29" s="289"/>
      <c r="SUK29" s="289"/>
      <c r="SUL29" s="289"/>
      <c r="SUM29" s="289"/>
      <c r="SUN29" s="289"/>
      <c r="SUO29" s="289"/>
      <c r="SUP29" s="289"/>
      <c r="SUQ29" s="289"/>
      <c r="SUR29" s="289"/>
      <c r="SUS29" s="289"/>
      <c r="SUT29" s="289"/>
      <c r="SUU29" s="289"/>
      <c r="SUV29" s="289"/>
      <c r="SUW29" s="289"/>
      <c r="SUX29" s="289"/>
      <c r="SUY29" s="289"/>
      <c r="SUZ29" s="289"/>
      <c r="SVA29" s="289"/>
      <c r="SVB29" s="289"/>
      <c r="SVC29" s="289"/>
      <c r="SVD29" s="289"/>
      <c r="SVE29" s="289"/>
      <c r="SVF29" s="289"/>
      <c r="SVG29" s="289"/>
      <c r="SVH29" s="289"/>
      <c r="SVI29" s="289"/>
      <c r="SVJ29" s="289"/>
      <c r="SVK29" s="289"/>
      <c r="SVL29" s="289"/>
      <c r="SVM29" s="289"/>
      <c r="SVN29" s="289"/>
      <c r="SVO29" s="289"/>
      <c r="SVP29" s="289"/>
      <c r="SVQ29" s="289"/>
      <c r="SVR29" s="289"/>
      <c r="SVS29" s="289"/>
      <c r="SVT29" s="289"/>
      <c r="SVU29" s="289"/>
      <c r="SVV29" s="289"/>
      <c r="SVW29" s="289"/>
      <c r="SVX29" s="289"/>
      <c r="SVY29" s="289"/>
      <c r="SVZ29" s="289"/>
      <c r="SWA29" s="289"/>
      <c r="SWB29" s="289"/>
      <c r="SWC29" s="289"/>
      <c r="SWD29" s="289"/>
      <c r="SWE29" s="289"/>
      <c r="SWF29" s="289"/>
      <c r="SWG29" s="289"/>
      <c r="SWH29" s="289"/>
      <c r="SWI29" s="289"/>
      <c r="SWJ29" s="289"/>
      <c r="SWK29" s="289"/>
      <c r="SWL29" s="289"/>
      <c r="SWM29" s="289"/>
      <c r="SWN29" s="289"/>
      <c r="SWO29" s="289"/>
      <c r="SWP29" s="289"/>
      <c r="SWQ29" s="289"/>
      <c r="SWR29" s="289"/>
      <c r="SWS29" s="289"/>
      <c r="SWT29" s="289"/>
      <c r="SWU29" s="289"/>
      <c r="SWV29" s="289"/>
      <c r="SWW29" s="289"/>
      <c r="SWX29" s="289"/>
      <c r="SWY29" s="289"/>
      <c r="SWZ29" s="289"/>
      <c r="SXA29" s="289"/>
      <c r="SXB29" s="289"/>
      <c r="SXC29" s="289"/>
      <c r="SXD29" s="289"/>
      <c r="SXE29" s="289"/>
      <c r="SXF29" s="289"/>
      <c r="SXG29" s="289"/>
      <c r="SXH29" s="289"/>
      <c r="SXI29" s="289"/>
      <c r="SXJ29" s="289"/>
      <c r="SXK29" s="289"/>
      <c r="SXL29" s="289"/>
      <c r="SXM29" s="289"/>
      <c r="SXN29" s="289"/>
      <c r="SXO29" s="289"/>
      <c r="SXP29" s="289"/>
      <c r="SXQ29" s="289"/>
      <c r="SXR29" s="289"/>
      <c r="SXS29" s="289"/>
      <c r="SXT29" s="289"/>
      <c r="SXU29" s="289"/>
      <c r="SXV29" s="289"/>
      <c r="SXW29" s="289"/>
      <c r="SXX29" s="289"/>
      <c r="SXY29" s="289"/>
      <c r="SXZ29" s="289"/>
      <c r="SYA29" s="289"/>
      <c r="SYB29" s="289"/>
      <c r="SYC29" s="289"/>
      <c r="SYD29" s="289"/>
      <c r="SYE29" s="289"/>
      <c r="SYF29" s="289"/>
      <c r="SYG29" s="289"/>
      <c r="SYH29" s="289"/>
      <c r="SYI29" s="289"/>
      <c r="SYJ29" s="289"/>
      <c r="SYK29" s="289"/>
      <c r="SYL29" s="289"/>
      <c r="SYM29" s="289"/>
      <c r="SYN29" s="289"/>
      <c r="SYO29" s="289"/>
      <c r="SYP29" s="289"/>
      <c r="SYQ29" s="289"/>
      <c r="SYR29" s="289"/>
      <c r="SYS29" s="289"/>
      <c r="SYT29" s="289"/>
      <c r="SYU29" s="289"/>
      <c r="SYV29" s="289"/>
      <c r="SYW29" s="289"/>
      <c r="SYX29" s="289"/>
      <c r="SYY29" s="289"/>
      <c r="SYZ29" s="289"/>
      <c r="SZA29" s="289"/>
      <c r="SZB29" s="289"/>
      <c r="SZC29" s="289"/>
      <c r="SZD29" s="289"/>
      <c r="SZE29" s="289"/>
      <c r="SZF29" s="289"/>
      <c r="SZG29" s="289"/>
      <c r="SZH29" s="289"/>
      <c r="SZI29" s="289"/>
      <c r="SZJ29" s="289"/>
      <c r="SZK29" s="289"/>
      <c r="SZL29" s="289"/>
      <c r="SZM29" s="289"/>
      <c r="SZN29" s="289"/>
      <c r="SZO29" s="289"/>
      <c r="SZP29" s="289"/>
      <c r="SZQ29" s="289"/>
      <c r="SZR29" s="289"/>
      <c r="SZS29" s="289"/>
      <c r="SZT29" s="289"/>
      <c r="SZU29" s="289"/>
      <c r="SZV29" s="289"/>
      <c r="SZW29" s="289"/>
      <c r="SZX29" s="289"/>
      <c r="SZY29" s="289"/>
      <c r="SZZ29" s="289"/>
      <c r="TAA29" s="289"/>
      <c r="TAB29" s="289"/>
      <c r="TAC29" s="289"/>
      <c r="TAD29" s="289"/>
      <c r="TAE29" s="289"/>
      <c r="TAF29" s="289"/>
      <c r="TAG29" s="289"/>
      <c r="TAH29" s="289"/>
      <c r="TAI29" s="289"/>
      <c r="TAJ29" s="289"/>
      <c r="TAK29" s="289"/>
      <c r="TAL29" s="289"/>
      <c r="TAM29" s="289"/>
      <c r="TAN29" s="289"/>
      <c r="TAO29" s="289"/>
      <c r="TAP29" s="289"/>
      <c r="TAQ29" s="289"/>
      <c r="TAR29" s="289"/>
      <c r="TAS29" s="289"/>
      <c r="TAT29" s="289"/>
      <c r="TAU29" s="289"/>
      <c r="TAV29" s="289"/>
      <c r="TAW29" s="289"/>
      <c r="TAX29" s="289"/>
      <c r="TAY29" s="289"/>
      <c r="TAZ29" s="289"/>
      <c r="TBA29" s="289"/>
      <c r="TBB29" s="289"/>
      <c r="TBC29" s="289"/>
      <c r="TBD29" s="289"/>
      <c r="TBE29" s="289"/>
      <c r="TBF29" s="289"/>
      <c r="TBG29" s="289"/>
      <c r="TBH29" s="289"/>
      <c r="TBI29" s="289"/>
      <c r="TBJ29" s="289"/>
      <c r="TBK29" s="289"/>
      <c r="TBL29" s="289"/>
      <c r="TBM29" s="289"/>
      <c r="TBN29" s="289"/>
      <c r="TBO29" s="289"/>
      <c r="TBP29" s="289"/>
      <c r="TBQ29" s="289"/>
      <c r="TBR29" s="289"/>
      <c r="TBS29" s="289"/>
      <c r="TBT29" s="289"/>
      <c r="TBU29" s="289"/>
      <c r="TBV29" s="289"/>
      <c r="TBW29" s="289"/>
      <c r="TBX29" s="289"/>
      <c r="TBY29" s="289"/>
      <c r="TBZ29" s="289"/>
      <c r="TCA29" s="289"/>
      <c r="TCB29" s="289"/>
      <c r="TCC29" s="289"/>
      <c r="TCD29" s="289"/>
      <c r="TCE29" s="289"/>
      <c r="TCF29" s="289"/>
      <c r="TCG29" s="289"/>
      <c r="TCH29" s="289"/>
      <c r="TCI29" s="289"/>
      <c r="TCJ29" s="289"/>
      <c r="TCK29" s="289"/>
      <c r="TCL29" s="289"/>
      <c r="TCM29" s="289"/>
      <c r="TCN29" s="289"/>
      <c r="TCO29" s="289"/>
      <c r="TCP29" s="289"/>
      <c r="TCQ29" s="289"/>
      <c r="TCR29" s="289"/>
      <c r="TCS29" s="289"/>
      <c r="TCT29" s="289"/>
      <c r="TCU29" s="289"/>
      <c r="TCV29" s="289"/>
      <c r="TCW29" s="289"/>
      <c r="TCX29" s="289"/>
      <c r="TCY29" s="289"/>
      <c r="TCZ29" s="289"/>
      <c r="TDA29" s="289"/>
      <c r="TDB29" s="289"/>
      <c r="TDC29" s="289"/>
      <c r="TDD29" s="289"/>
      <c r="TDE29" s="289"/>
      <c r="TDF29" s="289"/>
      <c r="TDG29" s="289"/>
      <c r="TDH29" s="289"/>
      <c r="TDI29" s="289"/>
      <c r="TDJ29" s="289"/>
      <c r="TDK29" s="289"/>
      <c r="TDL29" s="289"/>
      <c r="TDM29" s="289"/>
      <c r="TDN29" s="289"/>
      <c r="TDO29" s="289"/>
      <c r="TDP29" s="289"/>
      <c r="TDQ29" s="289"/>
      <c r="TDR29" s="289"/>
      <c r="TDS29" s="289"/>
      <c r="TDT29" s="289"/>
      <c r="TDU29" s="289"/>
      <c r="TDV29" s="289"/>
      <c r="TDW29" s="289"/>
      <c r="TDX29" s="289"/>
      <c r="TDY29" s="289"/>
      <c r="TDZ29" s="289"/>
      <c r="TEA29" s="289"/>
      <c r="TEB29" s="289"/>
      <c r="TEC29" s="289"/>
      <c r="TED29" s="289"/>
      <c r="TEE29" s="289"/>
      <c r="TEF29" s="289"/>
      <c r="TEG29" s="289"/>
      <c r="TEH29" s="289"/>
      <c r="TEI29" s="289"/>
      <c r="TEJ29" s="289"/>
      <c r="TEK29" s="289"/>
      <c r="TEL29" s="289"/>
      <c r="TEM29" s="289"/>
      <c r="TEN29" s="289"/>
      <c r="TEO29" s="289"/>
      <c r="TEP29" s="289"/>
      <c r="TEQ29" s="289"/>
      <c r="TER29" s="289"/>
      <c r="TES29" s="289"/>
      <c r="TET29" s="289"/>
      <c r="TEU29" s="289"/>
      <c r="TEV29" s="289"/>
      <c r="TEW29" s="289"/>
      <c r="TEX29" s="289"/>
      <c r="TEY29" s="289"/>
      <c r="TEZ29" s="289"/>
      <c r="TFA29" s="289"/>
      <c r="TFB29" s="289"/>
      <c r="TFC29" s="289"/>
      <c r="TFD29" s="289"/>
      <c r="TFE29" s="289"/>
      <c r="TFF29" s="289"/>
      <c r="TFG29" s="289"/>
      <c r="TFH29" s="289"/>
      <c r="TFI29" s="289"/>
      <c r="TFJ29" s="289"/>
      <c r="TFK29" s="289"/>
      <c r="TFL29" s="289"/>
      <c r="TFM29" s="289"/>
      <c r="TFN29" s="289"/>
      <c r="TFO29" s="289"/>
      <c r="TFP29" s="289"/>
      <c r="TFQ29" s="289"/>
      <c r="TFR29" s="289"/>
      <c r="TFS29" s="289"/>
      <c r="TFT29" s="289"/>
      <c r="TFU29" s="289"/>
      <c r="TFV29" s="289"/>
      <c r="TFW29" s="289"/>
      <c r="TFX29" s="289"/>
      <c r="TFY29" s="289"/>
      <c r="TFZ29" s="289"/>
      <c r="TGA29" s="289"/>
      <c r="TGB29" s="289"/>
      <c r="TGC29" s="289"/>
      <c r="TGD29" s="289"/>
      <c r="TGE29" s="289"/>
      <c r="TGF29" s="289"/>
      <c r="TGG29" s="289"/>
      <c r="TGH29" s="289"/>
      <c r="TGI29" s="289"/>
      <c r="TGJ29" s="289"/>
      <c r="TGK29" s="289"/>
      <c r="TGL29" s="289"/>
      <c r="TGM29" s="289"/>
      <c r="TGN29" s="289"/>
      <c r="TGO29" s="289"/>
      <c r="TGP29" s="289"/>
      <c r="TGQ29" s="289"/>
      <c r="TGR29" s="289"/>
      <c r="TGS29" s="289"/>
      <c r="TGT29" s="289"/>
      <c r="TGU29" s="289"/>
      <c r="TGV29" s="289"/>
      <c r="TGW29" s="289"/>
      <c r="TGX29" s="289"/>
      <c r="TGY29" s="289"/>
      <c r="TGZ29" s="289"/>
      <c r="THA29" s="289"/>
      <c r="THB29" s="289"/>
      <c r="THC29" s="289"/>
      <c r="THD29" s="289"/>
      <c r="THE29" s="289"/>
      <c r="THF29" s="289"/>
      <c r="THG29" s="289"/>
      <c r="THH29" s="289"/>
      <c r="THI29" s="289"/>
      <c r="THJ29" s="289"/>
      <c r="THK29" s="289"/>
      <c r="THL29" s="289"/>
      <c r="THM29" s="289"/>
      <c r="THN29" s="289"/>
      <c r="THO29" s="289"/>
      <c r="THP29" s="289"/>
      <c r="THQ29" s="289"/>
      <c r="THR29" s="289"/>
      <c r="THS29" s="289"/>
      <c r="THT29" s="289"/>
      <c r="THU29" s="289"/>
      <c r="THV29" s="289"/>
      <c r="THW29" s="289"/>
      <c r="THX29" s="289"/>
      <c r="THY29" s="289"/>
      <c r="THZ29" s="289"/>
      <c r="TIA29" s="289"/>
      <c r="TIB29" s="289"/>
      <c r="TIC29" s="289"/>
      <c r="TID29" s="289"/>
      <c r="TIE29" s="289"/>
      <c r="TIF29" s="289"/>
      <c r="TIG29" s="289"/>
      <c r="TIH29" s="289"/>
      <c r="TII29" s="289"/>
      <c r="TIJ29" s="289"/>
      <c r="TIK29" s="289"/>
      <c r="TIL29" s="289"/>
      <c r="TIM29" s="289"/>
      <c r="TIN29" s="289"/>
      <c r="TIO29" s="289"/>
      <c r="TIP29" s="289"/>
      <c r="TIQ29" s="289"/>
      <c r="TIR29" s="289"/>
      <c r="TIS29" s="289"/>
      <c r="TIT29" s="289"/>
      <c r="TIU29" s="289"/>
      <c r="TIV29" s="289"/>
      <c r="TIW29" s="289"/>
      <c r="TIX29" s="289"/>
      <c r="TIY29" s="289"/>
      <c r="TIZ29" s="289"/>
      <c r="TJA29" s="289"/>
      <c r="TJB29" s="289"/>
      <c r="TJC29" s="289"/>
      <c r="TJD29" s="289"/>
      <c r="TJE29" s="289"/>
      <c r="TJF29" s="289"/>
      <c r="TJG29" s="289"/>
      <c r="TJH29" s="289"/>
      <c r="TJI29" s="289"/>
      <c r="TJJ29" s="289"/>
      <c r="TJK29" s="289"/>
      <c r="TJL29" s="289"/>
      <c r="TJM29" s="289"/>
      <c r="TJN29" s="289"/>
      <c r="TJO29" s="289"/>
      <c r="TJP29" s="289"/>
      <c r="TJQ29" s="289"/>
      <c r="TJR29" s="289"/>
      <c r="TJS29" s="289"/>
      <c r="TJT29" s="289"/>
      <c r="TJU29" s="289"/>
      <c r="TJV29" s="289"/>
      <c r="TJW29" s="289"/>
      <c r="TJX29" s="289"/>
      <c r="TJY29" s="289"/>
      <c r="TJZ29" s="289"/>
      <c r="TKA29" s="289"/>
      <c r="TKB29" s="289"/>
      <c r="TKC29" s="289"/>
      <c r="TKD29" s="289"/>
      <c r="TKE29" s="289"/>
      <c r="TKF29" s="289"/>
      <c r="TKG29" s="289"/>
      <c r="TKH29" s="289"/>
      <c r="TKI29" s="289"/>
      <c r="TKJ29" s="289"/>
      <c r="TKK29" s="289"/>
      <c r="TKL29" s="289"/>
      <c r="TKM29" s="289"/>
      <c r="TKN29" s="289"/>
      <c r="TKO29" s="289"/>
      <c r="TKP29" s="289"/>
      <c r="TKQ29" s="289"/>
      <c r="TKR29" s="289"/>
      <c r="TKS29" s="289"/>
      <c r="TKT29" s="289"/>
      <c r="TKU29" s="289"/>
      <c r="TKV29" s="289"/>
      <c r="TKW29" s="289"/>
      <c r="TKX29" s="289"/>
      <c r="TKY29" s="289"/>
      <c r="TKZ29" s="289"/>
      <c r="TLA29" s="289"/>
      <c r="TLB29" s="289"/>
      <c r="TLC29" s="289"/>
      <c r="TLD29" s="289"/>
      <c r="TLE29" s="289"/>
      <c r="TLF29" s="289"/>
      <c r="TLG29" s="289"/>
      <c r="TLH29" s="289"/>
      <c r="TLI29" s="289"/>
      <c r="TLJ29" s="289"/>
      <c r="TLK29" s="289"/>
      <c r="TLL29" s="289"/>
      <c r="TLM29" s="289"/>
      <c r="TLN29" s="289"/>
      <c r="TLO29" s="289"/>
      <c r="TLP29" s="289"/>
      <c r="TLQ29" s="289"/>
      <c r="TLR29" s="289"/>
      <c r="TLS29" s="289"/>
      <c r="TLT29" s="289"/>
      <c r="TLU29" s="289"/>
      <c r="TLV29" s="289"/>
      <c r="TLW29" s="289"/>
      <c r="TLX29" s="289"/>
      <c r="TLY29" s="289"/>
      <c r="TLZ29" s="289"/>
      <c r="TMA29" s="289"/>
      <c r="TMB29" s="289"/>
      <c r="TMC29" s="289"/>
      <c r="TMD29" s="289"/>
      <c r="TME29" s="289"/>
      <c r="TMF29" s="289"/>
      <c r="TMG29" s="289"/>
      <c r="TMH29" s="289"/>
      <c r="TMI29" s="289"/>
      <c r="TMJ29" s="289"/>
      <c r="TMK29" s="289"/>
      <c r="TML29" s="289"/>
      <c r="TMM29" s="289"/>
      <c r="TMN29" s="289"/>
      <c r="TMO29" s="289"/>
      <c r="TMP29" s="289"/>
      <c r="TMQ29" s="289"/>
      <c r="TMR29" s="289"/>
      <c r="TMS29" s="289"/>
      <c r="TMT29" s="289"/>
      <c r="TMU29" s="289"/>
      <c r="TMV29" s="289"/>
      <c r="TMW29" s="289"/>
      <c r="TMX29" s="289"/>
      <c r="TMY29" s="289"/>
      <c r="TMZ29" s="289"/>
      <c r="TNA29" s="289"/>
      <c r="TNB29" s="289"/>
      <c r="TNC29" s="289"/>
      <c r="TND29" s="289"/>
      <c r="TNE29" s="289"/>
      <c r="TNF29" s="289"/>
      <c r="TNG29" s="289"/>
      <c r="TNH29" s="289"/>
      <c r="TNI29" s="289"/>
      <c r="TNJ29" s="289"/>
      <c r="TNK29" s="289"/>
      <c r="TNL29" s="289"/>
      <c r="TNM29" s="289"/>
      <c r="TNN29" s="289"/>
      <c r="TNO29" s="289"/>
      <c r="TNP29" s="289"/>
      <c r="TNQ29" s="289"/>
      <c r="TNR29" s="289"/>
      <c r="TNS29" s="289"/>
      <c r="TNT29" s="289"/>
      <c r="TNU29" s="289"/>
      <c r="TNV29" s="289"/>
      <c r="TNW29" s="289"/>
      <c r="TNX29" s="289"/>
      <c r="TNY29" s="289"/>
      <c r="TNZ29" s="289"/>
      <c r="TOA29" s="289"/>
      <c r="TOB29" s="289"/>
      <c r="TOC29" s="289"/>
      <c r="TOD29" s="289"/>
      <c r="TOE29" s="289"/>
      <c r="TOF29" s="289"/>
      <c r="TOG29" s="289"/>
      <c r="TOH29" s="289"/>
      <c r="TOI29" s="289"/>
      <c r="TOJ29" s="289"/>
      <c r="TOK29" s="289"/>
      <c r="TOL29" s="289"/>
      <c r="TOM29" s="289"/>
      <c r="TON29" s="289"/>
      <c r="TOO29" s="289"/>
      <c r="TOP29" s="289"/>
      <c r="TOQ29" s="289"/>
      <c r="TOR29" s="289"/>
      <c r="TOS29" s="289"/>
      <c r="TOT29" s="289"/>
      <c r="TOU29" s="289"/>
      <c r="TOV29" s="289"/>
      <c r="TOW29" s="289"/>
      <c r="TOX29" s="289"/>
      <c r="TOY29" s="289"/>
      <c r="TOZ29" s="289"/>
      <c r="TPA29" s="289"/>
      <c r="TPB29" s="289"/>
      <c r="TPC29" s="289"/>
      <c r="TPD29" s="289"/>
      <c r="TPE29" s="289"/>
      <c r="TPF29" s="289"/>
      <c r="TPG29" s="289"/>
      <c r="TPH29" s="289"/>
      <c r="TPI29" s="289"/>
      <c r="TPJ29" s="289"/>
      <c r="TPK29" s="289"/>
      <c r="TPL29" s="289"/>
      <c r="TPM29" s="289"/>
      <c r="TPN29" s="289"/>
      <c r="TPO29" s="289"/>
      <c r="TPP29" s="289"/>
      <c r="TPQ29" s="289"/>
      <c r="TPR29" s="289"/>
      <c r="TPS29" s="289"/>
      <c r="TPT29" s="289"/>
      <c r="TPU29" s="289"/>
      <c r="TPV29" s="289"/>
      <c r="TPW29" s="289"/>
      <c r="TPX29" s="289"/>
      <c r="TPY29" s="289"/>
      <c r="TPZ29" s="289"/>
      <c r="TQA29" s="289"/>
      <c r="TQB29" s="289"/>
      <c r="TQC29" s="289"/>
      <c r="TQD29" s="289"/>
      <c r="TQE29" s="289"/>
      <c r="TQF29" s="289"/>
      <c r="TQG29" s="289"/>
      <c r="TQH29" s="289"/>
      <c r="TQI29" s="289"/>
      <c r="TQJ29" s="289"/>
      <c r="TQK29" s="289"/>
      <c r="TQL29" s="289"/>
      <c r="TQM29" s="289"/>
      <c r="TQN29" s="289"/>
      <c r="TQO29" s="289"/>
      <c r="TQP29" s="289"/>
      <c r="TQQ29" s="289"/>
      <c r="TQR29" s="289"/>
      <c r="TQS29" s="289"/>
      <c r="TQT29" s="289"/>
      <c r="TQU29" s="289"/>
      <c r="TQV29" s="289"/>
      <c r="TQW29" s="289"/>
      <c r="TQX29" s="289"/>
      <c r="TQY29" s="289"/>
      <c r="TQZ29" s="289"/>
      <c r="TRA29" s="289"/>
      <c r="TRB29" s="289"/>
      <c r="TRC29" s="289"/>
      <c r="TRD29" s="289"/>
      <c r="TRE29" s="289"/>
      <c r="TRF29" s="289"/>
      <c r="TRG29" s="289"/>
      <c r="TRH29" s="289"/>
      <c r="TRI29" s="289"/>
      <c r="TRJ29" s="289"/>
      <c r="TRK29" s="289"/>
      <c r="TRL29" s="289"/>
      <c r="TRM29" s="289"/>
      <c r="TRN29" s="289"/>
      <c r="TRO29" s="289"/>
      <c r="TRP29" s="289"/>
      <c r="TRQ29" s="289"/>
      <c r="TRR29" s="289"/>
      <c r="TRS29" s="289"/>
      <c r="TRT29" s="289"/>
      <c r="TRU29" s="289"/>
      <c r="TRV29" s="289"/>
      <c r="TRW29" s="289"/>
      <c r="TRX29" s="289"/>
      <c r="TRY29" s="289"/>
      <c r="TRZ29" s="289"/>
      <c r="TSA29" s="289"/>
      <c r="TSB29" s="289"/>
      <c r="TSC29" s="289"/>
      <c r="TSD29" s="289"/>
      <c r="TSE29" s="289"/>
      <c r="TSF29" s="289"/>
      <c r="TSG29" s="289"/>
      <c r="TSH29" s="289"/>
      <c r="TSI29" s="289"/>
      <c r="TSJ29" s="289"/>
      <c r="TSK29" s="289"/>
      <c r="TSL29" s="289"/>
      <c r="TSM29" s="289"/>
      <c r="TSN29" s="289"/>
      <c r="TSO29" s="289"/>
      <c r="TSP29" s="289"/>
      <c r="TSQ29" s="289"/>
      <c r="TSR29" s="289"/>
      <c r="TSS29" s="289"/>
      <c r="TST29" s="289"/>
      <c r="TSU29" s="289"/>
      <c r="TSV29" s="289"/>
      <c r="TSW29" s="289"/>
      <c r="TSX29" s="289"/>
      <c r="TSY29" s="289"/>
      <c r="TSZ29" s="289"/>
      <c r="TTA29" s="289"/>
      <c r="TTB29" s="289"/>
      <c r="TTC29" s="289"/>
      <c r="TTD29" s="289"/>
      <c r="TTE29" s="289"/>
      <c r="TTF29" s="289"/>
      <c r="TTG29" s="289"/>
      <c r="TTH29" s="289"/>
      <c r="TTI29" s="289"/>
      <c r="TTJ29" s="289"/>
      <c r="TTK29" s="289"/>
      <c r="TTL29" s="289"/>
      <c r="TTM29" s="289"/>
      <c r="TTN29" s="289"/>
      <c r="TTO29" s="289"/>
      <c r="TTP29" s="289"/>
      <c r="TTQ29" s="289"/>
      <c r="TTR29" s="289"/>
      <c r="TTS29" s="289"/>
      <c r="TTT29" s="289"/>
      <c r="TTU29" s="289"/>
      <c r="TTV29" s="289"/>
      <c r="TTW29" s="289"/>
      <c r="TTX29" s="289"/>
      <c r="TTY29" s="289"/>
      <c r="TTZ29" s="289"/>
      <c r="TUA29" s="289"/>
      <c r="TUB29" s="289"/>
      <c r="TUC29" s="289"/>
      <c r="TUD29" s="289"/>
      <c r="TUE29" s="289"/>
      <c r="TUF29" s="289"/>
      <c r="TUG29" s="289"/>
      <c r="TUH29" s="289"/>
      <c r="TUI29" s="289"/>
      <c r="TUJ29" s="289"/>
      <c r="TUK29" s="289"/>
      <c r="TUL29" s="289"/>
      <c r="TUM29" s="289"/>
      <c r="TUN29" s="289"/>
      <c r="TUO29" s="289"/>
      <c r="TUP29" s="289"/>
      <c r="TUQ29" s="289"/>
      <c r="TUR29" s="289"/>
      <c r="TUS29" s="289"/>
      <c r="TUT29" s="289"/>
      <c r="TUU29" s="289"/>
      <c r="TUV29" s="289"/>
      <c r="TUW29" s="289"/>
      <c r="TUX29" s="289"/>
      <c r="TUY29" s="289"/>
      <c r="TUZ29" s="289"/>
      <c r="TVA29" s="289"/>
      <c r="TVB29" s="289"/>
      <c r="TVC29" s="289"/>
      <c r="TVD29" s="289"/>
      <c r="TVE29" s="289"/>
      <c r="TVF29" s="289"/>
      <c r="TVG29" s="289"/>
      <c r="TVH29" s="289"/>
      <c r="TVI29" s="289"/>
      <c r="TVJ29" s="289"/>
      <c r="TVK29" s="289"/>
      <c r="TVL29" s="289"/>
      <c r="TVM29" s="289"/>
      <c r="TVN29" s="289"/>
      <c r="TVO29" s="289"/>
      <c r="TVP29" s="289"/>
      <c r="TVQ29" s="289"/>
      <c r="TVR29" s="289"/>
      <c r="TVS29" s="289"/>
      <c r="TVT29" s="289"/>
      <c r="TVU29" s="289"/>
      <c r="TVV29" s="289"/>
      <c r="TVW29" s="289"/>
      <c r="TVX29" s="289"/>
      <c r="TVY29" s="289"/>
      <c r="TVZ29" s="289"/>
      <c r="TWA29" s="289"/>
      <c r="TWB29" s="289"/>
      <c r="TWC29" s="289"/>
      <c r="TWD29" s="289"/>
      <c r="TWE29" s="289"/>
      <c r="TWF29" s="289"/>
      <c r="TWG29" s="289"/>
      <c r="TWH29" s="289"/>
      <c r="TWI29" s="289"/>
      <c r="TWJ29" s="289"/>
      <c r="TWK29" s="289"/>
      <c r="TWL29" s="289"/>
      <c r="TWM29" s="289"/>
      <c r="TWN29" s="289"/>
      <c r="TWO29" s="289"/>
      <c r="TWP29" s="289"/>
      <c r="TWQ29" s="289"/>
      <c r="TWR29" s="289"/>
      <c r="TWS29" s="289"/>
      <c r="TWT29" s="289"/>
      <c r="TWU29" s="289"/>
      <c r="TWV29" s="289"/>
      <c r="TWW29" s="289"/>
      <c r="TWX29" s="289"/>
      <c r="TWY29" s="289"/>
      <c r="TWZ29" s="289"/>
      <c r="TXA29" s="289"/>
      <c r="TXB29" s="289"/>
      <c r="TXC29" s="289"/>
      <c r="TXD29" s="289"/>
      <c r="TXE29" s="289"/>
      <c r="TXF29" s="289"/>
      <c r="TXG29" s="289"/>
      <c r="TXH29" s="289"/>
      <c r="TXI29" s="289"/>
      <c r="TXJ29" s="289"/>
      <c r="TXK29" s="289"/>
      <c r="TXL29" s="289"/>
      <c r="TXM29" s="289"/>
      <c r="TXN29" s="289"/>
      <c r="TXO29" s="289"/>
      <c r="TXP29" s="289"/>
      <c r="TXQ29" s="289"/>
      <c r="TXR29" s="289"/>
      <c r="TXS29" s="289"/>
      <c r="TXT29" s="289"/>
      <c r="TXU29" s="289"/>
      <c r="TXV29" s="289"/>
      <c r="TXW29" s="289"/>
      <c r="TXX29" s="289"/>
      <c r="TXY29" s="289"/>
      <c r="TXZ29" s="289"/>
      <c r="TYA29" s="289"/>
      <c r="TYB29" s="289"/>
      <c r="TYC29" s="289"/>
      <c r="TYD29" s="289"/>
      <c r="TYE29" s="289"/>
      <c r="TYF29" s="289"/>
      <c r="TYG29" s="289"/>
      <c r="TYH29" s="289"/>
      <c r="TYI29" s="289"/>
      <c r="TYJ29" s="289"/>
      <c r="TYK29" s="289"/>
      <c r="TYL29" s="289"/>
      <c r="TYM29" s="289"/>
      <c r="TYN29" s="289"/>
      <c r="TYO29" s="289"/>
      <c r="TYP29" s="289"/>
      <c r="TYQ29" s="289"/>
      <c r="TYR29" s="289"/>
      <c r="TYS29" s="289"/>
      <c r="TYT29" s="289"/>
      <c r="TYU29" s="289"/>
      <c r="TYV29" s="289"/>
      <c r="TYW29" s="289"/>
      <c r="TYX29" s="289"/>
      <c r="TYY29" s="289"/>
      <c r="TYZ29" s="289"/>
      <c r="TZA29" s="289"/>
      <c r="TZB29" s="289"/>
      <c r="TZC29" s="289"/>
      <c r="TZD29" s="289"/>
      <c r="TZE29" s="289"/>
      <c r="TZF29" s="289"/>
      <c r="TZG29" s="289"/>
      <c r="TZH29" s="289"/>
      <c r="TZI29" s="289"/>
      <c r="TZJ29" s="289"/>
      <c r="TZK29" s="289"/>
      <c r="TZL29" s="289"/>
      <c r="TZM29" s="289"/>
      <c r="TZN29" s="289"/>
      <c r="TZO29" s="289"/>
      <c r="TZP29" s="289"/>
      <c r="TZQ29" s="289"/>
      <c r="TZR29" s="289"/>
      <c r="TZS29" s="289"/>
      <c r="TZT29" s="289"/>
      <c r="TZU29" s="289"/>
      <c r="TZV29" s="289"/>
      <c r="TZW29" s="289"/>
      <c r="TZX29" s="289"/>
      <c r="TZY29" s="289"/>
      <c r="TZZ29" s="289"/>
      <c r="UAA29" s="289"/>
      <c r="UAB29" s="289"/>
      <c r="UAC29" s="289"/>
      <c r="UAD29" s="289"/>
      <c r="UAE29" s="289"/>
      <c r="UAF29" s="289"/>
      <c r="UAG29" s="289"/>
      <c r="UAH29" s="289"/>
      <c r="UAI29" s="289"/>
      <c r="UAJ29" s="289"/>
      <c r="UAK29" s="289"/>
      <c r="UAL29" s="289"/>
      <c r="UAM29" s="289"/>
      <c r="UAN29" s="289"/>
      <c r="UAO29" s="289"/>
      <c r="UAP29" s="289"/>
      <c r="UAQ29" s="289"/>
      <c r="UAR29" s="289"/>
      <c r="UAS29" s="289"/>
      <c r="UAT29" s="289"/>
      <c r="UAU29" s="289"/>
      <c r="UAV29" s="289"/>
      <c r="UAW29" s="289"/>
      <c r="UAX29" s="289"/>
      <c r="UAY29" s="289"/>
      <c r="UAZ29" s="289"/>
      <c r="UBA29" s="289"/>
      <c r="UBB29" s="289"/>
      <c r="UBC29" s="289"/>
      <c r="UBD29" s="289"/>
      <c r="UBE29" s="289"/>
      <c r="UBF29" s="289"/>
      <c r="UBG29" s="289"/>
      <c r="UBH29" s="289"/>
      <c r="UBI29" s="289"/>
      <c r="UBJ29" s="289"/>
      <c r="UBK29" s="289"/>
      <c r="UBL29" s="289"/>
      <c r="UBM29" s="289"/>
      <c r="UBN29" s="289"/>
      <c r="UBO29" s="289"/>
      <c r="UBP29" s="289"/>
      <c r="UBQ29" s="289"/>
      <c r="UBR29" s="289"/>
      <c r="UBS29" s="289"/>
      <c r="UBT29" s="289"/>
      <c r="UBU29" s="289"/>
      <c r="UBV29" s="289"/>
      <c r="UBW29" s="289"/>
      <c r="UBX29" s="289"/>
      <c r="UBY29" s="289"/>
      <c r="UBZ29" s="289"/>
      <c r="UCA29" s="289"/>
      <c r="UCB29" s="289"/>
      <c r="UCC29" s="289"/>
      <c r="UCD29" s="289"/>
      <c r="UCE29" s="289"/>
      <c r="UCF29" s="289"/>
      <c r="UCG29" s="289"/>
      <c r="UCH29" s="289"/>
      <c r="UCI29" s="289"/>
      <c r="UCJ29" s="289"/>
      <c r="UCK29" s="289"/>
      <c r="UCL29" s="289"/>
      <c r="UCM29" s="289"/>
      <c r="UCN29" s="289"/>
      <c r="UCO29" s="289"/>
      <c r="UCP29" s="289"/>
      <c r="UCQ29" s="289"/>
      <c r="UCR29" s="289"/>
      <c r="UCS29" s="289"/>
      <c r="UCT29" s="289"/>
      <c r="UCU29" s="289"/>
      <c r="UCV29" s="289"/>
      <c r="UCW29" s="289"/>
      <c r="UCX29" s="289"/>
      <c r="UCY29" s="289"/>
      <c r="UCZ29" s="289"/>
      <c r="UDA29" s="289"/>
      <c r="UDB29" s="289"/>
      <c r="UDC29" s="289"/>
      <c r="UDD29" s="289"/>
      <c r="UDE29" s="289"/>
      <c r="UDF29" s="289"/>
      <c r="UDG29" s="289"/>
      <c r="UDH29" s="289"/>
      <c r="UDI29" s="289"/>
      <c r="UDJ29" s="289"/>
      <c r="UDK29" s="289"/>
      <c r="UDL29" s="289"/>
      <c r="UDM29" s="289"/>
      <c r="UDN29" s="289"/>
      <c r="UDO29" s="289"/>
      <c r="UDP29" s="289"/>
      <c r="UDQ29" s="289"/>
      <c r="UDR29" s="289"/>
      <c r="UDS29" s="289"/>
      <c r="UDT29" s="289"/>
      <c r="UDU29" s="289"/>
      <c r="UDV29" s="289"/>
      <c r="UDW29" s="289"/>
      <c r="UDX29" s="289"/>
      <c r="UDY29" s="289"/>
      <c r="UDZ29" s="289"/>
      <c r="UEA29" s="289"/>
      <c r="UEB29" s="289"/>
      <c r="UEC29" s="289"/>
      <c r="UED29" s="289"/>
      <c r="UEE29" s="289"/>
      <c r="UEF29" s="289"/>
      <c r="UEG29" s="289"/>
      <c r="UEH29" s="289"/>
      <c r="UEI29" s="289"/>
      <c r="UEJ29" s="289"/>
      <c r="UEK29" s="289"/>
      <c r="UEL29" s="289"/>
      <c r="UEM29" s="289"/>
      <c r="UEN29" s="289"/>
      <c r="UEO29" s="289"/>
      <c r="UEP29" s="289"/>
      <c r="UEQ29" s="289"/>
      <c r="UER29" s="289"/>
      <c r="UES29" s="289"/>
      <c r="UET29" s="289"/>
      <c r="UEU29" s="289"/>
      <c r="UEV29" s="289"/>
      <c r="UEW29" s="289"/>
      <c r="UEX29" s="289"/>
      <c r="UEY29" s="289"/>
      <c r="UEZ29" s="289"/>
      <c r="UFA29" s="289"/>
      <c r="UFB29" s="289"/>
      <c r="UFC29" s="289"/>
      <c r="UFD29" s="289"/>
      <c r="UFE29" s="289"/>
      <c r="UFF29" s="289"/>
      <c r="UFG29" s="289"/>
      <c r="UFH29" s="289"/>
      <c r="UFI29" s="289"/>
      <c r="UFJ29" s="289"/>
      <c r="UFK29" s="289"/>
      <c r="UFL29" s="289"/>
      <c r="UFM29" s="289"/>
      <c r="UFN29" s="289"/>
      <c r="UFO29" s="289"/>
      <c r="UFP29" s="289"/>
      <c r="UFQ29" s="289"/>
      <c r="UFR29" s="289"/>
      <c r="UFS29" s="289"/>
      <c r="UFT29" s="289"/>
      <c r="UFU29" s="289"/>
      <c r="UFV29" s="289"/>
      <c r="UFW29" s="289"/>
      <c r="UFX29" s="289"/>
      <c r="UFY29" s="289"/>
      <c r="UFZ29" s="289"/>
      <c r="UGA29" s="289"/>
      <c r="UGB29" s="289"/>
      <c r="UGC29" s="289"/>
      <c r="UGD29" s="289"/>
      <c r="UGE29" s="289"/>
      <c r="UGF29" s="289"/>
      <c r="UGG29" s="289"/>
      <c r="UGH29" s="289"/>
      <c r="UGI29" s="289"/>
      <c r="UGJ29" s="289"/>
      <c r="UGK29" s="289"/>
      <c r="UGL29" s="289"/>
      <c r="UGM29" s="289"/>
      <c r="UGN29" s="289"/>
      <c r="UGO29" s="289"/>
      <c r="UGP29" s="289"/>
      <c r="UGQ29" s="289"/>
      <c r="UGR29" s="289"/>
      <c r="UGS29" s="289"/>
      <c r="UGT29" s="289"/>
      <c r="UGU29" s="289"/>
      <c r="UGV29" s="289"/>
      <c r="UGW29" s="289"/>
      <c r="UGX29" s="289"/>
      <c r="UGY29" s="289"/>
      <c r="UGZ29" s="289"/>
      <c r="UHA29" s="289"/>
      <c r="UHB29" s="289"/>
      <c r="UHC29" s="289"/>
      <c r="UHD29" s="289"/>
      <c r="UHE29" s="289"/>
      <c r="UHF29" s="289"/>
      <c r="UHG29" s="289"/>
      <c r="UHH29" s="289"/>
      <c r="UHI29" s="289"/>
      <c r="UHJ29" s="289"/>
      <c r="UHK29" s="289"/>
      <c r="UHL29" s="289"/>
      <c r="UHM29" s="289"/>
      <c r="UHN29" s="289"/>
      <c r="UHO29" s="289"/>
      <c r="UHP29" s="289"/>
      <c r="UHQ29" s="289"/>
      <c r="UHR29" s="289"/>
      <c r="UHS29" s="289"/>
      <c r="UHT29" s="289"/>
      <c r="UHU29" s="289"/>
      <c r="UHV29" s="289"/>
      <c r="UHW29" s="289"/>
      <c r="UHX29" s="289"/>
      <c r="UHY29" s="289"/>
      <c r="UHZ29" s="289"/>
      <c r="UIA29" s="289"/>
      <c r="UIB29" s="289"/>
      <c r="UIC29" s="289"/>
      <c r="UID29" s="289"/>
      <c r="UIE29" s="289"/>
      <c r="UIF29" s="289"/>
      <c r="UIG29" s="289"/>
      <c r="UIH29" s="289"/>
      <c r="UII29" s="289"/>
      <c r="UIJ29" s="289"/>
      <c r="UIK29" s="289"/>
      <c r="UIL29" s="289"/>
      <c r="UIM29" s="289"/>
      <c r="UIN29" s="289"/>
      <c r="UIO29" s="289"/>
      <c r="UIP29" s="289"/>
      <c r="UIQ29" s="289"/>
      <c r="UIR29" s="289"/>
      <c r="UIS29" s="289"/>
      <c r="UIT29" s="289"/>
      <c r="UIU29" s="289"/>
      <c r="UIV29" s="289"/>
      <c r="UIW29" s="289"/>
      <c r="UIX29" s="289"/>
      <c r="UIY29" s="289"/>
      <c r="UIZ29" s="289"/>
      <c r="UJA29" s="289"/>
      <c r="UJB29" s="289"/>
      <c r="UJC29" s="289"/>
      <c r="UJD29" s="289"/>
      <c r="UJE29" s="289"/>
      <c r="UJF29" s="289"/>
      <c r="UJG29" s="289"/>
      <c r="UJH29" s="289"/>
      <c r="UJI29" s="289"/>
      <c r="UJJ29" s="289"/>
      <c r="UJK29" s="289"/>
      <c r="UJL29" s="289"/>
      <c r="UJM29" s="289"/>
      <c r="UJN29" s="289"/>
      <c r="UJO29" s="289"/>
      <c r="UJP29" s="289"/>
      <c r="UJQ29" s="289"/>
      <c r="UJR29" s="289"/>
      <c r="UJS29" s="289"/>
      <c r="UJT29" s="289"/>
      <c r="UJU29" s="289"/>
      <c r="UJV29" s="289"/>
      <c r="UJW29" s="289"/>
      <c r="UJX29" s="289"/>
      <c r="UJY29" s="289"/>
      <c r="UJZ29" s="289"/>
      <c r="UKA29" s="289"/>
      <c r="UKB29" s="289"/>
      <c r="UKC29" s="289"/>
      <c r="UKD29" s="289"/>
      <c r="UKE29" s="289"/>
      <c r="UKF29" s="289"/>
      <c r="UKG29" s="289"/>
      <c r="UKH29" s="289"/>
      <c r="UKI29" s="289"/>
      <c r="UKJ29" s="289"/>
      <c r="UKK29" s="289"/>
      <c r="UKL29" s="289"/>
      <c r="UKM29" s="289"/>
      <c r="UKN29" s="289"/>
      <c r="UKO29" s="289"/>
      <c r="UKP29" s="289"/>
      <c r="UKQ29" s="289"/>
      <c r="UKR29" s="289"/>
      <c r="UKS29" s="289"/>
      <c r="UKT29" s="289"/>
      <c r="UKU29" s="289"/>
      <c r="UKV29" s="289"/>
      <c r="UKW29" s="289"/>
      <c r="UKX29" s="289"/>
      <c r="UKY29" s="289"/>
      <c r="UKZ29" s="289"/>
      <c r="ULA29" s="289"/>
      <c r="ULB29" s="289"/>
      <c r="ULC29" s="289"/>
      <c r="ULD29" s="289"/>
      <c r="ULE29" s="289"/>
      <c r="ULF29" s="289"/>
      <c r="ULG29" s="289"/>
      <c r="ULH29" s="289"/>
      <c r="ULI29" s="289"/>
      <c r="ULJ29" s="289"/>
      <c r="ULK29" s="289"/>
      <c r="ULL29" s="289"/>
      <c r="ULM29" s="289"/>
      <c r="ULN29" s="289"/>
      <c r="ULO29" s="289"/>
      <c r="ULP29" s="289"/>
      <c r="ULQ29" s="289"/>
      <c r="ULR29" s="289"/>
      <c r="ULS29" s="289"/>
      <c r="ULT29" s="289"/>
      <c r="ULU29" s="289"/>
      <c r="ULV29" s="289"/>
      <c r="ULW29" s="289"/>
      <c r="ULX29" s="289"/>
      <c r="ULY29" s="289"/>
      <c r="ULZ29" s="289"/>
      <c r="UMA29" s="289"/>
      <c r="UMB29" s="289"/>
      <c r="UMC29" s="289"/>
      <c r="UMD29" s="289"/>
      <c r="UME29" s="289"/>
      <c r="UMF29" s="289"/>
      <c r="UMG29" s="289"/>
      <c r="UMH29" s="289"/>
      <c r="UMI29" s="289"/>
      <c r="UMJ29" s="289"/>
      <c r="UMK29" s="289"/>
      <c r="UML29" s="289"/>
      <c r="UMM29" s="289"/>
      <c r="UMN29" s="289"/>
      <c r="UMO29" s="289"/>
      <c r="UMP29" s="289"/>
      <c r="UMQ29" s="289"/>
      <c r="UMR29" s="289"/>
      <c r="UMS29" s="289"/>
      <c r="UMT29" s="289"/>
      <c r="UMU29" s="289"/>
      <c r="UMV29" s="289"/>
      <c r="UMW29" s="289"/>
      <c r="UMX29" s="289"/>
      <c r="UMY29" s="289"/>
      <c r="UMZ29" s="289"/>
      <c r="UNA29" s="289"/>
      <c r="UNB29" s="289"/>
      <c r="UNC29" s="289"/>
      <c r="UND29" s="289"/>
      <c r="UNE29" s="289"/>
      <c r="UNF29" s="289"/>
      <c r="UNG29" s="289"/>
      <c r="UNH29" s="289"/>
      <c r="UNI29" s="289"/>
      <c r="UNJ29" s="289"/>
      <c r="UNK29" s="289"/>
      <c r="UNL29" s="289"/>
      <c r="UNM29" s="289"/>
      <c r="UNN29" s="289"/>
      <c r="UNO29" s="289"/>
      <c r="UNP29" s="289"/>
      <c r="UNQ29" s="289"/>
      <c r="UNR29" s="289"/>
      <c r="UNS29" s="289"/>
      <c r="UNT29" s="289"/>
      <c r="UNU29" s="289"/>
      <c r="UNV29" s="289"/>
      <c r="UNW29" s="289"/>
      <c r="UNX29" s="289"/>
      <c r="UNY29" s="289"/>
      <c r="UNZ29" s="289"/>
      <c r="UOA29" s="289"/>
      <c r="UOB29" s="289"/>
      <c r="UOC29" s="289"/>
      <c r="UOD29" s="289"/>
      <c r="UOE29" s="289"/>
      <c r="UOF29" s="289"/>
      <c r="UOG29" s="289"/>
      <c r="UOH29" s="289"/>
      <c r="UOI29" s="289"/>
      <c r="UOJ29" s="289"/>
      <c r="UOK29" s="289"/>
      <c r="UOL29" s="289"/>
      <c r="UOM29" s="289"/>
      <c r="UON29" s="289"/>
      <c r="UOO29" s="289"/>
      <c r="UOP29" s="289"/>
      <c r="UOQ29" s="289"/>
      <c r="UOR29" s="289"/>
      <c r="UOS29" s="289"/>
      <c r="UOT29" s="289"/>
      <c r="UOU29" s="289"/>
      <c r="UOV29" s="289"/>
      <c r="UOW29" s="289"/>
      <c r="UOX29" s="289"/>
      <c r="UOY29" s="289"/>
      <c r="UOZ29" s="289"/>
      <c r="UPA29" s="289"/>
      <c r="UPB29" s="289"/>
      <c r="UPC29" s="289"/>
      <c r="UPD29" s="289"/>
      <c r="UPE29" s="289"/>
      <c r="UPF29" s="289"/>
      <c r="UPG29" s="289"/>
      <c r="UPH29" s="289"/>
      <c r="UPI29" s="289"/>
      <c r="UPJ29" s="289"/>
      <c r="UPK29" s="289"/>
      <c r="UPL29" s="289"/>
      <c r="UPM29" s="289"/>
      <c r="UPN29" s="289"/>
      <c r="UPO29" s="289"/>
      <c r="UPP29" s="289"/>
      <c r="UPQ29" s="289"/>
      <c r="UPR29" s="289"/>
      <c r="UPS29" s="289"/>
      <c r="UPT29" s="289"/>
      <c r="UPU29" s="289"/>
      <c r="UPV29" s="289"/>
      <c r="UPW29" s="289"/>
      <c r="UPX29" s="289"/>
      <c r="UPY29" s="289"/>
      <c r="UPZ29" s="289"/>
      <c r="UQA29" s="289"/>
      <c r="UQB29" s="289"/>
      <c r="UQC29" s="289"/>
      <c r="UQD29" s="289"/>
      <c r="UQE29" s="289"/>
      <c r="UQF29" s="289"/>
      <c r="UQG29" s="289"/>
      <c r="UQH29" s="289"/>
      <c r="UQI29" s="289"/>
      <c r="UQJ29" s="289"/>
      <c r="UQK29" s="289"/>
      <c r="UQL29" s="289"/>
      <c r="UQM29" s="289"/>
      <c r="UQN29" s="289"/>
      <c r="UQO29" s="289"/>
      <c r="UQP29" s="289"/>
      <c r="UQQ29" s="289"/>
      <c r="UQR29" s="289"/>
      <c r="UQS29" s="289"/>
      <c r="UQT29" s="289"/>
      <c r="UQU29" s="289"/>
      <c r="UQV29" s="289"/>
      <c r="UQW29" s="289"/>
      <c r="UQX29" s="289"/>
      <c r="UQY29" s="289"/>
      <c r="UQZ29" s="289"/>
      <c r="URA29" s="289"/>
      <c r="URB29" s="289"/>
      <c r="URC29" s="289"/>
      <c r="URD29" s="289"/>
      <c r="URE29" s="289"/>
      <c r="URF29" s="289"/>
      <c r="URG29" s="289"/>
      <c r="URH29" s="289"/>
      <c r="URI29" s="289"/>
      <c r="URJ29" s="289"/>
      <c r="URK29" s="289"/>
      <c r="URL29" s="289"/>
      <c r="URM29" s="289"/>
      <c r="URN29" s="289"/>
      <c r="URO29" s="289"/>
      <c r="URP29" s="289"/>
      <c r="URQ29" s="289"/>
      <c r="URR29" s="289"/>
      <c r="URS29" s="289"/>
      <c r="URT29" s="289"/>
      <c r="URU29" s="289"/>
      <c r="URV29" s="289"/>
      <c r="URW29" s="289"/>
      <c r="URX29" s="289"/>
      <c r="URY29" s="289"/>
      <c r="URZ29" s="289"/>
      <c r="USA29" s="289"/>
      <c r="USB29" s="289"/>
      <c r="USC29" s="289"/>
      <c r="USD29" s="289"/>
      <c r="USE29" s="289"/>
      <c r="USF29" s="289"/>
      <c r="USG29" s="289"/>
      <c r="USH29" s="289"/>
      <c r="USI29" s="289"/>
      <c r="USJ29" s="289"/>
      <c r="USK29" s="289"/>
      <c r="USL29" s="289"/>
      <c r="USM29" s="289"/>
      <c r="USN29" s="289"/>
      <c r="USO29" s="289"/>
      <c r="USP29" s="289"/>
      <c r="USQ29" s="289"/>
      <c r="USR29" s="289"/>
      <c r="USS29" s="289"/>
      <c r="UST29" s="289"/>
      <c r="USU29" s="289"/>
      <c r="USV29" s="289"/>
      <c r="USW29" s="289"/>
      <c r="USX29" s="289"/>
      <c r="USY29" s="289"/>
      <c r="USZ29" s="289"/>
      <c r="UTA29" s="289"/>
      <c r="UTB29" s="289"/>
      <c r="UTC29" s="289"/>
      <c r="UTD29" s="289"/>
      <c r="UTE29" s="289"/>
      <c r="UTF29" s="289"/>
      <c r="UTG29" s="289"/>
      <c r="UTH29" s="289"/>
      <c r="UTI29" s="289"/>
      <c r="UTJ29" s="289"/>
      <c r="UTK29" s="289"/>
      <c r="UTL29" s="289"/>
      <c r="UTM29" s="289"/>
      <c r="UTN29" s="289"/>
      <c r="UTO29" s="289"/>
      <c r="UTP29" s="289"/>
      <c r="UTQ29" s="289"/>
      <c r="UTR29" s="289"/>
      <c r="UTS29" s="289"/>
      <c r="UTT29" s="289"/>
      <c r="UTU29" s="289"/>
      <c r="UTV29" s="289"/>
      <c r="UTW29" s="289"/>
      <c r="UTX29" s="289"/>
      <c r="UTY29" s="289"/>
      <c r="UTZ29" s="289"/>
      <c r="UUA29" s="289"/>
      <c r="UUB29" s="289"/>
      <c r="UUC29" s="289"/>
      <c r="UUD29" s="289"/>
      <c r="UUE29" s="289"/>
      <c r="UUF29" s="289"/>
      <c r="UUG29" s="289"/>
      <c r="UUH29" s="289"/>
      <c r="UUI29" s="289"/>
      <c r="UUJ29" s="289"/>
      <c r="UUK29" s="289"/>
      <c r="UUL29" s="289"/>
      <c r="UUM29" s="289"/>
      <c r="UUN29" s="289"/>
      <c r="UUO29" s="289"/>
      <c r="UUP29" s="289"/>
      <c r="UUQ29" s="289"/>
      <c r="UUR29" s="289"/>
      <c r="UUS29" s="289"/>
      <c r="UUT29" s="289"/>
      <c r="UUU29" s="289"/>
      <c r="UUV29" s="289"/>
      <c r="UUW29" s="289"/>
      <c r="UUX29" s="289"/>
      <c r="UUY29" s="289"/>
      <c r="UUZ29" s="289"/>
      <c r="UVA29" s="289"/>
      <c r="UVB29" s="289"/>
      <c r="UVC29" s="289"/>
      <c r="UVD29" s="289"/>
      <c r="UVE29" s="289"/>
      <c r="UVF29" s="289"/>
      <c r="UVG29" s="289"/>
      <c r="UVH29" s="289"/>
      <c r="UVI29" s="289"/>
      <c r="UVJ29" s="289"/>
      <c r="UVK29" s="289"/>
      <c r="UVL29" s="289"/>
      <c r="UVM29" s="289"/>
      <c r="UVN29" s="289"/>
      <c r="UVO29" s="289"/>
      <c r="UVP29" s="289"/>
      <c r="UVQ29" s="289"/>
      <c r="UVR29" s="289"/>
      <c r="UVS29" s="289"/>
      <c r="UVT29" s="289"/>
      <c r="UVU29" s="289"/>
      <c r="UVV29" s="289"/>
      <c r="UVW29" s="289"/>
      <c r="UVX29" s="289"/>
      <c r="UVY29" s="289"/>
      <c r="UVZ29" s="289"/>
      <c r="UWA29" s="289"/>
      <c r="UWB29" s="289"/>
      <c r="UWC29" s="289"/>
      <c r="UWD29" s="289"/>
      <c r="UWE29" s="289"/>
      <c r="UWF29" s="289"/>
      <c r="UWG29" s="289"/>
      <c r="UWH29" s="289"/>
      <c r="UWI29" s="289"/>
      <c r="UWJ29" s="289"/>
      <c r="UWK29" s="289"/>
      <c r="UWL29" s="289"/>
      <c r="UWM29" s="289"/>
      <c r="UWN29" s="289"/>
      <c r="UWO29" s="289"/>
      <c r="UWP29" s="289"/>
      <c r="UWQ29" s="289"/>
      <c r="UWR29" s="289"/>
      <c r="UWS29" s="289"/>
      <c r="UWT29" s="289"/>
      <c r="UWU29" s="289"/>
      <c r="UWV29" s="289"/>
      <c r="UWW29" s="289"/>
      <c r="UWX29" s="289"/>
      <c r="UWY29" s="289"/>
      <c r="UWZ29" s="289"/>
      <c r="UXA29" s="289"/>
      <c r="UXB29" s="289"/>
      <c r="UXC29" s="289"/>
      <c r="UXD29" s="289"/>
      <c r="UXE29" s="289"/>
      <c r="UXF29" s="289"/>
      <c r="UXG29" s="289"/>
      <c r="UXH29" s="289"/>
      <c r="UXI29" s="289"/>
      <c r="UXJ29" s="289"/>
      <c r="UXK29" s="289"/>
      <c r="UXL29" s="289"/>
      <c r="UXM29" s="289"/>
      <c r="UXN29" s="289"/>
      <c r="UXO29" s="289"/>
      <c r="UXP29" s="289"/>
      <c r="UXQ29" s="289"/>
      <c r="UXR29" s="289"/>
      <c r="UXS29" s="289"/>
      <c r="UXT29" s="289"/>
      <c r="UXU29" s="289"/>
      <c r="UXV29" s="289"/>
      <c r="UXW29" s="289"/>
      <c r="UXX29" s="289"/>
      <c r="UXY29" s="289"/>
      <c r="UXZ29" s="289"/>
      <c r="UYA29" s="289"/>
      <c r="UYB29" s="289"/>
      <c r="UYC29" s="289"/>
      <c r="UYD29" s="289"/>
      <c r="UYE29" s="289"/>
      <c r="UYF29" s="289"/>
      <c r="UYG29" s="289"/>
      <c r="UYH29" s="289"/>
      <c r="UYI29" s="289"/>
      <c r="UYJ29" s="289"/>
      <c r="UYK29" s="289"/>
      <c r="UYL29" s="289"/>
      <c r="UYM29" s="289"/>
      <c r="UYN29" s="289"/>
      <c r="UYO29" s="289"/>
      <c r="UYP29" s="289"/>
      <c r="UYQ29" s="289"/>
      <c r="UYR29" s="289"/>
      <c r="UYS29" s="289"/>
      <c r="UYT29" s="289"/>
      <c r="UYU29" s="289"/>
      <c r="UYV29" s="289"/>
      <c r="UYW29" s="289"/>
      <c r="UYX29" s="289"/>
      <c r="UYY29" s="289"/>
      <c r="UYZ29" s="289"/>
      <c r="UZA29" s="289"/>
      <c r="UZB29" s="289"/>
      <c r="UZC29" s="289"/>
      <c r="UZD29" s="289"/>
      <c r="UZE29" s="289"/>
      <c r="UZF29" s="289"/>
      <c r="UZG29" s="289"/>
      <c r="UZH29" s="289"/>
      <c r="UZI29" s="289"/>
      <c r="UZJ29" s="289"/>
      <c r="UZK29" s="289"/>
      <c r="UZL29" s="289"/>
      <c r="UZM29" s="289"/>
      <c r="UZN29" s="289"/>
      <c r="UZO29" s="289"/>
      <c r="UZP29" s="289"/>
      <c r="UZQ29" s="289"/>
      <c r="UZR29" s="289"/>
      <c r="UZS29" s="289"/>
      <c r="UZT29" s="289"/>
      <c r="UZU29" s="289"/>
      <c r="UZV29" s="289"/>
      <c r="UZW29" s="289"/>
      <c r="UZX29" s="289"/>
      <c r="UZY29" s="289"/>
      <c r="UZZ29" s="289"/>
      <c r="VAA29" s="289"/>
      <c r="VAB29" s="289"/>
      <c r="VAC29" s="289"/>
      <c r="VAD29" s="289"/>
      <c r="VAE29" s="289"/>
      <c r="VAF29" s="289"/>
      <c r="VAG29" s="289"/>
      <c r="VAH29" s="289"/>
      <c r="VAI29" s="289"/>
      <c r="VAJ29" s="289"/>
      <c r="VAK29" s="289"/>
      <c r="VAL29" s="289"/>
      <c r="VAM29" s="289"/>
      <c r="VAN29" s="289"/>
      <c r="VAO29" s="289"/>
      <c r="VAP29" s="289"/>
      <c r="VAQ29" s="289"/>
      <c r="VAR29" s="289"/>
      <c r="VAS29" s="289"/>
      <c r="VAT29" s="289"/>
      <c r="VAU29" s="289"/>
      <c r="VAV29" s="289"/>
      <c r="VAW29" s="289"/>
      <c r="VAX29" s="289"/>
      <c r="VAY29" s="289"/>
      <c r="VAZ29" s="289"/>
      <c r="VBA29" s="289"/>
      <c r="VBB29" s="289"/>
      <c r="VBC29" s="289"/>
      <c r="VBD29" s="289"/>
      <c r="VBE29" s="289"/>
      <c r="VBF29" s="289"/>
      <c r="VBG29" s="289"/>
      <c r="VBH29" s="289"/>
      <c r="VBI29" s="289"/>
      <c r="VBJ29" s="289"/>
      <c r="VBK29" s="289"/>
      <c r="VBL29" s="289"/>
      <c r="VBM29" s="289"/>
      <c r="VBN29" s="289"/>
      <c r="VBO29" s="289"/>
      <c r="VBP29" s="289"/>
      <c r="VBQ29" s="289"/>
      <c r="VBR29" s="289"/>
      <c r="VBS29" s="289"/>
      <c r="VBT29" s="289"/>
      <c r="VBU29" s="289"/>
      <c r="VBV29" s="289"/>
      <c r="VBW29" s="289"/>
      <c r="VBX29" s="289"/>
      <c r="VBY29" s="289"/>
      <c r="VBZ29" s="289"/>
      <c r="VCA29" s="289"/>
      <c r="VCB29" s="289"/>
      <c r="VCC29" s="289"/>
      <c r="VCD29" s="289"/>
      <c r="VCE29" s="289"/>
      <c r="VCF29" s="289"/>
      <c r="VCG29" s="289"/>
      <c r="VCH29" s="289"/>
      <c r="VCI29" s="289"/>
      <c r="VCJ29" s="289"/>
      <c r="VCK29" s="289"/>
      <c r="VCL29" s="289"/>
      <c r="VCM29" s="289"/>
      <c r="VCN29" s="289"/>
      <c r="VCO29" s="289"/>
      <c r="VCP29" s="289"/>
      <c r="VCQ29" s="289"/>
      <c r="VCR29" s="289"/>
      <c r="VCS29" s="289"/>
      <c r="VCT29" s="289"/>
      <c r="VCU29" s="289"/>
      <c r="VCV29" s="289"/>
      <c r="VCW29" s="289"/>
      <c r="VCX29" s="289"/>
      <c r="VCY29" s="289"/>
      <c r="VCZ29" s="289"/>
      <c r="VDA29" s="289"/>
      <c r="VDB29" s="289"/>
      <c r="VDC29" s="289"/>
      <c r="VDD29" s="289"/>
      <c r="VDE29" s="289"/>
      <c r="VDF29" s="289"/>
      <c r="VDG29" s="289"/>
      <c r="VDH29" s="289"/>
      <c r="VDI29" s="289"/>
      <c r="VDJ29" s="289"/>
      <c r="VDK29" s="289"/>
      <c r="VDL29" s="289"/>
      <c r="VDM29" s="289"/>
      <c r="VDN29" s="289"/>
      <c r="VDO29" s="289"/>
      <c r="VDP29" s="289"/>
      <c r="VDQ29" s="289"/>
      <c r="VDR29" s="289"/>
      <c r="VDS29" s="289"/>
      <c r="VDT29" s="289"/>
      <c r="VDU29" s="289"/>
      <c r="VDV29" s="289"/>
      <c r="VDW29" s="289"/>
      <c r="VDX29" s="289"/>
      <c r="VDY29" s="289"/>
      <c r="VDZ29" s="289"/>
      <c r="VEA29" s="289"/>
      <c r="VEB29" s="289"/>
      <c r="VEC29" s="289"/>
      <c r="VED29" s="289"/>
      <c r="VEE29" s="289"/>
      <c r="VEF29" s="289"/>
      <c r="VEG29" s="289"/>
      <c r="VEH29" s="289"/>
      <c r="VEI29" s="289"/>
      <c r="VEJ29" s="289"/>
      <c r="VEK29" s="289"/>
      <c r="VEL29" s="289"/>
      <c r="VEM29" s="289"/>
      <c r="VEN29" s="289"/>
      <c r="VEO29" s="289"/>
      <c r="VEP29" s="289"/>
      <c r="VEQ29" s="289"/>
      <c r="VER29" s="289"/>
      <c r="VES29" s="289"/>
      <c r="VET29" s="289"/>
      <c r="VEU29" s="289"/>
      <c r="VEV29" s="289"/>
      <c r="VEW29" s="289"/>
      <c r="VEX29" s="289"/>
      <c r="VEY29" s="289"/>
      <c r="VEZ29" s="289"/>
      <c r="VFA29" s="289"/>
      <c r="VFB29" s="289"/>
      <c r="VFC29" s="289"/>
      <c r="VFD29" s="289"/>
      <c r="VFE29" s="289"/>
      <c r="VFF29" s="289"/>
      <c r="VFG29" s="289"/>
      <c r="VFH29" s="289"/>
      <c r="VFI29" s="289"/>
      <c r="VFJ29" s="289"/>
      <c r="VFK29" s="289"/>
      <c r="VFL29" s="289"/>
      <c r="VFM29" s="289"/>
      <c r="VFN29" s="289"/>
      <c r="VFO29" s="289"/>
      <c r="VFP29" s="289"/>
      <c r="VFQ29" s="289"/>
      <c r="VFR29" s="289"/>
      <c r="VFS29" s="289"/>
      <c r="VFT29" s="289"/>
      <c r="VFU29" s="289"/>
      <c r="VFV29" s="289"/>
      <c r="VFW29" s="289"/>
      <c r="VFX29" s="289"/>
      <c r="VFY29" s="289"/>
      <c r="VFZ29" s="289"/>
      <c r="VGA29" s="289"/>
      <c r="VGB29" s="289"/>
      <c r="VGC29" s="289"/>
      <c r="VGD29" s="289"/>
      <c r="VGE29" s="289"/>
      <c r="VGF29" s="289"/>
      <c r="VGG29" s="289"/>
      <c r="VGH29" s="289"/>
      <c r="VGI29" s="289"/>
      <c r="VGJ29" s="289"/>
      <c r="VGK29" s="289"/>
      <c r="VGL29" s="289"/>
      <c r="VGM29" s="289"/>
      <c r="VGN29" s="289"/>
      <c r="VGO29" s="289"/>
      <c r="VGP29" s="289"/>
      <c r="VGQ29" s="289"/>
      <c r="VGR29" s="289"/>
      <c r="VGS29" s="289"/>
      <c r="VGT29" s="289"/>
      <c r="VGU29" s="289"/>
      <c r="VGV29" s="289"/>
      <c r="VGW29" s="289"/>
      <c r="VGX29" s="289"/>
      <c r="VGY29" s="289"/>
      <c r="VGZ29" s="289"/>
      <c r="VHA29" s="289"/>
      <c r="VHB29" s="289"/>
      <c r="VHC29" s="289"/>
      <c r="VHD29" s="289"/>
      <c r="VHE29" s="289"/>
      <c r="VHF29" s="289"/>
      <c r="VHG29" s="289"/>
      <c r="VHH29" s="289"/>
      <c r="VHI29" s="289"/>
      <c r="VHJ29" s="289"/>
      <c r="VHK29" s="289"/>
      <c r="VHL29" s="289"/>
      <c r="VHM29" s="289"/>
      <c r="VHN29" s="289"/>
      <c r="VHO29" s="289"/>
      <c r="VHP29" s="289"/>
      <c r="VHQ29" s="289"/>
      <c r="VHR29" s="289"/>
      <c r="VHS29" s="289"/>
      <c r="VHT29" s="289"/>
      <c r="VHU29" s="289"/>
      <c r="VHV29" s="289"/>
      <c r="VHW29" s="289"/>
      <c r="VHX29" s="289"/>
      <c r="VHY29" s="289"/>
      <c r="VHZ29" s="289"/>
      <c r="VIA29" s="289"/>
      <c r="VIB29" s="289"/>
      <c r="VIC29" s="289"/>
      <c r="VID29" s="289"/>
      <c r="VIE29" s="289"/>
      <c r="VIF29" s="289"/>
      <c r="VIG29" s="289"/>
      <c r="VIH29" s="289"/>
      <c r="VII29" s="289"/>
      <c r="VIJ29" s="289"/>
      <c r="VIK29" s="289"/>
      <c r="VIL29" s="289"/>
      <c r="VIM29" s="289"/>
      <c r="VIN29" s="289"/>
      <c r="VIO29" s="289"/>
      <c r="VIP29" s="289"/>
      <c r="VIQ29" s="289"/>
      <c r="VIR29" s="289"/>
      <c r="VIS29" s="289"/>
      <c r="VIT29" s="289"/>
      <c r="VIU29" s="289"/>
      <c r="VIV29" s="289"/>
      <c r="VIW29" s="289"/>
      <c r="VIX29" s="289"/>
      <c r="VIY29" s="289"/>
      <c r="VIZ29" s="289"/>
      <c r="VJA29" s="289"/>
      <c r="VJB29" s="289"/>
      <c r="VJC29" s="289"/>
      <c r="VJD29" s="289"/>
      <c r="VJE29" s="289"/>
      <c r="VJF29" s="289"/>
      <c r="VJG29" s="289"/>
      <c r="VJH29" s="289"/>
      <c r="VJI29" s="289"/>
      <c r="VJJ29" s="289"/>
      <c r="VJK29" s="289"/>
      <c r="VJL29" s="289"/>
      <c r="VJM29" s="289"/>
      <c r="VJN29" s="289"/>
      <c r="VJO29" s="289"/>
      <c r="VJP29" s="289"/>
      <c r="VJQ29" s="289"/>
      <c r="VJR29" s="289"/>
      <c r="VJS29" s="289"/>
      <c r="VJT29" s="289"/>
      <c r="VJU29" s="289"/>
      <c r="VJV29" s="289"/>
      <c r="VJW29" s="289"/>
      <c r="VJX29" s="289"/>
      <c r="VJY29" s="289"/>
      <c r="VJZ29" s="289"/>
      <c r="VKA29" s="289"/>
      <c r="VKB29" s="289"/>
      <c r="VKC29" s="289"/>
      <c r="VKD29" s="289"/>
      <c r="VKE29" s="289"/>
      <c r="VKF29" s="289"/>
      <c r="VKG29" s="289"/>
      <c r="VKH29" s="289"/>
      <c r="VKI29" s="289"/>
      <c r="VKJ29" s="289"/>
      <c r="VKK29" s="289"/>
      <c r="VKL29" s="289"/>
      <c r="VKM29" s="289"/>
      <c r="VKN29" s="289"/>
      <c r="VKO29" s="289"/>
      <c r="VKP29" s="289"/>
      <c r="VKQ29" s="289"/>
      <c r="VKR29" s="289"/>
      <c r="VKS29" s="289"/>
      <c r="VKT29" s="289"/>
      <c r="VKU29" s="289"/>
      <c r="VKV29" s="289"/>
      <c r="VKW29" s="289"/>
      <c r="VKX29" s="289"/>
      <c r="VKY29" s="289"/>
      <c r="VKZ29" s="289"/>
      <c r="VLA29" s="289"/>
      <c r="VLB29" s="289"/>
      <c r="VLC29" s="289"/>
      <c r="VLD29" s="289"/>
      <c r="VLE29" s="289"/>
      <c r="VLF29" s="289"/>
      <c r="VLG29" s="289"/>
      <c r="VLH29" s="289"/>
      <c r="VLI29" s="289"/>
      <c r="VLJ29" s="289"/>
      <c r="VLK29" s="289"/>
      <c r="VLL29" s="289"/>
      <c r="VLM29" s="289"/>
      <c r="VLN29" s="289"/>
      <c r="VLO29" s="289"/>
      <c r="VLP29" s="289"/>
      <c r="VLQ29" s="289"/>
      <c r="VLR29" s="289"/>
      <c r="VLS29" s="289"/>
      <c r="VLT29" s="289"/>
      <c r="VLU29" s="289"/>
      <c r="VLV29" s="289"/>
      <c r="VLW29" s="289"/>
      <c r="VLX29" s="289"/>
      <c r="VLY29" s="289"/>
      <c r="VLZ29" s="289"/>
      <c r="VMA29" s="289"/>
      <c r="VMB29" s="289"/>
      <c r="VMC29" s="289"/>
      <c r="VMD29" s="289"/>
      <c r="VME29" s="289"/>
      <c r="VMF29" s="289"/>
      <c r="VMG29" s="289"/>
      <c r="VMH29" s="289"/>
      <c r="VMI29" s="289"/>
      <c r="VMJ29" s="289"/>
      <c r="VMK29" s="289"/>
      <c r="VML29" s="289"/>
      <c r="VMM29" s="289"/>
      <c r="VMN29" s="289"/>
      <c r="VMO29" s="289"/>
      <c r="VMP29" s="289"/>
      <c r="VMQ29" s="289"/>
      <c r="VMR29" s="289"/>
      <c r="VMS29" s="289"/>
      <c r="VMT29" s="289"/>
      <c r="VMU29" s="289"/>
      <c r="VMV29" s="289"/>
      <c r="VMW29" s="289"/>
      <c r="VMX29" s="289"/>
      <c r="VMY29" s="289"/>
      <c r="VMZ29" s="289"/>
      <c r="VNA29" s="289"/>
      <c r="VNB29" s="289"/>
      <c r="VNC29" s="289"/>
      <c r="VND29" s="289"/>
      <c r="VNE29" s="289"/>
      <c r="VNF29" s="289"/>
      <c r="VNG29" s="289"/>
      <c r="VNH29" s="289"/>
      <c r="VNI29" s="289"/>
      <c r="VNJ29" s="289"/>
      <c r="VNK29" s="289"/>
      <c r="VNL29" s="289"/>
      <c r="VNM29" s="289"/>
      <c r="VNN29" s="289"/>
      <c r="VNO29" s="289"/>
      <c r="VNP29" s="289"/>
      <c r="VNQ29" s="289"/>
      <c r="VNR29" s="289"/>
      <c r="VNS29" s="289"/>
      <c r="VNT29" s="289"/>
      <c r="VNU29" s="289"/>
      <c r="VNV29" s="289"/>
      <c r="VNW29" s="289"/>
      <c r="VNX29" s="289"/>
      <c r="VNY29" s="289"/>
      <c r="VNZ29" s="289"/>
      <c r="VOA29" s="289"/>
      <c r="VOB29" s="289"/>
      <c r="VOC29" s="289"/>
      <c r="VOD29" s="289"/>
      <c r="VOE29" s="289"/>
      <c r="VOF29" s="289"/>
      <c r="VOG29" s="289"/>
      <c r="VOH29" s="289"/>
      <c r="VOI29" s="289"/>
      <c r="VOJ29" s="289"/>
      <c r="VOK29" s="289"/>
      <c r="VOL29" s="289"/>
      <c r="VOM29" s="289"/>
      <c r="VON29" s="289"/>
      <c r="VOO29" s="289"/>
      <c r="VOP29" s="289"/>
      <c r="VOQ29" s="289"/>
      <c r="VOR29" s="289"/>
      <c r="VOS29" s="289"/>
      <c r="VOT29" s="289"/>
      <c r="VOU29" s="289"/>
      <c r="VOV29" s="289"/>
      <c r="VOW29" s="289"/>
      <c r="VOX29" s="289"/>
      <c r="VOY29" s="289"/>
      <c r="VOZ29" s="289"/>
      <c r="VPA29" s="289"/>
      <c r="VPB29" s="289"/>
      <c r="VPC29" s="289"/>
      <c r="VPD29" s="289"/>
      <c r="VPE29" s="289"/>
      <c r="VPF29" s="289"/>
      <c r="VPG29" s="289"/>
      <c r="VPH29" s="289"/>
      <c r="VPI29" s="289"/>
      <c r="VPJ29" s="289"/>
      <c r="VPK29" s="289"/>
      <c r="VPL29" s="289"/>
      <c r="VPM29" s="289"/>
      <c r="VPN29" s="289"/>
      <c r="VPO29" s="289"/>
      <c r="VPP29" s="289"/>
      <c r="VPQ29" s="289"/>
      <c r="VPR29" s="289"/>
      <c r="VPS29" s="289"/>
      <c r="VPT29" s="289"/>
      <c r="VPU29" s="289"/>
      <c r="VPV29" s="289"/>
      <c r="VPW29" s="289"/>
      <c r="VPX29" s="289"/>
      <c r="VPY29" s="289"/>
      <c r="VPZ29" s="289"/>
      <c r="VQA29" s="289"/>
      <c r="VQB29" s="289"/>
      <c r="VQC29" s="289"/>
      <c r="VQD29" s="289"/>
      <c r="VQE29" s="289"/>
      <c r="VQF29" s="289"/>
      <c r="VQG29" s="289"/>
      <c r="VQH29" s="289"/>
      <c r="VQI29" s="289"/>
      <c r="VQJ29" s="289"/>
      <c r="VQK29" s="289"/>
      <c r="VQL29" s="289"/>
      <c r="VQM29" s="289"/>
      <c r="VQN29" s="289"/>
      <c r="VQO29" s="289"/>
      <c r="VQP29" s="289"/>
      <c r="VQQ29" s="289"/>
      <c r="VQR29" s="289"/>
      <c r="VQS29" s="289"/>
      <c r="VQT29" s="289"/>
      <c r="VQU29" s="289"/>
      <c r="VQV29" s="289"/>
      <c r="VQW29" s="289"/>
      <c r="VQX29" s="289"/>
      <c r="VQY29" s="289"/>
      <c r="VQZ29" s="289"/>
      <c r="VRA29" s="289"/>
      <c r="VRB29" s="289"/>
      <c r="VRC29" s="289"/>
      <c r="VRD29" s="289"/>
      <c r="VRE29" s="289"/>
      <c r="VRF29" s="289"/>
      <c r="VRG29" s="289"/>
      <c r="VRH29" s="289"/>
      <c r="VRI29" s="289"/>
      <c r="VRJ29" s="289"/>
      <c r="VRK29" s="289"/>
      <c r="VRL29" s="289"/>
      <c r="VRM29" s="289"/>
      <c r="VRN29" s="289"/>
      <c r="VRO29" s="289"/>
      <c r="VRP29" s="289"/>
      <c r="VRQ29" s="289"/>
      <c r="VRR29" s="289"/>
      <c r="VRS29" s="289"/>
      <c r="VRT29" s="289"/>
      <c r="VRU29" s="289"/>
      <c r="VRV29" s="289"/>
      <c r="VRW29" s="289"/>
      <c r="VRX29" s="289"/>
      <c r="VRY29" s="289"/>
      <c r="VRZ29" s="289"/>
      <c r="VSA29" s="289"/>
      <c r="VSB29" s="289"/>
      <c r="VSC29" s="289"/>
      <c r="VSD29" s="289"/>
      <c r="VSE29" s="289"/>
      <c r="VSF29" s="289"/>
      <c r="VSG29" s="289"/>
      <c r="VSH29" s="289"/>
      <c r="VSI29" s="289"/>
      <c r="VSJ29" s="289"/>
      <c r="VSK29" s="289"/>
      <c r="VSL29" s="289"/>
      <c r="VSM29" s="289"/>
      <c r="VSN29" s="289"/>
      <c r="VSO29" s="289"/>
      <c r="VSP29" s="289"/>
      <c r="VSQ29" s="289"/>
      <c r="VSR29" s="289"/>
      <c r="VSS29" s="289"/>
      <c r="VST29" s="289"/>
      <c r="VSU29" s="289"/>
      <c r="VSV29" s="289"/>
      <c r="VSW29" s="289"/>
      <c r="VSX29" s="289"/>
      <c r="VSY29" s="289"/>
      <c r="VSZ29" s="289"/>
      <c r="VTA29" s="289"/>
      <c r="VTB29" s="289"/>
      <c r="VTC29" s="289"/>
      <c r="VTD29" s="289"/>
      <c r="VTE29" s="289"/>
      <c r="VTF29" s="289"/>
      <c r="VTG29" s="289"/>
      <c r="VTH29" s="289"/>
      <c r="VTI29" s="289"/>
      <c r="VTJ29" s="289"/>
      <c r="VTK29" s="289"/>
      <c r="VTL29" s="289"/>
      <c r="VTM29" s="289"/>
      <c r="VTN29" s="289"/>
      <c r="VTO29" s="289"/>
      <c r="VTP29" s="289"/>
      <c r="VTQ29" s="289"/>
      <c r="VTR29" s="289"/>
      <c r="VTS29" s="289"/>
      <c r="VTT29" s="289"/>
      <c r="VTU29" s="289"/>
      <c r="VTV29" s="289"/>
      <c r="VTW29" s="289"/>
      <c r="VTX29" s="289"/>
      <c r="VTY29" s="289"/>
      <c r="VTZ29" s="289"/>
      <c r="VUA29" s="289"/>
      <c r="VUB29" s="289"/>
      <c r="VUC29" s="289"/>
      <c r="VUD29" s="289"/>
      <c r="VUE29" s="289"/>
      <c r="VUF29" s="289"/>
      <c r="VUG29" s="289"/>
      <c r="VUH29" s="289"/>
      <c r="VUI29" s="289"/>
      <c r="VUJ29" s="289"/>
      <c r="VUK29" s="289"/>
      <c r="VUL29" s="289"/>
      <c r="VUM29" s="289"/>
      <c r="VUN29" s="289"/>
      <c r="VUO29" s="289"/>
      <c r="VUP29" s="289"/>
      <c r="VUQ29" s="289"/>
      <c r="VUR29" s="289"/>
      <c r="VUS29" s="289"/>
      <c r="VUT29" s="289"/>
      <c r="VUU29" s="289"/>
      <c r="VUV29" s="289"/>
      <c r="VUW29" s="289"/>
      <c r="VUX29" s="289"/>
      <c r="VUY29" s="289"/>
      <c r="VUZ29" s="289"/>
      <c r="VVA29" s="289"/>
      <c r="VVB29" s="289"/>
      <c r="VVC29" s="289"/>
      <c r="VVD29" s="289"/>
      <c r="VVE29" s="289"/>
      <c r="VVF29" s="289"/>
      <c r="VVG29" s="289"/>
      <c r="VVH29" s="289"/>
      <c r="VVI29" s="289"/>
      <c r="VVJ29" s="289"/>
      <c r="VVK29" s="289"/>
      <c r="VVL29" s="289"/>
      <c r="VVM29" s="289"/>
      <c r="VVN29" s="289"/>
      <c r="VVO29" s="289"/>
      <c r="VVP29" s="289"/>
      <c r="VVQ29" s="289"/>
      <c r="VVR29" s="289"/>
      <c r="VVS29" s="289"/>
      <c r="VVT29" s="289"/>
      <c r="VVU29" s="289"/>
      <c r="VVV29" s="289"/>
      <c r="VVW29" s="289"/>
      <c r="VVX29" s="289"/>
      <c r="VVY29" s="289"/>
      <c r="VVZ29" s="289"/>
      <c r="VWA29" s="289"/>
      <c r="VWB29" s="289"/>
      <c r="VWC29" s="289"/>
      <c r="VWD29" s="289"/>
      <c r="VWE29" s="289"/>
      <c r="VWF29" s="289"/>
      <c r="VWG29" s="289"/>
      <c r="VWH29" s="289"/>
      <c r="VWI29" s="289"/>
      <c r="VWJ29" s="289"/>
      <c r="VWK29" s="289"/>
      <c r="VWL29" s="289"/>
      <c r="VWM29" s="289"/>
      <c r="VWN29" s="289"/>
      <c r="VWO29" s="289"/>
      <c r="VWP29" s="289"/>
      <c r="VWQ29" s="289"/>
      <c r="VWR29" s="289"/>
      <c r="VWS29" s="289"/>
      <c r="VWT29" s="289"/>
      <c r="VWU29" s="289"/>
      <c r="VWV29" s="289"/>
      <c r="VWW29" s="289"/>
      <c r="VWX29" s="289"/>
      <c r="VWY29" s="289"/>
      <c r="VWZ29" s="289"/>
      <c r="VXA29" s="289"/>
      <c r="VXB29" s="289"/>
      <c r="VXC29" s="289"/>
      <c r="VXD29" s="289"/>
      <c r="VXE29" s="289"/>
      <c r="VXF29" s="289"/>
      <c r="VXG29" s="289"/>
      <c r="VXH29" s="289"/>
      <c r="VXI29" s="289"/>
      <c r="VXJ29" s="289"/>
      <c r="VXK29" s="289"/>
      <c r="VXL29" s="289"/>
      <c r="VXM29" s="289"/>
      <c r="VXN29" s="289"/>
      <c r="VXO29" s="289"/>
      <c r="VXP29" s="289"/>
      <c r="VXQ29" s="289"/>
      <c r="VXR29" s="289"/>
      <c r="VXS29" s="289"/>
      <c r="VXT29" s="289"/>
      <c r="VXU29" s="289"/>
      <c r="VXV29" s="289"/>
      <c r="VXW29" s="289"/>
      <c r="VXX29" s="289"/>
      <c r="VXY29" s="289"/>
      <c r="VXZ29" s="289"/>
      <c r="VYA29" s="289"/>
      <c r="VYB29" s="289"/>
      <c r="VYC29" s="289"/>
      <c r="VYD29" s="289"/>
      <c r="VYE29" s="289"/>
      <c r="VYF29" s="289"/>
      <c r="VYG29" s="289"/>
      <c r="VYH29" s="289"/>
      <c r="VYI29" s="289"/>
      <c r="VYJ29" s="289"/>
      <c r="VYK29" s="289"/>
      <c r="VYL29" s="289"/>
      <c r="VYM29" s="289"/>
      <c r="VYN29" s="289"/>
      <c r="VYO29" s="289"/>
      <c r="VYP29" s="289"/>
      <c r="VYQ29" s="289"/>
      <c r="VYR29" s="289"/>
      <c r="VYS29" s="289"/>
      <c r="VYT29" s="289"/>
      <c r="VYU29" s="289"/>
      <c r="VYV29" s="289"/>
      <c r="VYW29" s="289"/>
      <c r="VYX29" s="289"/>
      <c r="VYY29" s="289"/>
      <c r="VYZ29" s="289"/>
      <c r="VZA29" s="289"/>
      <c r="VZB29" s="289"/>
      <c r="VZC29" s="289"/>
      <c r="VZD29" s="289"/>
      <c r="VZE29" s="289"/>
      <c r="VZF29" s="289"/>
      <c r="VZG29" s="289"/>
      <c r="VZH29" s="289"/>
      <c r="VZI29" s="289"/>
      <c r="VZJ29" s="289"/>
      <c r="VZK29" s="289"/>
      <c r="VZL29" s="289"/>
      <c r="VZM29" s="289"/>
      <c r="VZN29" s="289"/>
      <c r="VZO29" s="289"/>
      <c r="VZP29" s="289"/>
      <c r="VZQ29" s="289"/>
      <c r="VZR29" s="289"/>
      <c r="VZS29" s="289"/>
      <c r="VZT29" s="289"/>
      <c r="VZU29" s="289"/>
      <c r="VZV29" s="289"/>
      <c r="VZW29" s="289"/>
      <c r="VZX29" s="289"/>
      <c r="VZY29" s="289"/>
      <c r="VZZ29" s="289"/>
      <c r="WAA29" s="289"/>
      <c r="WAB29" s="289"/>
      <c r="WAC29" s="289"/>
      <c r="WAD29" s="289"/>
      <c r="WAE29" s="289"/>
      <c r="WAF29" s="289"/>
      <c r="WAG29" s="289"/>
      <c r="WAH29" s="289"/>
      <c r="WAI29" s="289"/>
      <c r="WAJ29" s="289"/>
      <c r="WAK29" s="289"/>
      <c r="WAL29" s="289"/>
      <c r="WAM29" s="289"/>
      <c r="WAN29" s="289"/>
      <c r="WAO29" s="289"/>
      <c r="WAP29" s="289"/>
      <c r="WAQ29" s="289"/>
      <c r="WAR29" s="289"/>
      <c r="WAS29" s="289"/>
      <c r="WAT29" s="289"/>
      <c r="WAU29" s="289"/>
      <c r="WAV29" s="289"/>
      <c r="WAW29" s="289"/>
      <c r="WAX29" s="289"/>
      <c r="WAY29" s="289"/>
      <c r="WAZ29" s="289"/>
      <c r="WBA29" s="289"/>
      <c r="WBB29" s="289"/>
      <c r="WBC29" s="289"/>
      <c r="WBD29" s="289"/>
      <c r="WBE29" s="289"/>
      <c r="WBF29" s="289"/>
      <c r="WBG29" s="289"/>
      <c r="WBH29" s="289"/>
      <c r="WBI29" s="289"/>
      <c r="WBJ29" s="289"/>
      <c r="WBK29" s="289"/>
      <c r="WBL29" s="289"/>
      <c r="WBM29" s="289"/>
      <c r="WBN29" s="289"/>
      <c r="WBO29" s="289"/>
      <c r="WBP29" s="289"/>
      <c r="WBQ29" s="289"/>
      <c r="WBR29" s="289"/>
      <c r="WBS29" s="289"/>
      <c r="WBT29" s="289"/>
      <c r="WBU29" s="289"/>
      <c r="WBV29" s="289"/>
      <c r="WBW29" s="289"/>
      <c r="WBX29" s="289"/>
      <c r="WBY29" s="289"/>
      <c r="WBZ29" s="289"/>
      <c r="WCA29" s="289"/>
      <c r="WCB29" s="289"/>
      <c r="WCC29" s="289"/>
      <c r="WCD29" s="289"/>
      <c r="WCE29" s="289"/>
      <c r="WCF29" s="289"/>
      <c r="WCG29" s="289"/>
      <c r="WCH29" s="289"/>
      <c r="WCI29" s="289"/>
      <c r="WCJ29" s="289"/>
      <c r="WCK29" s="289"/>
      <c r="WCL29" s="289"/>
      <c r="WCM29" s="289"/>
      <c r="WCN29" s="289"/>
      <c r="WCO29" s="289"/>
      <c r="WCP29" s="289"/>
      <c r="WCQ29" s="289"/>
      <c r="WCR29" s="289"/>
      <c r="WCS29" s="289"/>
      <c r="WCT29" s="289"/>
      <c r="WCU29" s="289"/>
      <c r="WCV29" s="289"/>
      <c r="WCW29" s="289"/>
      <c r="WCX29" s="289"/>
      <c r="WCY29" s="289"/>
      <c r="WCZ29" s="289"/>
      <c r="WDA29" s="289"/>
      <c r="WDB29" s="289"/>
      <c r="WDC29" s="289"/>
      <c r="WDD29" s="289"/>
      <c r="WDE29" s="289"/>
      <c r="WDF29" s="289"/>
      <c r="WDG29" s="289"/>
      <c r="WDH29" s="289"/>
      <c r="WDI29" s="289"/>
      <c r="WDJ29" s="289"/>
      <c r="WDK29" s="289"/>
      <c r="WDL29" s="289"/>
      <c r="WDM29" s="289"/>
      <c r="WDN29" s="289"/>
      <c r="WDO29" s="289"/>
      <c r="WDP29" s="289"/>
      <c r="WDQ29" s="289"/>
      <c r="WDR29" s="289"/>
      <c r="WDS29" s="289"/>
      <c r="WDT29" s="289"/>
      <c r="WDU29" s="289"/>
      <c r="WDV29" s="289"/>
      <c r="WDW29" s="289"/>
      <c r="WDX29" s="289"/>
      <c r="WDY29" s="289"/>
      <c r="WDZ29" s="289"/>
      <c r="WEA29" s="289"/>
      <c r="WEB29" s="289"/>
      <c r="WEC29" s="289"/>
      <c r="WED29" s="289"/>
      <c r="WEE29" s="289"/>
      <c r="WEF29" s="289"/>
      <c r="WEG29" s="289"/>
      <c r="WEH29" s="289"/>
      <c r="WEI29" s="289"/>
      <c r="WEJ29" s="289"/>
      <c r="WEK29" s="289"/>
      <c r="WEL29" s="289"/>
      <c r="WEM29" s="289"/>
      <c r="WEN29" s="289"/>
      <c r="WEO29" s="289"/>
      <c r="WEP29" s="289"/>
      <c r="WEQ29" s="289"/>
      <c r="WER29" s="289"/>
      <c r="WES29" s="289"/>
      <c r="WET29" s="289"/>
      <c r="WEU29" s="289"/>
      <c r="WEV29" s="289"/>
      <c r="WEW29" s="289"/>
      <c r="WEX29" s="289"/>
      <c r="WEY29" s="289"/>
      <c r="WEZ29" s="289"/>
      <c r="WFA29" s="289"/>
      <c r="WFB29" s="289"/>
      <c r="WFC29" s="289"/>
      <c r="WFD29" s="289"/>
      <c r="WFE29" s="289"/>
      <c r="WFF29" s="289"/>
      <c r="WFG29" s="289"/>
      <c r="WFH29" s="289"/>
      <c r="WFI29" s="289"/>
      <c r="WFJ29" s="289"/>
      <c r="WFK29" s="289"/>
      <c r="WFL29" s="289"/>
      <c r="WFM29" s="289"/>
      <c r="WFN29" s="289"/>
      <c r="WFO29" s="289"/>
      <c r="WFP29" s="289"/>
      <c r="WFQ29" s="289"/>
      <c r="WFR29" s="289"/>
      <c r="WFS29" s="289"/>
      <c r="WFT29" s="289"/>
      <c r="WFU29" s="289"/>
      <c r="WFV29" s="289"/>
      <c r="WFW29" s="289"/>
      <c r="WFX29" s="289"/>
      <c r="WFY29" s="289"/>
      <c r="WFZ29" s="289"/>
      <c r="WGA29" s="289"/>
      <c r="WGB29" s="289"/>
      <c r="WGC29" s="289"/>
      <c r="WGD29" s="289"/>
      <c r="WGE29" s="289"/>
      <c r="WGF29" s="289"/>
      <c r="WGG29" s="289"/>
      <c r="WGH29" s="289"/>
      <c r="WGI29" s="289"/>
      <c r="WGJ29" s="289"/>
      <c r="WGK29" s="289"/>
      <c r="WGL29" s="289"/>
      <c r="WGM29" s="289"/>
      <c r="WGN29" s="289"/>
      <c r="WGO29" s="289"/>
      <c r="WGP29" s="289"/>
      <c r="WGQ29" s="289"/>
      <c r="WGR29" s="289"/>
      <c r="WGS29" s="289"/>
      <c r="WGT29" s="289"/>
      <c r="WGU29" s="289"/>
      <c r="WGV29" s="289"/>
      <c r="WGW29" s="289"/>
      <c r="WGX29" s="289"/>
      <c r="WGY29" s="289"/>
      <c r="WGZ29" s="289"/>
      <c r="WHA29" s="289"/>
      <c r="WHB29" s="289"/>
      <c r="WHC29" s="289"/>
      <c r="WHD29" s="289"/>
      <c r="WHE29" s="289"/>
      <c r="WHF29" s="289"/>
      <c r="WHG29" s="289"/>
      <c r="WHH29" s="289"/>
      <c r="WHI29" s="289"/>
      <c r="WHJ29" s="289"/>
      <c r="WHK29" s="289"/>
      <c r="WHL29" s="289"/>
      <c r="WHM29" s="289"/>
      <c r="WHN29" s="289"/>
      <c r="WHO29" s="289"/>
      <c r="WHP29" s="289"/>
      <c r="WHQ29" s="289"/>
      <c r="WHR29" s="289"/>
      <c r="WHS29" s="289"/>
      <c r="WHT29" s="289"/>
      <c r="WHU29" s="289"/>
      <c r="WHV29" s="289"/>
      <c r="WHW29" s="289"/>
      <c r="WHX29" s="289"/>
      <c r="WHY29" s="289"/>
      <c r="WHZ29" s="289"/>
      <c r="WIA29" s="289"/>
      <c r="WIB29" s="289"/>
      <c r="WIC29" s="289"/>
      <c r="WID29" s="289"/>
      <c r="WIE29" s="289"/>
      <c r="WIF29" s="289"/>
      <c r="WIG29" s="289"/>
      <c r="WIH29" s="289"/>
      <c r="WII29" s="289"/>
      <c r="WIJ29" s="289"/>
      <c r="WIK29" s="289"/>
      <c r="WIL29" s="289"/>
      <c r="WIM29" s="289"/>
      <c r="WIN29" s="289"/>
      <c r="WIO29" s="289"/>
      <c r="WIP29" s="289"/>
      <c r="WIQ29" s="289"/>
      <c r="WIR29" s="289"/>
      <c r="WIS29" s="289"/>
      <c r="WIT29" s="289"/>
      <c r="WIU29" s="289"/>
      <c r="WIV29" s="289"/>
      <c r="WIW29" s="289"/>
      <c r="WIX29" s="289"/>
      <c r="WIY29" s="289"/>
      <c r="WIZ29" s="289"/>
      <c r="WJA29" s="289"/>
      <c r="WJB29" s="289"/>
      <c r="WJC29" s="289"/>
      <c r="WJD29" s="289"/>
      <c r="WJE29" s="289"/>
      <c r="WJF29" s="289"/>
      <c r="WJG29" s="289"/>
      <c r="WJH29" s="289"/>
      <c r="WJI29" s="289"/>
      <c r="WJJ29" s="289"/>
      <c r="WJK29" s="289"/>
      <c r="WJL29" s="289"/>
      <c r="WJM29" s="289"/>
      <c r="WJN29" s="289"/>
      <c r="WJO29" s="289"/>
      <c r="WJP29" s="289"/>
      <c r="WJQ29" s="289"/>
      <c r="WJR29" s="289"/>
      <c r="WJS29" s="289"/>
      <c r="WJT29" s="289"/>
      <c r="WJU29" s="289"/>
      <c r="WJV29" s="289"/>
      <c r="WJW29" s="289"/>
      <c r="WJX29" s="289"/>
      <c r="WJY29" s="289"/>
      <c r="WJZ29" s="289"/>
      <c r="WKA29" s="289"/>
      <c r="WKB29" s="289"/>
      <c r="WKC29" s="289"/>
      <c r="WKD29" s="289"/>
      <c r="WKE29" s="289"/>
      <c r="WKF29" s="289"/>
      <c r="WKG29" s="289"/>
      <c r="WKH29" s="289"/>
      <c r="WKI29" s="289"/>
      <c r="WKJ29" s="289"/>
      <c r="WKK29" s="289"/>
      <c r="WKL29" s="289"/>
      <c r="WKM29" s="289"/>
      <c r="WKN29" s="289"/>
      <c r="WKO29" s="289"/>
      <c r="WKP29" s="289"/>
      <c r="WKQ29" s="289"/>
      <c r="WKR29" s="289"/>
      <c r="WKS29" s="289"/>
      <c r="WKT29" s="289"/>
      <c r="WKU29" s="289"/>
      <c r="WKV29" s="289"/>
      <c r="WKW29" s="289"/>
      <c r="WKX29" s="289"/>
      <c r="WKY29" s="289"/>
      <c r="WKZ29" s="289"/>
      <c r="WLA29" s="289"/>
      <c r="WLB29" s="289"/>
      <c r="WLC29" s="289"/>
      <c r="WLD29" s="289"/>
      <c r="WLE29" s="289"/>
      <c r="WLF29" s="289"/>
      <c r="WLG29" s="289"/>
      <c r="WLH29" s="289"/>
      <c r="WLI29" s="289"/>
      <c r="WLJ29" s="289"/>
      <c r="WLK29" s="289"/>
      <c r="WLL29" s="289"/>
      <c r="WLM29" s="289"/>
      <c r="WLN29" s="289"/>
      <c r="WLO29" s="289"/>
      <c r="WLP29" s="289"/>
      <c r="WLQ29" s="289"/>
      <c r="WLR29" s="289"/>
      <c r="WLS29" s="289"/>
      <c r="WLT29" s="289"/>
      <c r="WLU29" s="289"/>
      <c r="WLV29" s="289"/>
      <c r="WLW29" s="289"/>
      <c r="WLX29" s="289"/>
      <c r="WLY29" s="289"/>
      <c r="WLZ29" s="289"/>
      <c r="WMA29" s="289"/>
      <c r="WMB29" s="289"/>
      <c r="WMC29" s="289"/>
      <c r="WMD29" s="289"/>
      <c r="WME29" s="289"/>
      <c r="WMF29" s="289"/>
      <c r="WMG29" s="289"/>
      <c r="WMH29" s="289"/>
      <c r="WMI29" s="289"/>
      <c r="WMJ29" s="289"/>
      <c r="WMK29" s="289"/>
      <c r="WML29" s="289"/>
      <c r="WMM29" s="289"/>
      <c r="WMN29" s="289"/>
      <c r="WMO29" s="289"/>
      <c r="WMP29" s="289"/>
      <c r="WMQ29" s="289"/>
      <c r="WMR29" s="289"/>
      <c r="WMS29" s="289"/>
      <c r="WMT29" s="289"/>
      <c r="WMU29" s="289"/>
      <c r="WMV29" s="289"/>
      <c r="WMW29" s="289"/>
      <c r="WMX29" s="289"/>
      <c r="WMY29" s="289"/>
      <c r="WMZ29" s="289"/>
      <c r="WNA29" s="289"/>
      <c r="WNB29" s="289"/>
      <c r="WNC29" s="289"/>
      <c r="WND29" s="289"/>
      <c r="WNE29" s="289"/>
      <c r="WNF29" s="289"/>
      <c r="WNG29" s="289"/>
      <c r="WNH29" s="289"/>
      <c r="WNI29" s="289"/>
      <c r="WNJ29" s="289"/>
      <c r="WNK29" s="289"/>
      <c r="WNL29" s="289"/>
      <c r="WNM29" s="289"/>
      <c r="WNN29" s="289"/>
      <c r="WNO29" s="289"/>
      <c r="WNP29" s="289"/>
      <c r="WNQ29" s="289"/>
      <c r="WNR29" s="289"/>
      <c r="WNS29" s="289"/>
      <c r="WNT29" s="289"/>
      <c r="WNU29" s="289"/>
      <c r="WNV29" s="289"/>
      <c r="WNW29" s="289"/>
      <c r="WNX29" s="289"/>
      <c r="WNY29" s="289"/>
      <c r="WNZ29" s="289"/>
      <c r="WOA29" s="289"/>
      <c r="WOB29" s="289"/>
      <c r="WOC29" s="289"/>
      <c r="WOD29" s="289"/>
      <c r="WOE29" s="289"/>
      <c r="WOF29" s="289"/>
      <c r="WOG29" s="289"/>
      <c r="WOH29" s="289"/>
      <c r="WOI29" s="289"/>
      <c r="WOJ29" s="289"/>
      <c r="WOK29" s="289"/>
      <c r="WOL29" s="289"/>
      <c r="WOM29" s="289"/>
      <c r="WON29" s="289"/>
      <c r="WOO29" s="289"/>
      <c r="WOP29" s="289"/>
      <c r="WOQ29" s="289"/>
      <c r="WOR29" s="289"/>
      <c r="WOS29" s="289"/>
      <c r="WOT29" s="289"/>
      <c r="WOU29" s="289"/>
      <c r="WOV29" s="289"/>
      <c r="WOW29" s="289"/>
      <c r="WOX29" s="289"/>
      <c r="WOY29" s="289"/>
      <c r="WOZ29" s="289"/>
      <c r="WPA29" s="289"/>
      <c r="WPB29" s="289"/>
      <c r="WPC29" s="289"/>
      <c r="WPD29" s="289"/>
      <c r="WPE29" s="289"/>
      <c r="WPF29" s="289"/>
      <c r="WPG29" s="289"/>
      <c r="WPH29" s="289"/>
      <c r="WPI29" s="289"/>
      <c r="WPJ29" s="289"/>
      <c r="WPK29" s="289"/>
      <c r="WPL29" s="289"/>
      <c r="WPM29" s="289"/>
      <c r="WPN29" s="289"/>
      <c r="WPO29" s="289"/>
      <c r="WPP29" s="289"/>
      <c r="WPQ29" s="289"/>
      <c r="WPR29" s="289"/>
      <c r="WPS29" s="289"/>
      <c r="WPT29" s="289"/>
      <c r="WPU29" s="289"/>
      <c r="WPV29" s="289"/>
      <c r="WPW29" s="289"/>
      <c r="WPX29" s="289"/>
      <c r="WPY29" s="289"/>
      <c r="WPZ29" s="289"/>
      <c r="WQA29" s="289"/>
      <c r="WQB29" s="289"/>
      <c r="WQC29" s="289"/>
      <c r="WQD29" s="289"/>
      <c r="WQE29" s="289"/>
      <c r="WQF29" s="289"/>
      <c r="WQG29" s="289"/>
      <c r="WQH29" s="289"/>
      <c r="WQI29" s="289"/>
      <c r="WQJ29" s="289"/>
      <c r="WQK29" s="289"/>
      <c r="WQL29" s="289"/>
      <c r="WQM29" s="289"/>
      <c r="WQN29" s="289"/>
      <c r="WQO29" s="289"/>
      <c r="WQP29" s="289"/>
      <c r="WQQ29" s="289"/>
      <c r="WQR29" s="289"/>
      <c r="WQS29" s="289"/>
      <c r="WQT29" s="289"/>
      <c r="WQU29" s="289"/>
      <c r="WQV29" s="289"/>
      <c r="WQW29" s="289"/>
      <c r="WQX29" s="289"/>
      <c r="WQY29" s="289"/>
      <c r="WQZ29" s="289"/>
      <c r="WRA29" s="289"/>
      <c r="WRB29" s="289"/>
      <c r="WRC29" s="289"/>
      <c r="WRD29" s="289"/>
      <c r="WRE29" s="289"/>
      <c r="WRF29" s="289"/>
      <c r="WRG29" s="289"/>
      <c r="WRH29" s="289"/>
      <c r="WRI29" s="289"/>
      <c r="WRJ29" s="289"/>
      <c r="WRK29" s="289"/>
      <c r="WRL29" s="289"/>
      <c r="WRM29" s="289"/>
      <c r="WRN29" s="289"/>
      <c r="WRO29" s="289"/>
      <c r="WRP29" s="289"/>
      <c r="WRQ29" s="289"/>
      <c r="WRR29" s="289"/>
      <c r="WRS29" s="289"/>
      <c r="WRT29" s="289"/>
      <c r="WRU29" s="289"/>
      <c r="WRV29" s="289"/>
      <c r="WRW29" s="289"/>
      <c r="WRX29" s="289"/>
      <c r="WRY29" s="289"/>
      <c r="WRZ29" s="289"/>
      <c r="WSA29" s="289"/>
      <c r="WSB29" s="289"/>
      <c r="WSC29" s="289"/>
      <c r="WSD29" s="289"/>
      <c r="WSE29" s="289"/>
      <c r="WSF29" s="289"/>
      <c r="WSG29" s="289"/>
      <c r="WSH29" s="289"/>
      <c r="WSI29" s="289"/>
      <c r="WSJ29" s="289"/>
      <c r="WSK29" s="289"/>
      <c r="WSL29" s="289"/>
      <c r="WSM29" s="289"/>
      <c r="WSN29" s="289"/>
      <c r="WSO29" s="289"/>
      <c r="WSP29" s="289"/>
      <c r="WSQ29" s="289"/>
      <c r="WSR29" s="289"/>
      <c r="WSS29" s="289"/>
      <c r="WST29" s="289"/>
      <c r="WSU29" s="289"/>
      <c r="WSV29" s="289"/>
      <c r="WSW29" s="289"/>
      <c r="WSX29" s="289"/>
      <c r="WSY29" s="289"/>
      <c r="WSZ29" s="289"/>
      <c r="WTA29" s="289"/>
      <c r="WTB29" s="289"/>
      <c r="WTC29" s="289"/>
      <c r="WTD29" s="289"/>
      <c r="WTE29" s="289"/>
      <c r="WTF29" s="289"/>
      <c r="WTG29" s="289"/>
      <c r="WTH29" s="289"/>
      <c r="WTI29" s="289"/>
      <c r="WTJ29" s="289"/>
      <c r="WTK29" s="289"/>
      <c r="WTL29" s="289"/>
      <c r="WTM29" s="289"/>
      <c r="WTN29" s="289"/>
      <c r="WTO29" s="289"/>
      <c r="WTP29" s="289"/>
      <c r="WTQ29" s="289"/>
      <c r="WTR29" s="289"/>
      <c r="WTS29" s="289"/>
      <c r="WTT29" s="289"/>
      <c r="WTU29" s="289"/>
      <c r="WTV29" s="289"/>
      <c r="WTW29" s="289"/>
      <c r="WTX29" s="289"/>
      <c r="WTY29" s="289"/>
      <c r="WTZ29" s="289"/>
      <c r="WUA29" s="289"/>
      <c r="WUB29" s="289"/>
      <c r="WUC29" s="289"/>
      <c r="WUD29" s="289"/>
      <c r="WUE29" s="289"/>
      <c r="WUF29" s="289"/>
      <c r="WUG29" s="289"/>
      <c r="WUH29" s="289"/>
      <c r="WUI29" s="289"/>
      <c r="WUJ29" s="289"/>
      <c r="WUK29" s="289"/>
      <c r="WUL29" s="289"/>
      <c r="WUM29" s="289"/>
      <c r="WUN29" s="289"/>
      <c r="WUO29" s="289"/>
      <c r="WUP29" s="289"/>
      <c r="WUQ29" s="289"/>
      <c r="WUR29" s="289"/>
      <c r="WUS29" s="289"/>
      <c r="WUT29" s="289"/>
      <c r="WUU29" s="289"/>
      <c r="WUV29" s="289"/>
      <c r="WUW29" s="289"/>
      <c r="WUX29" s="289"/>
      <c r="WUY29" s="289"/>
      <c r="WUZ29" s="289"/>
      <c r="WVA29" s="289"/>
      <c r="WVB29" s="289"/>
      <c r="WVC29" s="289"/>
      <c r="WVD29" s="289"/>
      <c r="WVE29" s="289"/>
      <c r="WVF29" s="289"/>
      <c r="WVG29" s="289"/>
      <c r="WVH29" s="289"/>
      <c r="WVI29" s="289"/>
      <c r="WVJ29" s="289"/>
      <c r="WVK29" s="289"/>
      <c r="WVL29" s="289"/>
      <c r="WVM29" s="289"/>
      <c r="WVN29" s="289"/>
      <c r="WVO29" s="289"/>
      <c r="WVP29" s="289"/>
      <c r="WVQ29" s="289"/>
      <c r="WVR29" s="289"/>
      <c r="WVS29" s="289"/>
      <c r="WVT29" s="289"/>
      <c r="WVU29" s="289"/>
      <c r="WVV29" s="289"/>
      <c r="WVW29" s="289"/>
      <c r="WVX29" s="289"/>
      <c r="WVY29" s="289"/>
      <c r="WVZ29" s="289"/>
      <c r="WWA29" s="289"/>
      <c r="WWB29" s="289"/>
      <c r="WWC29" s="289"/>
      <c r="WWD29" s="289"/>
      <c r="WWE29" s="289"/>
      <c r="WWF29" s="289"/>
      <c r="WWG29" s="289"/>
      <c r="WWH29" s="289"/>
      <c r="WWI29" s="289"/>
      <c r="WWJ29" s="289"/>
      <c r="WWK29" s="289"/>
      <c r="WWL29" s="289"/>
      <c r="WWM29" s="289"/>
      <c r="WWN29" s="289"/>
      <c r="WWO29" s="289"/>
      <c r="WWP29" s="289"/>
      <c r="WWQ29" s="289"/>
      <c r="WWR29" s="289"/>
      <c r="WWS29" s="289"/>
      <c r="WWT29" s="289"/>
      <c r="WWU29" s="289"/>
      <c r="WWV29" s="289"/>
      <c r="WWW29" s="289"/>
      <c r="WWX29" s="289"/>
      <c r="WWY29" s="289"/>
      <c r="WWZ29" s="289"/>
      <c r="WXA29" s="289"/>
      <c r="WXB29" s="289"/>
      <c r="WXC29" s="289"/>
      <c r="WXD29" s="289"/>
      <c r="WXE29" s="289"/>
      <c r="WXF29" s="289"/>
      <c r="WXG29" s="289"/>
      <c r="WXH29" s="289"/>
      <c r="WXI29" s="289"/>
      <c r="WXJ29" s="289"/>
      <c r="WXK29" s="289"/>
      <c r="WXL29" s="289"/>
      <c r="WXM29" s="289"/>
      <c r="WXN29" s="289"/>
      <c r="WXO29" s="289"/>
      <c r="WXP29" s="289"/>
      <c r="WXQ29" s="289"/>
      <c r="WXR29" s="289"/>
      <c r="WXS29" s="289"/>
      <c r="WXT29" s="289"/>
      <c r="WXU29" s="289"/>
      <c r="WXV29" s="289"/>
      <c r="WXW29" s="289"/>
      <c r="WXX29" s="289"/>
      <c r="WXY29" s="289"/>
      <c r="WXZ29" s="289"/>
      <c r="WYA29" s="289"/>
      <c r="WYB29" s="289"/>
      <c r="WYC29" s="289"/>
      <c r="WYD29" s="289"/>
      <c r="WYE29" s="289"/>
      <c r="WYF29" s="289"/>
      <c r="WYG29" s="289"/>
      <c r="WYH29" s="289"/>
      <c r="WYI29" s="289"/>
      <c r="WYJ29" s="289"/>
      <c r="WYK29" s="289"/>
      <c r="WYL29" s="289"/>
      <c r="WYM29" s="289"/>
      <c r="WYN29" s="289"/>
      <c r="WYO29" s="289"/>
      <c r="WYP29" s="289"/>
      <c r="WYQ29" s="289"/>
      <c r="WYR29" s="289"/>
      <c r="WYS29" s="289"/>
      <c r="WYT29" s="289"/>
      <c r="WYU29" s="289"/>
      <c r="WYV29" s="289"/>
      <c r="WYW29" s="289"/>
      <c r="WYX29" s="289"/>
      <c r="WYY29" s="289"/>
      <c r="WYZ29" s="289"/>
      <c r="WZA29" s="289"/>
      <c r="WZB29" s="289"/>
      <c r="WZC29" s="289"/>
      <c r="WZD29" s="289"/>
      <c r="WZE29" s="289"/>
      <c r="WZF29" s="289"/>
      <c r="WZG29" s="289"/>
      <c r="WZH29" s="289"/>
      <c r="WZI29" s="289"/>
      <c r="WZJ29" s="289"/>
      <c r="WZK29" s="289"/>
      <c r="WZL29" s="289"/>
      <c r="WZM29" s="289"/>
      <c r="WZN29" s="289"/>
      <c r="WZO29" s="289"/>
      <c r="WZP29" s="289"/>
      <c r="WZQ29" s="289"/>
      <c r="WZR29" s="289"/>
      <c r="WZS29" s="289"/>
      <c r="WZT29" s="289"/>
      <c r="WZU29" s="289"/>
      <c r="WZV29" s="289"/>
      <c r="WZW29" s="289"/>
      <c r="WZX29" s="289"/>
      <c r="WZY29" s="289"/>
      <c r="WZZ29" s="289"/>
      <c r="XAA29" s="289"/>
      <c r="XAB29" s="289"/>
      <c r="XAC29" s="289"/>
      <c r="XAD29" s="289"/>
      <c r="XAE29" s="289"/>
      <c r="XAF29" s="289"/>
      <c r="XAG29" s="289"/>
      <c r="XAH29" s="289"/>
      <c r="XAI29" s="289"/>
      <c r="XAJ29" s="289"/>
      <c r="XAK29" s="289"/>
      <c r="XAL29" s="289"/>
      <c r="XAM29" s="289"/>
      <c r="XAN29" s="289"/>
      <c r="XAO29" s="289"/>
      <c r="XAP29" s="289"/>
      <c r="XAQ29" s="289"/>
      <c r="XAR29" s="289"/>
      <c r="XAS29" s="289"/>
      <c r="XAT29" s="289"/>
      <c r="XAU29" s="289"/>
      <c r="XAV29" s="289"/>
      <c r="XAW29" s="289"/>
      <c r="XAX29" s="289"/>
      <c r="XAY29" s="289"/>
      <c r="XAZ29" s="289"/>
      <c r="XBA29" s="289"/>
      <c r="XBB29" s="289"/>
      <c r="XBC29" s="289"/>
      <c r="XBD29" s="289"/>
      <c r="XBE29" s="289"/>
      <c r="XBF29" s="289"/>
      <c r="XBG29" s="289"/>
      <c r="XBH29" s="289"/>
      <c r="XBI29" s="289"/>
      <c r="XBJ29" s="289"/>
      <c r="XBK29" s="289"/>
      <c r="XBL29" s="289"/>
      <c r="XBM29" s="289"/>
      <c r="XBN29" s="289"/>
      <c r="XBO29" s="289"/>
      <c r="XBP29" s="289"/>
      <c r="XBQ29" s="289"/>
      <c r="XBR29" s="289"/>
      <c r="XBS29" s="289"/>
      <c r="XBT29" s="289"/>
      <c r="XBU29" s="289"/>
      <c r="XBV29" s="289"/>
      <c r="XBW29" s="289"/>
      <c r="XBX29" s="289"/>
      <c r="XBY29" s="289"/>
      <c r="XBZ29" s="289"/>
      <c r="XCA29" s="289"/>
      <c r="XCB29" s="289"/>
      <c r="XCC29" s="289"/>
      <c r="XCD29" s="289"/>
      <c r="XCE29" s="289"/>
      <c r="XCF29" s="289"/>
      <c r="XCG29" s="289"/>
      <c r="XCH29" s="289"/>
      <c r="XCI29" s="289"/>
      <c r="XCJ29" s="289"/>
      <c r="XCK29" s="289"/>
      <c r="XCL29" s="289"/>
      <c r="XCM29" s="289"/>
      <c r="XCN29" s="289"/>
      <c r="XCO29" s="289"/>
      <c r="XCP29" s="289"/>
      <c r="XCQ29" s="289"/>
      <c r="XCR29" s="289"/>
      <c r="XCS29" s="289"/>
      <c r="XCT29" s="289"/>
      <c r="XCU29" s="289"/>
      <c r="XCV29" s="289"/>
      <c r="XCW29" s="289"/>
      <c r="XCX29" s="289"/>
      <c r="XCY29" s="289"/>
      <c r="XCZ29" s="289"/>
      <c r="XDA29" s="289"/>
      <c r="XDB29" s="289"/>
      <c r="XDC29" s="289"/>
      <c r="XDD29" s="289"/>
      <c r="XDE29" s="289"/>
      <c r="XDF29" s="289"/>
      <c r="XDG29" s="289"/>
      <c r="XDH29" s="289"/>
      <c r="XDI29" s="289"/>
      <c r="XDJ29" s="289"/>
      <c r="XDK29" s="289"/>
      <c r="XDL29" s="289"/>
      <c r="XDM29" s="289"/>
      <c r="XDN29" s="289"/>
      <c r="XDO29" s="289"/>
      <c r="XDP29" s="289"/>
      <c r="XDQ29" s="289"/>
      <c r="XDR29" s="289"/>
      <c r="XDS29" s="289"/>
      <c r="XDT29" s="289"/>
      <c r="XDU29" s="289"/>
      <c r="XDV29" s="289"/>
      <c r="XDW29" s="289"/>
      <c r="XDX29" s="289"/>
      <c r="XDY29" s="289"/>
      <c r="XDZ29" s="289"/>
      <c r="XEA29" s="289"/>
      <c r="XEB29" s="289"/>
      <c r="XEC29" s="289"/>
      <c r="XED29" s="289"/>
      <c r="XEE29" s="289"/>
      <c r="XEF29" s="289"/>
      <c r="XEG29" s="289"/>
      <c r="XEH29" s="289"/>
      <c r="XEI29" s="289"/>
      <c r="XEJ29" s="289"/>
      <c r="XEK29" s="289"/>
      <c r="XEL29" s="289"/>
      <c r="XEM29" s="289"/>
      <c r="XEN29" s="289"/>
      <c r="XEO29" s="289"/>
      <c r="XEP29" s="289"/>
      <c r="XEQ29" s="289"/>
      <c r="XER29" s="289"/>
      <c r="XES29" s="289"/>
      <c r="XET29" s="289"/>
      <c r="XEU29" s="289"/>
      <c r="XEV29" s="289"/>
      <c r="XEW29" s="289"/>
      <c r="XEX29" s="289"/>
      <c r="XEY29" s="289"/>
      <c r="XEZ29" s="289"/>
      <c r="XFA29" s="289"/>
      <c r="XFB29" s="289"/>
      <c r="XFC29" s="289"/>
      <c r="XFD29" s="289"/>
    </row>
    <row r="30" spans="1:16384" hidden="1" outlineLevel="1" x14ac:dyDescent="0.3">
      <c r="A30" s="15">
        <v>25300212</v>
      </c>
      <c r="B30" s="15" t="s">
        <v>449</v>
      </c>
      <c r="C30" s="158">
        <v>10</v>
      </c>
      <c r="D30" s="24" t="s">
        <v>412</v>
      </c>
      <c r="E30" s="158" t="s">
        <v>216</v>
      </c>
      <c r="F30" s="117"/>
      <c r="G30" s="94"/>
      <c r="H30" s="118"/>
      <c r="I30" s="35"/>
      <c r="J30" s="117"/>
      <c r="K30" s="94"/>
      <c r="L30" s="118"/>
      <c r="M30" s="35"/>
      <c r="N30" s="117">
        <v>-257763</v>
      </c>
      <c r="O30" s="94"/>
      <c r="P30" s="118">
        <f>N30</f>
        <v>-257763</v>
      </c>
      <c r="Q30" s="35"/>
      <c r="R30" s="117">
        <v>-260886.75</v>
      </c>
      <c r="S30" s="94"/>
      <c r="T30" s="118">
        <f>R30</f>
        <v>-260886.75</v>
      </c>
      <c r="U30" s="284"/>
      <c r="V30" s="117">
        <v>-224902.35</v>
      </c>
      <c r="W30" s="94"/>
      <c r="X30" s="118">
        <f>V30</f>
        <v>-224902.35</v>
      </c>
      <c r="Y30" s="284"/>
      <c r="Z30" s="117">
        <v>-188917.94999999998</v>
      </c>
      <c r="AA30" s="94"/>
      <c r="AB30" s="118">
        <f>Z30</f>
        <v>-188917.94999999998</v>
      </c>
      <c r="AC30" s="284"/>
      <c r="AD30" s="117">
        <v>-152933.55000000002</v>
      </c>
      <c r="AE30" s="94"/>
      <c r="AF30" s="118">
        <f>AD30</f>
        <v>-152933.55000000002</v>
      </c>
      <c r="AG30" s="15"/>
      <c r="AH30" s="117">
        <v>-116949.14999999998</v>
      </c>
      <c r="AI30" s="94"/>
      <c r="AJ30" s="118">
        <f>AH30</f>
        <v>-116949.14999999998</v>
      </c>
      <c r="AK30" s="284"/>
      <c r="AL30" s="117">
        <v>-451589.75</v>
      </c>
      <c r="AM30" s="94"/>
      <c r="AN30" s="118">
        <f>AL30</f>
        <v>-451589.75</v>
      </c>
      <c r="AO30" s="284"/>
      <c r="AP30" s="117">
        <v>-8939980.3499999996</v>
      </c>
      <c r="AQ30" s="94"/>
      <c r="AR30" s="118">
        <f>AP30</f>
        <v>-8939980.3499999996</v>
      </c>
      <c r="AS30" s="284"/>
      <c r="AT30" s="117">
        <v>-4086995.5062500001</v>
      </c>
      <c r="AU30" s="94"/>
      <c r="AV30" s="118">
        <f>AT30</f>
        <v>-4086995.5062500001</v>
      </c>
      <c r="AW30" s="284"/>
    </row>
    <row r="31" spans="1:16384" outlineLevel="1" x14ac:dyDescent="0.3">
      <c r="A31" s="15">
        <v>28200002</v>
      </c>
      <c r="B31" s="15" t="s">
        <v>450</v>
      </c>
      <c r="C31" s="24">
        <v>10</v>
      </c>
      <c r="D31" s="24" t="s">
        <v>236</v>
      </c>
      <c r="E31" s="158" t="s">
        <v>216</v>
      </c>
      <c r="F31" s="117">
        <v>-207837310.37833336</v>
      </c>
      <c r="G31" s="94"/>
      <c r="H31" s="118">
        <f>F31</f>
        <v>-207837310.37833336</v>
      </c>
      <c r="I31" s="35"/>
      <c r="J31" s="117">
        <v>-254824698.50333336</v>
      </c>
      <c r="K31" s="94"/>
      <c r="L31" s="118">
        <f>J31</f>
        <v>-254824698.50333336</v>
      </c>
      <c r="M31" s="35"/>
      <c r="N31" s="117">
        <v>-272380220.83070886</v>
      </c>
      <c r="O31" s="94"/>
      <c r="P31" s="118">
        <f>N31</f>
        <v>-272380220.83070886</v>
      </c>
      <c r="Q31" s="35"/>
      <c r="R31" s="117">
        <v>-328832047.38951749</v>
      </c>
      <c r="S31" s="94"/>
      <c r="T31" s="118">
        <f>R31</f>
        <v>-328832047.38951749</v>
      </c>
      <c r="U31" s="284"/>
      <c r="V31" s="117">
        <v>-377591860.55874997</v>
      </c>
      <c r="W31" s="94"/>
      <c r="X31" s="118">
        <f>V31</f>
        <v>-377591860.55874997</v>
      </c>
      <c r="Y31" s="284"/>
      <c r="Z31" s="117">
        <v>-418007014.25166672</v>
      </c>
      <c r="AA31" s="94"/>
      <c r="AB31" s="118">
        <f>Z31</f>
        <v>-418007014.25166672</v>
      </c>
      <c r="AC31" s="284"/>
      <c r="AD31" s="117">
        <v>-453187757.37416667</v>
      </c>
      <c r="AE31" s="94"/>
      <c r="AF31" s="118">
        <f>AD31</f>
        <v>-453187757.37416667</v>
      </c>
      <c r="AG31" s="15"/>
      <c r="AH31" s="117">
        <v>-481517364.33958334</v>
      </c>
      <c r="AI31" s="94"/>
      <c r="AJ31" s="118">
        <f>AH31</f>
        <v>-481517364.33958334</v>
      </c>
      <c r="AK31" s="284"/>
      <c r="AL31" s="117">
        <v>-518163032.62416667</v>
      </c>
      <c r="AM31" s="94"/>
      <c r="AN31" s="118">
        <f>AL31</f>
        <v>-518163032.62416667</v>
      </c>
      <c r="AO31" s="284"/>
      <c r="AP31" s="117">
        <v>-552062308.64375007</v>
      </c>
      <c r="AQ31" s="94"/>
      <c r="AR31" s="118">
        <f>AP31</f>
        <v>-552062308.64375007</v>
      </c>
      <c r="AS31" s="284"/>
      <c r="AT31" s="117">
        <v>-577287549.58249986</v>
      </c>
      <c r="AU31" s="94"/>
      <c r="AV31" s="118">
        <f>AT31</f>
        <v>-577287549.58249986</v>
      </c>
      <c r="AW31" s="284"/>
    </row>
    <row r="32" spans="1:16384" outlineLevel="1" x14ac:dyDescent="0.3">
      <c r="A32" s="15">
        <v>28200013</v>
      </c>
      <c r="B32" s="15" t="s">
        <v>451</v>
      </c>
      <c r="C32" s="24" t="s">
        <v>440</v>
      </c>
      <c r="D32" s="24" t="s">
        <v>236</v>
      </c>
      <c r="E32" s="24" t="s">
        <v>422</v>
      </c>
      <c r="F32" s="117">
        <v>5348064.791666667</v>
      </c>
      <c r="G32" s="94">
        <f>F32*$G$3</f>
        <v>3455919.4683750002</v>
      </c>
      <c r="H32" s="118">
        <f>F32*$H$3</f>
        <v>1892145.3232916668</v>
      </c>
      <c r="I32" s="35"/>
      <c r="J32" s="117">
        <v>-18651692.541666668</v>
      </c>
      <c r="K32" s="94">
        <f>J32*$K$3</f>
        <v>-12084431.597745834</v>
      </c>
      <c r="L32" s="118">
        <f>J32*$L$3</f>
        <v>-6567260.943920834</v>
      </c>
      <c r="M32" s="35"/>
      <c r="N32" s="117">
        <v>-12076803.75</v>
      </c>
      <c r="O32" s="94">
        <f>N32*$O$3</f>
        <v>-8032282.1741249999</v>
      </c>
      <c r="P32" s="118">
        <f>N32*$P$3</f>
        <v>-4044521.5758749996</v>
      </c>
      <c r="Q32" s="35"/>
      <c r="R32" s="117">
        <v>-29818052.375</v>
      </c>
      <c r="S32" s="94">
        <f>R32*$S$3</f>
        <v>-19665005.541312501</v>
      </c>
      <c r="T32" s="118">
        <f>R32*$T$3</f>
        <v>-10153046.833687501</v>
      </c>
      <c r="U32" s="284"/>
      <c r="V32" s="117">
        <v>-35198063.162500001</v>
      </c>
      <c r="W32" s="94">
        <f>V32*$W$3</f>
        <v>-23621420.188353751</v>
      </c>
      <c r="X32" s="118">
        <f>V32*$X$3</f>
        <v>-11576642.974146251</v>
      </c>
      <c r="Y32" s="284"/>
      <c r="Z32" s="117">
        <v>-34606416.269583337</v>
      </c>
      <c r="AA32" s="94">
        <f>Z32*$AA$3</f>
        <v>-23525441.78006275</v>
      </c>
      <c r="AB32" s="118">
        <f>Z32*$AB$3</f>
        <v>-11080974.489520583</v>
      </c>
      <c r="AC32" s="284"/>
      <c r="AD32" s="117">
        <v>-40080085.12250001</v>
      </c>
      <c r="AE32" s="94">
        <f>AD32*$AE$3</f>
        <v>-27474898.351473756</v>
      </c>
      <c r="AF32" s="118">
        <f>AD32*$AF$3</f>
        <v>-12605186.771026254</v>
      </c>
      <c r="AH32" s="117">
        <v>-40413530.940000005</v>
      </c>
      <c r="AI32" s="94">
        <f>AH32*$AI$3</f>
        <v>-27646896.516054004</v>
      </c>
      <c r="AJ32" s="118">
        <f>AH32*$AJ$3</f>
        <v>-12766634.423946002</v>
      </c>
      <c r="AK32" s="284"/>
      <c r="AL32" s="117">
        <v>-45758557.424166672</v>
      </c>
      <c r="AM32" s="94">
        <f>AL32*$AM$3</f>
        <v>-30552988.792116083</v>
      </c>
      <c r="AN32" s="118">
        <f>AL32*$AN$3</f>
        <v>-15205568.632050585</v>
      </c>
      <c r="AO32" s="284"/>
      <c r="AP32" s="117">
        <v>-72723932.410833344</v>
      </c>
      <c r="AQ32" s="94">
        <f>AP32*$AQ$3</f>
        <v>-47699627.26826559</v>
      </c>
      <c r="AR32" s="118">
        <f>AP32*$AR$3</f>
        <v>-25024305.142567754</v>
      </c>
      <c r="AS32" s="284"/>
      <c r="AT32" s="117">
        <v>-68159673.343749985</v>
      </c>
      <c r="AU32" s="94">
        <f>AT32*$AU$3</f>
        <v>-45114887.78622812</v>
      </c>
      <c r="AV32" s="118">
        <f>AT32*$AV$3</f>
        <v>-23044785.557521872</v>
      </c>
      <c r="AW32" s="284"/>
    </row>
    <row r="33" spans="1:49" outlineLevel="1" x14ac:dyDescent="0.3">
      <c r="A33" s="15">
        <v>28200101</v>
      </c>
      <c r="B33" s="15" t="s">
        <v>452</v>
      </c>
      <c r="C33" s="24">
        <v>31</v>
      </c>
      <c r="D33" s="24" t="s">
        <v>236</v>
      </c>
      <c r="E33" s="24" t="s">
        <v>215</v>
      </c>
      <c r="F33" s="117">
        <v>-2571208.3333333335</v>
      </c>
      <c r="G33" s="94">
        <f>F33</f>
        <v>-2571208.3333333335</v>
      </c>
      <c r="H33" s="118"/>
      <c r="I33" s="35"/>
      <c r="J33" s="117">
        <v>0</v>
      </c>
      <c r="K33" s="94">
        <f>J33</f>
        <v>0</v>
      </c>
      <c r="L33" s="118"/>
      <c r="M33" s="35"/>
      <c r="N33" s="117"/>
      <c r="O33" s="94">
        <f>N33</f>
        <v>0</v>
      </c>
      <c r="P33" s="118"/>
      <c r="Q33" s="35"/>
      <c r="R33" s="117"/>
      <c r="S33" s="94">
        <f>R33</f>
        <v>0</v>
      </c>
      <c r="T33" s="118"/>
      <c r="U33" s="284"/>
      <c r="V33" s="117"/>
      <c r="W33" s="94">
        <f>V33</f>
        <v>0</v>
      </c>
      <c r="X33" s="118"/>
      <c r="Y33" s="284"/>
      <c r="Z33" s="117"/>
      <c r="AA33" s="94">
        <f>Z33</f>
        <v>0</v>
      </c>
      <c r="AB33" s="118"/>
      <c r="AC33" s="284"/>
      <c r="AD33" s="117"/>
      <c r="AE33" s="94">
        <f>AD33</f>
        <v>0</v>
      </c>
      <c r="AF33" s="118"/>
      <c r="AH33" s="117"/>
      <c r="AI33" s="94">
        <f>AH33</f>
        <v>0</v>
      </c>
      <c r="AJ33" s="118"/>
      <c r="AK33" s="284"/>
      <c r="AL33" s="117"/>
      <c r="AM33" s="94">
        <f>AL33</f>
        <v>0</v>
      </c>
      <c r="AN33" s="118"/>
      <c r="AO33" s="284"/>
      <c r="AP33" s="117"/>
      <c r="AQ33" s="94">
        <f>AP33</f>
        <v>0</v>
      </c>
      <c r="AR33" s="118"/>
      <c r="AS33" s="284"/>
      <c r="AT33" s="117"/>
      <c r="AU33" s="94">
        <f>AT33</f>
        <v>0</v>
      </c>
      <c r="AV33" s="118"/>
      <c r="AW33" s="284"/>
    </row>
    <row r="34" spans="1:49" outlineLevel="1" x14ac:dyDescent="0.3">
      <c r="A34" s="15">
        <v>28200111</v>
      </c>
      <c r="B34" s="15" t="s">
        <v>453</v>
      </c>
      <c r="C34" s="24">
        <v>32</v>
      </c>
      <c r="D34" s="24" t="s">
        <v>236</v>
      </c>
      <c r="E34" s="24" t="s">
        <v>215</v>
      </c>
      <c r="F34" s="117">
        <v>-322613.33333333331</v>
      </c>
      <c r="G34" s="94">
        <f>F34</f>
        <v>-322613.33333333331</v>
      </c>
      <c r="H34" s="118"/>
      <c r="I34" s="35"/>
      <c r="J34" s="117">
        <v>0</v>
      </c>
      <c r="K34" s="94">
        <f>J34</f>
        <v>0</v>
      </c>
      <c r="L34" s="118"/>
      <c r="M34" s="35"/>
      <c r="N34" s="117"/>
      <c r="O34" s="94">
        <f>N34</f>
        <v>0</v>
      </c>
      <c r="P34" s="118"/>
      <c r="Q34" s="35"/>
      <c r="R34" s="117"/>
      <c r="S34" s="94">
        <f>R34</f>
        <v>0</v>
      </c>
      <c r="T34" s="118"/>
      <c r="U34" s="284"/>
      <c r="V34" s="117"/>
      <c r="W34" s="94">
        <f>V34</f>
        <v>0</v>
      </c>
      <c r="X34" s="118"/>
      <c r="Y34" s="284"/>
      <c r="Z34" s="117"/>
      <c r="AA34" s="94">
        <f>Z34</f>
        <v>0</v>
      </c>
      <c r="AB34" s="118"/>
      <c r="AC34" s="284"/>
      <c r="AD34" s="117"/>
      <c r="AE34" s="94">
        <f>AD34</f>
        <v>0</v>
      </c>
      <c r="AF34" s="118"/>
      <c r="AH34" s="117"/>
      <c r="AI34" s="94">
        <f>AH34</f>
        <v>0</v>
      </c>
      <c r="AJ34" s="118"/>
      <c r="AK34" s="284"/>
      <c r="AL34" s="117"/>
      <c r="AM34" s="94">
        <f>AL34</f>
        <v>0</v>
      </c>
      <c r="AN34" s="118"/>
      <c r="AO34" s="284"/>
      <c r="AP34" s="117"/>
      <c r="AQ34" s="94">
        <f>AP34</f>
        <v>0</v>
      </c>
      <c r="AR34" s="118"/>
      <c r="AS34" s="284"/>
      <c r="AT34" s="117"/>
      <c r="AU34" s="94">
        <f>AT34</f>
        <v>0</v>
      </c>
      <c r="AV34" s="118"/>
      <c r="AW34" s="284"/>
    </row>
    <row r="35" spans="1:49" outlineLevel="1" x14ac:dyDescent="0.3">
      <c r="A35" s="15">
        <v>28200121</v>
      </c>
      <c r="B35" s="15" t="s">
        <v>454</v>
      </c>
      <c r="C35" s="24">
        <v>33</v>
      </c>
      <c r="D35" s="24" t="s">
        <v>236</v>
      </c>
      <c r="E35" s="24" t="s">
        <v>215</v>
      </c>
      <c r="F35" s="117">
        <v>-526735779.16666669</v>
      </c>
      <c r="G35" s="94">
        <f>F35</f>
        <v>-526735779.16666669</v>
      </c>
      <c r="H35" s="118"/>
      <c r="I35" s="35"/>
      <c r="J35" s="117">
        <v>-634515744.83083332</v>
      </c>
      <c r="K35" s="94">
        <f>J35</f>
        <v>-634515744.83083332</v>
      </c>
      <c r="L35" s="118"/>
      <c r="M35" s="35"/>
      <c r="N35" s="117">
        <v>-727032274.48872817</v>
      </c>
      <c r="O35" s="94">
        <f>N35</f>
        <v>-727032274.48872817</v>
      </c>
      <c r="P35" s="118"/>
      <c r="Q35" s="35"/>
      <c r="R35" s="117">
        <v>-847907255.70898938</v>
      </c>
      <c r="S35" s="94">
        <f>R35</f>
        <v>-847907255.70898938</v>
      </c>
      <c r="T35" s="118"/>
      <c r="U35" s="284"/>
      <c r="V35" s="117">
        <v>-907017589.89750004</v>
      </c>
      <c r="W35" s="94">
        <f>V35</f>
        <v>-907017589.89750004</v>
      </c>
      <c r="X35" s="118"/>
      <c r="Y35" s="284"/>
      <c r="Z35" s="117">
        <v>-1058463977.7729167</v>
      </c>
      <c r="AA35" s="94">
        <f>Z35</f>
        <v>-1058463977.7729167</v>
      </c>
      <c r="AB35" s="118"/>
      <c r="AC35" s="284"/>
      <c r="AD35" s="117">
        <v>-1159818332.6283331</v>
      </c>
      <c r="AE35" s="94">
        <f>AD35</f>
        <v>-1159818332.6283331</v>
      </c>
      <c r="AF35" s="118"/>
      <c r="AH35" s="117">
        <v>-1218917841.6170833</v>
      </c>
      <c r="AI35" s="94">
        <f>AH35</f>
        <v>-1218917841.6170833</v>
      </c>
      <c r="AJ35" s="118"/>
      <c r="AK35" s="284"/>
      <c r="AL35" s="117">
        <v>-1283074360.3116667</v>
      </c>
      <c r="AM35" s="94">
        <f>AL35</f>
        <v>-1283074360.3116667</v>
      </c>
      <c r="AN35" s="118"/>
      <c r="AO35" s="284"/>
      <c r="AP35" s="117">
        <v>-1346151464.1133335</v>
      </c>
      <c r="AQ35" s="94">
        <f>AP35</f>
        <v>-1346151464.1133335</v>
      </c>
      <c r="AR35" s="118"/>
      <c r="AS35" s="284"/>
      <c r="AT35" s="117">
        <v>-1372743188.4345834</v>
      </c>
      <c r="AU35" s="94">
        <f>AT35</f>
        <v>-1372743188.4345834</v>
      </c>
      <c r="AV35" s="118"/>
      <c r="AW35" s="284"/>
    </row>
    <row r="36" spans="1:49" outlineLevel="1" x14ac:dyDescent="0.3">
      <c r="A36" s="15">
        <v>28200131</v>
      </c>
      <c r="B36" s="15" t="s">
        <v>455</v>
      </c>
      <c r="C36" s="24">
        <v>34</v>
      </c>
      <c r="D36" s="24" t="s">
        <v>236</v>
      </c>
      <c r="E36" s="24" t="s">
        <v>215</v>
      </c>
      <c r="F36" s="117">
        <v>-708208.33333333337</v>
      </c>
      <c r="G36" s="94">
        <f>F36</f>
        <v>-708208.33333333337</v>
      </c>
      <c r="H36" s="118"/>
      <c r="I36" s="35"/>
      <c r="J36" s="117">
        <v>0</v>
      </c>
      <c r="K36" s="94">
        <f>J36</f>
        <v>0</v>
      </c>
      <c r="L36" s="118"/>
      <c r="M36" s="35"/>
      <c r="N36" s="117"/>
      <c r="O36" s="94">
        <f>N36</f>
        <v>0</v>
      </c>
      <c r="P36" s="118"/>
      <c r="Q36" s="35"/>
      <c r="R36" s="117"/>
      <c r="S36" s="94">
        <f>R36</f>
        <v>0</v>
      </c>
      <c r="T36" s="118"/>
      <c r="U36" s="284"/>
      <c r="V36" s="117"/>
      <c r="W36" s="94">
        <f>V36</f>
        <v>0</v>
      </c>
      <c r="X36" s="118"/>
      <c r="Y36" s="284"/>
      <c r="Z36" s="117"/>
      <c r="AA36" s="94">
        <f>Z36</f>
        <v>0</v>
      </c>
      <c r="AB36" s="118"/>
      <c r="AC36" s="284"/>
      <c r="AD36" s="117"/>
      <c r="AE36" s="94">
        <f>AD36</f>
        <v>0</v>
      </c>
      <c r="AF36" s="118"/>
      <c r="AH36" s="117"/>
      <c r="AI36" s="94">
        <f>AH36</f>
        <v>0</v>
      </c>
      <c r="AJ36" s="118"/>
      <c r="AK36" s="284"/>
      <c r="AL36" s="117"/>
      <c r="AM36" s="94">
        <f>AL36</f>
        <v>0</v>
      </c>
      <c r="AN36" s="118"/>
      <c r="AO36" s="284"/>
      <c r="AP36" s="117"/>
      <c r="AQ36" s="94">
        <f>AP36</f>
        <v>0</v>
      </c>
      <c r="AR36" s="118"/>
      <c r="AS36" s="284"/>
      <c r="AT36" s="117"/>
      <c r="AU36" s="94">
        <f>AT36</f>
        <v>0</v>
      </c>
      <c r="AV36" s="118"/>
      <c r="AW36" s="284"/>
    </row>
    <row r="37" spans="1:49" outlineLevel="1" x14ac:dyDescent="0.3">
      <c r="A37" s="15">
        <v>28200141</v>
      </c>
      <c r="B37" s="15" t="s">
        <v>456</v>
      </c>
      <c r="C37" s="24">
        <v>35</v>
      </c>
      <c r="D37" s="24" t="s">
        <v>236</v>
      </c>
      <c r="E37" s="24" t="s">
        <v>215</v>
      </c>
      <c r="F37" s="117">
        <v>0</v>
      </c>
      <c r="G37" s="94">
        <f>F37</f>
        <v>0</v>
      </c>
      <c r="H37" s="118"/>
      <c r="I37" s="35"/>
      <c r="J37" s="117">
        <v>0</v>
      </c>
      <c r="K37" s="94">
        <f>J37</f>
        <v>0</v>
      </c>
      <c r="L37" s="118"/>
      <c r="M37" s="35"/>
      <c r="N37" s="117"/>
      <c r="O37" s="94">
        <f>N37</f>
        <v>0</v>
      </c>
      <c r="P37" s="118"/>
      <c r="Q37" s="35"/>
      <c r="R37" s="117"/>
      <c r="S37" s="94">
        <f>R37</f>
        <v>0</v>
      </c>
      <c r="T37" s="118"/>
      <c r="U37" s="284"/>
      <c r="V37" s="117"/>
      <c r="W37" s="94">
        <f>V37</f>
        <v>0</v>
      </c>
      <c r="X37" s="118"/>
      <c r="Y37" s="284"/>
      <c r="Z37" s="117"/>
      <c r="AA37" s="94">
        <f>Z37</f>
        <v>0</v>
      </c>
      <c r="AB37" s="118"/>
      <c r="AC37" s="284"/>
      <c r="AD37" s="117"/>
      <c r="AE37" s="94">
        <f>AD37</f>
        <v>0</v>
      </c>
      <c r="AF37" s="118"/>
      <c r="AH37" s="117"/>
      <c r="AI37" s="94">
        <f>AH37</f>
        <v>0</v>
      </c>
      <c r="AJ37" s="118"/>
      <c r="AK37" s="284"/>
      <c r="AL37" s="117"/>
      <c r="AM37" s="94">
        <f>AL37</f>
        <v>0</v>
      </c>
      <c r="AN37" s="118"/>
      <c r="AO37" s="284"/>
      <c r="AP37" s="117"/>
      <c r="AQ37" s="94">
        <f>AP37</f>
        <v>0</v>
      </c>
      <c r="AR37" s="118"/>
      <c r="AS37" s="284"/>
      <c r="AT37" s="117"/>
      <c r="AU37" s="94">
        <f>AT37</f>
        <v>0</v>
      </c>
      <c r="AV37" s="118"/>
      <c r="AW37" s="284"/>
    </row>
    <row r="38" spans="1:49" outlineLevel="1" x14ac:dyDescent="0.3">
      <c r="A38" s="15">
        <v>28200142</v>
      </c>
      <c r="B38" s="15" t="s">
        <v>457</v>
      </c>
      <c r="C38" s="24">
        <v>10</v>
      </c>
      <c r="D38" s="24" t="s">
        <v>236</v>
      </c>
      <c r="E38" s="158" t="s">
        <v>216</v>
      </c>
      <c r="F38" s="117">
        <v>0</v>
      </c>
      <c r="G38" s="94"/>
      <c r="H38" s="118">
        <f>F38</f>
        <v>0</v>
      </c>
      <c r="I38" s="35"/>
      <c r="J38" s="117">
        <v>0</v>
      </c>
      <c r="K38" s="94"/>
      <c r="L38" s="118">
        <f>J38</f>
        <v>0</v>
      </c>
      <c r="M38" s="35"/>
      <c r="N38" s="117">
        <v>0</v>
      </c>
      <c r="O38" s="94"/>
      <c r="P38" s="118">
        <f>N38</f>
        <v>0</v>
      </c>
      <c r="Q38" s="35"/>
      <c r="R38" s="117"/>
      <c r="S38" s="94"/>
      <c r="T38" s="118">
        <f>R38</f>
        <v>0</v>
      </c>
      <c r="U38" s="284"/>
      <c r="V38" s="117"/>
      <c r="W38" s="94"/>
      <c r="X38" s="118">
        <f>V38</f>
        <v>0</v>
      </c>
      <c r="Y38" s="284"/>
      <c r="Z38" s="117"/>
      <c r="AA38" s="94"/>
      <c r="AB38" s="118">
        <f>Z38</f>
        <v>0</v>
      </c>
      <c r="AC38" s="284"/>
      <c r="AD38" s="117"/>
      <c r="AE38" s="94"/>
      <c r="AF38" s="118">
        <f>AD38</f>
        <v>0</v>
      </c>
      <c r="AH38" s="117"/>
      <c r="AI38" s="94"/>
      <c r="AJ38" s="118">
        <f>AH38</f>
        <v>0</v>
      </c>
      <c r="AK38" s="284"/>
      <c r="AL38" s="117"/>
      <c r="AM38" s="94"/>
      <c r="AN38" s="118">
        <f>AL38</f>
        <v>0</v>
      </c>
      <c r="AO38" s="284"/>
      <c r="AP38" s="117"/>
      <c r="AQ38" s="94"/>
      <c r="AR38" s="118">
        <f>AP38</f>
        <v>0</v>
      </c>
      <c r="AS38" s="284"/>
      <c r="AT38" s="117"/>
      <c r="AU38" s="94"/>
      <c r="AV38" s="118">
        <f>AT38</f>
        <v>0</v>
      </c>
      <c r="AW38" s="284"/>
    </row>
    <row r="39" spans="1:49" outlineLevel="1" x14ac:dyDescent="0.3">
      <c r="A39" s="15">
        <v>28200161</v>
      </c>
      <c r="B39" s="15" t="s">
        <v>458</v>
      </c>
      <c r="C39" s="24">
        <v>33</v>
      </c>
      <c r="D39" s="24" t="s">
        <v>236</v>
      </c>
      <c r="E39" s="24" t="s">
        <v>215</v>
      </c>
      <c r="F39" s="117">
        <v>-24424184.458333332</v>
      </c>
      <c r="G39" s="94">
        <f>F39</f>
        <v>-24424184.458333332</v>
      </c>
      <c r="H39" s="118"/>
      <c r="I39" s="35"/>
      <c r="J39" s="117">
        <v>-18346038.75</v>
      </c>
      <c r="K39" s="94">
        <f>J39</f>
        <v>-18346038.75</v>
      </c>
      <c r="L39" s="118"/>
      <c r="M39" s="35"/>
      <c r="N39" s="117">
        <v>0</v>
      </c>
      <c r="O39" s="94">
        <f>N39</f>
        <v>0</v>
      </c>
      <c r="P39" s="118"/>
      <c r="Q39" s="35"/>
      <c r="R39" s="117"/>
      <c r="S39" s="94">
        <f>R39</f>
        <v>0</v>
      </c>
      <c r="T39" s="118"/>
      <c r="U39" s="284"/>
      <c r="V39" s="117">
        <v>0</v>
      </c>
      <c r="W39" s="94">
        <f>V39</f>
        <v>0</v>
      </c>
      <c r="X39" s="118"/>
      <c r="Y39" s="284"/>
      <c r="Z39" s="117"/>
      <c r="AA39" s="94">
        <f>Z39</f>
        <v>0</v>
      </c>
      <c r="AB39" s="118"/>
      <c r="AC39" s="284"/>
      <c r="AD39" s="117"/>
      <c r="AE39" s="94">
        <f>AD39</f>
        <v>0</v>
      </c>
      <c r="AF39" s="118"/>
      <c r="AH39" s="117"/>
      <c r="AI39" s="94">
        <f>AH39</f>
        <v>0</v>
      </c>
      <c r="AJ39" s="118"/>
      <c r="AK39" s="284"/>
      <c r="AL39" s="117"/>
      <c r="AM39" s="94">
        <f>AL39</f>
        <v>0</v>
      </c>
      <c r="AN39" s="118"/>
      <c r="AO39" s="284"/>
      <c r="AP39" s="117"/>
      <c r="AQ39" s="94">
        <f>AP39</f>
        <v>0</v>
      </c>
      <c r="AR39" s="118"/>
      <c r="AS39" s="284"/>
      <c r="AT39" s="117"/>
      <c r="AU39" s="94">
        <f>AT39</f>
        <v>0</v>
      </c>
      <c r="AV39" s="118"/>
      <c r="AW39" s="284"/>
    </row>
    <row r="40" spans="1:49" outlineLevel="1" x14ac:dyDescent="0.3">
      <c r="A40" s="290">
        <v>28200171</v>
      </c>
      <c r="B40" s="15" t="s">
        <v>459</v>
      </c>
      <c r="C40" s="24">
        <v>33</v>
      </c>
      <c r="D40" s="24" t="s">
        <v>236</v>
      </c>
      <c r="E40" s="24" t="s">
        <v>215</v>
      </c>
      <c r="F40" s="117"/>
      <c r="G40" s="94"/>
      <c r="H40" s="118"/>
      <c r="I40" s="35"/>
      <c r="J40" s="117"/>
      <c r="K40" s="94"/>
      <c r="L40" s="118"/>
      <c r="M40" s="35"/>
      <c r="N40" s="117"/>
      <c r="O40" s="94"/>
      <c r="P40" s="118"/>
      <c r="Q40" s="35"/>
      <c r="R40" s="117"/>
      <c r="S40" s="94"/>
      <c r="T40" s="118"/>
      <c r="U40" s="284"/>
      <c r="V40" s="117">
        <v>-13195207.208333334</v>
      </c>
      <c r="W40" s="94">
        <f>V40</f>
        <v>-13195207.208333334</v>
      </c>
      <c r="X40" s="118"/>
      <c r="Y40" s="284"/>
      <c r="Z40" s="117"/>
      <c r="AA40" s="94"/>
      <c r="AB40" s="118"/>
      <c r="AC40" s="284"/>
      <c r="AD40" s="117"/>
      <c r="AE40" s="94"/>
      <c r="AF40" s="118"/>
      <c r="AH40" s="117"/>
      <c r="AI40" s="94"/>
      <c r="AJ40" s="118"/>
      <c r="AK40" s="284"/>
      <c r="AL40" s="117"/>
      <c r="AM40" s="94"/>
      <c r="AN40" s="118"/>
      <c r="AO40" s="284"/>
      <c r="AP40" s="117"/>
      <c r="AQ40" s="94"/>
      <c r="AR40" s="118"/>
      <c r="AS40" s="284"/>
      <c r="AT40" s="117"/>
      <c r="AU40" s="94"/>
      <c r="AV40" s="118"/>
      <c r="AW40" s="284"/>
    </row>
    <row r="41" spans="1:49" outlineLevel="1" x14ac:dyDescent="0.3">
      <c r="A41" s="15">
        <v>28200442</v>
      </c>
      <c r="B41" s="15" t="s">
        <v>460</v>
      </c>
      <c r="C41" s="24">
        <v>10</v>
      </c>
      <c r="D41" s="24" t="s">
        <v>236</v>
      </c>
      <c r="E41" s="158" t="s">
        <v>216</v>
      </c>
      <c r="F41" s="117"/>
      <c r="G41" s="94"/>
      <c r="H41" s="118"/>
      <c r="I41" s="35"/>
      <c r="J41" s="117"/>
      <c r="K41" s="94"/>
      <c r="L41" s="118"/>
      <c r="M41" s="35"/>
      <c r="N41" s="117"/>
      <c r="O41" s="94"/>
      <c r="P41" s="118"/>
      <c r="Q41" s="35"/>
      <c r="R41" s="117"/>
      <c r="S41" s="94"/>
      <c r="T41" s="118"/>
      <c r="U41" s="284"/>
      <c r="V41" s="117">
        <v>-7027763.541666667</v>
      </c>
      <c r="W41" s="94"/>
      <c r="X41" s="118">
        <f>V41</f>
        <v>-7027763.541666667</v>
      </c>
      <c r="Y41" s="284"/>
      <c r="Z41" s="117"/>
      <c r="AA41" s="94"/>
      <c r="AB41" s="118"/>
      <c r="AC41" s="284"/>
      <c r="AD41" s="117"/>
      <c r="AE41" s="94"/>
      <c r="AF41" s="118"/>
      <c r="AH41" s="117"/>
      <c r="AI41" s="94"/>
      <c r="AJ41" s="118"/>
      <c r="AK41" s="284"/>
      <c r="AL41" s="117"/>
      <c r="AM41" s="94"/>
      <c r="AN41" s="118"/>
      <c r="AO41" s="284"/>
      <c r="AP41" s="117"/>
      <c r="AQ41" s="94"/>
      <c r="AR41" s="118"/>
      <c r="AS41" s="284"/>
      <c r="AT41" s="117"/>
      <c r="AU41" s="94"/>
      <c r="AV41" s="118"/>
      <c r="AW41" s="284"/>
    </row>
    <row r="42" spans="1:49" hidden="1" outlineLevel="1" x14ac:dyDescent="0.3">
      <c r="A42" s="15">
        <v>28300011</v>
      </c>
      <c r="B42" s="15" t="s">
        <v>461</v>
      </c>
      <c r="C42" s="24" t="s">
        <v>415</v>
      </c>
      <c r="D42" s="24" t="s">
        <v>412</v>
      </c>
      <c r="E42" s="24" t="s">
        <v>215</v>
      </c>
      <c r="F42" s="117">
        <v>-4155604</v>
      </c>
      <c r="G42" s="94">
        <f>F42</f>
        <v>-4155604</v>
      </c>
      <c r="H42" s="118"/>
      <c r="I42" s="35"/>
      <c r="J42" s="117">
        <v>-4155604</v>
      </c>
      <c r="K42" s="94">
        <f>J42</f>
        <v>-4155604</v>
      </c>
      <c r="L42" s="118"/>
      <c r="M42" s="35"/>
      <c r="N42" s="117">
        <v>-173150.16666666666</v>
      </c>
      <c r="O42" s="94">
        <f>N42</f>
        <v>-173150.16666666666</v>
      </c>
      <c r="P42" s="118"/>
      <c r="Q42" s="35"/>
      <c r="R42" s="117">
        <v>0</v>
      </c>
      <c r="S42" s="94">
        <f>R42</f>
        <v>0</v>
      </c>
      <c r="T42" s="118"/>
      <c r="U42" s="284"/>
      <c r="V42" s="117">
        <v>0</v>
      </c>
      <c r="W42" s="94">
        <f>V42</f>
        <v>0</v>
      </c>
      <c r="X42" s="118"/>
      <c r="Y42" s="284"/>
      <c r="Z42" s="117">
        <v>0</v>
      </c>
      <c r="AA42" s="94">
        <f>Z42</f>
        <v>0</v>
      </c>
      <c r="AB42" s="118"/>
      <c r="AC42" s="284"/>
      <c r="AD42" s="117"/>
      <c r="AE42" s="94">
        <f>AD42</f>
        <v>0</v>
      </c>
      <c r="AF42" s="118"/>
      <c r="AH42" s="117"/>
      <c r="AI42" s="94">
        <f>AH42</f>
        <v>0</v>
      </c>
      <c r="AJ42" s="118"/>
      <c r="AK42" s="284"/>
      <c r="AL42" s="117"/>
      <c r="AM42" s="94">
        <f>AL42</f>
        <v>0</v>
      </c>
      <c r="AN42" s="118"/>
      <c r="AO42" s="284"/>
      <c r="AP42" s="117"/>
      <c r="AQ42" s="94">
        <f>AP42</f>
        <v>0</v>
      </c>
      <c r="AR42" s="118"/>
      <c r="AS42" s="284"/>
      <c r="AT42" s="117"/>
      <c r="AU42" s="94">
        <f>AT42</f>
        <v>0</v>
      </c>
      <c r="AV42" s="118"/>
      <c r="AW42" s="284"/>
    </row>
    <row r="43" spans="1:49" hidden="1" outlineLevel="1" x14ac:dyDescent="0.3">
      <c r="A43" s="15">
        <v>28300013</v>
      </c>
      <c r="B43" s="15" t="s">
        <v>462</v>
      </c>
      <c r="C43" s="24" t="s">
        <v>440</v>
      </c>
      <c r="D43" s="24" t="s">
        <v>412</v>
      </c>
      <c r="E43" s="24" t="s">
        <v>422</v>
      </c>
      <c r="F43" s="117">
        <v>-70166.666666666672</v>
      </c>
      <c r="G43" s="94">
        <f>F43*$G$3</f>
        <v>-45341.700000000004</v>
      </c>
      <c r="H43" s="118">
        <f>F43*$H$3</f>
        <v>-24824.966666666667</v>
      </c>
      <c r="I43" s="35"/>
      <c r="J43" s="117">
        <v>-10000</v>
      </c>
      <c r="K43" s="94">
        <f>J43*$K$3</f>
        <v>-6479</v>
      </c>
      <c r="L43" s="118">
        <f>J43*$L$3</f>
        <v>-3521.0000000000005</v>
      </c>
      <c r="M43" s="35"/>
      <c r="N43" s="117">
        <v>-38666.666666666664</v>
      </c>
      <c r="O43" s="94">
        <f>N43*$O$3</f>
        <v>-25717.200000000001</v>
      </c>
      <c r="P43" s="118">
        <f>N43*$P$3</f>
        <v>-12949.466666666665</v>
      </c>
      <c r="Q43" s="35"/>
      <c r="R43" s="117"/>
      <c r="S43" s="94">
        <f>R43*$S$3</f>
        <v>0</v>
      </c>
      <c r="T43" s="118">
        <f>R43*$T$3</f>
        <v>0</v>
      </c>
      <c r="U43" s="284"/>
      <c r="V43" s="117">
        <v>0</v>
      </c>
      <c r="W43" s="94">
        <f>V43*$W$3</f>
        <v>0</v>
      </c>
      <c r="X43" s="118">
        <f>V43*$X$3</f>
        <v>0</v>
      </c>
      <c r="Y43" s="284"/>
      <c r="Z43" s="117">
        <v>0</v>
      </c>
      <c r="AA43" s="94">
        <f>Z43*$AA$3</f>
        <v>0</v>
      </c>
      <c r="AB43" s="118">
        <f>Z43*$AB$3</f>
        <v>0</v>
      </c>
      <c r="AC43" s="284"/>
      <c r="AD43" s="117"/>
      <c r="AE43" s="94">
        <f>AD43*$AE$3</f>
        <v>0</v>
      </c>
      <c r="AF43" s="118">
        <f>AD43*$AF$3</f>
        <v>0</v>
      </c>
      <c r="AH43" s="117"/>
      <c r="AI43" s="94">
        <f>AH43*$AI$3</f>
        <v>0</v>
      </c>
      <c r="AJ43" s="118">
        <f>AH43*$AJ$3</f>
        <v>0</v>
      </c>
      <c r="AK43" s="284"/>
      <c r="AL43" s="117"/>
      <c r="AM43" s="94">
        <f>AL43*$AM$3</f>
        <v>0</v>
      </c>
      <c r="AN43" s="118">
        <f>AL43*$AN$3</f>
        <v>0</v>
      </c>
      <c r="AO43" s="284"/>
      <c r="AP43" s="117"/>
      <c r="AQ43" s="94">
        <f>AP43*$AQ$3</f>
        <v>0</v>
      </c>
      <c r="AR43" s="118">
        <f>AP43*$AR$3</f>
        <v>0</v>
      </c>
      <c r="AS43" s="284"/>
      <c r="AT43" s="117"/>
      <c r="AU43" s="94">
        <f>AT43*$AU$3</f>
        <v>0</v>
      </c>
      <c r="AV43" s="118">
        <f>AT43*$AV$3</f>
        <v>0</v>
      </c>
      <c r="AW43" s="284"/>
    </row>
    <row r="44" spans="1:49" hidden="1" outlineLevel="1" x14ac:dyDescent="0.3">
      <c r="A44" s="15">
        <v>28300023</v>
      </c>
      <c r="B44" s="15" t="s">
        <v>463</v>
      </c>
      <c r="C44" s="24" t="s">
        <v>440</v>
      </c>
      <c r="D44" s="24" t="s">
        <v>412</v>
      </c>
      <c r="E44" s="24" t="s">
        <v>422</v>
      </c>
      <c r="F44" s="117">
        <v>-19971312.083333332</v>
      </c>
      <c r="G44" s="94">
        <f>F44*$G$3</f>
        <v>-12905461.868249999</v>
      </c>
      <c r="H44" s="118">
        <f>F44*$H$3</f>
        <v>-7065850.2150833327</v>
      </c>
      <c r="I44" s="35"/>
      <c r="J44" s="117">
        <v>0</v>
      </c>
      <c r="K44" s="94">
        <f>J44*$K$3</f>
        <v>0</v>
      </c>
      <c r="L44" s="118">
        <f>J44*$L$3</f>
        <v>0</v>
      </c>
      <c r="M44" s="35"/>
      <c r="N44" s="117">
        <v>0</v>
      </c>
      <c r="O44" s="94">
        <f>N44*$O$3</f>
        <v>0</v>
      </c>
      <c r="P44" s="118">
        <f>N44*$P$3</f>
        <v>0</v>
      </c>
      <c r="Q44" s="35"/>
      <c r="R44" s="117"/>
      <c r="S44" s="94">
        <f>R44*$S$3</f>
        <v>0</v>
      </c>
      <c r="T44" s="118">
        <f>R44*$T$3</f>
        <v>0</v>
      </c>
      <c r="U44" s="284"/>
      <c r="V44" s="117">
        <v>0</v>
      </c>
      <c r="W44" s="94">
        <f>V44*$W$3</f>
        <v>0</v>
      </c>
      <c r="X44" s="118">
        <f>V44*$X$3</f>
        <v>0</v>
      </c>
      <c r="Y44" s="284"/>
      <c r="Z44" s="117">
        <v>0</v>
      </c>
      <c r="AA44" s="94">
        <f>Z44*$AA$3</f>
        <v>0</v>
      </c>
      <c r="AB44" s="118">
        <f>Z44*$AB$3</f>
        <v>0</v>
      </c>
      <c r="AC44" s="284"/>
      <c r="AD44" s="117"/>
      <c r="AE44" s="94">
        <f>AD44*$AE$3</f>
        <v>0</v>
      </c>
      <c r="AF44" s="118">
        <f>AD44*$AF$3</f>
        <v>0</v>
      </c>
      <c r="AH44" s="117"/>
      <c r="AI44" s="94">
        <f>AH44*$AI$3</f>
        <v>0</v>
      </c>
      <c r="AJ44" s="118">
        <f>AH44*$AJ$3</f>
        <v>0</v>
      </c>
      <c r="AK44" s="284"/>
      <c r="AL44" s="117"/>
      <c r="AM44" s="94">
        <f>AL44*$AM$3</f>
        <v>0</v>
      </c>
      <c r="AN44" s="118">
        <f>AL44*$AN$3</f>
        <v>0</v>
      </c>
      <c r="AO44" s="284"/>
      <c r="AP44" s="117"/>
      <c r="AQ44" s="94">
        <f>AP44*$AQ$3</f>
        <v>0</v>
      </c>
      <c r="AR44" s="118">
        <f>AP44*$AR$3</f>
        <v>0</v>
      </c>
      <c r="AS44" s="284"/>
      <c r="AT44" s="117"/>
      <c r="AU44" s="94">
        <f>AT44*$AU$3</f>
        <v>0</v>
      </c>
      <c r="AV44" s="118">
        <f>AT44*$AV$3</f>
        <v>0</v>
      </c>
      <c r="AW44" s="284"/>
    </row>
    <row r="45" spans="1:49" hidden="1" outlineLevel="1" x14ac:dyDescent="0.3">
      <c r="A45" s="290">
        <v>28300081</v>
      </c>
      <c r="B45" s="15" t="s">
        <v>464</v>
      </c>
      <c r="C45" s="24" t="s">
        <v>465</v>
      </c>
      <c r="D45" s="24" t="s">
        <v>412</v>
      </c>
      <c r="E45" s="24" t="s">
        <v>215</v>
      </c>
      <c r="F45" s="117"/>
      <c r="G45" s="94"/>
      <c r="H45" s="118"/>
      <c r="I45" s="35"/>
      <c r="J45" s="117"/>
      <c r="K45" s="94"/>
      <c r="L45" s="118"/>
      <c r="M45" s="35"/>
      <c r="N45" s="117"/>
      <c r="O45" s="94"/>
      <c r="P45" s="118"/>
      <c r="Q45" s="35"/>
      <c r="R45" s="117"/>
      <c r="S45" s="94"/>
      <c r="T45" s="118"/>
      <c r="U45" s="284"/>
      <c r="V45" s="117">
        <v>-3746169.03125</v>
      </c>
      <c r="W45" s="94">
        <f>V45</f>
        <v>-3746169.03125</v>
      </c>
      <c r="X45" s="118"/>
      <c r="Y45" s="284"/>
      <c r="Z45" s="117">
        <v>-5792397.8145833323</v>
      </c>
      <c r="AA45" s="94">
        <f>Z45</f>
        <v>-5792397.8145833323</v>
      </c>
      <c r="AB45" s="118"/>
      <c r="AC45" s="284"/>
      <c r="AD45" s="117">
        <v>-5521372.1208333327</v>
      </c>
      <c r="AE45" s="94">
        <f>AD45</f>
        <v>-5521372.1208333327</v>
      </c>
      <c r="AF45" s="118"/>
      <c r="AH45" s="117">
        <v>-5280783.8999999994</v>
      </c>
      <c r="AI45" s="94">
        <f>AH45</f>
        <v>-5280783.8999999994</v>
      </c>
      <c r="AJ45" s="118"/>
      <c r="AK45" s="284"/>
      <c r="AL45" s="117">
        <v>-5040186.8999999994</v>
      </c>
      <c r="AM45" s="94">
        <f>AL45</f>
        <v>-5040186.8999999994</v>
      </c>
      <c r="AN45" s="118"/>
      <c r="AO45" s="284"/>
      <c r="AP45" s="117">
        <v>-4799589.8999999994</v>
      </c>
      <c r="AQ45" s="94">
        <f>AP45</f>
        <v>-4799589.8999999994</v>
      </c>
      <c r="AR45" s="118"/>
      <c r="AS45" s="284"/>
      <c r="AT45" s="117">
        <v>-4607112.3</v>
      </c>
      <c r="AU45" s="94">
        <f>AT45</f>
        <v>-4607112.3</v>
      </c>
      <c r="AV45" s="118"/>
      <c r="AW45" s="284"/>
    </row>
    <row r="46" spans="1:49" hidden="1" outlineLevel="1" x14ac:dyDescent="0.3">
      <c r="A46" s="15">
        <v>28300091</v>
      </c>
      <c r="B46" s="15" t="s">
        <v>466</v>
      </c>
      <c r="C46" s="24" t="s">
        <v>467</v>
      </c>
      <c r="D46" s="24" t="s">
        <v>412</v>
      </c>
      <c r="E46" s="24" t="s">
        <v>215</v>
      </c>
      <c r="F46" s="117"/>
      <c r="G46" s="94"/>
      <c r="H46" s="118"/>
      <c r="I46" s="35"/>
      <c r="J46" s="117"/>
      <c r="K46" s="94"/>
      <c r="L46" s="118"/>
      <c r="M46" s="35"/>
      <c r="N46" s="117"/>
      <c r="O46" s="94"/>
      <c r="P46" s="118"/>
      <c r="Q46" s="35"/>
      <c r="R46" s="117"/>
      <c r="S46" s="94"/>
      <c r="T46" s="118"/>
      <c r="U46" s="284"/>
      <c r="V46" s="117"/>
      <c r="W46" s="94"/>
      <c r="X46" s="118"/>
      <c r="Y46" s="284"/>
      <c r="Z46" s="117">
        <v>-1714566.7283333333</v>
      </c>
      <c r="AA46" s="94">
        <f>Z46</f>
        <v>-1714566.7283333333</v>
      </c>
      <c r="AB46" s="118"/>
      <c r="AC46" s="284"/>
      <c r="AD46" s="117">
        <v>-3903760.1333333333</v>
      </c>
      <c r="AE46" s="94">
        <f>AD46</f>
        <v>-3903760.1333333333</v>
      </c>
      <c r="AF46" s="118"/>
      <c r="AH46" s="117">
        <v>-3084809.6</v>
      </c>
      <c r="AI46" s="94">
        <f>AH46</f>
        <v>-3084809.6</v>
      </c>
      <c r="AJ46" s="118"/>
      <c r="AK46" s="284"/>
      <c r="AL46" s="117">
        <v>-2159364.8000000003</v>
      </c>
      <c r="AM46" s="94">
        <f>AL46</f>
        <v>-2159364.8000000003</v>
      </c>
      <c r="AN46" s="118"/>
      <c r="AO46" s="284"/>
      <c r="AP46" s="117">
        <v>-1277251.1104166666</v>
      </c>
      <c r="AQ46" s="94">
        <f>AP46</f>
        <v>-1277251.1104166666</v>
      </c>
      <c r="AR46" s="118"/>
      <c r="AS46" s="284"/>
      <c r="AT46" s="117">
        <v>-1029888.5287499996</v>
      </c>
      <c r="AU46" s="94">
        <f>AT46</f>
        <v>-1029888.5287499996</v>
      </c>
      <c r="AV46" s="118"/>
      <c r="AW46" s="284"/>
    </row>
    <row r="47" spans="1:49" hidden="1" outlineLevel="1" x14ac:dyDescent="0.3">
      <c r="A47" s="15">
        <v>28300101</v>
      </c>
      <c r="B47" s="15" t="s">
        <v>468</v>
      </c>
      <c r="C47" s="24">
        <v>34</v>
      </c>
      <c r="D47" s="24" t="s">
        <v>412</v>
      </c>
      <c r="E47" s="24" t="s">
        <v>215</v>
      </c>
      <c r="F47" s="117"/>
      <c r="G47" s="94"/>
      <c r="H47" s="118"/>
      <c r="I47" s="35"/>
      <c r="J47" s="117"/>
      <c r="K47" s="94"/>
      <c r="L47" s="118"/>
      <c r="M47" s="35"/>
      <c r="N47" s="117"/>
      <c r="O47" s="94"/>
      <c r="P47" s="118"/>
      <c r="Q47" s="35"/>
      <c r="R47" s="117"/>
      <c r="S47" s="94"/>
      <c r="T47" s="118"/>
      <c r="U47" s="284"/>
      <c r="V47" s="117"/>
      <c r="W47" s="94"/>
      <c r="X47" s="118"/>
      <c r="Y47" s="284"/>
      <c r="Z47" s="117"/>
      <c r="AA47" s="94"/>
      <c r="AB47" s="118"/>
      <c r="AC47" s="284"/>
      <c r="AD47" s="117"/>
      <c r="AE47" s="94"/>
      <c r="AF47" s="118"/>
      <c r="AH47" s="117"/>
      <c r="AI47" s="94"/>
      <c r="AJ47" s="118"/>
      <c r="AK47" s="284"/>
      <c r="AL47" s="117"/>
      <c r="AM47" s="94"/>
      <c r="AN47" s="118"/>
      <c r="AO47" s="284"/>
      <c r="AP47" s="117">
        <v>-6925.3633333333337</v>
      </c>
      <c r="AQ47" s="94">
        <f>AP47</f>
        <v>-6925.3633333333337</v>
      </c>
      <c r="AR47" s="118"/>
      <c r="AS47" s="284"/>
      <c r="AT47" s="117">
        <v>-1594943.55</v>
      </c>
      <c r="AU47" s="94">
        <f>AT47</f>
        <v>-1594943.55</v>
      </c>
      <c r="AV47" s="118"/>
      <c r="AW47" s="284"/>
    </row>
    <row r="48" spans="1:49" hidden="1" outlineLevel="1" x14ac:dyDescent="0.3">
      <c r="A48" s="15">
        <v>28300193</v>
      </c>
      <c r="B48" s="15" t="s">
        <v>469</v>
      </c>
      <c r="C48" s="24" t="s">
        <v>440</v>
      </c>
      <c r="D48" s="24" t="s">
        <v>412</v>
      </c>
      <c r="E48" s="24" t="s">
        <v>422</v>
      </c>
      <c r="F48" s="117">
        <v>-2482149.4583333335</v>
      </c>
      <c r="G48" s="94">
        <f>F48*$G$3</f>
        <v>-1603964.979975</v>
      </c>
      <c r="H48" s="118">
        <f>F48*$H$3</f>
        <v>-878184.47835833335</v>
      </c>
      <c r="I48" s="35"/>
      <c r="J48" s="117">
        <v>0</v>
      </c>
      <c r="K48" s="94">
        <f>J48*$K$3</f>
        <v>0</v>
      </c>
      <c r="L48" s="118">
        <f>J48*$L$3</f>
        <v>0</v>
      </c>
      <c r="M48" s="35"/>
      <c r="N48" s="117">
        <v>0</v>
      </c>
      <c r="O48" s="94">
        <f>N48*$O$3</f>
        <v>0</v>
      </c>
      <c r="P48" s="118">
        <f>N48*$P$3</f>
        <v>0</v>
      </c>
      <c r="Q48" s="35"/>
      <c r="R48" s="117"/>
      <c r="S48" s="94">
        <f>R48*$S$3</f>
        <v>0</v>
      </c>
      <c r="T48" s="118">
        <f>R48*$T$3</f>
        <v>0</v>
      </c>
      <c r="U48" s="284"/>
      <c r="V48" s="117">
        <v>0</v>
      </c>
      <c r="W48" s="94">
        <f>V48*$W$3</f>
        <v>0</v>
      </c>
      <c r="X48" s="118">
        <f>V48*$X$3</f>
        <v>0</v>
      </c>
      <c r="Y48" s="284"/>
      <c r="Z48" s="117">
        <v>0</v>
      </c>
      <c r="AA48" s="94">
        <f>Z48*$AA$3</f>
        <v>0</v>
      </c>
      <c r="AB48" s="118">
        <f>Z48*$AB$3</f>
        <v>0</v>
      </c>
      <c r="AC48" s="284"/>
      <c r="AD48" s="117"/>
      <c r="AE48" s="94">
        <f>AD48*$AE$3</f>
        <v>0</v>
      </c>
      <c r="AF48" s="118">
        <f>AD48*$AF$3</f>
        <v>0</v>
      </c>
      <c r="AH48" s="117"/>
      <c r="AI48" s="94">
        <f>AH48*$AI$3</f>
        <v>0</v>
      </c>
      <c r="AJ48" s="118">
        <f>AH48*$AJ$3</f>
        <v>0</v>
      </c>
      <c r="AK48" s="284"/>
      <c r="AL48" s="117"/>
      <c r="AM48" s="94">
        <f>AL48*$AM$3</f>
        <v>0</v>
      </c>
      <c r="AN48" s="118">
        <f>AL48*$AN$3</f>
        <v>0</v>
      </c>
      <c r="AO48" s="284"/>
      <c r="AP48" s="117"/>
      <c r="AQ48" s="94">
        <f>AP48*$AQ$3</f>
        <v>0</v>
      </c>
      <c r="AR48" s="118">
        <f>AP48*$AR$3</f>
        <v>0</v>
      </c>
      <c r="AS48" s="284"/>
      <c r="AT48" s="117"/>
      <c r="AU48" s="94">
        <f>AT48*$AU$3</f>
        <v>0</v>
      </c>
      <c r="AV48" s="118">
        <f>AT48*$H$3</f>
        <v>0</v>
      </c>
      <c r="AW48" s="284"/>
    </row>
    <row r="49" spans="1:49" hidden="1" outlineLevel="1" x14ac:dyDescent="0.3">
      <c r="A49" s="15">
        <v>28300261</v>
      </c>
      <c r="B49" s="15" t="s">
        <v>470</v>
      </c>
      <c r="C49" s="24">
        <v>37</v>
      </c>
      <c r="D49" s="24" t="s">
        <v>412</v>
      </c>
      <c r="E49" s="24" t="s">
        <v>215</v>
      </c>
      <c r="F49" s="117">
        <v>0</v>
      </c>
      <c r="G49" s="94">
        <f>F49</f>
        <v>0</v>
      </c>
      <c r="H49" s="118"/>
      <c r="I49" s="35"/>
      <c r="J49" s="117">
        <v>0</v>
      </c>
      <c r="K49" s="94">
        <f>J49</f>
        <v>0</v>
      </c>
      <c r="L49" s="118"/>
      <c r="M49" s="35"/>
      <c r="N49" s="117"/>
      <c r="O49" s="94">
        <f>N49</f>
        <v>0</v>
      </c>
      <c r="P49" s="118"/>
      <c r="Q49" s="35"/>
      <c r="R49" s="117"/>
      <c r="S49" s="94">
        <f>R49</f>
        <v>0</v>
      </c>
      <c r="T49" s="118"/>
      <c r="U49" s="284"/>
      <c r="V49" s="117"/>
      <c r="W49" s="94">
        <f>V49</f>
        <v>0</v>
      </c>
      <c r="X49" s="118"/>
      <c r="Y49" s="284"/>
      <c r="Z49" s="117"/>
      <c r="AA49" s="94">
        <f>Z49</f>
        <v>0</v>
      </c>
      <c r="AB49" s="118"/>
      <c r="AC49" s="284"/>
      <c r="AD49" s="117"/>
      <c r="AE49" s="94">
        <f>AD49</f>
        <v>0</v>
      </c>
      <c r="AF49" s="118"/>
      <c r="AH49" s="117"/>
      <c r="AI49" s="94">
        <f>AH49</f>
        <v>0</v>
      </c>
      <c r="AJ49" s="118"/>
      <c r="AK49" s="284"/>
      <c r="AL49" s="117"/>
      <c r="AM49" s="94">
        <f>AL49</f>
        <v>0</v>
      </c>
      <c r="AN49" s="118"/>
      <c r="AO49" s="284"/>
      <c r="AP49" s="117"/>
      <c r="AQ49" s="94">
        <f>AP49</f>
        <v>0</v>
      </c>
      <c r="AR49" s="118"/>
      <c r="AS49" s="284"/>
      <c r="AT49" s="117"/>
      <c r="AU49" s="94">
        <f>AT49</f>
        <v>0</v>
      </c>
      <c r="AV49" s="118"/>
      <c r="AW49" s="284"/>
    </row>
    <row r="50" spans="1:49" hidden="1" outlineLevel="1" x14ac:dyDescent="0.3">
      <c r="A50" s="15">
        <v>28300341</v>
      </c>
      <c r="B50" s="15" t="s">
        <v>471</v>
      </c>
      <c r="C50" s="24">
        <v>33</v>
      </c>
      <c r="D50" s="24" t="s">
        <v>412</v>
      </c>
      <c r="E50" s="24" t="s">
        <v>215</v>
      </c>
      <c r="F50" s="117">
        <v>-4543908.75</v>
      </c>
      <c r="G50" s="94">
        <f>F50</f>
        <v>-4543908.75</v>
      </c>
      <c r="H50" s="118"/>
      <c r="I50" s="35"/>
      <c r="J50" s="117">
        <v>0</v>
      </c>
      <c r="K50" s="94">
        <f>J50</f>
        <v>0</v>
      </c>
      <c r="L50" s="118"/>
      <c r="M50" s="35"/>
      <c r="N50" s="117">
        <v>0</v>
      </c>
      <c r="O50" s="94">
        <f>N50</f>
        <v>0</v>
      </c>
      <c r="P50" s="118"/>
      <c r="Q50" s="35"/>
      <c r="R50" s="117"/>
      <c r="S50" s="94">
        <f>R50</f>
        <v>0</v>
      </c>
      <c r="T50" s="118"/>
      <c r="U50" s="284"/>
      <c r="V50" s="117">
        <v>0</v>
      </c>
      <c r="W50" s="94">
        <f>V50</f>
        <v>0</v>
      </c>
      <c r="X50" s="118"/>
      <c r="Y50" s="284"/>
      <c r="Z50" s="117"/>
      <c r="AA50" s="94">
        <f>Z50</f>
        <v>0</v>
      </c>
      <c r="AB50" s="118"/>
      <c r="AC50" s="284"/>
      <c r="AD50" s="117"/>
      <c r="AE50" s="94">
        <f>AD50</f>
        <v>0</v>
      </c>
      <c r="AF50" s="118"/>
      <c r="AH50" s="117"/>
      <c r="AI50" s="94">
        <f>AH50</f>
        <v>0</v>
      </c>
      <c r="AJ50" s="118"/>
      <c r="AK50" s="284"/>
      <c r="AL50" s="117"/>
      <c r="AM50" s="94">
        <f>AL50</f>
        <v>0</v>
      </c>
      <c r="AN50" s="118"/>
      <c r="AO50" s="284"/>
      <c r="AP50" s="117"/>
      <c r="AQ50" s="94">
        <f>AP50</f>
        <v>0</v>
      </c>
      <c r="AR50" s="118"/>
      <c r="AS50" s="284"/>
      <c r="AT50" s="117"/>
      <c r="AU50" s="94">
        <f>AT50</f>
        <v>0</v>
      </c>
      <c r="AV50" s="118"/>
      <c r="AW50" s="284"/>
    </row>
    <row r="51" spans="1:49" hidden="1" outlineLevel="1" x14ac:dyDescent="0.3">
      <c r="A51" s="15">
        <v>28300431</v>
      </c>
      <c r="B51" s="15" t="s">
        <v>472</v>
      </c>
      <c r="C51" s="24" t="s">
        <v>473</v>
      </c>
      <c r="D51" s="24" t="s">
        <v>412</v>
      </c>
      <c r="E51" s="24" t="s">
        <v>215</v>
      </c>
      <c r="F51" s="117">
        <v>-10025292.916666666</v>
      </c>
      <c r="G51" s="94">
        <f>F51</f>
        <v>-10025292.916666666</v>
      </c>
      <c r="H51" s="118"/>
      <c r="I51" s="35"/>
      <c r="J51" s="117">
        <v>-8833658.25</v>
      </c>
      <c r="K51" s="94">
        <f>J51</f>
        <v>-8833658.25</v>
      </c>
      <c r="L51" s="118"/>
      <c r="M51" s="35"/>
      <c r="N51" s="117">
        <v>-8435867.666666666</v>
      </c>
      <c r="O51" s="94">
        <f>N51</f>
        <v>-8435867.666666666</v>
      </c>
      <c r="P51" s="118"/>
      <c r="Q51" s="35"/>
      <c r="R51" s="117">
        <v>-6706093.625</v>
      </c>
      <c r="S51" s="94">
        <f>R51</f>
        <v>-6706093.625</v>
      </c>
      <c r="T51" s="118"/>
      <c r="U51" s="284"/>
      <c r="V51" s="117">
        <v>-5659980.38375</v>
      </c>
      <c r="W51" s="94">
        <f>V51</f>
        <v>-5659980.38375</v>
      </c>
      <c r="X51" s="118"/>
      <c r="Y51" s="284"/>
      <c r="Z51" s="117">
        <v>-4505063.3500000006</v>
      </c>
      <c r="AA51" s="94">
        <f>Z51</f>
        <v>-4505063.3500000006</v>
      </c>
      <c r="AB51" s="118"/>
      <c r="AC51" s="284"/>
      <c r="AD51" s="117">
        <v>-3425772.058333334</v>
      </c>
      <c r="AE51" s="94">
        <f>AD51</f>
        <v>-3425772.058333334</v>
      </c>
      <c r="AF51" s="118"/>
      <c r="AH51" s="117">
        <v>-2276092.2041666671</v>
      </c>
      <c r="AI51" s="94">
        <f>AH51</f>
        <v>-2276092.2041666671</v>
      </c>
      <c r="AJ51" s="118"/>
      <c r="AK51" s="284"/>
      <c r="AL51" s="117">
        <v>-1196364.2249999999</v>
      </c>
      <c r="AM51" s="94">
        <f>AL51</f>
        <v>-1196364.2249999999</v>
      </c>
      <c r="AN51" s="118"/>
      <c r="AO51" s="284"/>
      <c r="AP51" s="117">
        <v>-31471.016250000001</v>
      </c>
      <c r="AQ51" s="94">
        <f>AP51</f>
        <v>-31471.016250000001</v>
      </c>
      <c r="AR51" s="118"/>
      <c r="AS51" s="284"/>
      <c r="AT51" s="117">
        <v>0</v>
      </c>
      <c r="AU51" s="94">
        <f>AT51</f>
        <v>0</v>
      </c>
      <c r="AV51" s="118"/>
      <c r="AW51" s="284"/>
    </row>
    <row r="52" spans="1:49" hidden="1" outlineLevel="1" x14ac:dyDescent="0.3">
      <c r="A52" s="15">
        <v>28300442</v>
      </c>
      <c r="B52" s="15" t="s">
        <v>474</v>
      </c>
      <c r="C52" s="24">
        <v>10</v>
      </c>
      <c r="D52" s="24" t="s">
        <v>412</v>
      </c>
      <c r="E52" s="158" t="s">
        <v>216</v>
      </c>
      <c r="F52" s="117">
        <v>0</v>
      </c>
      <c r="G52" s="94"/>
      <c r="H52" s="118">
        <f>F52</f>
        <v>0</v>
      </c>
      <c r="I52" s="35"/>
      <c r="J52" s="117">
        <v>0</v>
      </c>
      <c r="K52" s="94"/>
      <c r="L52" s="118">
        <f>J52</f>
        <v>0</v>
      </c>
      <c r="M52" s="35"/>
      <c r="N52" s="117">
        <v>0</v>
      </c>
      <c r="O52" s="94"/>
      <c r="P52" s="118">
        <f>N52</f>
        <v>0</v>
      </c>
      <c r="Q52" s="35"/>
      <c r="R52" s="117"/>
      <c r="S52" s="94"/>
      <c r="T52" s="118">
        <f>R52</f>
        <v>0</v>
      </c>
      <c r="U52" s="284"/>
      <c r="V52" s="117"/>
      <c r="W52" s="94"/>
      <c r="X52" s="118">
        <f>V52</f>
        <v>0</v>
      </c>
      <c r="Y52" s="284"/>
      <c r="Z52" s="117"/>
      <c r="AA52" s="94"/>
      <c r="AB52" s="118">
        <f>Z52</f>
        <v>0</v>
      </c>
      <c r="AC52" s="284"/>
      <c r="AD52" s="117"/>
      <c r="AE52" s="94"/>
      <c r="AF52" s="118">
        <f>AD52</f>
        <v>0</v>
      </c>
      <c r="AH52" s="117"/>
      <c r="AI52" s="94"/>
      <c r="AJ52" s="118">
        <f>AH52</f>
        <v>0</v>
      </c>
      <c r="AK52" s="284"/>
      <c r="AL52" s="117"/>
      <c r="AM52" s="94"/>
      <c r="AN52" s="118">
        <f>AL52</f>
        <v>0</v>
      </c>
      <c r="AO52" s="284"/>
      <c r="AP52" s="117"/>
      <c r="AQ52" s="94"/>
      <c r="AR52" s="118">
        <f>AP52</f>
        <v>0</v>
      </c>
      <c r="AS52" s="284"/>
      <c r="AT52" s="117"/>
      <c r="AU52" s="94"/>
      <c r="AV52" s="118">
        <f>AT52</f>
        <v>0</v>
      </c>
      <c r="AW52" s="284"/>
    </row>
    <row r="53" spans="1:49" hidden="1" outlineLevel="1" x14ac:dyDescent="0.3">
      <c r="A53" s="15">
        <v>28300451</v>
      </c>
      <c r="B53" s="15" t="s">
        <v>475</v>
      </c>
      <c r="C53" s="24" t="s">
        <v>467</v>
      </c>
      <c r="D53" s="24" t="s">
        <v>412</v>
      </c>
      <c r="E53" s="24" t="s">
        <v>215</v>
      </c>
      <c r="F53" s="117">
        <v>-6807666.666666667</v>
      </c>
      <c r="G53" s="94">
        <f>F53</f>
        <v>-6807666.666666667</v>
      </c>
      <c r="H53" s="118"/>
      <c r="I53" s="35"/>
      <c r="J53" s="117">
        <v>-4984041.666666667</v>
      </c>
      <c r="K53" s="94">
        <f>J53</f>
        <v>-4984041.666666667</v>
      </c>
      <c r="L53" s="118"/>
      <c r="M53" s="35"/>
      <c r="N53" s="117">
        <v>-2899124.75</v>
      </c>
      <c r="O53" s="94">
        <f>N53</f>
        <v>-2899124.75</v>
      </c>
      <c r="P53" s="118"/>
      <c r="Q53" s="35"/>
      <c r="R53" s="117">
        <v>-892448.83333333337</v>
      </c>
      <c r="S53" s="94">
        <f>R53</f>
        <v>-892448.83333333337</v>
      </c>
      <c r="T53" s="118"/>
      <c r="U53" s="284"/>
      <c r="V53" s="117"/>
      <c r="W53" s="94">
        <f>V53</f>
        <v>0</v>
      </c>
      <c r="X53" s="118"/>
      <c r="Y53" s="284"/>
      <c r="Z53" s="117"/>
      <c r="AA53" s="94">
        <f>Z53</f>
        <v>0</v>
      </c>
      <c r="AB53" s="118"/>
      <c r="AC53" s="284"/>
      <c r="AD53" s="117">
        <v>0</v>
      </c>
      <c r="AE53" s="94">
        <f>AD53</f>
        <v>0</v>
      </c>
      <c r="AF53" s="118"/>
      <c r="AH53" s="117"/>
      <c r="AI53" s="94">
        <f>AH53</f>
        <v>0</v>
      </c>
      <c r="AJ53" s="118"/>
      <c r="AK53" s="284"/>
      <c r="AL53" s="117"/>
      <c r="AM53" s="94">
        <f>AL53</f>
        <v>0</v>
      </c>
      <c r="AN53" s="118"/>
      <c r="AO53" s="284"/>
      <c r="AP53" s="117"/>
      <c r="AQ53" s="94">
        <f>AP53</f>
        <v>0</v>
      </c>
      <c r="AR53" s="118"/>
      <c r="AS53" s="284"/>
      <c r="AT53" s="117"/>
      <c r="AU53" s="94">
        <f>AT53</f>
        <v>0</v>
      </c>
      <c r="AV53" s="118"/>
      <c r="AW53" s="284"/>
    </row>
    <row r="54" spans="1:49" hidden="1" outlineLevel="1" x14ac:dyDescent="0.3">
      <c r="A54" s="15">
        <v>28300461</v>
      </c>
      <c r="B54" s="15" t="s">
        <v>476</v>
      </c>
      <c r="C54" s="24" t="s">
        <v>477</v>
      </c>
      <c r="D54" s="24" t="s">
        <v>412</v>
      </c>
      <c r="E54" s="24" t="s">
        <v>215</v>
      </c>
      <c r="F54" s="117">
        <v>-112333.33333333333</v>
      </c>
      <c r="G54" s="94">
        <f>F54</f>
        <v>-112333.33333333333</v>
      </c>
      <c r="H54" s="118"/>
      <c r="I54" s="35"/>
      <c r="J54" s="117">
        <v>0</v>
      </c>
      <c r="K54" s="94">
        <f>J54</f>
        <v>0</v>
      </c>
      <c r="L54" s="118"/>
      <c r="M54" s="35"/>
      <c r="N54" s="117"/>
      <c r="O54" s="94">
        <f>N54</f>
        <v>0</v>
      </c>
      <c r="P54" s="118"/>
      <c r="Q54" s="35"/>
      <c r="R54" s="117"/>
      <c r="S54" s="94">
        <f>R54</f>
        <v>0</v>
      </c>
      <c r="T54" s="118"/>
      <c r="U54" s="284"/>
      <c r="V54" s="117"/>
      <c r="W54" s="94">
        <f>V54</f>
        <v>0</v>
      </c>
      <c r="X54" s="118"/>
      <c r="Y54" s="284"/>
      <c r="Z54" s="117">
        <v>0</v>
      </c>
      <c r="AA54" s="94">
        <f>Z54</f>
        <v>0</v>
      </c>
      <c r="AB54" s="118"/>
      <c r="AC54" s="284"/>
      <c r="AD54" s="117">
        <v>0</v>
      </c>
      <c r="AE54" s="94">
        <f>AD54</f>
        <v>0</v>
      </c>
      <c r="AF54" s="118"/>
      <c r="AH54" s="117"/>
      <c r="AI54" s="94">
        <f>AH54</f>
        <v>0</v>
      </c>
      <c r="AJ54" s="118"/>
      <c r="AK54" s="284"/>
      <c r="AL54" s="117"/>
      <c r="AM54" s="94">
        <f>AL54</f>
        <v>0</v>
      </c>
      <c r="AN54" s="118"/>
      <c r="AO54" s="284"/>
      <c r="AP54" s="117"/>
      <c r="AQ54" s="94">
        <f>AP54</f>
        <v>0</v>
      </c>
      <c r="AR54" s="118"/>
      <c r="AS54" s="284"/>
      <c r="AT54" s="117"/>
      <c r="AU54" s="94">
        <f>AT54</f>
        <v>0</v>
      </c>
      <c r="AV54" s="118"/>
      <c r="AW54" s="284"/>
    </row>
    <row r="55" spans="1:49" hidden="1" outlineLevel="1" x14ac:dyDescent="0.3">
      <c r="A55" s="15">
        <v>28300501</v>
      </c>
      <c r="B55" s="15" t="s">
        <v>478</v>
      </c>
      <c r="C55" s="24" t="s">
        <v>440</v>
      </c>
      <c r="D55" s="24" t="s">
        <v>412</v>
      </c>
      <c r="E55" s="24" t="s">
        <v>422</v>
      </c>
      <c r="F55" s="117">
        <v>-821871.33333333337</v>
      </c>
      <c r="G55" s="94">
        <f>F55*$G$3</f>
        <v>-531093.25560000003</v>
      </c>
      <c r="H55" s="118">
        <f>F55*$H$3</f>
        <v>-290778.07773333334</v>
      </c>
      <c r="I55" s="35"/>
      <c r="J55" s="117">
        <v>-1250579.6666666667</v>
      </c>
      <c r="K55" s="94">
        <f>J55*$K$3</f>
        <v>-810250.56603333342</v>
      </c>
      <c r="L55" s="118">
        <f>J55*$L$3</f>
        <v>-440329.10063333338</v>
      </c>
      <c r="M55" s="35"/>
      <c r="N55" s="117">
        <v>-163867.66666666666</v>
      </c>
      <c r="O55" s="94">
        <f>N55*$O$3</f>
        <v>-108988.3851</v>
      </c>
      <c r="P55" s="118">
        <f>N55*$P$3</f>
        <v>-54879.281566666657</v>
      </c>
      <c r="Q55" s="35"/>
      <c r="R55" s="117">
        <v>3235610.2083333335</v>
      </c>
      <c r="S55" s="94">
        <f>R55*$S$3</f>
        <v>2133884.9323958335</v>
      </c>
      <c r="T55" s="118">
        <f>R55*$T$3</f>
        <v>1101725.2759375002</v>
      </c>
      <c r="U55" s="284"/>
      <c r="V55" s="117">
        <v>2861767.7729166667</v>
      </c>
      <c r="W55" s="94">
        <f>V55*$W$3</f>
        <v>1920532.3524043751</v>
      </c>
      <c r="X55" s="118">
        <f>V55*$X$3</f>
        <v>941235.42051229172</v>
      </c>
      <c r="Y55" s="284"/>
      <c r="Z55" s="117">
        <v>2434429.2191666667</v>
      </c>
      <c r="AA55" s="94">
        <f>Z55*$AA$3</f>
        <v>1654924.9831894999</v>
      </c>
      <c r="AB55" s="118">
        <f>Z55*$AB$3</f>
        <v>779504.23597716668</v>
      </c>
      <c r="AC55" s="284"/>
      <c r="AD55" s="117">
        <v>2002423.6220833331</v>
      </c>
      <c r="AE55" s="94">
        <f>AD55*$AE$3</f>
        <v>1372661.3929381247</v>
      </c>
      <c r="AF55" s="118">
        <f>AD55*$AF$3</f>
        <v>629762.22914520826</v>
      </c>
      <c r="AH55" s="117">
        <v>1620307.0554166667</v>
      </c>
      <c r="AI55" s="94">
        <f>AH55*$AI$3</f>
        <v>1108452.0566105417</v>
      </c>
      <c r="AJ55" s="118">
        <f>AH55*$AJ$3</f>
        <v>511854.99880612502</v>
      </c>
      <c r="AK55" s="284"/>
      <c r="AL55" s="117">
        <v>1327330.3041666667</v>
      </c>
      <c r="AM55" s="94">
        <f>AL55*$AM$3</f>
        <v>886258.44409208326</v>
      </c>
      <c r="AN55" s="118">
        <f>AL55*$AN$3</f>
        <v>441071.86007458332</v>
      </c>
      <c r="AO55" s="284"/>
      <c r="AP55" s="117">
        <v>1140676.5874999999</v>
      </c>
      <c r="AQ55" s="94">
        <f>AP55*$AQ$3</f>
        <v>748169.77374124993</v>
      </c>
      <c r="AR55" s="118">
        <f>AP55*$AR$3</f>
        <v>392506.81375874998</v>
      </c>
      <c r="AS55" s="284"/>
      <c r="AT55" s="117">
        <v>1035560.0266666667</v>
      </c>
      <c r="AU55" s="94">
        <f>AT55*$AU$3</f>
        <v>685437.18165066675</v>
      </c>
      <c r="AV55" s="118">
        <f>AT55*$AV$3</f>
        <v>350122.84501600004</v>
      </c>
      <c r="AW55" s="284"/>
    </row>
    <row r="56" spans="1:49" hidden="1" outlineLevel="1" x14ac:dyDescent="0.3">
      <c r="A56" s="15">
        <v>28300541</v>
      </c>
      <c r="B56" s="15" t="s">
        <v>479</v>
      </c>
      <c r="C56" s="24" t="s">
        <v>480</v>
      </c>
      <c r="D56" s="24" t="s">
        <v>412</v>
      </c>
      <c r="E56" s="24" t="s">
        <v>215</v>
      </c>
      <c r="F56" s="117">
        <v>-3777458.3333333335</v>
      </c>
      <c r="G56" s="94">
        <f>F56</f>
        <v>-3777458.3333333335</v>
      </c>
      <c r="H56" s="118"/>
      <c r="I56" s="35"/>
      <c r="J56" s="117">
        <v>-2953791.6666666665</v>
      </c>
      <c r="K56" s="94">
        <f>J56</f>
        <v>-2953791.6666666665</v>
      </c>
      <c r="L56" s="118"/>
      <c r="M56" s="35"/>
      <c r="N56" s="117">
        <v>-1687731.5833333333</v>
      </c>
      <c r="O56" s="94">
        <f>N56</f>
        <v>-1687731.5833333333</v>
      </c>
      <c r="P56" s="118"/>
      <c r="Q56" s="35"/>
      <c r="R56" s="117">
        <v>-438970.66666666669</v>
      </c>
      <c r="S56" s="94">
        <f t="shared" ref="S56:S68" si="0">R56</f>
        <v>-438970.66666666669</v>
      </c>
      <c r="T56" s="118"/>
      <c r="U56" s="284"/>
      <c r="V56" s="117"/>
      <c r="W56" s="94">
        <f t="shared" ref="W56:W69" si="1">V56</f>
        <v>0</v>
      </c>
      <c r="X56" s="118"/>
      <c r="Y56" s="284"/>
      <c r="Z56" s="117"/>
      <c r="AA56" s="94">
        <f t="shared" ref="AA56:AA62" si="2">Z56</f>
        <v>0</v>
      </c>
      <c r="AB56" s="118"/>
      <c r="AC56" s="284"/>
      <c r="AD56" s="117"/>
      <c r="AE56" s="94">
        <f t="shared" ref="AE56:AE61" si="3">AD56</f>
        <v>0</v>
      </c>
      <c r="AF56" s="118"/>
      <c r="AH56" s="117"/>
      <c r="AI56" s="94">
        <f t="shared" ref="AI56:AI62" si="4">AH56</f>
        <v>0</v>
      </c>
      <c r="AJ56" s="118"/>
      <c r="AK56" s="284"/>
      <c r="AL56" s="117"/>
      <c r="AM56" s="94">
        <f t="shared" ref="AM56:AM62" si="5">AL56</f>
        <v>0</v>
      </c>
      <c r="AN56" s="118"/>
      <c r="AO56" s="284"/>
      <c r="AP56" s="117"/>
      <c r="AQ56" s="94">
        <f t="shared" ref="AQ56:AQ62" si="6">AP56</f>
        <v>0</v>
      </c>
      <c r="AR56" s="118"/>
      <c r="AS56" s="284"/>
      <c r="AT56" s="117"/>
      <c r="AU56" s="94">
        <f t="shared" ref="AU56:AU61" si="7">AT56</f>
        <v>0</v>
      </c>
      <c r="AV56" s="118"/>
      <c r="AW56" s="284"/>
    </row>
    <row r="57" spans="1:49" hidden="1" outlineLevel="1" x14ac:dyDescent="0.3">
      <c r="A57" s="15">
        <v>28300551</v>
      </c>
      <c r="B57" s="15" t="s">
        <v>481</v>
      </c>
      <c r="C57" s="24" t="s">
        <v>480</v>
      </c>
      <c r="D57" s="24" t="s">
        <v>412</v>
      </c>
      <c r="E57" s="24" t="s">
        <v>215</v>
      </c>
      <c r="F57" s="117">
        <v>-427833.33333333331</v>
      </c>
      <c r="G57" s="94">
        <f>F57</f>
        <v>-427833.33333333331</v>
      </c>
      <c r="H57" s="118"/>
      <c r="I57" s="35"/>
      <c r="J57" s="117">
        <v>-449333.33333333331</v>
      </c>
      <c r="K57" s="94">
        <f>J57</f>
        <v>-449333.33333333331</v>
      </c>
      <c r="L57" s="118"/>
      <c r="M57" s="35"/>
      <c r="N57" s="117">
        <v>-256080.125</v>
      </c>
      <c r="O57" s="94">
        <f>N57</f>
        <v>-256080.125</v>
      </c>
      <c r="P57" s="118"/>
      <c r="Q57" s="35"/>
      <c r="R57" s="117">
        <v>-67120.708333333328</v>
      </c>
      <c r="S57" s="94">
        <f t="shared" si="0"/>
        <v>-67120.708333333328</v>
      </c>
      <c r="T57" s="118"/>
      <c r="U57" s="284"/>
      <c r="V57" s="117"/>
      <c r="W57" s="94">
        <f t="shared" si="1"/>
        <v>0</v>
      </c>
      <c r="X57" s="118"/>
      <c r="Y57" s="284"/>
      <c r="Z57" s="117"/>
      <c r="AA57" s="94">
        <f t="shared" si="2"/>
        <v>0</v>
      </c>
      <c r="AB57" s="118"/>
      <c r="AC57" s="284"/>
      <c r="AD57" s="117"/>
      <c r="AE57" s="94">
        <f t="shared" si="3"/>
        <v>0</v>
      </c>
      <c r="AF57" s="118"/>
      <c r="AH57" s="117"/>
      <c r="AI57" s="94">
        <f t="shared" si="4"/>
        <v>0</v>
      </c>
      <c r="AJ57" s="118"/>
      <c r="AK57" s="284"/>
      <c r="AL57" s="117"/>
      <c r="AM57" s="94">
        <f t="shared" si="5"/>
        <v>0</v>
      </c>
      <c r="AN57" s="118"/>
      <c r="AO57" s="284"/>
      <c r="AP57" s="117"/>
      <c r="AQ57" s="94">
        <f t="shared" si="6"/>
        <v>0</v>
      </c>
      <c r="AR57" s="118"/>
      <c r="AS57" s="284"/>
      <c r="AT57" s="117"/>
      <c r="AU57" s="94">
        <f t="shared" si="7"/>
        <v>0</v>
      </c>
      <c r="AV57" s="118"/>
      <c r="AW57" s="284"/>
    </row>
    <row r="58" spans="1:49" hidden="1" outlineLevel="1" x14ac:dyDescent="0.3">
      <c r="A58" s="15">
        <v>28300561</v>
      </c>
      <c r="B58" s="15" t="s">
        <v>482</v>
      </c>
      <c r="C58" s="24" t="s">
        <v>483</v>
      </c>
      <c r="D58" s="24" t="s">
        <v>412</v>
      </c>
      <c r="E58" s="24" t="s">
        <v>215</v>
      </c>
      <c r="F58" s="117"/>
      <c r="G58" s="94"/>
      <c r="H58" s="118"/>
      <c r="I58" s="35"/>
      <c r="J58" s="117"/>
      <c r="K58" s="94"/>
      <c r="L58" s="118"/>
      <c r="M58" s="35"/>
      <c r="N58" s="117"/>
      <c r="O58" s="94"/>
      <c r="P58" s="118"/>
      <c r="Q58" s="35"/>
      <c r="R58" s="117">
        <v>-17305286.333333332</v>
      </c>
      <c r="S58" s="94">
        <f t="shared" si="0"/>
        <v>-17305286.333333332</v>
      </c>
      <c r="T58" s="118"/>
      <c r="U58" s="284"/>
      <c r="V58" s="117">
        <v>-17850717.159583334</v>
      </c>
      <c r="W58" s="94">
        <f t="shared" si="1"/>
        <v>-17850717.159583334</v>
      </c>
      <c r="X58" s="118"/>
      <c r="Y58" s="284"/>
      <c r="Z58" s="117">
        <v>-16927394.790416669</v>
      </c>
      <c r="AA58" s="94">
        <f t="shared" si="2"/>
        <v>-16927394.790416669</v>
      </c>
      <c r="AB58" s="118"/>
      <c r="AC58" s="284"/>
      <c r="AD58" s="117">
        <v>-16004071.200000001</v>
      </c>
      <c r="AE58" s="94">
        <f t="shared" si="3"/>
        <v>-16004071.200000001</v>
      </c>
      <c r="AF58" s="118"/>
      <c r="AH58" s="117">
        <v>-15080749.774166666</v>
      </c>
      <c r="AI58" s="94">
        <f t="shared" si="4"/>
        <v>-15080749.774166666</v>
      </c>
      <c r="AJ58" s="118"/>
      <c r="AK58" s="284"/>
      <c r="AL58" s="117">
        <v>-14157425.431666665</v>
      </c>
      <c r="AM58" s="94">
        <f t="shared" si="5"/>
        <v>-14157425.431666665</v>
      </c>
      <c r="AN58" s="118"/>
      <c r="AO58" s="284"/>
      <c r="AP58" s="117">
        <v>-13304635.125000002</v>
      </c>
      <c r="AQ58" s="94">
        <f t="shared" si="6"/>
        <v>-13304635.125000002</v>
      </c>
      <c r="AR58" s="118"/>
      <c r="AS58" s="284"/>
      <c r="AT58" s="117">
        <v>-12495445.210833333</v>
      </c>
      <c r="AU58" s="94">
        <f t="shared" si="7"/>
        <v>-12495445.210833333</v>
      </c>
      <c r="AV58" s="118"/>
      <c r="AW58" s="284"/>
    </row>
    <row r="59" spans="1:49" hidden="1" outlineLevel="1" x14ac:dyDescent="0.3">
      <c r="A59" s="290">
        <v>28300571</v>
      </c>
      <c r="B59" s="15" t="s">
        <v>484</v>
      </c>
      <c r="C59" s="24" t="s">
        <v>485</v>
      </c>
      <c r="D59" s="24" t="s">
        <v>412</v>
      </c>
      <c r="E59" s="24" t="s">
        <v>215</v>
      </c>
      <c r="F59" s="117">
        <v>-33875</v>
      </c>
      <c r="G59" s="94">
        <f>F59</f>
        <v>-33875</v>
      </c>
      <c r="H59" s="118"/>
      <c r="I59" s="35"/>
      <c r="J59" s="117">
        <v>-247208.33333333334</v>
      </c>
      <c r="K59" s="94">
        <f>J59</f>
        <v>-247208.33333333334</v>
      </c>
      <c r="L59" s="118"/>
      <c r="M59" s="35"/>
      <c r="N59" s="117">
        <v>0</v>
      </c>
      <c r="O59" s="94">
        <f t="shared" ref="O59:O68" si="8">N59</f>
        <v>0</v>
      </c>
      <c r="P59" s="118"/>
      <c r="Q59" s="35"/>
      <c r="R59" s="117">
        <v>0</v>
      </c>
      <c r="S59" s="94">
        <f t="shared" si="0"/>
        <v>0</v>
      </c>
      <c r="T59" s="118"/>
      <c r="U59" s="284"/>
      <c r="V59" s="117">
        <v>0</v>
      </c>
      <c r="W59" s="94">
        <f t="shared" si="1"/>
        <v>0</v>
      </c>
      <c r="X59" s="118"/>
      <c r="Y59" s="284"/>
      <c r="Z59" s="117">
        <v>0</v>
      </c>
      <c r="AA59" s="94">
        <f t="shared" si="2"/>
        <v>0</v>
      </c>
      <c r="AB59" s="118"/>
      <c r="AC59" s="284"/>
      <c r="AD59" s="117"/>
      <c r="AE59" s="94">
        <f t="shared" si="3"/>
        <v>0</v>
      </c>
      <c r="AF59" s="118"/>
      <c r="AH59" s="117"/>
      <c r="AI59" s="94">
        <f t="shared" si="4"/>
        <v>0</v>
      </c>
      <c r="AJ59" s="118"/>
      <c r="AK59" s="284"/>
      <c r="AL59" s="117"/>
      <c r="AM59" s="94">
        <f t="shared" si="5"/>
        <v>0</v>
      </c>
      <c r="AN59" s="118"/>
      <c r="AO59" s="284"/>
      <c r="AP59" s="117"/>
      <c r="AQ59" s="94">
        <f t="shared" si="6"/>
        <v>0</v>
      </c>
      <c r="AR59" s="118"/>
      <c r="AS59" s="284"/>
      <c r="AT59" s="117"/>
      <c r="AU59" s="94">
        <f t="shared" si="7"/>
        <v>0</v>
      </c>
      <c r="AV59" s="118"/>
      <c r="AW59" s="284"/>
    </row>
    <row r="60" spans="1:49" hidden="1" outlineLevel="1" x14ac:dyDescent="0.3">
      <c r="A60" s="290">
        <v>28300601</v>
      </c>
      <c r="B60" s="15" t="s">
        <v>486</v>
      </c>
      <c r="C60" s="24" t="s">
        <v>485</v>
      </c>
      <c r="D60" s="24" t="s">
        <v>412</v>
      </c>
      <c r="E60" s="24" t="s">
        <v>215</v>
      </c>
      <c r="F60" s="117"/>
      <c r="G60" s="94">
        <f>F60</f>
        <v>0</v>
      </c>
      <c r="H60" s="118"/>
      <c r="I60" s="35"/>
      <c r="J60" s="117">
        <v>1471666.6666666667</v>
      </c>
      <c r="K60" s="94">
        <f>J60</f>
        <v>1471666.6666666667</v>
      </c>
      <c r="L60" s="118"/>
      <c r="M60" s="35"/>
      <c r="N60" s="117">
        <v>1061750</v>
      </c>
      <c r="O60" s="94">
        <f t="shared" si="8"/>
        <v>1061750</v>
      </c>
      <c r="P60" s="118"/>
      <c r="Q60" s="35"/>
      <c r="R60" s="117">
        <v>0</v>
      </c>
      <c r="S60" s="94">
        <f t="shared" si="0"/>
        <v>0</v>
      </c>
      <c r="T60" s="118"/>
      <c r="U60" s="284"/>
      <c r="V60" s="117">
        <v>0</v>
      </c>
      <c r="W60" s="94">
        <f t="shared" si="1"/>
        <v>0</v>
      </c>
      <c r="X60" s="118"/>
      <c r="Y60" s="284"/>
      <c r="Z60" s="117">
        <v>0</v>
      </c>
      <c r="AA60" s="94">
        <f t="shared" si="2"/>
        <v>0</v>
      </c>
      <c r="AB60" s="118"/>
      <c r="AC60" s="284"/>
      <c r="AD60" s="117"/>
      <c r="AE60" s="94">
        <f t="shared" si="3"/>
        <v>0</v>
      </c>
      <c r="AF60" s="118"/>
      <c r="AH60" s="117"/>
      <c r="AI60" s="94">
        <f t="shared" si="4"/>
        <v>0</v>
      </c>
      <c r="AJ60" s="118"/>
      <c r="AK60" s="284"/>
      <c r="AL60" s="117"/>
      <c r="AM60" s="94">
        <f t="shared" si="5"/>
        <v>0</v>
      </c>
      <c r="AN60" s="118"/>
      <c r="AO60" s="284"/>
      <c r="AP60" s="117"/>
      <c r="AQ60" s="94">
        <f t="shared" si="6"/>
        <v>0</v>
      </c>
      <c r="AR60" s="118"/>
      <c r="AS60" s="284"/>
      <c r="AT60" s="117"/>
      <c r="AU60" s="94">
        <f t="shared" si="7"/>
        <v>0</v>
      </c>
      <c r="AV60" s="118"/>
      <c r="AW60" s="284"/>
    </row>
    <row r="61" spans="1:49" hidden="1" outlineLevel="1" x14ac:dyDescent="0.3">
      <c r="A61" s="290">
        <v>28300611</v>
      </c>
      <c r="B61" s="15" t="s">
        <v>487</v>
      </c>
      <c r="C61" s="24" t="s">
        <v>485</v>
      </c>
      <c r="D61" s="24" t="s">
        <v>412</v>
      </c>
      <c r="E61" s="24" t="s">
        <v>215</v>
      </c>
      <c r="F61" s="117"/>
      <c r="G61" s="94">
        <f>F61</f>
        <v>0</v>
      </c>
      <c r="H61" s="118"/>
      <c r="I61" s="35"/>
      <c r="J61" s="117">
        <v>-8032791.666666667</v>
      </c>
      <c r="K61" s="94">
        <f>J61</f>
        <v>-8032791.666666667</v>
      </c>
      <c r="L61" s="118"/>
      <c r="M61" s="35"/>
      <c r="N61" s="117">
        <v>-5474041.666666667</v>
      </c>
      <c r="O61" s="94">
        <f t="shared" si="8"/>
        <v>-5474041.666666667</v>
      </c>
      <c r="P61" s="118"/>
      <c r="Q61" s="35"/>
      <c r="R61" s="117">
        <v>0</v>
      </c>
      <c r="S61" s="94">
        <f t="shared" si="0"/>
        <v>0</v>
      </c>
      <c r="T61" s="118"/>
      <c r="U61" s="284"/>
      <c r="V61" s="117">
        <v>0</v>
      </c>
      <c r="W61" s="94">
        <f t="shared" si="1"/>
        <v>0</v>
      </c>
      <c r="X61" s="118"/>
      <c r="Y61" s="284"/>
      <c r="Z61" s="117">
        <v>0</v>
      </c>
      <c r="AA61" s="94">
        <f t="shared" si="2"/>
        <v>0</v>
      </c>
      <c r="AB61" s="118"/>
      <c r="AC61" s="284"/>
      <c r="AD61" s="117"/>
      <c r="AE61" s="94">
        <f t="shared" si="3"/>
        <v>0</v>
      </c>
      <c r="AF61" s="118"/>
      <c r="AH61" s="117"/>
      <c r="AI61" s="94">
        <f t="shared" si="4"/>
        <v>0</v>
      </c>
      <c r="AJ61" s="118"/>
      <c r="AK61" s="284"/>
      <c r="AL61" s="117"/>
      <c r="AM61" s="94">
        <f t="shared" si="5"/>
        <v>0</v>
      </c>
      <c r="AN61" s="118"/>
      <c r="AO61" s="284"/>
      <c r="AP61" s="117"/>
      <c r="AQ61" s="94">
        <f t="shared" si="6"/>
        <v>0</v>
      </c>
      <c r="AR61" s="118"/>
      <c r="AS61" s="284"/>
      <c r="AT61" s="117"/>
      <c r="AU61" s="94">
        <f t="shared" si="7"/>
        <v>0</v>
      </c>
      <c r="AV61" s="118"/>
      <c r="AW61" s="284"/>
    </row>
    <row r="62" spans="1:49" hidden="1" outlineLevel="1" x14ac:dyDescent="0.3">
      <c r="A62" s="290">
        <v>28300631</v>
      </c>
      <c r="B62" s="15" t="s">
        <v>488</v>
      </c>
      <c r="C62" s="24" t="s">
        <v>485</v>
      </c>
      <c r="D62" s="24" t="s">
        <v>412</v>
      </c>
      <c r="E62" s="24" t="s">
        <v>215</v>
      </c>
      <c r="F62" s="117"/>
      <c r="G62" s="94"/>
      <c r="H62" s="118"/>
      <c r="I62" s="35"/>
      <c r="J62" s="117">
        <v>7000</v>
      </c>
      <c r="K62" s="94">
        <f>J62</f>
        <v>7000</v>
      </c>
      <c r="L62" s="118"/>
      <c r="M62" s="35"/>
      <c r="N62" s="117">
        <v>0</v>
      </c>
      <c r="O62" s="94">
        <f t="shared" si="8"/>
        <v>0</v>
      </c>
      <c r="P62" s="118"/>
      <c r="Q62" s="35"/>
      <c r="R62" s="117">
        <v>0</v>
      </c>
      <c r="S62" s="94">
        <f t="shared" si="0"/>
        <v>0</v>
      </c>
      <c r="T62" s="118"/>
      <c r="U62" s="284"/>
      <c r="V62" s="117">
        <v>0</v>
      </c>
      <c r="W62" s="94">
        <f t="shared" si="1"/>
        <v>0</v>
      </c>
      <c r="X62" s="118"/>
      <c r="Y62" s="284"/>
      <c r="Z62" s="117">
        <v>0</v>
      </c>
      <c r="AA62" s="94">
        <f t="shared" si="2"/>
        <v>0</v>
      </c>
      <c r="AB62" s="118"/>
      <c r="AC62" s="284"/>
      <c r="AD62" s="117"/>
      <c r="AE62" s="94"/>
      <c r="AF62" s="118"/>
      <c r="AH62" s="117"/>
      <c r="AI62" s="94">
        <f t="shared" si="4"/>
        <v>0</v>
      </c>
      <c r="AJ62" s="118"/>
      <c r="AK62" s="284"/>
      <c r="AL62" s="117"/>
      <c r="AM62" s="94">
        <f t="shared" si="5"/>
        <v>0</v>
      </c>
      <c r="AN62" s="118"/>
      <c r="AO62" s="284"/>
      <c r="AP62" s="117"/>
      <c r="AQ62" s="94">
        <f t="shared" si="6"/>
        <v>0</v>
      </c>
      <c r="AR62" s="118"/>
      <c r="AS62" s="284"/>
      <c r="AT62" s="117"/>
      <c r="AU62" s="94"/>
      <c r="AV62" s="118"/>
      <c r="AW62" s="284"/>
    </row>
    <row r="63" spans="1:49" hidden="1" outlineLevel="1" x14ac:dyDescent="0.3">
      <c r="A63" s="290">
        <v>28300631</v>
      </c>
      <c r="B63" s="15" t="s">
        <v>488</v>
      </c>
      <c r="C63" s="24" t="s">
        <v>489</v>
      </c>
      <c r="D63" s="24" t="s">
        <v>412</v>
      </c>
      <c r="E63" s="24" t="s">
        <v>215</v>
      </c>
      <c r="F63" s="117"/>
      <c r="G63" s="94"/>
      <c r="H63" s="118"/>
      <c r="I63" s="35"/>
      <c r="J63" s="117"/>
      <c r="K63" s="94"/>
      <c r="L63" s="118"/>
      <c r="M63" s="35"/>
      <c r="N63" s="117">
        <v>79416.666666666672</v>
      </c>
      <c r="O63" s="94">
        <f t="shared" si="8"/>
        <v>79416.666666666672</v>
      </c>
      <c r="P63" s="118"/>
      <c r="Q63" s="35"/>
      <c r="R63" s="117">
        <v>0</v>
      </c>
      <c r="S63" s="94">
        <f t="shared" si="0"/>
        <v>0</v>
      </c>
      <c r="T63" s="118"/>
      <c r="U63" s="284"/>
      <c r="V63" s="117">
        <v>0</v>
      </c>
      <c r="W63" s="94">
        <f t="shared" si="1"/>
        <v>0</v>
      </c>
      <c r="X63" s="118"/>
      <c r="Y63" s="284"/>
      <c r="Z63" s="117"/>
      <c r="AA63" s="94"/>
      <c r="AB63" s="118"/>
      <c r="AC63" s="284"/>
      <c r="AD63" s="117"/>
      <c r="AE63" s="94"/>
      <c r="AF63" s="118"/>
      <c r="AH63" s="117"/>
      <c r="AI63" s="94"/>
      <c r="AJ63" s="118"/>
      <c r="AK63" s="284"/>
      <c r="AL63" s="117"/>
      <c r="AM63" s="94"/>
      <c r="AN63" s="118"/>
      <c r="AO63" s="284"/>
      <c r="AP63" s="117"/>
      <c r="AQ63" s="94"/>
      <c r="AR63" s="118"/>
      <c r="AS63" s="284"/>
      <c r="AT63" s="117"/>
      <c r="AU63" s="94"/>
      <c r="AV63" s="118"/>
      <c r="AW63" s="284"/>
    </row>
    <row r="64" spans="1:49" hidden="1" outlineLevel="1" x14ac:dyDescent="0.3">
      <c r="A64" s="290">
        <v>28300641</v>
      </c>
      <c r="B64" s="15" t="s">
        <v>490</v>
      </c>
      <c r="C64" s="24" t="s">
        <v>485</v>
      </c>
      <c r="D64" s="24" t="s">
        <v>412</v>
      </c>
      <c r="E64" s="24" t="s">
        <v>215</v>
      </c>
      <c r="F64" s="117"/>
      <c r="G64" s="94"/>
      <c r="H64" s="118"/>
      <c r="I64" s="35"/>
      <c r="J64" s="117">
        <v>-68625</v>
      </c>
      <c r="K64" s="94">
        <f>J64</f>
        <v>-68625</v>
      </c>
      <c r="L64" s="118"/>
      <c r="M64" s="35"/>
      <c r="N64" s="117">
        <v>0</v>
      </c>
      <c r="O64" s="94">
        <f t="shared" si="8"/>
        <v>0</v>
      </c>
      <c r="P64" s="118"/>
      <c r="Q64" s="35"/>
      <c r="R64" s="117">
        <v>0</v>
      </c>
      <c r="S64" s="94">
        <f t="shared" si="0"/>
        <v>0</v>
      </c>
      <c r="T64" s="118"/>
      <c r="U64" s="284"/>
      <c r="V64" s="117">
        <v>0</v>
      </c>
      <c r="W64" s="94">
        <f t="shared" si="1"/>
        <v>0</v>
      </c>
      <c r="X64" s="118"/>
      <c r="Y64" s="284"/>
      <c r="Z64" s="117">
        <v>0</v>
      </c>
      <c r="AA64" s="94">
        <f>Z64</f>
        <v>0</v>
      </c>
      <c r="AB64" s="118"/>
      <c r="AC64" s="284"/>
      <c r="AD64" s="117"/>
      <c r="AE64" s="94"/>
      <c r="AF64" s="118"/>
      <c r="AH64" s="117"/>
      <c r="AI64" s="94">
        <f>AH64</f>
        <v>0</v>
      </c>
      <c r="AJ64" s="118"/>
      <c r="AK64" s="284"/>
      <c r="AL64" s="117"/>
      <c r="AM64" s="94">
        <f>AL64</f>
        <v>0</v>
      </c>
      <c r="AN64" s="118"/>
      <c r="AO64" s="284"/>
      <c r="AP64" s="117"/>
      <c r="AQ64" s="94">
        <f>AP64</f>
        <v>0</v>
      </c>
      <c r="AR64" s="118"/>
      <c r="AS64" s="284"/>
      <c r="AT64" s="117"/>
      <c r="AU64" s="94"/>
      <c r="AV64" s="118"/>
      <c r="AW64" s="284"/>
    </row>
    <row r="65" spans="1:49" hidden="1" outlineLevel="1" x14ac:dyDescent="0.3">
      <c r="A65" s="290">
        <v>28300641</v>
      </c>
      <c r="B65" s="15" t="s">
        <v>490</v>
      </c>
      <c r="C65" s="24" t="s">
        <v>489</v>
      </c>
      <c r="D65" s="24" t="s">
        <v>412</v>
      </c>
      <c r="E65" s="24" t="s">
        <v>215</v>
      </c>
      <c r="F65" s="117"/>
      <c r="G65" s="94"/>
      <c r="H65" s="118"/>
      <c r="I65" s="35"/>
      <c r="J65" s="117"/>
      <c r="K65" s="94"/>
      <c r="L65" s="118"/>
      <c r="M65" s="35"/>
      <c r="N65" s="117">
        <v>-427125</v>
      </c>
      <c r="O65" s="94">
        <f t="shared" si="8"/>
        <v>-427125</v>
      </c>
      <c r="P65" s="118"/>
      <c r="Q65" s="35"/>
      <c r="R65" s="117">
        <v>0</v>
      </c>
      <c r="S65" s="94">
        <f t="shared" si="0"/>
        <v>0</v>
      </c>
      <c r="T65" s="118"/>
      <c r="U65" s="284"/>
      <c r="V65" s="117">
        <v>0</v>
      </c>
      <c r="W65" s="94">
        <f t="shared" si="1"/>
        <v>0</v>
      </c>
      <c r="X65" s="118"/>
      <c r="Y65" s="284"/>
      <c r="Z65" s="117"/>
      <c r="AA65" s="94"/>
      <c r="AB65" s="118"/>
      <c r="AC65" s="284"/>
      <c r="AD65" s="117"/>
      <c r="AE65" s="94"/>
      <c r="AF65" s="118"/>
      <c r="AH65" s="117"/>
      <c r="AI65" s="94"/>
      <c r="AJ65" s="118"/>
      <c r="AK65" s="284"/>
      <c r="AL65" s="117"/>
      <c r="AM65" s="94"/>
      <c r="AN65" s="118"/>
      <c r="AO65" s="284"/>
      <c r="AP65" s="117"/>
      <c r="AQ65" s="94"/>
      <c r="AR65" s="118"/>
      <c r="AS65" s="284"/>
      <c r="AT65" s="117"/>
      <c r="AU65" s="94"/>
      <c r="AV65" s="118"/>
      <c r="AW65" s="284"/>
    </row>
    <row r="66" spans="1:49" hidden="1" outlineLevel="1" x14ac:dyDescent="0.3">
      <c r="A66" s="290">
        <v>28300651</v>
      </c>
      <c r="B66" s="15" t="s">
        <v>491</v>
      </c>
      <c r="C66" s="24" t="s">
        <v>415</v>
      </c>
      <c r="D66" s="24" t="s">
        <v>412</v>
      </c>
      <c r="E66" s="24" t="s">
        <v>215</v>
      </c>
      <c r="F66" s="117"/>
      <c r="G66" s="94"/>
      <c r="H66" s="118"/>
      <c r="I66" s="35"/>
      <c r="J66" s="117">
        <v>-464916.66666666669</v>
      </c>
      <c r="K66" s="94">
        <f>J66</f>
        <v>-464916.66666666669</v>
      </c>
      <c r="L66" s="118"/>
      <c r="M66" s="35"/>
      <c r="N66" s="117">
        <v>-12226928.583333334</v>
      </c>
      <c r="O66" s="94">
        <f t="shared" si="8"/>
        <v>-12226928.583333334</v>
      </c>
      <c r="P66" s="118"/>
      <c r="Q66" s="35"/>
      <c r="R66" s="117">
        <v>-11061440.166666666</v>
      </c>
      <c r="S66" s="94">
        <f t="shared" si="0"/>
        <v>-11061440.166666666</v>
      </c>
      <c r="T66" s="118"/>
      <c r="U66" s="284"/>
      <c r="V66" s="117">
        <v>-10631619.385833332</v>
      </c>
      <c r="W66" s="94">
        <f t="shared" si="1"/>
        <v>-10631619.385833332</v>
      </c>
      <c r="X66" s="118"/>
      <c r="Y66" s="284"/>
      <c r="Z66" s="117">
        <v>-10122949.794583334</v>
      </c>
      <c r="AA66" s="94">
        <f>Z66</f>
        <v>-10122949.794583334</v>
      </c>
      <c r="AB66" s="118"/>
      <c r="AC66" s="284"/>
      <c r="AD66" s="117">
        <v>-9621450.1204166654</v>
      </c>
      <c r="AE66" s="94">
        <f>AD66</f>
        <v>-9621450.1204166654</v>
      </c>
      <c r="AF66" s="118"/>
      <c r="AH66" s="117">
        <v>-8902296.666666666</v>
      </c>
      <c r="AI66" s="94">
        <f>AH66</f>
        <v>-8902296.666666666</v>
      </c>
      <c r="AJ66" s="118"/>
      <c r="AK66" s="284"/>
      <c r="AL66" s="117">
        <v>-7820003.1566666672</v>
      </c>
      <c r="AM66" s="94">
        <f>AL66</f>
        <v>-7820003.1566666672</v>
      </c>
      <c r="AN66" s="118"/>
      <c r="AO66" s="284"/>
      <c r="AP66" s="117">
        <v>-7166075.8825000003</v>
      </c>
      <c r="AQ66" s="94">
        <f>AP66</f>
        <v>-7166075.8825000003</v>
      </c>
      <c r="AR66" s="118"/>
      <c r="AS66" s="284"/>
      <c r="AT66" s="117">
        <v>-6140522.9679166665</v>
      </c>
      <c r="AU66" s="94">
        <f>AT66</f>
        <v>-6140522.9679166665</v>
      </c>
      <c r="AV66" s="118"/>
      <c r="AW66" s="284"/>
    </row>
    <row r="67" spans="1:49" hidden="1" outlineLevel="1" x14ac:dyDescent="0.3">
      <c r="A67" s="290">
        <v>28300661</v>
      </c>
      <c r="B67" s="15" t="s">
        <v>492</v>
      </c>
      <c r="C67" s="24" t="s">
        <v>485</v>
      </c>
      <c r="D67" s="24" t="s">
        <v>412</v>
      </c>
      <c r="E67" s="24" t="s">
        <v>215</v>
      </c>
      <c r="F67" s="117"/>
      <c r="G67" s="94"/>
      <c r="H67" s="118"/>
      <c r="I67" s="35"/>
      <c r="J67" s="117"/>
      <c r="K67" s="94"/>
      <c r="L67" s="118"/>
      <c r="M67" s="35"/>
      <c r="N67" s="117">
        <v>-10403785.916666666</v>
      </c>
      <c r="O67" s="94">
        <f t="shared" si="8"/>
        <v>-10403785.916666666</v>
      </c>
      <c r="P67" s="118"/>
      <c r="Q67" s="35"/>
      <c r="R67" s="117">
        <v>-13826131.958333334</v>
      </c>
      <c r="S67" s="94">
        <f t="shared" si="0"/>
        <v>-13826131.958333334</v>
      </c>
      <c r="T67" s="118"/>
      <c r="U67" s="284"/>
      <c r="V67" s="117">
        <v>-12816365.93125</v>
      </c>
      <c r="W67" s="94">
        <f t="shared" si="1"/>
        <v>-12816365.93125</v>
      </c>
      <c r="X67" s="118"/>
      <c r="Y67" s="284"/>
      <c r="Z67" s="117">
        <v>-11806592.35</v>
      </c>
      <c r="AA67" s="94">
        <f>Z67</f>
        <v>-11806592.35</v>
      </c>
      <c r="AB67" s="118"/>
      <c r="AC67" s="284"/>
      <c r="AD67" s="117">
        <v>-10796824.15</v>
      </c>
      <c r="AE67" s="94">
        <f>AD67</f>
        <v>-10796824.15</v>
      </c>
      <c r="AF67" s="118"/>
      <c r="AH67" s="117">
        <v>-9787055.9500000011</v>
      </c>
      <c r="AI67" s="94">
        <f>AH67</f>
        <v>-9787055.9500000011</v>
      </c>
      <c r="AJ67" s="118"/>
      <c r="AK67" s="284"/>
      <c r="AL67" s="117">
        <v>-8777287.75</v>
      </c>
      <c r="AM67" s="94">
        <f>AL67</f>
        <v>-8777287.75</v>
      </c>
      <c r="AN67" s="118"/>
      <c r="AO67" s="284"/>
      <c r="AP67" s="117">
        <v>-7767519.5499999998</v>
      </c>
      <c r="AQ67" s="94">
        <f>AP67</f>
        <v>-7767519.5499999998</v>
      </c>
      <c r="AR67" s="118"/>
      <c r="AS67" s="284"/>
      <c r="AT67" s="117">
        <v>-6959704.9899999993</v>
      </c>
      <c r="AU67" s="94">
        <f>AT67</f>
        <v>-6959704.9899999993</v>
      </c>
      <c r="AV67" s="118"/>
      <c r="AW67" s="284"/>
    </row>
    <row r="68" spans="1:49" hidden="1" outlineLevel="1" x14ac:dyDescent="0.3">
      <c r="A68" s="290">
        <v>28300671</v>
      </c>
      <c r="B68" s="15" t="s">
        <v>493</v>
      </c>
      <c r="C68" s="24" t="s">
        <v>489</v>
      </c>
      <c r="D68" s="24" t="s">
        <v>412</v>
      </c>
      <c r="E68" s="24" t="s">
        <v>215</v>
      </c>
      <c r="F68" s="117"/>
      <c r="G68" s="94"/>
      <c r="H68" s="118"/>
      <c r="I68" s="35"/>
      <c r="J68" s="117"/>
      <c r="K68" s="94"/>
      <c r="L68" s="118"/>
      <c r="M68" s="35"/>
      <c r="N68" s="117">
        <v>-928707.95833333337</v>
      </c>
      <c r="O68" s="94">
        <f t="shared" si="8"/>
        <v>-928707.95833333337</v>
      </c>
      <c r="P68" s="118"/>
      <c r="Q68" s="35"/>
      <c r="R68" s="117">
        <v>-452099.75</v>
      </c>
      <c r="S68" s="94">
        <f t="shared" si="0"/>
        <v>-452099.75</v>
      </c>
      <c r="T68" s="118"/>
      <c r="U68" s="284"/>
      <c r="V68" s="117">
        <v>3.5416666666666665</v>
      </c>
      <c r="W68" s="94">
        <f t="shared" si="1"/>
        <v>3.5416666666666665</v>
      </c>
      <c r="X68" s="118"/>
      <c r="Y68" s="284"/>
      <c r="Z68" s="117"/>
      <c r="AA68" s="94"/>
      <c r="AB68" s="118"/>
      <c r="AC68" s="284"/>
      <c r="AD68" s="117"/>
      <c r="AE68" s="94"/>
      <c r="AF68" s="118"/>
      <c r="AH68" s="117"/>
      <c r="AI68" s="94"/>
      <c r="AJ68" s="118"/>
      <c r="AK68" s="284"/>
      <c r="AL68" s="117"/>
      <c r="AM68" s="94"/>
      <c r="AN68" s="118"/>
      <c r="AO68" s="284"/>
      <c r="AP68" s="117"/>
      <c r="AQ68" s="94"/>
      <c r="AR68" s="118"/>
      <c r="AS68" s="284"/>
      <c r="AT68" s="117"/>
      <c r="AU68" s="94"/>
      <c r="AV68" s="118"/>
      <c r="AW68" s="284"/>
    </row>
    <row r="69" spans="1:49" hidden="1" outlineLevel="1" x14ac:dyDescent="0.3">
      <c r="A69" s="290">
        <v>28300721</v>
      </c>
      <c r="B69" s="15" t="s">
        <v>494</v>
      </c>
      <c r="C69" s="24" t="s">
        <v>465</v>
      </c>
      <c r="D69" s="24" t="s">
        <v>412</v>
      </c>
      <c r="E69" s="24" t="s">
        <v>215</v>
      </c>
      <c r="F69" s="117"/>
      <c r="G69" s="94"/>
      <c r="H69" s="118"/>
      <c r="I69" s="35"/>
      <c r="J69" s="117"/>
      <c r="K69" s="94"/>
      <c r="L69" s="118"/>
      <c r="M69" s="35"/>
      <c r="N69" s="117"/>
      <c r="O69" s="94"/>
      <c r="P69" s="118"/>
      <c r="Q69" s="35"/>
      <c r="R69" s="117"/>
      <c r="S69" s="94"/>
      <c r="T69" s="118"/>
      <c r="U69" s="284"/>
      <c r="V69" s="117">
        <v>-3124811.2174999998</v>
      </c>
      <c r="W69" s="94">
        <f t="shared" si="1"/>
        <v>-3124811.2174999998</v>
      </c>
      <c r="X69" s="118"/>
      <c r="Y69" s="284"/>
      <c r="Z69" s="117">
        <v>-4471582.7199999997</v>
      </c>
      <c r="AA69" s="94">
        <f>Z69</f>
        <v>-4471582.7199999997</v>
      </c>
      <c r="AB69" s="118"/>
      <c r="AC69" s="284"/>
      <c r="AD69" s="117">
        <v>-2887067.561666667</v>
      </c>
      <c r="AE69" s="94">
        <f>AD69</f>
        <v>-2887067.561666667</v>
      </c>
      <c r="AF69" s="118"/>
      <c r="AH69" s="117">
        <v>-1312390.32</v>
      </c>
      <c r="AI69" s="94">
        <f>AH69</f>
        <v>-1312390.32</v>
      </c>
      <c r="AJ69" s="118"/>
      <c r="AK69" s="284"/>
      <c r="AL69" s="117">
        <v>-87491.634999999995</v>
      </c>
      <c r="AM69" s="94">
        <f>AL69</f>
        <v>-87491.634999999995</v>
      </c>
      <c r="AN69" s="118"/>
      <c r="AO69" s="284"/>
      <c r="AP69" s="117"/>
      <c r="AQ69" s="94">
        <f>AP69</f>
        <v>0</v>
      </c>
      <c r="AR69" s="118"/>
      <c r="AS69" s="284"/>
      <c r="AT69" s="117"/>
      <c r="AU69" s="94"/>
      <c r="AV69" s="118"/>
      <c r="AW69" s="284"/>
    </row>
    <row r="70" spans="1:49" hidden="1" outlineLevel="1" x14ac:dyDescent="0.3">
      <c r="A70" s="290">
        <v>28300731</v>
      </c>
      <c r="B70" s="15" t="s">
        <v>495</v>
      </c>
      <c r="C70" s="24" t="s">
        <v>432</v>
      </c>
      <c r="D70" s="24" t="s">
        <v>412</v>
      </c>
      <c r="E70" s="24" t="s">
        <v>215</v>
      </c>
      <c r="F70" s="117"/>
      <c r="G70" s="94"/>
      <c r="H70" s="118"/>
      <c r="I70" s="35"/>
      <c r="J70" s="117"/>
      <c r="K70" s="94"/>
      <c r="L70" s="118"/>
      <c r="M70" s="35"/>
      <c r="N70" s="117"/>
      <c r="O70" s="94"/>
      <c r="P70" s="118"/>
      <c r="Q70" s="35"/>
      <c r="R70" s="117"/>
      <c r="S70" s="94"/>
      <c r="T70" s="118"/>
      <c r="U70" s="284"/>
      <c r="V70" s="117"/>
      <c r="W70" s="94"/>
      <c r="X70" s="118"/>
      <c r="Y70" s="284"/>
      <c r="Z70" s="117">
        <v>-5656856.137083333</v>
      </c>
      <c r="AA70" s="94">
        <f>Z70</f>
        <v>-5656856.137083333</v>
      </c>
      <c r="AB70" s="118"/>
      <c r="AC70" s="284"/>
      <c r="AD70" s="117">
        <v>-8381488.1283333329</v>
      </c>
      <c r="AE70" s="94">
        <f>AD70</f>
        <v>-8381488.1283333329</v>
      </c>
      <c r="AF70" s="118"/>
      <c r="AH70" s="117">
        <v>-6855974.2199999997</v>
      </c>
      <c r="AI70" s="94">
        <f>AH70</f>
        <v>-6855974.2199999997</v>
      </c>
      <c r="AJ70" s="118"/>
      <c r="AK70" s="284"/>
      <c r="AL70" s="117">
        <v>-5273825.82</v>
      </c>
      <c r="AM70" s="94">
        <f>AL70</f>
        <v>-5273825.82</v>
      </c>
      <c r="AN70" s="118"/>
      <c r="AO70" s="284"/>
      <c r="AP70" s="117">
        <v>-3691677.42</v>
      </c>
      <c r="AQ70" s="94">
        <f>AP70</f>
        <v>-3691677.42</v>
      </c>
      <c r="AR70" s="118"/>
      <c r="AS70" s="284"/>
      <c r="AT70" s="117">
        <v>-2425958.7000000002</v>
      </c>
      <c r="AU70" s="94">
        <f>AT70</f>
        <v>-2425958.7000000002</v>
      </c>
      <c r="AV70" s="118"/>
      <c r="AW70" s="284"/>
    </row>
    <row r="71" spans="1:49" hidden="1" outlineLevel="1" x14ac:dyDescent="0.3">
      <c r="A71" s="290">
        <v>28300741</v>
      </c>
      <c r="B71" s="15" t="s">
        <v>496</v>
      </c>
      <c r="C71" s="24" t="s">
        <v>477</v>
      </c>
      <c r="D71" s="24" t="s">
        <v>412</v>
      </c>
      <c r="E71" s="24" t="s">
        <v>215</v>
      </c>
      <c r="F71" s="117"/>
      <c r="G71" s="94"/>
      <c r="H71" s="118"/>
      <c r="I71" s="35"/>
      <c r="J71" s="117"/>
      <c r="K71" s="94"/>
      <c r="L71" s="118"/>
      <c r="M71" s="35"/>
      <c r="N71" s="117"/>
      <c r="O71" s="94"/>
      <c r="P71" s="118"/>
      <c r="Q71" s="35"/>
      <c r="R71" s="117"/>
      <c r="S71" s="94"/>
      <c r="T71" s="118"/>
      <c r="U71" s="284"/>
      <c r="V71" s="117"/>
      <c r="W71" s="94"/>
      <c r="X71" s="118"/>
      <c r="Y71" s="284"/>
      <c r="Z71" s="117">
        <v>-330764.55041666667</v>
      </c>
      <c r="AA71" s="94">
        <f>Z71</f>
        <v>-330764.55041666667</v>
      </c>
      <c r="AB71" s="118"/>
      <c r="AC71" s="284"/>
      <c r="AD71" s="117">
        <v>-1000073.4762499998</v>
      </c>
      <c r="AE71" s="94">
        <f>AD71</f>
        <v>-1000073.4762499998</v>
      </c>
      <c r="AF71" s="118"/>
      <c r="AH71" s="117">
        <v>-785576.02</v>
      </c>
      <c r="AI71" s="94">
        <f>AH71</f>
        <v>-785576.02</v>
      </c>
      <c r="AJ71" s="118"/>
      <c r="AK71" s="284"/>
      <c r="AL71" s="117">
        <v>-549901.42000000004</v>
      </c>
      <c r="AM71" s="94">
        <f>AL71</f>
        <v>-549901.42000000004</v>
      </c>
      <c r="AN71" s="118"/>
      <c r="AO71" s="284"/>
      <c r="AP71" s="117">
        <v>-314226.82</v>
      </c>
      <c r="AQ71" s="94">
        <f>AP71</f>
        <v>-314226.82</v>
      </c>
      <c r="AR71" s="118"/>
      <c r="AS71" s="284"/>
      <c r="AT71" s="117">
        <v>-127651.84291666666</v>
      </c>
      <c r="AU71" s="94">
        <f>AT71</f>
        <v>-127651.84291666666</v>
      </c>
      <c r="AV71" s="118"/>
      <c r="AW71" s="284"/>
    </row>
    <row r="72" spans="1:49" hidden="1" outlineLevel="1" x14ac:dyDescent="0.3">
      <c r="A72" s="290">
        <v>28302061</v>
      </c>
      <c r="B72" s="15" t="s">
        <v>497</v>
      </c>
      <c r="C72" s="24" t="s">
        <v>480</v>
      </c>
      <c r="D72" s="24" t="s">
        <v>412</v>
      </c>
      <c r="E72" s="24" t="s">
        <v>215</v>
      </c>
      <c r="F72" s="117"/>
      <c r="G72" s="94"/>
      <c r="H72" s="118"/>
      <c r="I72" s="35"/>
      <c r="J72" s="117"/>
      <c r="K72" s="94"/>
      <c r="L72" s="118"/>
      <c r="M72" s="35"/>
      <c r="N72" s="117"/>
      <c r="O72" s="94"/>
      <c r="P72" s="118"/>
      <c r="Q72" s="35"/>
      <c r="R72" s="117"/>
      <c r="S72" s="94"/>
      <c r="T72" s="118"/>
      <c r="U72" s="284"/>
      <c r="V72" s="117"/>
      <c r="W72" s="94"/>
      <c r="X72" s="118"/>
      <c r="Y72" s="284"/>
      <c r="Z72" s="117"/>
      <c r="AA72" s="94"/>
      <c r="AB72" s="118"/>
      <c r="AC72" s="284"/>
      <c r="AD72" s="117">
        <v>-204278.87083333335</v>
      </c>
      <c r="AE72" s="94">
        <f>AD72</f>
        <v>-204278.87083333335</v>
      </c>
      <c r="AF72" s="118"/>
      <c r="AH72" s="117">
        <v>-4318588.5550000006</v>
      </c>
      <c r="AI72" s="94">
        <f>AH72</f>
        <v>-4318588.5550000006</v>
      </c>
      <c r="AJ72" s="118"/>
      <c r="AK72" s="284"/>
      <c r="AL72" s="117">
        <v>-3105745.2400000016</v>
      </c>
      <c r="AM72" s="94">
        <f>AL72</f>
        <v>-3105745.2400000016</v>
      </c>
      <c r="AN72" s="118"/>
      <c r="AO72" s="284"/>
      <c r="AP72" s="117">
        <v>-1918720.2399999995</v>
      </c>
      <c r="AQ72" s="94">
        <f>AP72</f>
        <v>-1918720.2399999995</v>
      </c>
      <c r="AR72" s="118"/>
      <c r="AS72" s="284"/>
      <c r="AT72" s="117">
        <v>-923787.87875000015</v>
      </c>
      <c r="AU72" s="94">
        <f>AT72</f>
        <v>-923787.87875000015</v>
      </c>
      <c r="AV72" s="118"/>
      <c r="AW72" s="284"/>
    </row>
    <row r="73" spans="1:49" outlineLevel="1" x14ac:dyDescent="0.3">
      <c r="F73" s="291"/>
      <c r="G73" s="491"/>
      <c r="H73" s="293"/>
      <c r="J73" s="291"/>
      <c r="K73" s="491"/>
      <c r="L73" s="293"/>
      <c r="N73" s="291"/>
      <c r="O73" s="491"/>
      <c r="P73" s="293"/>
      <c r="R73" s="291"/>
      <c r="S73" s="491"/>
      <c r="T73" s="293"/>
      <c r="V73" s="291"/>
      <c r="W73" s="491"/>
      <c r="X73" s="293"/>
      <c r="Z73" s="291"/>
      <c r="AA73" s="491"/>
      <c r="AB73" s="293"/>
      <c r="AD73" s="291"/>
      <c r="AE73" s="491"/>
      <c r="AF73" s="293"/>
      <c r="AH73" s="291"/>
      <c r="AI73" s="491"/>
      <c r="AJ73" s="293"/>
      <c r="AL73" s="291"/>
      <c r="AM73" s="491"/>
      <c r="AN73" s="293"/>
      <c r="AP73" s="291"/>
      <c r="AQ73" s="491"/>
      <c r="AR73" s="293"/>
      <c r="AT73" s="291"/>
      <c r="AU73" s="491"/>
      <c r="AV73" s="293"/>
    </row>
    <row r="74" spans="1:49" ht="15" outlineLevel="1" thickBot="1" x14ac:dyDescent="0.35">
      <c r="F74" s="294">
        <f>SUM(F6:F73)</f>
        <v>-727619132.1316669</v>
      </c>
      <c r="G74" s="295">
        <f>SUM(G6:G73)</f>
        <v>-515196416.06378323</v>
      </c>
      <c r="H74" s="296">
        <f>SUM(H6:H73)</f>
        <v>-212422716.06788337</v>
      </c>
      <c r="I74" s="16"/>
      <c r="J74" s="294">
        <f>SUM(J6:J73)</f>
        <v>-859699397.96499991</v>
      </c>
      <c r="K74" s="295">
        <f>SUM(K6:K73)</f>
        <v>-602379391.21711242</v>
      </c>
      <c r="L74" s="296">
        <f>SUM(L6:L73)</f>
        <v>-257320006.74788749</v>
      </c>
      <c r="M74" s="16"/>
      <c r="N74" s="294">
        <f>SUM(N6:N73)</f>
        <v>-911654802.97791636</v>
      </c>
      <c r="O74" s="295">
        <f>SUM(O6:O73)</f>
        <v>-652224958.81892455</v>
      </c>
      <c r="P74" s="296">
        <f>SUM(P6:P73)</f>
        <v>-259429844.15899199</v>
      </c>
      <c r="Q74" s="16"/>
      <c r="R74" s="294">
        <f>SUM(R6:R73)</f>
        <v>-1069868392.9018403</v>
      </c>
      <c r="S74" s="295">
        <f>SUM(S6:S73)</f>
        <v>-772206072.90748167</v>
      </c>
      <c r="T74" s="296">
        <f>SUM(T6:T73)</f>
        <v>-298016915.52492213</v>
      </c>
      <c r="U74" s="174"/>
      <c r="V74" s="294">
        <f>SUM(V6:V73)</f>
        <v>-1263501846.4329166</v>
      </c>
      <c r="W74" s="295">
        <f>SUM(W6:W73)</f>
        <v>-922981767.96589363</v>
      </c>
      <c r="X74" s="296">
        <f>SUM(X6:X73)</f>
        <v>-340520078.46702307</v>
      </c>
      <c r="Y74" s="174"/>
      <c r="Z74" s="294">
        <f>SUM(Z6:Z73)</f>
        <v>-1423586365.165833</v>
      </c>
      <c r="AA74" s="295">
        <f>SUM(AA6:AA73)</f>
        <v>-1028589439.314997</v>
      </c>
      <c r="AB74" s="296">
        <f>SUM(AB6:AB73)</f>
        <v>-394996925.85083658</v>
      </c>
      <c r="AC74" s="174"/>
      <c r="AD74" s="294">
        <f>SUM(AD6:AD73)</f>
        <v>-1574172899.125</v>
      </c>
      <c r="AE74" s="295">
        <f>SUM(AE6:AE73)</f>
        <v>-1143495981.9477732</v>
      </c>
      <c r="AF74" s="296">
        <f>SUM(AF6:AF73)</f>
        <v>-430676917.17722696</v>
      </c>
      <c r="AH74" s="294">
        <f>SUM(AH6:AH73)</f>
        <v>-1660440057.07375</v>
      </c>
      <c r="AI74" s="295">
        <f>SUM(AI6:AI73)</f>
        <v>-1195542548.0282867</v>
      </c>
      <c r="AJ74" s="296">
        <f>SUM(AJ6:AJ73)</f>
        <v>-464897509.04546338</v>
      </c>
      <c r="AK74" s="174"/>
      <c r="AL74" s="294">
        <f>SUM(AL6:AL73)</f>
        <v>-1801939762.124167</v>
      </c>
      <c r="AM74" s="295">
        <f>SUM(AM6:AM73)</f>
        <v>-1284340815.7207193</v>
      </c>
      <c r="AN74" s="296">
        <f>SUM(AN6:AN73)</f>
        <v>-517598946.40344745</v>
      </c>
      <c r="AO74" s="174"/>
      <c r="AP74" s="294">
        <f>SUM(AP6:AP73)</f>
        <v>-1987593833.2483332</v>
      </c>
      <c r="AQ74" s="295">
        <f>SUM(AQ6:AQ73)</f>
        <v>-1408309927.3545785</v>
      </c>
      <c r="AR74" s="296">
        <f>SUM(AR6:AR73)</f>
        <v>-579283905.89375472</v>
      </c>
      <c r="AS74" s="174"/>
      <c r="AT74" s="294">
        <f>SUM(AT6:AT73)</f>
        <v>-2047716770.2745833</v>
      </c>
      <c r="AU74" s="295">
        <f>SUM(AU6:AU73)</f>
        <v>-1443684469.5857882</v>
      </c>
      <c r="AV74" s="296">
        <f>SUM(AV6:AV73)</f>
        <v>-604032300.68879509</v>
      </c>
      <c r="AW74" s="174"/>
    </row>
    <row r="75" spans="1:49" ht="12" customHeight="1" outlineLevel="1" thickTop="1" thickBot="1" x14ac:dyDescent="0.35">
      <c r="E75" s="297" t="s">
        <v>295</v>
      </c>
      <c r="F75" s="298"/>
      <c r="G75" s="299">
        <v>0</v>
      </c>
      <c r="H75" s="300">
        <v>6.788337230682373E-2</v>
      </c>
      <c r="I75" s="102"/>
      <c r="J75" s="298"/>
      <c r="K75" s="299">
        <v>0</v>
      </c>
      <c r="L75" s="300">
        <v>-0.25211250782012939</v>
      </c>
      <c r="M75" s="102"/>
      <c r="N75" s="298"/>
      <c r="O75" s="299">
        <v>0</v>
      </c>
      <c r="P75" s="300">
        <v>0.15899199247360229</v>
      </c>
      <c r="Q75" s="102"/>
      <c r="R75" s="298"/>
      <c r="S75" s="299">
        <v>0</v>
      </c>
      <c r="T75" s="300">
        <v>6.0692310333251953E-2</v>
      </c>
      <c r="U75" s="301"/>
      <c r="V75" s="298"/>
      <c r="W75" s="299">
        <v>0</v>
      </c>
      <c r="X75" s="300">
        <v>0.40503090620040894</v>
      </c>
      <c r="Y75" s="301"/>
      <c r="Z75" s="298"/>
      <c r="AA75" s="299">
        <v>0</v>
      </c>
      <c r="AB75" s="300">
        <v>0.16600197553634644</v>
      </c>
      <c r="AC75" s="301"/>
      <c r="AD75" s="298"/>
      <c r="AE75" s="299">
        <v>0</v>
      </c>
      <c r="AF75" s="300">
        <v>3.7489533424377441E-3</v>
      </c>
      <c r="AH75" s="298"/>
      <c r="AI75" s="299">
        <v>0</v>
      </c>
      <c r="AJ75" s="300">
        <v>0.36294209957122803</v>
      </c>
      <c r="AK75" s="301"/>
      <c r="AL75" s="298"/>
      <c r="AM75" s="299">
        <v>0</v>
      </c>
      <c r="AN75" s="300">
        <v>-0.19615280628204346</v>
      </c>
      <c r="AO75" s="301"/>
      <c r="AP75" s="298"/>
      <c r="AQ75" s="299">
        <v>0</v>
      </c>
      <c r="AR75" s="300">
        <v>0</v>
      </c>
      <c r="AS75" s="301"/>
      <c r="AT75" s="298"/>
      <c r="AU75" s="299">
        <v>4.093170166015625E-2</v>
      </c>
      <c r="AV75" s="300">
        <v>6.9849491119384766E-3</v>
      </c>
      <c r="AW75" s="301"/>
    </row>
    <row r="76" spans="1:49" ht="12" customHeight="1" outlineLevel="1" x14ac:dyDescent="0.3">
      <c r="E76" s="297"/>
      <c r="F76" s="302"/>
      <c r="G76" s="303"/>
      <c r="H76" s="303"/>
      <c r="I76" s="102"/>
      <c r="J76" s="302"/>
      <c r="K76" s="303"/>
      <c r="L76" s="303"/>
      <c r="M76" s="102"/>
      <c r="N76" s="302"/>
      <c r="O76" s="303"/>
      <c r="P76" s="303"/>
      <c r="Q76" s="102"/>
      <c r="R76" s="302"/>
      <c r="S76" s="303"/>
      <c r="T76" s="303"/>
      <c r="U76" s="301"/>
      <c r="V76" s="302"/>
      <c r="W76" s="303"/>
      <c r="X76" s="303"/>
      <c r="Y76" s="301"/>
      <c r="Z76" s="302"/>
      <c r="AA76" s="303"/>
      <c r="AB76" s="303"/>
      <c r="AC76" s="301"/>
      <c r="AD76" s="302"/>
      <c r="AE76" s="303"/>
      <c r="AF76" s="303"/>
      <c r="AH76" s="302"/>
      <c r="AI76" s="303"/>
      <c r="AJ76" s="303"/>
      <c r="AK76" s="301"/>
      <c r="AL76" s="302"/>
      <c r="AM76" s="303"/>
      <c r="AN76" s="303"/>
      <c r="AO76" s="301"/>
      <c r="AP76" s="302"/>
      <c r="AQ76" s="303"/>
      <c r="AR76" s="303"/>
      <c r="AS76" s="301"/>
      <c r="AT76" s="302"/>
      <c r="AU76" s="303"/>
      <c r="AV76" s="303"/>
      <c r="AW76" s="301"/>
    </row>
    <row r="77" spans="1:49" ht="12" customHeight="1" x14ac:dyDescent="0.3">
      <c r="B77" s="30" t="s">
        <v>0</v>
      </c>
      <c r="E77" s="297"/>
      <c r="F77" s="302"/>
      <c r="G77" s="303"/>
      <c r="H77" s="303"/>
      <c r="I77" s="102"/>
      <c r="J77" s="302"/>
      <c r="K77" s="303"/>
      <c r="L77" s="303"/>
      <c r="M77" s="102"/>
      <c r="N77" s="302"/>
      <c r="O77" s="303"/>
      <c r="P77" s="303"/>
      <c r="Q77" s="102"/>
      <c r="R77" s="302"/>
      <c r="S77" s="303"/>
      <c r="T77" s="303"/>
      <c r="U77" s="301"/>
      <c r="V77" s="302"/>
      <c r="W77" s="303"/>
      <c r="X77" s="303"/>
      <c r="Y77" s="301"/>
      <c r="Z77" s="302"/>
      <c r="AA77" s="303"/>
      <c r="AB77" s="303"/>
      <c r="AC77" s="301"/>
      <c r="AD77" s="302"/>
      <c r="AE77" s="303"/>
      <c r="AF77" s="303"/>
      <c r="AH77" s="302"/>
      <c r="AI77" s="303"/>
      <c r="AJ77" s="303"/>
      <c r="AK77" s="301"/>
      <c r="AL77" s="302"/>
      <c r="AM77" s="303"/>
      <c r="AN77" s="303"/>
      <c r="AO77" s="301"/>
      <c r="AP77" s="302"/>
      <c r="AQ77" s="303"/>
      <c r="AR77" s="303"/>
      <c r="AS77" s="301"/>
      <c r="AT77" s="302"/>
      <c r="AU77" s="303"/>
      <c r="AV77" s="303"/>
      <c r="AW77" s="301"/>
    </row>
    <row r="78" spans="1:49" x14ac:dyDescent="0.3">
      <c r="B78" s="15" t="s">
        <v>498</v>
      </c>
      <c r="F78" s="16">
        <f>SUMIF($D$6:$D$72,"Plant",F$6:F$72)</f>
        <v>-757251239.21166682</v>
      </c>
      <c r="G78" s="16">
        <f>SUMIF($D$6:$D$72,"Plant",G$6:G$72)</f>
        <v>-551306074.15662503</v>
      </c>
      <c r="H78" s="16">
        <f>SUMIF($D$6:$D$72,"Plant",H$6:H$72)</f>
        <v>-205945165.0550417</v>
      </c>
      <c r="J78" s="16">
        <f>SUMIF($D$6:$D$72,"Plant",J$6:J$72)</f>
        <v>-926338174.62583327</v>
      </c>
      <c r="K78" s="16">
        <f>SUMIF($D$6:$D$72,"Plant",K$6:K$72)</f>
        <v>-664946215.17857909</v>
      </c>
      <c r="L78" s="16">
        <f>SUMIF($D$6:$D$72,"Plant",L$6:L$72)</f>
        <v>-261391959.44725418</v>
      </c>
      <c r="N78" s="16">
        <f>SUMIF($D$6:$D$72,"Plant",N$6:N$72)</f>
        <v>-1011489299.069437</v>
      </c>
      <c r="O78" s="16">
        <f>SUMIF($D$6:$D$72,"Plant",O$6:O$72)</f>
        <v>-735064556.66285312</v>
      </c>
      <c r="P78" s="16">
        <f>SUMIF($D$6:$D$72,"Plant",P$6:P$72)</f>
        <v>-276424742.40658385</v>
      </c>
      <c r="R78" s="16">
        <f>SUMIF($D$6:$D$72,"Plant",R$6:R$72)</f>
        <v>-1206557355.4735069</v>
      </c>
      <c r="S78" s="16">
        <f>SUMIF($D$6:$D$72,"Plant",S$6:S$72)</f>
        <v>-867572261.25030184</v>
      </c>
      <c r="T78" s="16">
        <f>SUMIF($D$6:$D$72,"Plant",T$6:T$72)</f>
        <v>-338985094.22320497</v>
      </c>
      <c r="V78" s="16">
        <f>SUMIF($D$6:$D$72,"Plant",V$6:V$72)</f>
        <v>-1340030484.3687501</v>
      </c>
      <c r="W78" s="16">
        <f>SUMIF($D$6:$D$72,"Plant",W$6:W$72)</f>
        <v>-943834217.29418719</v>
      </c>
      <c r="X78" s="16">
        <f>SUMIF($D$6:$D$72,"Plant",X$6:X$72)</f>
        <v>-396196267.07456291</v>
      </c>
      <c r="Z78" s="16">
        <f>SUMIF($D$6:$D$72,"Plant",Z$6:Z$72)</f>
        <v>-1511077408.2941668</v>
      </c>
      <c r="AA78" s="16">
        <f>SUMIF($D$6:$D$72,"Plant",AA$6:AA$72)</f>
        <v>-1081989419.5529795</v>
      </c>
      <c r="AB78" s="16">
        <f>SUMIF($D$6:$D$72,"Plant",AB$6:AB$72)</f>
        <v>-429087988.74118733</v>
      </c>
      <c r="AD78" s="16">
        <f>SUMIF($D$6:$D$72,"Plant",AD$6:AD$72)</f>
        <v>-1653086175.1249998</v>
      </c>
      <c r="AE78" s="16">
        <f>SUMIF($D$6:$D$72,"Plant",AE$6:AE$72)</f>
        <v>-1187293230.9798069</v>
      </c>
      <c r="AF78" s="16">
        <f>SUMIF($D$6:$D$72,"Plant",AF$6:AF$72)</f>
        <v>-465792944.14519292</v>
      </c>
      <c r="AH78" s="16">
        <f>SUMIF($D$6:$D$72,"Plant",AH$6:AH$72)</f>
        <v>-1740848736.8966665</v>
      </c>
      <c r="AI78" s="16">
        <f>SUMIF($D$6:$D$72,"Plant",AI$6:AI$72)</f>
        <v>-1246564738.1331372</v>
      </c>
      <c r="AJ78" s="16">
        <f>SUMIF($D$6:$D$72,"Plant",AJ$6:AJ$72)</f>
        <v>-494283998.76352936</v>
      </c>
      <c r="AL78" s="16">
        <f>SUMIF($D$6:$D$72,"Plant",AL$6:AL$72)</f>
        <v>-1846995950.3600001</v>
      </c>
      <c r="AM78" s="16">
        <f>SUMIF($D$6:$D$72,"Plant",AM$6:AM$72)</f>
        <v>-1313627349.1037829</v>
      </c>
      <c r="AN78" s="16">
        <f>SUMIF($D$6:$D$72,"Plant",AN$6:AN$72)</f>
        <v>-533368601.25621724</v>
      </c>
      <c r="AP78" s="16">
        <f>SUMIF($D$6:$D$72,"Plant",AP$6:AP$72)</f>
        <v>-1970937705.1679168</v>
      </c>
      <c r="AQ78" s="16">
        <f>SUMIF($D$6:$D$72,"Plant",AQ$6:AQ$72)</f>
        <v>-1393851091.3815989</v>
      </c>
      <c r="AR78" s="16">
        <f>SUMIF($D$6:$D$72,"Plant",AR$6:AR$72)</f>
        <v>-577086613.78631783</v>
      </c>
      <c r="AT78" s="16">
        <f>SUMIF($D$6:$D$72,"Plant",AT$6:AT$72)</f>
        <v>-2018190411.3608332</v>
      </c>
      <c r="AU78" s="16">
        <f>SUMIF($D$6:$D$72,"Plant",AU$6:AU$72)</f>
        <v>-1417858076.2208116</v>
      </c>
      <c r="AV78" s="16">
        <f>SUMIF($D$6:$D$72,"Plant",AV$6:AV$72)</f>
        <v>-600332335.14002168</v>
      </c>
    </row>
    <row r="79" spans="1:49" x14ac:dyDescent="0.3">
      <c r="B79" s="15" t="s">
        <v>499</v>
      </c>
      <c r="F79" s="94">
        <f>SUMIF($D$6:$D$72,"Non-P",F$6:F$72)</f>
        <v>29632107.080000013</v>
      </c>
      <c r="G79" s="94">
        <f>SUMIF($D$6:$D$72,"Non-P",G$6:G$72)</f>
        <v>36109658.09284167</v>
      </c>
      <c r="H79" s="94">
        <f>SUMIF($D$6:$D$72,"Non-P",H$6:H$72)</f>
        <v>-6477551.0128416652</v>
      </c>
      <c r="J79" s="94">
        <f>SUMIF($D$6:$D$72,"Non-P",J$6:J$72)</f>
        <v>66638776.660833322</v>
      </c>
      <c r="K79" s="94">
        <f>SUMIF($D$6:$D$72,"Non-P",K$6:K$72)</f>
        <v>62566823.96146667</v>
      </c>
      <c r="L79" s="94">
        <f>SUMIF($D$6:$D$72,"Non-P",L$6:L$72)</f>
        <v>4071952.6993666664</v>
      </c>
      <c r="N79" s="94">
        <f>SUMIF($D$6:$D$72,"Non-P",N$6:N$72)</f>
        <v>99834496.091520578</v>
      </c>
      <c r="O79" s="94">
        <f>SUMIF($D$6:$D$72,"Non-P",O$6:O$72)</f>
        <v>82839597.84392865</v>
      </c>
      <c r="P79" s="94">
        <f>SUMIF($D$6:$D$72,"Non-P",P$6:P$72)</f>
        <v>16994898.247591894</v>
      </c>
      <c r="R79" s="94">
        <f>SUMIF($D$6:$D$72,"Non-P",R$6:R$72)</f>
        <v>136688962.5716666</v>
      </c>
      <c r="S79" s="94">
        <f>SUMIF($D$6:$D$72,"Non-P",S$6:S$72)</f>
        <v>95366188.342820331</v>
      </c>
      <c r="T79" s="94">
        <f>SUMIF($D$6:$D$72,"Non-P",T$6:T$72)</f>
        <v>40968178.698282845</v>
      </c>
      <c r="V79" s="94">
        <f>SUMIF($D$6:$D$72,"Non-P",V$6:V$72)</f>
        <v>76528637.93583332</v>
      </c>
      <c r="W79" s="94">
        <f>SUMIF($D$6:$D$72,"Non-P",W$6:W$72)</f>
        <v>20852449.328293558</v>
      </c>
      <c r="X79" s="94">
        <f>SUMIF($D$6:$D$72,"Non-P",X$6:X$72)</f>
        <v>55676188.60753978</v>
      </c>
      <c r="Z79" s="94">
        <f>SUMIF($D$6:$D$72,"Non-P",Z$6:Z$72)</f>
        <v>87491043.12833333</v>
      </c>
      <c r="AA79" s="94">
        <f>SUMIF($D$6:$D$72,"Non-P",AA$6:AA$72)</f>
        <v>53399980.237982541</v>
      </c>
      <c r="AB79" s="94">
        <f>SUMIF($D$6:$D$72,"Non-P",AB$6:AB$72)</f>
        <v>34091062.890350774</v>
      </c>
      <c r="AD79" s="94">
        <f>SUMIF($D$6:$D$72,"Non-P",AD$6:AD$72)</f>
        <v>78913275.99999997</v>
      </c>
      <c r="AE79" s="94">
        <f>SUMIF($D$6:$D$72,"Non-P",AE$6:AE$72)</f>
        <v>43797249.032034039</v>
      </c>
      <c r="AF79" s="94">
        <f>SUMIF($D$6:$D$72,"Non-P",AF$6:AF$72)</f>
        <v>35116026.967965946</v>
      </c>
      <c r="AH79" s="94">
        <f>SUMIF($D$6:$D$72,"Non-P",AH$6:AH$72)</f>
        <v>80408679.822916672</v>
      </c>
      <c r="AI79" s="94">
        <f>SUMIF($D$6:$D$72,"Non-P",AI$6:AI$72)</f>
        <v>51022190.104850657</v>
      </c>
      <c r="AJ79" s="94">
        <f>SUMIF($D$6:$D$72,"Non-P",AJ$6:AJ$72)</f>
        <v>29386489.718066007</v>
      </c>
      <c r="AL79" s="94">
        <f>SUMIF($D$6:$D$72,"Non-P",AL$6:AL$72)</f>
        <v>45056188.235833324</v>
      </c>
      <c r="AM79" s="94">
        <f>SUMIF($D$6:$D$72,"Non-P",AM$6:AM$72)</f>
        <v>29286533.38306354</v>
      </c>
      <c r="AN79" s="94">
        <f>SUMIF($D$6:$D$72,"Non-P",AN$6:AN$72)</f>
        <v>15769654.852769798</v>
      </c>
      <c r="AP79" s="94">
        <f>SUMIF($D$6:$D$72,"Non-P",AP$6:AP$72)</f>
        <v>-16656128.080416668</v>
      </c>
      <c r="AQ79" s="94">
        <f>SUMIF($D$6:$D$72,"Non-P",AQ$6:AQ$72)</f>
        <v>-14458835.972979773</v>
      </c>
      <c r="AR79" s="94">
        <f>SUMIF($D$6:$D$72,"Non-P",AR$6:AR$72)</f>
        <v>-2197292.107436893</v>
      </c>
      <c r="AT79" s="94">
        <f>SUMIF($D$6:$D$72,"Non-P",AT$6:AT$72)</f>
        <v>-29526358.913749997</v>
      </c>
      <c r="AU79" s="94">
        <f>SUMIF($D$6:$D$72,"Non-P",AU$6:AU$72)</f>
        <v>-25826393.364976622</v>
      </c>
      <c r="AV79" s="94">
        <f>SUMIF($D$6:$D$72,"Non-P",AV$6:AV$72)</f>
        <v>-3699965.5487733753</v>
      </c>
    </row>
    <row r="80" spans="1:49" ht="15" thickBot="1" x14ac:dyDescent="0.35">
      <c r="B80" s="15" t="s">
        <v>0</v>
      </c>
      <c r="F80" s="78">
        <f>SUM(F78:F79)</f>
        <v>-727619132.13166678</v>
      </c>
      <c r="G80" s="78">
        <f>SUM(G78:G79)</f>
        <v>-515196416.06378335</v>
      </c>
      <c r="H80" s="78">
        <f>SUM(H78:H79)</f>
        <v>-212422716.06788337</v>
      </c>
      <c r="J80" s="78">
        <f>SUM(J78:J79)</f>
        <v>-859699397.96499991</v>
      </c>
      <c r="K80" s="78">
        <f>SUM(K78:K79)</f>
        <v>-602379391.21711242</v>
      </c>
      <c r="L80" s="78">
        <f>SUM(L78:L79)</f>
        <v>-257320006.74788752</v>
      </c>
      <c r="N80" s="78">
        <f>SUM(N78:N79)</f>
        <v>-911654802.97791648</v>
      </c>
      <c r="O80" s="78">
        <f>SUM(O78:O79)</f>
        <v>-652224958.81892443</v>
      </c>
      <c r="P80" s="78">
        <f>SUM(P78:P79)</f>
        <v>-259429844.15899196</v>
      </c>
      <c r="R80" s="78">
        <f>SUM(R78:R79)</f>
        <v>-1069868392.9018403</v>
      </c>
      <c r="S80" s="78">
        <f>SUM(S78:S79)</f>
        <v>-772206072.90748155</v>
      </c>
      <c r="T80" s="78">
        <f>SUM(T78:T79)</f>
        <v>-298016915.52492213</v>
      </c>
      <c r="V80" s="78">
        <f>SUM(V78:V79)</f>
        <v>-1263501846.4329169</v>
      </c>
      <c r="W80" s="78">
        <f>SUM(W78:W79)</f>
        <v>-922981767.96589363</v>
      </c>
      <c r="X80" s="78">
        <f>SUM(X78:X79)</f>
        <v>-340520078.46702313</v>
      </c>
      <c r="Z80" s="78">
        <f>SUM(Z78:Z79)</f>
        <v>-1423586365.1658335</v>
      </c>
      <c r="AA80" s="78">
        <f>SUM(AA78:AA79)</f>
        <v>-1028589439.314997</v>
      </c>
      <c r="AB80" s="78">
        <f>SUM(AB78:AB79)</f>
        <v>-394996925.85083658</v>
      </c>
      <c r="AD80" s="78">
        <f>SUM(AD78:AD79)</f>
        <v>-1574172899.1249998</v>
      </c>
      <c r="AE80" s="78">
        <f>SUM(AE78:AE79)</f>
        <v>-1143495981.947773</v>
      </c>
      <c r="AF80" s="78">
        <f>SUM(AF78:AF79)</f>
        <v>-430676917.17722696</v>
      </c>
      <c r="AH80" s="78">
        <f>SUM(AH78:AH79)</f>
        <v>-1660440057.0737498</v>
      </c>
      <c r="AI80" s="78">
        <f>SUM(AI78:AI79)</f>
        <v>-1195542548.0282865</v>
      </c>
      <c r="AJ80" s="78">
        <f>SUM(AJ78:AJ79)</f>
        <v>-464897509.04546332</v>
      </c>
      <c r="AL80" s="78">
        <f>SUM(AL78:AL79)</f>
        <v>-1801939762.1241667</v>
      </c>
      <c r="AM80" s="78">
        <f>SUM(AM78:AM79)</f>
        <v>-1284340815.7207193</v>
      </c>
      <c r="AN80" s="78">
        <f>SUM(AN78:AN79)</f>
        <v>-517598946.40344745</v>
      </c>
      <c r="AP80" s="78">
        <f>SUM(AP78:AP79)</f>
        <v>-1987593833.2483335</v>
      </c>
      <c r="AQ80" s="78">
        <f>SUM(AQ78:AQ79)</f>
        <v>-1408309927.3545787</v>
      </c>
      <c r="AR80" s="78">
        <f>SUM(AR78:AR79)</f>
        <v>-579283905.89375472</v>
      </c>
      <c r="AT80" s="78">
        <f>SUM(AT78:AT79)</f>
        <v>-2047716770.2745831</v>
      </c>
      <c r="AU80" s="78">
        <f>SUM(AU78:AU79)</f>
        <v>-1443684469.5857882</v>
      </c>
      <c r="AV80" s="78">
        <f>SUM(AV78:AV79)</f>
        <v>-604032300.68879509</v>
      </c>
    </row>
    <row r="81" spans="2:49" ht="15" thickTop="1" x14ac:dyDescent="0.3"/>
    <row r="82" spans="2:49" x14ac:dyDescent="0.3">
      <c r="B82" s="15" t="s">
        <v>500</v>
      </c>
      <c r="F82" s="16">
        <f>SUM(G82:H82)</f>
        <v>-141027161.22271714</v>
      </c>
      <c r="G82" s="16">
        <f>-'Electric Bonus'!L25</f>
        <v>-70063115.165935382</v>
      </c>
      <c r="H82" s="16">
        <v>-70964046.056781754</v>
      </c>
      <c r="J82" s="16">
        <f>SUM(K82:L82)</f>
        <v>-183484160.02926093</v>
      </c>
      <c r="K82" s="16">
        <f>-'Electric Bonus'!L26</f>
        <v>-98995366.801704213</v>
      </c>
      <c r="L82" s="16">
        <v>-84488793.227556735</v>
      </c>
      <c r="N82" s="16">
        <f>SUM(O82:P82)</f>
        <v>-271707777.41790235</v>
      </c>
      <c r="O82" s="16">
        <f>-'Electric Bonus'!L27</f>
        <v>-158839145.56963152</v>
      </c>
      <c r="P82" s="16">
        <v>-112868631.84827085</v>
      </c>
      <c r="R82" s="16">
        <f>SUM(S82:T82)</f>
        <v>-360588258.39999998</v>
      </c>
      <c r="S82" s="16">
        <f>-'Electric Bonus'!L28</f>
        <v>-217834939.09152001</v>
      </c>
      <c r="T82" s="16">
        <v>-142753319.30847996</v>
      </c>
      <c r="V82" s="16">
        <f>SUM(W82:X82)</f>
        <v>-490041776.47500002</v>
      </c>
      <c r="W82" s="16">
        <f>-'Electric Bonus'!L29</f>
        <v>-324347727.01295251</v>
      </c>
      <c r="X82" s="16">
        <v>-165694049.46204752</v>
      </c>
      <c r="Z82" s="16">
        <f>SUM(AA82:AB82)</f>
        <v>-638380763.5999999</v>
      </c>
      <c r="AA82" s="16">
        <f>-'Electric Bonus'!L30</f>
        <v>-455232156.27068746</v>
      </c>
      <c r="AB82" s="16">
        <v>-183148607.3293125</v>
      </c>
      <c r="AD82" s="16">
        <f>SUM(AE82:AF82)</f>
        <v>-728723603.94999993</v>
      </c>
      <c r="AE82" s="16">
        <f>-'Electric Bonus'!L31</f>
        <v>-525442137.52377248</v>
      </c>
      <c r="AF82" s="16">
        <v>-203281466.42622748</v>
      </c>
      <c r="AH82" s="16">
        <f>SUM(AI82:AJ82)</f>
        <v>-776734637.82499993</v>
      </c>
      <c r="AI82" s="16">
        <f>-'Electric Bonus'!L32</f>
        <v>-557638327.30137742</v>
      </c>
      <c r="AJ82" s="16">
        <v>-219096310.52362248</v>
      </c>
      <c r="AL82" s="16">
        <f>SUM(AM82:AN82)</f>
        <v>-834501781.875</v>
      </c>
      <c r="AM82" s="16">
        <f>-'Electric Bonus'!L33</f>
        <v>-598268944.1226275</v>
      </c>
      <c r="AN82" s="16">
        <v>-236232837.7523725</v>
      </c>
      <c r="AP82" s="16">
        <f>SUM(AQ82:AR82)</f>
        <v>-932813670.7249999</v>
      </c>
      <c r="AQ82" s="16">
        <f>-'Electric Bonus'!L34</f>
        <v>-662944701.16708744</v>
      </c>
      <c r="AR82" s="16">
        <v>-269868969.55791247</v>
      </c>
      <c r="AT82" s="16">
        <f>SUM(AU82:AV82)</f>
        <v>-988221790.79999995</v>
      </c>
      <c r="AU82" s="16">
        <f>-'Electric Bonus'!L35</f>
        <v>-697735961.26644993</v>
      </c>
      <c r="AV82" s="16">
        <v>-290485829.53354996</v>
      </c>
    </row>
    <row r="84" spans="2:49" x14ac:dyDescent="0.3">
      <c r="B84" s="30" t="s">
        <v>501</v>
      </c>
    </row>
    <row r="85" spans="2:49" x14ac:dyDescent="0.3">
      <c r="B85" s="15" t="s">
        <v>498</v>
      </c>
      <c r="F85" s="16">
        <f>F78-F82</f>
        <v>-616224077.98894966</v>
      </c>
      <c r="G85" s="16">
        <f>G78-G82</f>
        <v>-481242958.99068964</v>
      </c>
      <c r="H85" s="16">
        <f>H78-H82</f>
        <v>-134981118.99825996</v>
      </c>
      <c r="J85" s="16">
        <f>J78-J82</f>
        <v>-742854014.5965724</v>
      </c>
      <c r="K85" s="16">
        <f>K78-K82</f>
        <v>-565950848.37687492</v>
      </c>
      <c r="L85" s="16">
        <f>L78-L82</f>
        <v>-176903166.21969745</v>
      </c>
      <c r="N85" s="16">
        <f>N78-N82</f>
        <v>-739781521.65153468</v>
      </c>
      <c r="O85" s="16">
        <f>O78-O82</f>
        <v>-576225411.09322166</v>
      </c>
      <c r="P85" s="16">
        <f>P78-P82</f>
        <v>-163556110.55831301</v>
      </c>
      <c r="R85" s="16">
        <f>R78-R82</f>
        <v>-845969097.07350695</v>
      </c>
      <c r="S85" s="16">
        <f>S78-S82</f>
        <v>-649737322.15878177</v>
      </c>
      <c r="T85" s="16">
        <f>T78-T82</f>
        <v>-196231774.91472501</v>
      </c>
      <c r="U85" s="15"/>
      <c r="V85" s="16">
        <f>V78-V82</f>
        <v>-849988707.89375007</v>
      </c>
      <c r="W85" s="16">
        <f>W78-W82</f>
        <v>-619486490.28123474</v>
      </c>
      <c r="X85" s="16">
        <f>X78-X82</f>
        <v>-230502217.61251539</v>
      </c>
      <c r="Y85" s="15"/>
      <c r="Z85" s="16">
        <f>Z78-Z82</f>
        <v>-872696644.6941669</v>
      </c>
      <c r="AA85" s="16">
        <f>AA78-AA82</f>
        <v>-626757263.28229201</v>
      </c>
      <c r="AB85" s="16">
        <f>AB78-AB82</f>
        <v>-245939381.41187483</v>
      </c>
      <c r="AC85" s="15"/>
      <c r="AD85" s="16">
        <f>AD78-AD82</f>
        <v>-924362571.17499983</v>
      </c>
      <c r="AE85" s="16">
        <f>AE78-AE82</f>
        <v>-661851093.45603442</v>
      </c>
      <c r="AF85" s="16">
        <f>AF78-AF82</f>
        <v>-262511477.71896544</v>
      </c>
      <c r="AH85" s="16">
        <f>AH78-AH82</f>
        <v>-964114099.0716666</v>
      </c>
      <c r="AI85" s="16">
        <f>AI78-AI82</f>
        <v>-688926410.83175981</v>
      </c>
      <c r="AJ85" s="16">
        <f>AJ78-AJ82</f>
        <v>-275187688.23990691</v>
      </c>
      <c r="AK85" s="15"/>
      <c r="AL85" s="16">
        <f>AL78-AL82</f>
        <v>-1012494168.4850001</v>
      </c>
      <c r="AM85" s="16">
        <f>AM78-AM82</f>
        <v>-715358404.9811554</v>
      </c>
      <c r="AN85" s="16">
        <f>AN78-AN82</f>
        <v>-297135763.50384474</v>
      </c>
      <c r="AO85" s="15"/>
      <c r="AP85" s="16">
        <f>AP78-AP82</f>
        <v>-1038124034.4429169</v>
      </c>
      <c r="AQ85" s="16">
        <f>AQ78-AQ82</f>
        <v>-730906390.21451151</v>
      </c>
      <c r="AR85" s="16">
        <f>AR78-AR82</f>
        <v>-307217644.22840536</v>
      </c>
      <c r="AS85" s="15"/>
      <c r="AT85" s="16">
        <f>AT78-AT82</f>
        <v>-1029968620.5608332</v>
      </c>
      <c r="AU85" s="16">
        <f>AU78-AU82</f>
        <v>-720122114.95436168</v>
      </c>
      <c r="AV85" s="16">
        <f>AV78-AV82</f>
        <v>-309846505.60647172</v>
      </c>
      <c r="AW85" s="15"/>
    </row>
    <row r="86" spans="2:49" x14ac:dyDescent="0.3">
      <c r="B86" s="15" t="s">
        <v>499</v>
      </c>
      <c r="F86" s="35">
        <f>F79</f>
        <v>29632107.080000013</v>
      </c>
      <c r="G86" s="35">
        <f>G79</f>
        <v>36109658.09284167</v>
      </c>
      <c r="H86" s="35">
        <f>H79</f>
        <v>-6477551.0128416652</v>
      </c>
      <c r="J86" s="35">
        <f>J79</f>
        <v>66638776.660833322</v>
      </c>
      <c r="K86" s="35">
        <f>K79</f>
        <v>62566823.96146667</v>
      </c>
      <c r="L86" s="35">
        <f>L79</f>
        <v>4071952.6993666664</v>
      </c>
      <c r="N86" s="35">
        <f>N79</f>
        <v>99834496.091520578</v>
      </c>
      <c r="O86" s="35">
        <f>O79</f>
        <v>82839597.84392865</v>
      </c>
      <c r="P86" s="35">
        <f>P79</f>
        <v>16994898.247591894</v>
      </c>
      <c r="R86" s="35">
        <f>R79</f>
        <v>136688962.5716666</v>
      </c>
      <c r="S86" s="35">
        <f>S79</f>
        <v>95366188.342820331</v>
      </c>
      <c r="T86" s="35">
        <f>T79</f>
        <v>40968178.698282845</v>
      </c>
      <c r="U86" s="15"/>
      <c r="V86" s="35">
        <f>V79</f>
        <v>76528637.93583332</v>
      </c>
      <c r="W86" s="35">
        <f>W79</f>
        <v>20852449.328293558</v>
      </c>
      <c r="X86" s="35">
        <f>X79</f>
        <v>55676188.60753978</v>
      </c>
      <c r="Y86" s="15"/>
      <c r="Z86" s="35">
        <f>Z79</f>
        <v>87491043.12833333</v>
      </c>
      <c r="AA86" s="35">
        <f>AA79</f>
        <v>53399980.237982541</v>
      </c>
      <c r="AB86" s="35">
        <f>AB79</f>
        <v>34091062.890350774</v>
      </c>
      <c r="AC86" s="15"/>
      <c r="AD86" s="35">
        <f>AD79</f>
        <v>78913275.99999997</v>
      </c>
      <c r="AE86" s="35">
        <f>AE79</f>
        <v>43797249.032034039</v>
      </c>
      <c r="AF86" s="35">
        <f>AF79</f>
        <v>35116026.967965946</v>
      </c>
      <c r="AH86" s="35">
        <f>AH79</f>
        <v>80408679.822916672</v>
      </c>
      <c r="AI86" s="35">
        <f>AI79</f>
        <v>51022190.104850657</v>
      </c>
      <c r="AJ86" s="35">
        <f>AJ79</f>
        <v>29386489.718066007</v>
      </c>
      <c r="AK86" s="15"/>
      <c r="AL86" s="35">
        <f>AL79</f>
        <v>45056188.235833324</v>
      </c>
      <c r="AM86" s="35">
        <f>AM79</f>
        <v>29286533.38306354</v>
      </c>
      <c r="AN86" s="35">
        <f>AN79</f>
        <v>15769654.852769798</v>
      </c>
      <c r="AO86" s="15"/>
      <c r="AP86" s="35">
        <f>AP79</f>
        <v>-16656128.080416668</v>
      </c>
      <c r="AQ86" s="35">
        <f>AQ79</f>
        <v>-14458835.972979773</v>
      </c>
      <c r="AR86" s="35">
        <f>AR79</f>
        <v>-2197292.107436893</v>
      </c>
      <c r="AS86" s="15"/>
      <c r="AT86" s="35">
        <f>AT79</f>
        <v>-29526358.913749997</v>
      </c>
      <c r="AU86" s="35">
        <f>AU79</f>
        <v>-25826393.364976622</v>
      </c>
      <c r="AV86" s="35">
        <f>AV79</f>
        <v>-3699965.5487733753</v>
      </c>
      <c r="AW86" s="15"/>
    </row>
    <row r="87" spans="2:49" ht="15" thickBot="1" x14ac:dyDescent="0.35">
      <c r="B87" s="15" t="s">
        <v>0</v>
      </c>
      <c r="F87" s="78">
        <f>SUM(F85:F86)</f>
        <v>-586591970.90894961</v>
      </c>
      <c r="G87" s="78">
        <f>SUM(G85:G86)</f>
        <v>-445133300.89784795</v>
      </c>
      <c r="H87" s="78">
        <f>SUM(H85:H86)</f>
        <v>-141458670.01110163</v>
      </c>
      <c r="J87" s="78">
        <f>SUM(J85:J86)</f>
        <v>-676215237.93573904</v>
      </c>
      <c r="K87" s="78">
        <f>SUM(K85:K86)</f>
        <v>-503384024.41540825</v>
      </c>
      <c r="L87" s="78">
        <f>SUM(L85:L86)</f>
        <v>-172831213.52033079</v>
      </c>
      <c r="N87" s="78">
        <f>SUM(N85:N86)</f>
        <v>-639947025.56001413</v>
      </c>
      <c r="O87" s="78">
        <f>SUM(O85:O86)</f>
        <v>-493385813.24929303</v>
      </c>
      <c r="P87" s="78">
        <f>SUM(P85:P86)</f>
        <v>-146561212.31072113</v>
      </c>
      <c r="R87" s="78">
        <f>SUM(R85:R86)</f>
        <v>-709280134.50184035</v>
      </c>
      <c r="S87" s="78">
        <f>SUM(S85:S86)</f>
        <v>-554371133.81596148</v>
      </c>
      <c r="T87" s="78">
        <f>SUM(T85:T86)</f>
        <v>-155263596.21644217</v>
      </c>
      <c r="U87" s="15"/>
      <c r="V87" s="78">
        <f>SUM(V85:V86)</f>
        <v>-773460069.95791674</v>
      </c>
      <c r="W87" s="78">
        <f>SUM(W85:W86)</f>
        <v>-598634040.95294118</v>
      </c>
      <c r="X87" s="78">
        <f>SUM(X85:X86)</f>
        <v>-174826029.00497562</v>
      </c>
      <c r="Y87" s="15"/>
      <c r="Z87" s="78">
        <f>SUM(Z85:Z86)</f>
        <v>-785205601.56583357</v>
      </c>
      <c r="AA87" s="78">
        <f>SUM(AA85:AA86)</f>
        <v>-573357283.0443095</v>
      </c>
      <c r="AB87" s="78">
        <f>SUM(AB85:AB86)</f>
        <v>-211848318.52152407</v>
      </c>
      <c r="AC87" s="15"/>
      <c r="AD87" s="78">
        <f>SUM(AD85:AD86)</f>
        <v>-845449295.17499983</v>
      </c>
      <c r="AE87" s="78">
        <f>SUM(AE85:AE86)</f>
        <v>-618053844.42400038</v>
      </c>
      <c r="AF87" s="78">
        <f>SUM(AF85:AF86)</f>
        <v>-227395450.75099951</v>
      </c>
      <c r="AH87" s="78">
        <f>SUM(AH85:AH86)</f>
        <v>-883705419.24874997</v>
      </c>
      <c r="AI87" s="78">
        <f>SUM(AI85:AI86)</f>
        <v>-637904220.72690916</v>
      </c>
      <c r="AJ87" s="78">
        <f>SUM(AJ85:AJ86)</f>
        <v>-245801198.5218409</v>
      </c>
      <c r="AK87" s="15"/>
      <c r="AL87" s="78">
        <f>SUM(AL85:AL86)</f>
        <v>-967437980.24916685</v>
      </c>
      <c r="AM87" s="78">
        <f>SUM(AM85:AM86)</f>
        <v>-686071871.59809184</v>
      </c>
      <c r="AN87" s="78">
        <f>SUM(AN85:AN86)</f>
        <v>-281366108.65107495</v>
      </c>
      <c r="AO87" s="15"/>
      <c r="AP87" s="78">
        <f>SUM(AP85:AP86)</f>
        <v>-1054780162.5233335</v>
      </c>
      <c r="AQ87" s="78">
        <f>SUM(AQ85:AQ86)</f>
        <v>-745365226.1874913</v>
      </c>
      <c r="AR87" s="78">
        <f>SUM(AR85:AR86)</f>
        <v>-309414936.33584225</v>
      </c>
      <c r="AS87" s="15"/>
      <c r="AT87" s="78">
        <f>SUM(AT85:AT86)</f>
        <v>-1059494979.4745833</v>
      </c>
      <c r="AU87" s="78">
        <f>SUM(AU85:AU86)</f>
        <v>-745948508.31933832</v>
      </c>
      <c r="AV87" s="78">
        <f>SUM(AV85:AV86)</f>
        <v>-313546471.15524507</v>
      </c>
      <c r="AW87" s="15"/>
    </row>
    <row r="88" spans="2:49" ht="15" thickTop="1" x14ac:dyDescent="0.3"/>
    <row r="89" spans="2:49" x14ac:dyDescent="0.3">
      <c r="B89" s="30" t="s">
        <v>625</v>
      </c>
    </row>
    <row r="90" spans="2:49" x14ac:dyDescent="0.3">
      <c r="B90" s="197" t="s">
        <v>64</v>
      </c>
      <c r="F90" s="16">
        <f>SUM(G90:H90)</f>
        <v>-184521198.94675717</v>
      </c>
      <c r="G90" s="16">
        <f>G$78*El_ADIT_w_wo_bonus!$C$49</f>
        <v>-184521198.94675717</v>
      </c>
      <c r="H90" s="16">
        <v>0</v>
      </c>
      <c r="J90" s="16">
        <f>SUM(K90:L90)</f>
        <v>-222254968.03434882</v>
      </c>
      <c r="K90" s="16">
        <f>K$78*El_ADIT_w_wo_bonus!$C$50</f>
        <v>-222254968.03434882</v>
      </c>
      <c r="L90" s="16">
        <v>0</v>
      </c>
      <c r="N90" s="16">
        <f>SUM(O90:P90)</f>
        <v>-243930618.50945505</v>
      </c>
      <c r="O90" s="16">
        <f>O$78*El_ADIT_w_wo_bonus!$C$51</f>
        <v>-243930618.50945505</v>
      </c>
      <c r="P90" s="16">
        <v>0</v>
      </c>
      <c r="R90" s="16">
        <f>SUM(S90:T90)</f>
        <v>-296236508.08794582</v>
      </c>
      <c r="S90" s="16">
        <f>S$78*El_ADIT_w_wo_bonus!$C$52</f>
        <v>-296236508.08794582</v>
      </c>
      <c r="T90" s="16">
        <v>0</v>
      </c>
      <c r="V90" s="16">
        <f>SUM(W90:X90)</f>
        <v>-361804820.14145899</v>
      </c>
      <c r="W90" s="16">
        <f>W$78*El_ADIT_w_wo_bonus!$C$53</f>
        <v>-361804820.14145899</v>
      </c>
      <c r="X90" s="16">
        <v>0</v>
      </c>
      <c r="Z90" s="16">
        <f>SUM(AA90:AB90)</f>
        <v>-457247763.57253456</v>
      </c>
      <c r="AA90" s="16">
        <f>AA$78*El_ADIT_w_wo_bonus!$C$54</f>
        <v>-457247763.57253456</v>
      </c>
      <c r="AB90" s="16">
        <v>0</v>
      </c>
      <c r="AD90" s="16">
        <f>SUM(AE90:AF90)</f>
        <v>-511556002.30459046</v>
      </c>
      <c r="AE90" s="16">
        <f>AE$78*El_ADIT_w_wo_bonus!$C$55</f>
        <v>-511556002.30459046</v>
      </c>
      <c r="AF90" s="16">
        <v>0</v>
      </c>
      <c r="AH90" s="16">
        <f>SUM(AI90:AJ90)</f>
        <v>-515501599.79043144</v>
      </c>
      <c r="AI90" s="16">
        <f>AI$78*El_ADIT_w_wo_bonus!$C$56</f>
        <v>-515501599.79043144</v>
      </c>
      <c r="AJ90" s="16">
        <v>0</v>
      </c>
      <c r="AL90" s="16">
        <f>SUM(AM90:AN90)</f>
        <v>-522533639.36369509</v>
      </c>
      <c r="AM90" s="16">
        <f>AM$78*El_ADIT_w_wo_bonus!$C$57</f>
        <v>-522533639.36369509</v>
      </c>
      <c r="AN90" s="16">
        <v>0</v>
      </c>
      <c r="AP90" s="16">
        <f>SUM(AQ90:AR90)</f>
        <v>-540365963.91277671</v>
      </c>
      <c r="AQ90" s="16">
        <f>AQ$78*El_ADIT_w_wo_bonus!$C$58</f>
        <v>-540365963.91277671</v>
      </c>
      <c r="AR90" s="16">
        <v>0</v>
      </c>
      <c r="AT90" s="16">
        <f>SUM(AU90:AV90)</f>
        <v>-533658872.08082068</v>
      </c>
      <c r="AU90" s="16">
        <f>AU$78*El_ADIT_w_wo_bonus!$C$59</f>
        <v>-533658872.08082068</v>
      </c>
      <c r="AV90" s="16">
        <v>0</v>
      </c>
    </row>
    <row r="91" spans="2:49" x14ac:dyDescent="0.3">
      <c r="B91" s="197" t="s">
        <v>65</v>
      </c>
      <c r="F91" s="94">
        <f>SUM(G91:H91)</f>
        <v>-51235380.414820731</v>
      </c>
      <c r="G91" s="94">
        <f>G$78*El_ADIT_w_wo_bonus!$D$49</f>
        <v>-51235380.414820731</v>
      </c>
      <c r="H91" s="94">
        <v>0</v>
      </c>
      <c r="J91" s="94">
        <f>SUM(K91:L91)</f>
        <v>-61712789.106738038</v>
      </c>
      <c r="K91" s="94">
        <f>K$78*El_ADIT_w_wo_bonus!$D$50</f>
        <v>-61712789.106738038</v>
      </c>
      <c r="L91" s="94">
        <v>0</v>
      </c>
      <c r="N91" s="94">
        <f>SUM(O91:P91)</f>
        <v>-67731394.037606746</v>
      </c>
      <c r="O91" s="94">
        <f>O$78*El_ADIT_w_wo_bonus!$D$51</f>
        <v>-67731394.037606746</v>
      </c>
      <c r="P91" s="94">
        <v>0</v>
      </c>
      <c r="R91" s="94">
        <f>SUM(S91:T91)</f>
        <v>-82254994.392397732</v>
      </c>
      <c r="S91" s="94">
        <f>S$78*El_ADIT_w_wo_bonus!$D$52</f>
        <v>-82254994.392397732</v>
      </c>
      <c r="T91" s="94">
        <v>0</v>
      </c>
      <c r="V91" s="94">
        <f>SUM(W91:X91)</f>
        <v>-89039232.135937035</v>
      </c>
      <c r="W91" s="94">
        <f>W$78*El_ADIT_w_wo_bonus!$D$53</f>
        <v>-89039232.135937035</v>
      </c>
      <c r="X91" s="94">
        <v>0</v>
      </c>
      <c r="Z91" s="94">
        <f>SUM(AA91:AB91)</f>
        <v>-96722431.366813108</v>
      </c>
      <c r="AA91" s="94">
        <f>AA$78*El_ADIT_w_wo_bonus!$D$54</f>
        <v>-96722431.366813108</v>
      </c>
      <c r="AB91" s="94">
        <v>0</v>
      </c>
      <c r="AD91" s="94">
        <f>SUM(AE91:AF91)</f>
        <v>-112466694.69860387</v>
      </c>
      <c r="AE91" s="94">
        <f>AE$78*El_ADIT_w_wo_bonus!$D$55</f>
        <v>-112466694.69860387</v>
      </c>
      <c r="AF91" s="94">
        <v>0</v>
      </c>
      <c r="AH91" s="94">
        <f>SUM(AI91:AJ91)</f>
        <v>-125349356.48039453</v>
      </c>
      <c r="AI91" s="94">
        <f>AI$78*El_ADIT_w_wo_bonus!$D$56</f>
        <v>-125349356.48039453</v>
      </c>
      <c r="AJ91" s="94">
        <v>0</v>
      </c>
      <c r="AL91" s="94">
        <f>SUM(AM91:AN91)</f>
        <v>-132751256.53071146</v>
      </c>
      <c r="AM91" s="94">
        <f>AM$78*El_ADIT_w_wo_bonus!$D$57</f>
        <v>-132751256.53071146</v>
      </c>
      <c r="AN91" s="94">
        <v>0</v>
      </c>
      <c r="AP91" s="94">
        <f>SUM(AQ91:AR91)</f>
        <v>-145802118.20224053</v>
      </c>
      <c r="AQ91" s="94">
        <f>AQ$78*El_ADIT_w_wo_bonus!$D$58</f>
        <v>-145802118.20224053</v>
      </c>
      <c r="AR91" s="94">
        <v>0</v>
      </c>
      <c r="AT91" s="94">
        <f>SUM(AU91:AV91)</f>
        <v>-153372259.11356083</v>
      </c>
      <c r="AU91" s="94">
        <f>AU$78*El_ADIT_w_wo_bonus!$D$59</f>
        <v>-153372259.11356083</v>
      </c>
      <c r="AV91" s="94">
        <v>0</v>
      </c>
    </row>
    <row r="92" spans="2:49" x14ac:dyDescent="0.3">
      <c r="B92" s="197" t="s">
        <v>66</v>
      </c>
      <c r="F92" s="94">
        <f>SUM(G92:H92)</f>
        <v>-506388604.33410251</v>
      </c>
      <c r="G92" s="94">
        <f>G$78*El_ADIT_w_wo_bonus!$E$49</f>
        <v>-333389318.1111179</v>
      </c>
      <c r="H92" s="94">
        <f>H$78*El_ADIT_w_wo_bonus!$J$49</f>
        <v>-172999286.22298464</v>
      </c>
      <c r="J92" s="94">
        <f>SUM(K92:L92)</f>
        <v>-627609573.5627203</v>
      </c>
      <c r="K92" s="94">
        <f>K$78*El_ADIT_w_wo_bonus!$E$50</f>
        <v>-405668512.94884676</v>
      </c>
      <c r="L92" s="94">
        <f>L$78*El_ADIT_w_wo_bonus!$J$50</f>
        <v>-221941060.61387354</v>
      </c>
      <c r="N92" s="94">
        <f>SUM(O92:P92)</f>
        <v>-685408175.78357446</v>
      </c>
      <c r="O92" s="94">
        <f>O$78*El_ADIT_w_wo_bonus!$E$51</f>
        <v>-450040833.75913286</v>
      </c>
      <c r="P92" s="94">
        <f>P$78*El_ADIT_w_wo_bonus!$J$51</f>
        <v>-235367342.02444157</v>
      </c>
      <c r="R92" s="94">
        <f>SUM(S92:T92)</f>
        <v>-802484209.43094826</v>
      </c>
      <c r="S92" s="94">
        <f>S$78*El_ADIT_w_wo_bonus!$E$52</f>
        <v>-514750585.7383607</v>
      </c>
      <c r="T92" s="94">
        <f>T$78*El_ADIT_w_wo_bonus!$J$52</f>
        <v>-287733623.69258755</v>
      </c>
      <c r="V92" s="94">
        <f>SUM(W92:X92)</f>
        <v>-854621402.52655232</v>
      </c>
      <c r="W92" s="94">
        <f>W$78*El_ADIT_w_wo_bonus!$E$53</f>
        <v>-515837424.30515641</v>
      </c>
      <c r="X92" s="94">
        <f>X$78*El_ADIT_w_wo_bonus!$J$53</f>
        <v>-338783978.22139591</v>
      </c>
      <c r="Z92" s="94">
        <f>SUM(AA92:AB92)</f>
        <v>-907139427.96514082</v>
      </c>
      <c r="AA92" s="94">
        <f>AA$78*El_ADIT_w_wo_bonus!$E$54</f>
        <v>-539945937.41985226</v>
      </c>
      <c r="AB92" s="94">
        <f>AB$78*El_ADIT_w_wo_bonus!$J$54</f>
        <v>-367193490.54528856</v>
      </c>
      <c r="AD92" s="94">
        <f>SUM(AE92:AF92)</f>
        <v>-961841308.51158881</v>
      </c>
      <c r="AE92" s="94">
        <f>AE$78*El_ADIT_w_wo_bonus!$E$55</f>
        <v>-557946172.50064421</v>
      </c>
      <c r="AF92" s="94">
        <f>AF$78*El_ADIT_w_wo_bonus!$J$55</f>
        <v>-403895136.0109446</v>
      </c>
      <c r="AH92" s="94">
        <f>SUM(AI92:AJ92)</f>
        <v>-1032060751.5118139</v>
      </c>
      <c r="AI92" s="94">
        <f>AI$78*El_ADIT_w_wo_bonus!$E$56</f>
        <v>-596847326.042835</v>
      </c>
      <c r="AJ92" s="94">
        <f>AJ$78*El_ADIT_w_wo_bonus!$J$56</f>
        <v>-435213425.46897882</v>
      </c>
      <c r="AL92" s="94">
        <f>SUM(AM92:AN92)</f>
        <v>-1120975695.407721</v>
      </c>
      <c r="AM92" s="94">
        <f>AM$78*El_ADIT_w_wo_bonus!$E$57</f>
        <v>-651251091.28535378</v>
      </c>
      <c r="AN92" s="94">
        <f>AN$78*El_ADIT_w_wo_bonus!$J$57</f>
        <v>-469724604.1223672</v>
      </c>
      <c r="AP92" s="94">
        <f>SUM(AQ92:AR92)</f>
        <v>-1199539717.486187</v>
      </c>
      <c r="AQ92" s="94">
        <f>AQ$78*El_ADIT_w_wo_bonus!$E$58</f>
        <v>-692753314.09513831</v>
      </c>
      <c r="AR92" s="94">
        <f>AR$78*El_ADIT_w_wo_bonus!$J$58</f>
        <v>-506786403.39104867</v>
      </c>
      <c r="AT92" s="94">
        <f>SUM(AU92:AV92)</f>
        <v>-1239277264.372468</v>
      </c>
      <c r="AU92" s="94">
        <f>AU$78*El_ADIT_w_wo_bonus!$E$59</f>
        <v>-712569681.90477419</v>
      </c>
      <c r="AV92" s="94">
        <f>AV$78*El_ADIT_w_wo_bonus!$J$59</f>
        <v>-526707582.46769381</v>
      </c>
    </row>
    <row r="93" spans="2:49" x14ac:dyDescent="0.3">
      <c r="B93" s="197" t="s">
        <v>67</v>
      </c>
      <c r="F93" s="94">
        <f>SUM(G93:H93)</f>
        <v>0</v>
      </c>
      <c r="G93" s="94"/>
      <c r="H93" s="94"/>
      <c r="J93" s="94">
        <f>SUM(K93:L93)</f>
        <v>0</v>
      </c>
      <c r="K93" s="94"/>
      <c r="L93" s="94"/>
      <c r="N93" s="94">
        <f>SUM(O93:P93)</f>
        <v>0</v>
      </c>
      <c r="O93" s="94"/>
      <c r="P93" s="94"/>
      <c r="R93" s="94">
        <f>SUM(S93:T93)</f>
        <v>0</v>
      </c>
      <c r="S93" s="94"/>
      <c r="T93" s="94"/>
      <c r="V93" s="94">
        <f>SUM(W93:X93)</f>
        <v>0</v>
      </c>
      <c r="W93" s="94"/>
      <c r="X93" s="94"/>
      <c r="Z93" s="94">
        <f>SUM(AA93:AB93)</f>
        <v>0</v>
      </c>
      <c r="AA93" s="94"/>
      <c r="AB93" s="94"/>
      <c r="AD93" s="94">
        <f>SUM(AE93:AF93)</f>
        <v>0</v>
      </c>
      <c r="AE93" s="94"/>
      <c r="AF93" s="94"/>
      <c r="AH93" s="94">
        <f>SUM(AI93:AJ93)</f>
        <v>0</v>
      </c>
      <c r="AI93" s="94"/>
      <c r="AJ93" s="94"/>
      <c r="AL93" s="94">
        <f>SUM(AM93:AN93)</f>
        <v>0</v>
      </c>
      <c r="AM93" s="94"/>
      <c r="AN93" s="94"/>
      <c r="AP93" s="94">
        <f>SUM(AQ93:AR93)</f>
        <v>0</v>
      </c>
      <c r="AQ93" s="94"/>
      <c r="AR93" s="94"/>
      <c r="AT93" s="94">
        <f>SUM(AU93:AV93)</f>
        <v>0</v>
      </c>
      <c r="AU93" s="94"/>
      <c r="AV93" s="94"/>
    </row>
    <row r="94" spans="2:49" x14ac:dyDescent="0.3">
      <c r="B94" s="197" t="s">
        <v>68</v>
      </c>
      <c r="F94" s="94">
        <f>SUM(G94:H94)</f>
        <v>-15106055.089161444</v>
      </c>
      <c r="G94" s="94">
        <f>G$78*El_ADIT_w_wo_bonus!$G$49+98477</f>
        <v>17839823.742895596</v>
      </c>
      <c r="H94" s="94">
        <f>H$78*El_ADIT_w_wo_bonus!$K$49</f>
        <v>-32945878.83205704</v>
      </c>
      <c r="J94" s="94">
        <f>SUM(K94:L94)</f>
        <v>-14760843.518875379</v>
      </c>
      <c r="K94" s="94">
        <f>K$78*El_ADIT_w_wo_bonus!$G$50+118615</f>
        <v>24690055.314505275</v>
      </c>
      <c r="L94" s="94">
        <f>L$78*El_ADIT_w_wo_bonus!$K$50</f>
        <v>-39450898.833380654</v>
      </c>
      <c r="N94" s="94">
        <f>SUM(O94:P94)</f>
        <v>-14419110.349473424</v>
      </c>
      <c r="O94" s="94">
        <f>O$78*El_ADIT_w_wo_bonus!$G$51+130183</f>
        <v>26638290.032668844</v>
      </c>
      <c r="P94" s="94">
        <f>P$78*El_ADIT_w_wo_bonus!$K$51</f>
        <v>-41057400.382142268</v>
      </c>
      <c r="R94" s="94">
        <f>SUM(S94:T94)</f>
        <v>-25581643.148467533</v>
      </c>
      <c r="S94" s="94">
        <f>S$78*El_ADIT_w_wo_bonus!$G$52+158098</f>
        <v>25669827.38214983</v>
      </c>
      <c r="T94" s="94">
        <f>T$78*El_ADIT_w_wo_bonus!$K$52</f>
        <v>-51251470.530617364</v>
      </c>
      <c r="V94" s="94">
        <f>SUM(W94:X94)</f>
        <v>-34565030.045259409</v>
      </c>
      <c r="W94" s="94">
        <f>W$78*El_ADIT_w_wo_bonus!$G$53+160578</f>
        <v>22847258.807907596</v>
      </c>
      <c r="X94" s="94">
        <f>X$78*El_ADIT_w_wo_bonus!$K$53</f>
        <v>-57412288.853167005</v>
      </c>
      <c r="Z94" s="94">
        <f>SUM(AA94:AB94)</f>
        <v>-49967785.789032504</v>
      </c>
      <c r="AA94" s="94">
        <f>AA$78*El_ADIT_w_wo_bonus!$G$54+153201</f>
        <v>11926712.406866251</v>
      </c>
      <c r="AB94" s="94">
        <f>AB$78*El_ADIT_w_wo_bonus!$K$54</f>
        <v>-61894498.195898756</v>
      </c>
      <c r="AD94" s="94">
        <f>SUM(AE94:AF94)</f>
        <v>-67222169.685717762</v>
      </c>
      <c r="AE94" s="94">
        <f>AE$78*El_ADIT_w_wo_bonus!$G$55+220279</f>
        <v>-5324361.5514694899</v>
      </c>
      <c r="AF94" s="94">
        <f>AF$78*El_ADIT_w_wo_bonus!$K$55</f>
        <v>-61897808.134248272</v>
      </c>
      <c r="AH94" s="94">
        <f>SUM(AI94:AJ94)</f>
        <v>-67937029.568452567</v>
      </c>
      <c r="AI94" s="94">
        <f>AI$78*El_ADIT_w_wo_bonus!$G$56+177869</f>
        <v>-8866456.2739020828</v>
      </c>
      <c r="AJ94" s="94">
        <f>AJ$78*El_ADIT_w_wo_bonus!$K$56</f>
        <v>-59070573.294550486</v>
      </c>
      <c r="AL94" s="94">
        <f>SUM(AM94:AN94)</f>
        <v>-70735358.637156293</v>
      </c>
      <c r="AM94" s="94">
        <f>AM$78*El_ADIT_w_wo_bonus!$G$57+47450</f>
        <v>-7091361.5033062249</v>
      </c>
      <c r="AN94" s="94">
        <f>AN$78*El_ADIT_w_wo_bonus!$K$57</f>
        <v>-63643997.133850068</v>
      </c>
      <c r="AP94" s="94">
        <f>SUM(AQ94:AR94)</f>
        <v>-85229905.879784971</v>
      </c>
      <c r="AQ94" s="94">
        <f>AQ$78*El_ADIT_w_wo_bonus!$G$58+94604</f>
        <v>-14929695.48451574</v>
      </c>
      <c r="AR94" s="94">
        <f>AR$78*El_ADIT_w_wo_bonus!$K$58</f>
        <v>-70300210.39526923</v>
      </c>
      <c r="AT94" s="94">
        <f>SUM(AU94:AV94)</f>
        <v>-91882015.651906565</v>
      </c>
      <c r="AU94" s="94">
        <f>AU$78*El_ADIT_w_wo_bonus!$G$59+144565</f>
        <v>-18257262.979578745</v>
      </c>
      <c r="AV94" s="94">
        <f>AV$78*El_ADIT_w_wo_bonus!$K$59</f>
        <v>-73624752.672327816</v>
      </c>
    </row>
    <row r="95" spans="2:49" ht="15" thickBot="1" x14ac:dyDescent="0.35">
      <c r="B95" s="197"/>
      <c r="F95" s="78">
        <f>SUM(F90:F94)</f>
        <v>-757251238.78484178</v>
      </c>
      <c r="G95" s="78">
        <f>SUM(G90:G94)</f>
        <v>-551306073.72980022</v>
      </c>
      <c r="H95" s="78">
        <f>SUM(H90:H94)</f>
        <v>-205945165.05504167</v>
      </c>
      <c r="J95" s="78">
        <f>SUM(J90:J94)</f>
        <v>-926338174.22268248</v>
      </c>
      <c r="K95" s="78">
        <f>SUM(K90:K94)</f>
        <v>-664946214.77542841</v>
      </c>
      <c r="L95" s="78">
        <f>SUM(L90:L94)</f>
        <v>-261391959.44725418</v>
      </c>
      <c r="N95" s="78">
        <f>SUM(N90:N94)</f>
        <v>-1011489298.6801097</v>
      </c>
      <c r="O95" s="78">
        <f>SUM(O90:O94)</f>
        <v>-735064556.27352583</v>
      </c>
      <c r="P95" s="78">
        <f>SUM(P90:P94)</f>
        <v>-276424742.40658385</v>
      </c>
      <c r="R95" s="78">
        <f>SUM(R90:R94)</f>
        <v>-1206557355.0597594</v>
      </c>
      <c r="S95" s="78">
        <f>SUM(S90:S94)</f>
        <v>-867572260.83655441</v>
      </c>
      <c r="T95" s="78">
        <f>SUM(T90:T94)</f>
        <v>-338985094.22320491</v>
      </c>
      <c r="V95" s="78">
        <f>SUM(V90:V94)</f>
        <v>-1340030484.8492079</v>
      </c>
      <c r="W95" s="78">
        <f>SUM(W90:W94)</f>
        <v>-943834217.77464485</v>
      </c>
      <c r="X95" s="78">
        <f>SUM(X90:X94)</f>
        <v>-396196267.07456291</v>
      </c>
      <c r="Z95" s="78">
        <f>SUM(Z90:Z94)</f>
        <v>-1511077408.693521</v>
      </c>
      <c r="AA95" s="78">
        <f>SUM(AA90:AA94)</f>
        <v>-1081989419.9523337</v>
      </c>
      <c r="AB95" s="78">
        <f>SUM(AB90:AB94)</f>
        <v>-429087988.74118733</v>
      </c>
      <c r="AD95" s="78">
        <f>SUM(AD90:AD94)</f>
        <v>-1653086175.200501</v>
      </c>
      <c r="AE95" s="78">
        <f>SUM(AE90:AE94)</f>
        <v>-1187293231.0553081</v>
      </c>
      <c r="AF95" s="78">
        <f>SUM(AF90:AF94)</f>
        <v>-465792944.14519286</v>
      </c>
      <c r="AH95" s="78">
        <f>SUM(AH90:AH94)</f>
        <v>-1740848737.3510926</v>
      </c>
      <c r="AI95" s="78">
        <f>SUM(AI90:AI94)</f>
        <v>-1246564738.5875633</v>
      </c>
      <c r="AJ95" s="78">
        <f>SUM(AJ90:AJ94)</f>
        <v>-494283998.7635293</v>
      </c>
      <c r="AL95" s="78">
        <f>SUM(AL90:AL94)</f>
        <v>-1846995949.9392838</v>
      </c>
      <c r="AM95" s="78">
        <f>SUM(AM90:AM94)</f>
        <v>-1313627348.6830666</v>
      </c>
      <c r="AN95" s="78">
        <f>SUM(AN90:AN94)</f>
        <v>-533368601.25621724</v>
      </c>
      <c r="AP95" s="78">
        <f>SUM(AP90:AP94)</f>
        <v>-1970937705.4809892</v>
      </c>
      <c r="AQ95" s="78">
        <f>SUM(AQ90:AQ94)</f>
        <v>-1393851091.6946712</v>
      </c>
      <c r="AR95" s="78">
        <f>SUM(AR90:AR94)</f>
        <v>-577086613.78631794</v>
      </c>
      <c r="AT95" s="78">
        <f>SUM(AT90:AT94)</f>
        <v>-2018190411.218756</v>
      </c>
      <c r="AU95" s="78">
        <f>SUM(AU90:AU94)</f>
        <v>-1417858076.0787344</v>
      </c>
      <c r="AV95" s="78">
        <f>SUM(AV90:AV94)</f>
        <v>-600332335.14002156</v>
      </c>
    </row>
    <row r="96" spans="2:49" ht="15" thickTop="1" x14ac:dyDescent="0.3">
      <c r="F96" s="16">
        <f>F95-F78</f>
        <v>0.42682504653930664</v>
      </c>
      <c r="G96" s="16">
        <f>G95-G78</f>
        <v>0.42682480812072754</v>
      </c>
      <c r="H96" s="16">
        <f>H95-H78</f>
        <v>0</v>
      </c>
      <c r="J96" s="16">
        <f>J95-J78</f>
        <v>0.40315079689025879</v>
      </c>
      <c r="K96" s="16">
        <f>K95-K78</f>
        <v>0.40315067768096924</v>
      </c>
      <c r="L96" s="16">
        <f>L95-L78</f>
        <v>0</v>
      </c>
      <c r="N96" s="16">
        <f>N95-N78</f>
        <v>0.3893272876739502</v>
      </c>
      <c r="O96" s="16">
        <f>O95-O78</f>
        <v>0.3893272876739502</v>
      </c>
      <c r="P96" s="16">
        <f>P95-P78</f>
        <v>0</v>
      </c>
      <c r="R96" s="16">
        <f>R95-R78</f>
        <v>0.41374754905700684</v>
      </c>
      <c r="S96" s="16">
        <f>S95-S78</f>
        <v>0.41374742984771729</v>
      </c>
      <c r="T96" s="16">
        <f>T95-T78</f>
        <v>0</v>
      </c>
      <c r="V96" s="16">
        <f>V95-V78</f>
        <v>-0.48045778274536133</v>
      </c>
      <c r="W96" s="16">
        <f>W95-W78</f>
        <v>-0.48045766353607178</v>
      </c>
      <c r="X96" s="16">
        <f>X95-X78</f>
        <v>0</v>
      </c>
      <c r="Z96" s="16">
        <f>Z95-Z78</f>
        <v>-0.39935421943664551</v>
      </c>
      <c r="AA96" s="16">
        <f>AA95-AA78</f>
        <v>-0.39935421943664551</v>
      </c>
      <c r="AB96" s="16">
        <f>AB95-AB78</f>
        <v>0</v>
      </c>
      <c r="AD96" s="16">
        <f>AD95-AD78</f>
        <v>-7.5501203536987305E-2</v>
      </c>
      <c r="AE96" s="16">
        <f>AE95-AE78</f>
        <v>-7.5501203536987305E-2</v>
      </c>
      <c r="AF96" s="16">
        <f>AF95-AF78</f>
        <v>0</v>
      </c>
      <c r="AH96" s="16">
        <f>AH95-AH78</f>
        <v>-0.45442605018615723</v>
      </c>
      <c r="AI96" s="16">
        <f>AI95-AI78</f>
        <v>-0.45442605018615723</v>
      </c>
      <c r="AJ96" s="16">
        <f>AJ95-AJ78</f>
        <v>0</v>
      </c>
      <c r="AL96" s="16">
        <f>AL95-AL78</f>
        <v>0.42071628570556641</v>
      </c>
      <c r="AM96" s="16">
        <f>AM95-AM78</f>
        <v>0.42071628570556641</v>
      </c>
      <c r="AN96" s="16">
        <f>AN95-AN78</f>
        <v>0</v>
      </c>
      <c r="AP96" s="16">
        <f>AP95-AP78</f>
        <v>-0.31307244300842285</v>
      </c>
      <c r="AQ96" s="16">
        <f>AQ95-AQ78</f>
        <v>-0.31307220458984375</v>
      </c>
      <c r="AR96" s="16">
        <f>AR95-AR78</f>
        <v>0</v>
      </c>
      <c r="AT96" s="16">
        <f>AT95-AT78</f>
        <v>0.14207720756530762</v>
      </c>
      <c r="AU96" s="16">
        <f>AU95-AU78</f>
        <v>0.14207720756530762</v>
      </c>
      <c r="AV96" s="16">
        <f>AV95-AV78</f>
        <v>0</v>
      </c>
    </row>
    <row r="97" spans="2:48" x14ac:dyDescent="0.3">
      <c r="B97" s="30" t="s">
        <v>624</v>
      </c>
    </row>
    <row r="98" spans="2:48" x14ac:dyDescent="0.3">
      <c r="B98" s="197" t="s">
        <v>64</v>
      </c>
      <c r="F98" s="16">
        <f>SUM(G98:H98)</f>
        <v>-161071194.27895033</v>
      </c>
      <c r="G98" s="16">
        <f>G$85*El_ADIT_w_wo_bonus!$C$49</f>
        <v>-161071194.27895033</v>
      </c>
      <c r="H98" s="16">
        <v>0</v>
      </c>
      <c r="J98" s="16">
        <f>SUM(K98:L98)</f>
        <v>-189166258.62925437</v>
      </c>
      <c r="K98" s="16">
        <f>K$85*El_ADIT_w_wo_bonus!$C$50</f>
        <v>-189166258.62925437</v>
      </c>
      <c r="L98" s="16">
        <v>0</v>
      </c>
      <c r="N98" s="16">
        <f>SUM(O98:P98)</f>
        <v>-191219967.89909676</v>
      </c>
      <c r="O98" s="16">
        <f>O$85*El_ADIT_w_wo_bonus!$C$51</f>
        <v>-191219967.89909676</v>
      </c>
      <c r="P98" s="16">
        <v>0</v>
      </c>
      <c r="R98" s="16">
        <f>SUM(S98:T98)</f>
        <v>-221855773.96555251</v>
      </c>
      <c r="S98" s="16">
        <f>S$85*El_ADIT_w_wo_bonus!$C$52</f>
        <v>-221855773.96555251</v>
      </c>
      <c r="T98" s="16">
        <v>0</v>
      </c>
      <c r="V98" s="16">
        <f>SUM(W98:X98)</f>
        <v>-237470939.37621558</v>
      </c>
      <c r="W98" s="16">
        <f>W$85*El_ADIT_w_wo_bonus!$C$53</f>
        <v>-237470939.37621558</v>
      </c>
      <c r="X98" s="16">
        <v>0</v>
      </c>
      <c r="Z98" s="16">
        <f>SUM(AA98:AB98)</f>
        <v>-264867060.39793926</v>
      </c>
      <c r="AA98" s="16">
        <f>AA$85*El_ADIT_w_wo_bonus!$C$54</f>
        <v>-264867060.39793926</v>
      </c>
      <c r="AB98" s="16">
        <v>0</v>
      </c>
      <c r="AD98" s="16">
        <f>SUM(AE98:AF98)</f>
        <v>-285164515.93839604</v>
      </c>
      <c r="AE98" s="16">
        <f>AE$85*El_ADIT_w_wo_bonus!$C$55</f>
        <v>-285164515.93839604</v>
      </c>
      <c r="AF98" s="16">
        <v>0</v>
      </c>
      <c r="AH98" s="16">
        <f>SUM(AI98:AJ98)</f>
        <v>-284897090.42589796</v>
      </c>
      <c r="AI98" s="16">
        <f>AI$85*El_ADIT_w_wo_bonus!$C$56</f>
        <v>-284897090.42589796</v>
      </c>
      <c r="AJ98" s="16">
        <v>0</v>
      </c>
      <c r="AL98" s="16">
        <f>SUM(AM98:AN98)</f>
        <v>-284554695.86502898</v>
      </c>
      <c r="AM98" s="16">
        <f>AM$85*El_ADIT_w_wo_bonus!$C$57</f>
        <v>-284554695.86502898</v>
      </c>
      <c r="AN98" s="16">
        <v>0</v>
      </c>
      <c r="AP98" s="16">
        <f>SUM(AQ98:AR98)</f>
        <v>-283356621.46433973</v>
      </c>
      <c r="AQ98" s="16">
        <f>AQ$85*El_ADIT_w_wo_bonus!$C$58</f>
        <v>-283356621.46433973</v>
      </c>
      <c r="AR98" s="16">
        <v>0</v>
      </c>
      <c r="AT98" s="16">
        <f>SUM(AU98:AV98)</f>
        <v>-271042329.32207131</v>
      </c>
      <c r="AU98" s="16">
        <f>AU$85*El_ADIT_w_wo_bonus!$C$59</f>
        <v>-271042329.32207131</v>
      </c>
      <c r="AV98" s="16">
        <v>0</v>
      </c>
    </row>
    <row r="99" spans="2:48" x14ac:dyDescent="0.3">
      <c r="B99" s="197" t="s">
        <v>65</v>
      </c>
      <c r="F99" s="94">
        <f>SUM(G99:H99)</f>
        <v>-44724096.52580218</v>
      </c>
      <c r="G99" s="94">
        <f>G$85*El_ADIT_w_wo_bonus!$D$49</f>
        <v>-44724096.52580218</v>
      </c>
      <c r="H99" s="94">
        <v>0</v>
      </c>
      <c r="J99" s="94">
        <f>SUM(K99:L99)</f>
        <v>-52525158.506664582</v>
      </c>
      <c r="K99" s="94">
        <f>K$85*El_ADIT_w_wo_bonus!$D$50</f>
        <v>-52525158.506664582</v>
      </c>
      <c r="L99" s="94">
        <v>0</v>
      </c>
      <c r="N99" s="94">
        <f>SUM(O99:P99)</f>
        <v>-53095405.049080446</v>
      </c>
      <c r="O99" s="94">
        <f>O$85*El_ADIT_w_wo_bonus!$D$51</f>
        <v>-53095405.049080446</v>
      </c>
      <c r="P99" s="94">
        <v>0</v>
      </c>
      <c r="R99" s="94">
        <f>SUM(S99:T99)</f>
        <v>-61601946.232906394</v>
      </c>
      <c r="S99" s="94">
        <f>S$85*El_ADIT_w_wo_bonus!$D$52</f>
        <v>-61601946.232906394</v>
      </c>
      <c r="T99" s="94">
        <v>0</v>
      </c>
      <c r="V99" s="94">
        <f>SUM(W99:X99)</f>
        <v>-58440985.082484223</v>
      </c>
      <c r="W99" s="94">
        <f>W$85*El_ADIT_w_wo_bonus!$D$53</f>
        <v>-58440985.082484223</v>
      </c>
      <c r="X99" s="94">
        <v>0</v>
      </c>
      <c r="Z99" s="94">
        <f>SUM(AA99:AB99)</f>
        <v>-56027799.612420127</v>
      </c>
      <c r="AA99" s="94">
        <f>AA$85*El_ADIT_w_wo_bonus!$D$54</f>
        <v>-56027799.612420127</v>
      </c>
      <c r="AB99" s="94">
        <v>0</v>
      </c>
      <c r="AD99" s="94">
        <f>SUM(AE99:AF99)</f>
        <v>-62694036.2510354</v>
      </c>
      <c r="AE99" s="94">
        <f>AE$85*El_ADIT_w_wo_bonus!$D$55</f>
        <v>-62694036.2510354</v>
      </c>
      <c r="AF99" s="94">
        <v>0</v>
      </c>
      <c r="AH99" s="94">
        <f>SUM(AI99:AJ99)</f>
        <v>-69275569.586090624</v>
      </c>
      <c r="AI99" s="94">
        <f>AI$85*El_ADIT_w_wo_bonus!$D$56</f>
        <v>-69275569.586090624</v>
      </c>
      <c r="AJ99" s="94">
        <v>0</v>
      </c>
      <c r="AL99" s="94">
        <f>SUM(AM99:AN99)</f>
        <v>-72291983.868821889</v>
      </c>
      <c r="AM99" s="94">
        <f>AM$85*El_ADIT_w_wo_bonus!$D$57</f>
        <v>-72291983.868821889</v>
      </c>
      <c r="AN99" s="94">
        <v>0</v>
      </c>
      <c r="AP99" s="94">
        <f>SUM(AQ99:AR99)</f>
        <v>-76455584.502357557</v>
      </c>
      <c r="AQ99" s="94">
        <f>AQ$85*El_ADIT_w_wo_bonus!$D$58</f>
        <v>-76455584.502357557</v>
      </c>
      <c r="AR99" s="94">
        <v>0</v>
      </c>
      <c r="AT99" s="94">
        <f>SUM(AU99:AV99)</f>
        <v>-77896904.817563176</v>
      </c>
      <c r="AU99" s="94">
        <f>AU$85*El_ADIT_w_wo_bonus!$D$59</f>
        <v>-77896904.817563176</v>
      </c>
      <c r="AV99" s="94">
        <v>0</v>
      </c>
    </row>
    <row r="100" spans="2:48" x14ac:dyDescent="0.3">
      <c r="B100" s="197" t="s">
        <v>66</v>
      </c>
      <c r="F100" s="94">
        <f>SUM(G100:H100)</f>
        <v>-404407950.05227745</v>
      </c>
      <c r="G100" s="94">
        <f>G$85*El_ADIT_w_wo_bonus!$E$49</f>
        <v>-291020305.17099226</v>
      </c>
      <c r="H100" s="94">
        <f>H$85*El_ADIT_w_wo_bonus!$J$49</f>
        <v>-113387644.88128516</v>
      </c>
      <c r="J100" s="94">
        <f>SUM(K100:L100)</f>
        <v>-495477539.64885151</v>
      </c>
      <c r="K100" s="94">
        <f>K$85*El_ADIT_w_wo_bonus!$E$50</f>
        <v>-345273698.56752461</v>
      </c>
      <c r="L100" s="94">
        <f>L$85*El_ADIT_w_wo_bonus!$J$50</f>
        <v>-150203841.0813269</v>
      </c>
      <c r="N100" s="94">
        <f>SUM(O100:P100)</f>
        <v>-492055196.06839621</v>
      </c>
      <c r="O100" s="94">
        <f>O$85*El_ADIT_w_wo_bonus!$E$51</f>
        <v>-352792094.36911446</v>
      </c>
      <c r="P100" s="94">
        <f>P$85*El_ADIT_w_wo_bonus!$J$51</f>
        <v>-139263101.69928172</v>
      </c>
      <c r="R100" s="94">
        <f>SUM(S100:T100)</f>
        <v>-552067414.93669558</v>
      </c>
      <c r="S100" s="94">
        <f>S$85*El_ADIT_w_wo_bonus!$E$52</f>
        <v>-385504103.91788042</v>
      </c>
      <c r="T100" s="94">
        <f>T$85*El_ADIT_w_wo_bonus!$J$52</f>
        <v>-166563311.0188151</v>
      </c>
      <c r="V100" s="94">
        <f>SUM(W100:X100)</f>
        <v>-535670825.54031932</v>
      </c>
      <c r="W100" s="94">
        <f>W$85*El_ADIT_w_wo_bonus!$E$53</f>
        <v>-338570386.28523296</v>
      </c>
      <c r="X100" s="94">
        <f>X$85*El_ADIT_w_wo_bonus!$J$53</f>
        <v>-197100439.25508639</v>
      </c>
      <c r="Z100" s="94">
        <f>SUM(AA100:AB100)</f>
        <v>-523234569.21931237</v>
      </c>
      <c r="AA100" s="94">
        <f>AA$85*El_ADIT_w_wo_bonus!$E$54</f>
        <v>-312771115.81874192</v>
      </c>
      <c r="AB100" s="94">
        <f>AB$85*El_ADIT_w_wo_bonus!$J$54</f>
        <v>-210463453.40057045</v>
      </c>
      <c r="AD100" s="94">
        <f>SUM(AE100:AF100)</f>
        <v>-538651626.3017261</v>
      </c>
      <c r="AE100" s="94">
        <f>AE$85*El_ADIT_w_wo_bonus!$E$55</f>
        <v>-311024500.7077288</v>
      </c>
      <c r="AF100" s="94">
        <f>AF$85*El_ADIT_w_wo_bonus!$J$55</f>
        <v>-227627125.59399733</v>
      </c>
      <c r="AH100" s="94">
        <f>SUM(AI100:AJ100)</f>
        <v>-572154351.25343561</v>
      </c>
      <c r="AI100" s="94">
        <f>AI$85*El_ADIT_w_wo_bonus!$E$56</f>
        <v>-329853615.75445724</v>
      </c>
      <c r="AJ100" s="94">
        <f>AJ$85*El_ADIT_w_wo_bonus!$J$56</f>
        <v>-242300735.49897844</v>
      </c>
      <c r="AL100" s="94">
        <f>SUM(AM100:AN100)</f>
        <v>-616330158.12486601</v>
      </c>
      <c r="AM100" s="94">
        <f>AM$85*El_ADIT_w_wo_bonus!$E$57</f>
        <v>-354650001.93698078</v>
      </c>
      <c r="AN100" s="94">
        <f>AN$85*El_ADIT_w_wo_bonus!$J$57</f>
        <v>-261680156.1878852</v>
      </c>
      <c r="AP100" s="94">
        <f>SUM(AQ100:AR100)</f>
        <v>-633058010.84828556</v>
      </c>
      <c r="AQ100" s="94">
        <f>AQ$85*El_ADIT_w_wo_bonus!$E$58</f>
        <v>-363265364.03004867</v>
      </c>
      <c r="AR100" s="94">
        <f>AR$85*El_ADIT_w_wo_bonus!$J$58</f>
        <v>-269792646.81823689</v>
      </c>
      <c r="AT100" s="94">
        <f>SUM(AU100:AV100)</f>
        <v>-633757052.60633588</v>
      </c>
      <c r="AU100" s="94">
        <f>AU$85*El_ADIT_w_wo_bonus!$E$59</f>
        <v>-361910119.91365826</v>
      </c>
      <c r="AV100" s="94">
        <f>AV$85*El_ADIT_w_wo_bonus!$J$59</f>
        <v>-271846932.69267762</v>
      </c>
    </row>
    <row r="101" spans="2:48" x14ac:dyDescent="0.3">
      <c r="B101" s="197" t="s">
        <v>67</v>
      </c>
      <c r="F101" s="94">
        <f>SUM(G101:H101)</f>
        <v>0</v>
      </c>
      <c r="G101" s="94"/>
      <c r="H101" s="94"/>
      <c r="J101" s="94">
        <f>SUM(K101:L101)</f>
        <v>0</v>
      </c>
      <c r="K101" s="94"/>
      <c r="L101" s="94"/>
      <c r="N101" s="94">
        <f>SUM(O101:P101)</f>
        <v>0</v>
      </c>
      <c r="O101" s="94"/>
      <c r="P101" s="94"/>
      <c r="R101" s="94">
        <f>SUM(S101:T101)</f>
        <v>0</v>
      </c>
      <c r="S101" s="94"/>
      <c r="T101" s="94"/>
      <c r="V101" s="94">
        <f>SUM(W101:X101)</f>
        <v>0</v>
      </c>
      <c r="W101" s="94"/>
      <c r="X101" s="94"/>
      <c r="Z101" s="94">
        <f>SUM(AA101:AB101)</f>
        <v>0</v>
      </c>
      <c r="AA101" s="94"/>
      <c r="AB101" s="94"/>
      <c r="AD101" s="94">
        <f>SUM(AE101:AF101)</f>
        <v>0</v>
      </c>
      <c r="AE101" s="94"/>
      <c r="AF101" s="94"/>
      <c r="AH101" s="94">
        <f>SUM(AI101:AJ101)</f>
        <v>0</v>
      </c>
      <c r="AI101" s="94"/>
      <c r="AJ101" s="94"/>
      <c r="AL101" s="94">
        <f>SUM(AM101:AN101)</f>
        <v>0</v>
      </c>
      <c r="AM101" s="94"/>
      <c r="AN101" s="94"/>
      <c r="AP101" s="94">
        <f>SUM(AQ101:AR101)</f>
        <v>0</v>
      </c>
      <c r="AQ101" s="94"/>
      <c r="AR101" s="94"/>
      <c r="AT101" s="94">
        <f>SUM(AU101:AV101)</f>
        <v>0</v>
      </c>
      <c r="AU101" s="94"/>
      <c r="AV101" s="94"/>
    </row>
    <row r="102" spans="2:48" x14ac:dyDescent="0.3">
      <c r="B102" s="197" t="s">
        <v>68</v>
      </c>
      <c r="F102" s="94">
        <f>SUM(G102:H102)</f>
        <v>-6020836.7414277662</v>
      </c>
      <c r="G102" s="94">
        <f>G$85*El_ADIT_w_wo_bonus!$G$49+85962</f>
        <v>15572637.375547031</v>
      </c>
      <c r="H102" s="94">
        <f>H$85*El_ADIT_w_wo_bonus!$K$49</f>
        <v>-21593474.116974797</v>
      </c>
      <c r="J102" s="94">
        <f>SUM(K102:L102)</f>
        <v>-5685057.3931471631</v>
      </c>
      <c r="K102" s="94">
        <f>K$85*El_ADIT_w_wo_bonus!$G$50+100956</f>
        <v>21014267.745223373</v>
      </c>
      <c r="L102" s="94">
        <f>L$85*El_ADIT_w_wo_bonus!$K$50</f>
        <v>-26699325.138370536</v>
      </c>
      <c r="N102" s="94">
        <f>SUM(O102:P102)</f>
        <v>-3410952.254335545</v>
      </c>
      <c r="O102" s="94">
        <f>O$85*El_ADIT_w_wo_bonus!$G$51+102052</f>
        <v>20882056.604695745</v>
      </c>
      <c r="P102" s="94">
        <f>P$85*El_ADIT_w_wo_bonus!$K$51</f>
        <v>-24293008.85903129</v>
      </c>
      <c r="R102" s="94">
        <f>SUM(S102:T102)</f>
        <v>-10443961.490499105</v>
      </c>
      <c r="S102" s="94">
        <f>S$85*El_ADIT_w_wo_bonus!$G$52+118402</f>
        <v>19224502.405410785</v>
      </c>
      <c r="T102" s="94">
        <f>T$85*El_ADIT_w_wo_bonus!$K$52</f>
        <v>-29668463.895909891</v>
      </c>
      <c r="V102" s="94">
        <f>SUM(W102:X102)</f>
        <v>-18405957.733799618</v>
      </c>
      <c r="W102" s="94">
        <f>W$85*El_ADIT_w_wo_bonus!$G$53+105396</f>
        <v>14995820.623629376</v>
      </c>
      <c r="X102" s="94">
        <f>X$85*El_ADIT_w_wo_bonus!$K$53</f>
        <v>-33401778.357428994</v>
      </c>
      <c r="Z102" s="94">
        <f>SUM(AA102:AB102)</f>
        <v>-28567215.483664788</v>
      </c>
      <c r="AA102" s="94">
        <f>AA$85*El_ADIT_w_wo_bonus!$G$54+88744</f>
        <v>6908712.5276395818</v>
      </c>
      <c r="AB102" s="94">
        <f>AB$85*El_ADIT_w_wo_bonus!$K$54</f>
        <v>-35475928.011304371</v>
      </c>
      <c r="AD102" s="94">
        <f>SUM(AE102:AF102)</f>
        <v>-37852392.230694741</v>
      </c>
      <c r="AE102" s="94">
        <f>AE$85*El_ADIT_w_wo_bonus!$G$55+122794</f>
        <v>-2968040.1057266295</v>
      </c>
      <c r="AF102" s="94">
        <f>AF$85*El_ADIT_w_wo_bonus!$K$55</f>
        <v>-34884352.124968112</v>
      </c>
      <c r="AH102" s="94">
        <f>SUM(AI102:AJ102)</f>
        <v>-37787088.130743027</v>
      </c>
      <c r="AI102" s="94">
        <f>AI$85*El_ADIT_w_wo_bonus!$G$56+98301</f>
        <v>-4900135.3898145631</v>
      </c>
      <c r="AJ102" s="94">
        <f>AJ$85*El_ADIT_w_wo_bonus!$K$56</f>
        <v>-32886952.74092846</v>
      </c>
      <c r="AL102" s="94">
        <f>SUM(AM102:AN102)</f>
        <v>-39317331.112174451</v>
      </c>
      <c r="AM102" s="94">
        <f>AM$85*El_ADIT_w_wo_bonus!$G$57+25839</f>
        <v>-3861723.7962148972</v>
      </c>
      <c r="AN102" s="94">
        <f>AN$85*El_ADIT_w_wo_bonus!$K$57</f>
        <v>-35455607.31595955</v>
      </c>
      <c r="AP102" s="94">
        <f>SUM(AQ102:AR102)</f>
        <v>-45253817.153115742</v>
      </c>
      <c r="AQ102" s="94">
        <f>AQ$85*El_ADIT_w_wo_bonus!$G$58+49609</f>
        <v>-7828819.7429472227</v>
      </c>
      <c r="AR102" s="94">
        <f>AR$85*El_ADIT_w_wo_bonus!$K$58</f>
        <v>-37424997.410168521</v>
      </c>
      <c r="AT102" s="94">
        <f>SUM(AU102:AV102)</f>
        <v>-47272333.490322068</v>
      </c>
      <c r="AU102" s="94">
        <f>AU$85*El_ADIT_w_wo_bonus!$G$59+73424</f>
        <v>-9272760.5765279885</v>
      </c>
      <c r="AV102" s="94">
        <f>AV$85*El_ADIT_w_wo_bonus!$K$59</f>
        <v>-37999572.913794078</v>
      </c>
    </row>
    <row r="103" spans="2:48" ht="15" thickBot="1" x14ac:dyDescent="0.35">
      <c r="F103" s="78">
        <f>SUM(F98:F102)</f>
        <v>-616224077.59845769</v>
      </c>
      <c r="G103" s="78">
        <f>SUM(G98:G102)</f>
        <v>-481242958.60019773</v>
      </c>
      <c r="H103" s="78">
        <f>SUM(H98:H102)</f>
        <v>-134981118.99825996</v>
      </c>
      <c r="J103" s="78">
        <f>SUM(J98:J102)</f>
        <v>-742854014.1779176</v>
      </c>
      <c r="K103" s="78">
        <f>SUM(K98:K102)</f>
        <v>-565950847.95822012</v>
      </c>
      <c r="L103" s="78">
        <f>SUM(L98:L102)</f>
        <v>-176903166.21969745</v>
      </c>
      <c r="N103" s="78">
        <f>SUM(N98:N102)</f>
        <v>-739781521.27090895</v>
      </c>
      <c r="O103" s="78">
        <f>SUM(O98:O102)</f>
        <v>-576225410.71259594</v>
      </c>
      <c r="P103" s="78">
        <f>SUM(P98:P102)</f>
        <v>-163556110.55831301</v>
      </c>
      <c r="R103" s="78">
        <f>SUM(R98:R102)</f>
        <v>-845969096.62565362</v>
      </c>
      <c r="S103" s="78">
        <f>SUM(S98:S102)</f>
        <v>-649737321.71092856</v>
      </c>
      <c r="T103" s="78">
        <f>SUM(T98:T102)</f>
        <v>-196231774.91472501</v>
      </c>
      <c r="V103" s="78">
        <f>SUM(V98:V102)</f>
        <v>-849988707.73281872</v>
      </c>
      <c r="W103" s="78">
        <f>SUM(W98:W102)</f>
        <v>-619486490.12030339</v>
      </c>
      <c r="X103" s="78">
        <f>SUM(X98:X102)</f>
        <v>-230502217.61251539</v>
      </c>
      <c r="Z103" s="78">
        <f>SUM(Z98:Z102)</f>
        <v>-872696644.71333647</v>
      </c>
      <c r="AA103" s="78">
        <f>SUM(AA98:AA102)</f>
        <v>-626757263.3014617</v>
      </c>
      <c r="AB103" s="78">
        <f>SUM(AB98:AB102)</f>
        <v>-245939381.41187483</v>
      </c>
      <c r="AD103" s="78">
        <f>SUM(AD98:AD102)</f>
        <v>-924362570.7218523</v>
      </c>
      <c r="AE103" s="78">
        <f>SUM(AE98:AE102)</f>
        <v>-661851093.00288689</v>
      </c>
      <c r="AF103" s="78">
        <f>SUM(AF98:AF102)</f>
        <v>-262511477.71896544</v>
      </c>
      <c r="AH103" s="78">
        <f>SUM(AH98:AH102)</f>
        <v>-964114099.39616728</v>
      </c>
      <c r="AI103" s="78">
        <f>SUM(AI98:AI102)</f>
        <v>-688926411.15626049</v>
      </c>
      <c r="AJ103" s="78">
        <f>SUM(AJ98:AJ102)</f>
        <v>-275187688.23990691</v>
      </c>
      <c r="AL103" s="78">
        <f>SUM(AL98:AL102)</f>
        <v>-1012494168.9708912</v>
      </c>
      <c r="AM103" s="78">
        <f>SUM(AM98:AM102)</f>
        <v>-715358405.46704662</v>
      </c>
      <c r="AN103" s="78">
        <f>SUM(AN98:AN102)</f>
        <v>-297135763.50384474</v>
      </c>
      <c r="AP103" s="78">
        <f>SUM(AP98:AP102)</f>
        <v>-1038124033.9680986</v>
      </c>
      <c r="AQ103" s="78">
        <f>SUM(AQ98:AQ102)</f>
        <v>-730906389.73969316</v>
      </c>
      <c r="AR103" s="78">
        <f>SUM(AR98:AR102)</f>
        <v>-307217644.22840542</v>
      </c>
      <c r="AT103" s="78">
        <f>SUM(AT98:AT102)</f>
        <v>-1029968620.2362925</v>
      </c>
      <c r="AU103" s="78">
        <f>SUM(AU98:AU102)</f>
        <v>-720122114.6298207</v>
      </c>
      <c r="AV103" s="78">
        <f>SUM(AV98:AV102)</f>
        <v>-309846505.60647172</v>
      </c>
    </row>
    <row r="104" spans="2:48" ht="15" thickTop="1" x14ac:dyDescent="0.3">
      <c r="F104" s="16">
        <f>F85-F103</f>
        <v>-0.39049196243286133</v>
      </c>
      <c r="G104" s="16">
        <f>G85-G103</f>
        <v>-0.39049190282821655</v>
      </c>
      <c r="H104" s="16">
        <f>H85-H103</f>
        <v>0</v>
      </c>
      <c r="J104" s="16">
        <f>J85-J103</f>
        <v>-0.41865479946136475</v>
      </c>
      <c r="K104" s="16">
        <f>K85-K103</f>
        <v>-0.41865479946136475</v>
      </c>
      <c r="L104" s="16">
        <f>L85-L103</f>
        <v>0</v>
      </c>
      <c r="N104" s="16">
        <f>N85-N103</f>
        <v>-0.38062572479248047</v>
      </c>
      <c r="O104" s="16">
        <f>O85-O103</f>
        <v>-0.38062572479248047</v>
      </c>
      <c r="P104" s="16">
        <f>P85-P103</f>
        <v>0</v>
      </c>
      <c r="R104" s="16">
        <f>R85-R103</f>
        <v>-0.44785332679748535</v>
      </c>
      <c r="S104" s="16">
        <f>S85-S103</f>
        <v>-0.4478532075881958</v>
      </c>
      <c r="T104" s="16">
        <f>T85-T103</f>
        <v>0</v>
      </c>
      <c r="V104" s="16">
        <f>V85-V103</f>
        <v>-0.16093134880065918</v>
      </c>
      <c r="W104" s="16">
        <f>W85-W103</f>
        <v>-0.16093134880065918</v>
      </c>
      <c r="X104" s="16">
        <f>X85-X103</f>
        <v>0</v>
      </c>
      <c r="Z104" s="16">
        <f>Z85-Z103</f>
        <v>1.916956901550293E-2</v>
      </c>
      <c r="AA104" s="16">
        <f>AA85-AA103</f>
        <v>1.916968822479248E-2</v>
      </c>
      <c r="AB104" s="16">
        <f>AB85-AB103</f>
        <v>0</v>
      </c>
      <c r="AD104" s="16">
        <f>AD85-AD103</f>
        <v>-0.4531475305557251</v>
      </c>
      <c r="AE104" s="16">
        <f>AE85-AE103</f>
        <v>-0.4531475305557251</v>
      </c>
      <c r="AF104" s="16">
        <f>AF85-AF103</f>
        <v>0</v>
      </c>
      <c r="AH104" s="16">
        <f>AH85-AH103</f>
        <v>0.3245006799697876</v>
      </c>
      <c r="AI104" s="16">
        <f>AI85-AI103</f>
        <v>0.3245006799697876</v>
      </c>
      <c r="AJ104" s="16">
        <f>AJ85-AJ103</f>
        <v>0</v>
      </c>
      <c r="AL104" s="16">
        <f>AL85-AL103</f>
        <v>0.48589110374450684</v>
      </c>
      <c r="AM104" s="16">
        <f>AM85-AM103</f>
        <v>0.48589122295379639</v>
      </c>
      <c r="AN104" s="16">
        <f>AN85-AN103</f>
        <v>0</v>
      </c>
      <c r="AP104" s="16">
        <f>AP85-AP103</f>
        <v>-0.47481822967529297</v>
      </c>
      <c r="AQ104" s="16">
        <f>AQ85-AQ103</f>
        <v>-0.47481834888458252</v>
      </c>
      <c r="AR104" s="16">
        <f>AR85-AR103</f>
        <v>0</v>
      </c>
      <c r="AT104" s="16">
        <f>AT85-AT103</f>
        <v>-0.32454073429107666</v>
      </c>
      <c r="AU104" s="16">
        <f>AU85-AU103</f>
        <v>-0.32454097270965576</v>
      </c>
      <c r="AV104" s="16">
        <f>AV85-AV103</f>
        <v>0</v>
      </c>
    </row>
    <row r="1048523" spans="33:33" x14ac:dyDescent="0.3">
      <c r="AG1048523" s="72"/>
    </row>
    <row r="1048524" spans="33:33" x14ac:dyDescent="0.3">
      <c r="AG1048524" s="72"/>
    </row>
    <row r="1048527" spans="33:33" x14ac:dyDescent="0.3">
      <c r="AG1048527" s="284"/>
    </row>
    <row r="1048528" spans="33:33" x14ac:dyDescent="0.3">
      <c r="AG1048528" s="284"/>
    </row>
    <row r="1048529" spans="33:33" x14ac:dyDescent="0.3">
      <c r="AG1048529" s="284"/>
    </row>
    <row r="1048530" spans="33:33" x14ac:dyDescent="0.3">
      <c r="AG1048530" s="284"/>
    </row>
    <row r="1048531" spans="33:33" x14ac:dyDescent="0.3">
      <c r="AG1048531" s="284"/>
    </row>
    <row r="1048532" spans="33:33" x14ac:dyDescent="0.3">
      <c r="AG1048532" s="284"/>
    </row>
    <row r="1048533" spans="33:33" x14ac:dyDescent="0.3">
      <c r="AG1048533" s="284"/>
    </row>
    <row r="1048534" spans="33:33" x14ac:dyDescent="0.3">
      <c r="AG1048534" s="284"/>
    </row>
    <row r="1048535" spans="33:33" x14ac:dyDescent="0.3">
      <c r="AG1048535" s="284"/>
    </row>
    <row r="1048536" spans="33:33" x14ac:dyDescent="0.3">
      <c r="AG1048536" s="284"/>
    </row>
    <row r="1048537" spans="33:33" x14ac:dyDescent="0.3">
      <c r="AG1048537" s="284"/>
    </row>
  </sheetData>
  <autoFilter ref="A5:AV72">
    <filterColumn colId="3">
      <filters>
        <filter val="Plant"/>
      </filters>
    </filterColumn>
  </autoFilter>
  <pageMargins left="0.2" right="0.2" top="0.25" bottom="0.25" header="0.3" footer="0.3"/>
  <pageSetup scale="40" fitToWidth="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59"/>
  <sheetViews>
    <sheetView workbookViewId="0">
      <selection sqref="A1:XFD1048576"/>
    </sheetView>
  </sheetViews>
  <sheetFormatPr defaultColWidth="9.109375" defaultRowHeight="14.4" x14ac:dyDescent="0.3"/>
  <cols>
    <col min="1" max="1" width="4.109375" style="15" customWidth="1"/>
    <col min="2" max="2" width="9.33203125" style="24" bestFit="1" customWidth="1"/>
    <col min="3" max="3" width="16.109375" style="24" bestFit="1" customWidth="1"/>
    <col min="4" max="4" width="14.44140625" style="24" bestFit="1" customWidth="1"/>
    <col min="5" max="5" width="15.44140625" style="24" bestFit="1" customWidth="1"/>
    <col min="6" max="6" width="13.6640625" style="24" bestFit="1" customWidth="1"/>
    <col min="7" max="7" width="13.44140625" style="24" bestFit="1" customWidth="1"/>
    <col min="8" max="8" width="13.33203125" style="24" customWidth="1"/>
    <col min="9" max="10" width="15.44140625" style="24" bestFit="1" customWidth="1"/>
    <col min="11" max="11" width="12.5546875" style="24" customWidth="1"/>
    <col min="12" max="12" width="14.44140625" style="24" bestFit="1" customWidth="1"/>
    <col min="13" max="13" width="14.5546875" style="35" bestFit="1" customWidth="1"/>
    <col min="14" max="15" width="15.44140625" style="35" bestFit="1" customWidth="1"/>
    <col min="16" max="16" width="7.44140625" style="35" bestFit="1" customWidth="1"/>
    <col min="17" max="18" width="9.33203125" style="35" bestFit="1" customWidth="1"/>
    <col min="19" max="19" width="12.33203125" style="35" bestFit="1" customWidth="1"/>
    <col min="20" max="20" width="12" style="35" bestFit="1" customWidth="1"/>
    <col min="21" max="21" width="9.109375" style="15"/>
    <col min="22" max="22" width="14.33203125" style="35" bestFit="1" customWidth="1"/>
    <col min="23" max="23" width="12.5546875" style="35" bestFit="1" customWidth="1"/>
    <col min="24" max="16384" width="9.109375" style="15"/>
  </cols>
  <sheetData>
    <row r="1" spans="1:23" ht="18" x14ac:dyDescent="0.35">
      <c r="A1" s="67" t="s">
        <v>642</v>
      </c>
    </row>
    <row r="2" spans="1:23" ht="18" x14ac:dyDescent="0.35">
      <c r="A2" s="67" t="s">
        <v>641</v>
      </c>
    </row>
    <row r="3" spans="1:23" ht="18" x14ac:dyDescent="0.35">
      <c r="A3" s="67"/>
    </row>
    <row r="4" spans="1:23" ht="18.600000000000001" thickBot="1" x14ac:dyDescent="0.4">
      <c r="A4" s="67"/>
    </row>
    <row r="5" spans="1:23" s="66" customFormat="1" ht="15.75" customHeight="1" thickBot="1" x14ac:dyDescent="0.35">
      <c r="B5" s="64"/>
      <c r="C5" s="506" t="s">
        <v>8</v>
      </c>
      <c r="D5" s="507"/>
      <c r="E5" s="507"/>
      <c r="F5" s="507"/>
      <c r="G5" s="507"/>
      <c r="H5" s="507"/>
      <c r="I5" s="508"/>
      <c r="J5" s="506" t="s">
        <v>10</v>
      </c>
      <c r="K5" s="507"/>
      <c r="L5" s="508"/>
      <c r="M5" s="509" t="s">
        <v>638</v>
      </c>
      <c r="N5" s="509" t="s">
        <v>637</v>
      </c>
      <c r="O5" s="509" t="s">
        <v>636</v>
      </c>
      <c r="P5" s="45"/>
      <c r="Q5" s="45"/>
      <c r="R5" s="45"/>
      <c r="S5" s="45"/>
      <c r="T5" s="45"/>
      <c r="V5" s="45"/>
      <c r="W5" s="45"/>
    </row>
    <row r="6" spans="1:23" s="24" customFormat="1" ht="29.4" thickBot="1" x14ac:dyDescent="0.35">
      <c r="B6" s="44" t="s">
        <v>112</v>
      </c>
      <c r="C6" s="43" t="s">
        <v>185</v>
      </c>
      <c r="D6" s="41" t="s">
        <v>65</v>
      </c>
      <c r="E6" s="41" t="s">
        <v>66</v>
      </c>
      <c r="F6" s="41" t="s">
        <v>635</v>
      </c>
      <c r="G6" s="41" t="s">
        <v>629</v>
      </c>
      <c r="H6" s="41" t="s">
        <v>628</v>
      </c>
      <c r="I6" s="42" t="s">
        <v>627</v>
      </c>
      <c r="J6" s="41" t="s">
        <v>66</v>
      </c>
      <c r="K6" s="41" t="s">
        <v>77</v>
      </c>
      <c r="L6" s="40" t="s">
        <v>626</v>
      </c>
      <c r="M6" s="510"/>
      <c r="N6" s="510"/>
      <c r="O6" s="510"/>
      <c r="P6" s="36" t="s">
        <v>634</v>
      </c>
      <c r="Q6" s="36"/>
      <c r="R6" s="36"/>
      <c r="S6" s="36"/>
      <c r="T6" s="36"/>
      <c r="V6" s="36"/>
      <c r="W6" s="36"/>
    </row>
    <row r="7" spans="1:23" s="24" customFormat="1" ht="15" thickBot="1" x14ac:dyDescent="0.35">
      <c r="B7" s="75">
        <v>2007</v>
      </c>
      <c r="C7" s="74"/>
      <c r="D7" s="74"/>
      <c r="E7" s="74"/>
      <c r="F7" s="74"/>
      <c r="G7" s="74"/>
      <c r="H7" s="74"/>
      <c r="I7" s="127"/>
      <c r="J7" s="74"/>
      <c r="K7" s="74"/>
      <c r="L7" s="128"/>
      <c r="M7" s="129"/>
      <c r="N7" s="129"/>
      <c r="O7" s="129"/>
      <c r="P7" s="36"/>
      <c r="Q7" s="36"/>
      <c r="R7" s="36"/>
      <c r="S7" s="36"/>
      <c r="T7" s="36"/>
      <c r="V7" s="36"/>
      <c r="W7" s="36"/>
    </row>
    <row r="8" spans="1:23" s="24" customFormat="1" x14ac:dyDescent="0.3">
      <c r="A8" s="64" t="s">
        <v>631</v>
      </c>
      <c r="B8" s="64">
        <v>2008</v>
      </c>
      <c r="C8" s="36">
        <v>200764854.79535913</v>
      </c>
      <c r="D8" s="36">
        <v>55745701.675906241</v>
      </c>
      <c r="E8" s="36">
        <v>362738039.98106241</v>
      </c>
      <c r="F8" s="36">
        <v>-46717847.382135198</v>
      </c>
      <c r="G8" s="36">
        <v>15993726.531652041</v>
      </c>
      <c r="H8" s="36">
        <v>-107145.60184477615</v>
      </c>
      <c r="I8" s="48">
        <f t="shared" ref="I8:I18" si="0">SUM(C8:H8)</f>
        <v>588417329.99999988</v>
      </c>
      <c r="J8" s="36">
        <v>195034254.93583822</v>
      </c>
      <c r="K8" s="36">
        <v>30889121.734161761</v>
      </c>
      <c r="L8" s="51">
        <f t="shared" ref="L8:L18" si="1">SUM(J8:K8)</f>
        <v>225923376.66999999</v>
      </c>
      <c r="M8" s="36">
        <v>17674062</v>
      </c>
      <c r="N8" s="51">
        <f t="shared" ref="N8:N18" si="2">SUM(I8,L8,M8)</f>
        <v>832014768.66999984</v>
      </c>
      <c r="O8" s="50">
        <v>832014768.66999996</v>
      </c>
      <c r="P8" s="35">
        <f t="shared" ref="P8:P18" si="3">O8-N8</f>
        <v>0</v>
      </c>
      <c r="Q8" s="36"/>
      <c r="R8" s="36"/>
      <c r="S8" s="36"/>
      <c r="T8" s="36"/>
      <c r="V8" s="36"/>
      <c r="W8" s="36"/>
    </row>
    <row r="9" spans="1:23" s="24" customFormat="1" x14ac:dyDescent="0.3">
      <c r="A9" s="64" t="s">
        <v>631</v>
      </c>
      <c r="B9" s="64">
        <v>2009</v>
      </c>
      <c r="C9" s="36">
        <v>244980152.21647069</v>
      </c>
      <c r="D9" s="36">
        <v>68022814.530450165</v>
      </c>
      <c r="E9" s="36">
        <v>450853285.99963009</v>
      </c>
      <c r="F9" s="36">
        <v>-57006717.508237332</v>
      </c>
      <c r="G9" s="36">
        <v>19516092.914900433</v>
      </c>
      <c r="H9" s="36">
        <v>-130742.73321400763</v>
      </c>
      <c r="I9" s="48">
        <f t="shared" si="0"/>
        <v>726234885.41999996</v>
      </c>
      <c r="J9" s="36">
        <v>248677136.34695476</v>
      </c>
      <c r="K9" s="36">
        <v>37691964.323045269</v>
      </c>
      <c r="L9" s="48">
        <f t="shared" si="1"/>
        <v>286369100.67000002</v>
      </c>
      <c r="M9" s="36">
        <v>11551623</v>
      </c>
      <c r="N9" s="48">
        <f t="shared" si="2"/>
        <v>1024155609.0899999</v>
      </c>
      <c r="O9" s="49">
        <v>1024155609.09</v>
      </c>
      <c r="P9" s="35">
        <f t="shared" si="3"/>
        <v>0</v>
      </c>
      <c r="Q9" s="36"/>
      <c r="R9" s="36"/>
      <c r="S9" s="36"/>
      <c r="T9" s="36"/>
      <c r="V9" s="36"/>
      <c r="W9" s="36"/>
    </row>
    <row r="10" spans="1:23" s="24" customFormat="1" x14ac:dyDescent="0.3">
      <c r="A10" s="64" t="s">
        <v>631</v>
      </c>
      <c r="B10" s="64">
        <v>2010</v>
      </c>
      <c r="C10" s="36">
        <v>285257592.97469872</v>
      </c>
      <c r="D10" s="36">
        <v>79206515.97593379</v>
      </c>
      <c r="E10" s="36">
        <v>527411100.79421955</v>
      </c>
      <c r="F10" s="36">
        <v>-66379251.023647159</v>
      </c>
      <c r="G10" s="36">
        <v>22724753.980297253</v>
      </c>
      <c r="H10" s="36">
        <v>-152238.2815021108</v>
      </c>
      <c r="I10" s="48">
        <f t="shared" si="0"/>
        <v>848068474.41999996</v>
      </c>
      <c r="J10" s="36">
        <v>286900204.42328322</v>
      </c>
      <c r="K10" s="36">
        <v>43888939.24671679</v>
      </c>
      <c r="L10" s="48">
        <f t="shared" si="1"/>
        <v>330789143.67000002</v>
      </c>
      <c r="M10" s="36">
        <v>23817229</v>
      </c>
      <c r="N10" s="48">
        <f t="shared" si="2"/>
        <v>1202674847.0899999</v>
      </c>
      <c r="O10" s="49">
        <v>1202674847.0899999</v>
      </c>
      <c r="P10" s="35">
        <f t="shared" si="3"/>
        <v>0</v>
      </c>
      <c r="Q10" s="36"/>
      <c r="R10" s="36"/>
      <c r="S10" s="36"/>
      <c r="T10" s="36"/>
      <c r="V10" s="36"/>
      <c r="W10" s="36"/>
    </row>
    <row r="11" spans="1:23" x14ac:dyDescent="0.3">
      <c r="B11" s="24">
        <v>2011</v>
      </c>
      <c r="C11" s="36">
        <v>291854565</v>
      </c>
      <c r="D11" s="36">
        <v>81038275</v>
      </c>
      <c r="E11" s="36">
        <v>475398523.41999996</v>
      </c>
      <c r="F11" s="36">
        <v>-67914362</v>
      </c>
      <c r="G11" s="36">
        <v>23250295</v>
      </c>
      <c r="H11" s="36">
        <v>-155759</v>
      </c>
      <c r="I11" s="48">
        <f t="shared" si="0"/>
        <v>803471537.41999996</v>
      </c>
      <c r="J11" s="36">
        <v>323534225.67000002</v>
      </c>
      <c r="K11" s="36">
        <v>44903931</v>
      </c>
      <c r="L11" s="48">
        <f t="shared" si="1"/>
        <v>368438156.67000002</v>
      </c>
      <c r="M11" s="36">
        <v>34739214</v>
      </c>
      <c r="N11" s="48">
        <f t="shared" si="2"/>
        <v>1206648908.0899999</v>
      </c>
      <c r="O11" s="48">
        <v>1206648908.0899999</v>
      </c>
      <c r="P11" s="35">
        <f t="shared" si="3"/>
        <v>0</v>
      </c>
    </row>
    <row r="12" spans="1:23" x14ac:dyDescent="0.3">
      <c r="B12" s="24">
        <v>2012</v>
      </c>
      <c r="C12" s="36">
        <v>411003800</v>
      </c>
      <c r="D12" s="36">
        <v>91933354</v>
      </c>
      <c r="E12" s="36">
        <v>526690527</v>
      </c>
      <c r="F12" s="36">
        <v>-67299582</v>
      </c>
      <c r="G12" s="36">
        <v>27093326</v>
      </c>
      <c r="H12" s="36">
        <v>-156188</v>
      </c>
      <c r="I12" s="48">
        <f t="shared" si="0"/>
        <v>989265237</v>
      </c>
      <c r="J12" s="36">
        <v>350878791.94</v>
      </c>
      <c r="K12" s="36">
        <v>49391189</v>
      </c>
      <c r="L12" s="48">
        <f t="shared" si="1"/>
        <v>400269980.94</v>
      </c>
      <c r="M12" s="36">
        <v>26053743</v>
      </c>
      <c r="N12" s="48">
        <f t="shared" si="2"/>
        <v>1415588960.9400001</v>
      </c>
      <c r="O12" s="48">
        <v>1415588960.9400001</v>
      </c>
      <c r="P12" s="35">
        <f t="shared" si="3"/>
        <v>0</v>
      </c>
    </row>
    <row r="13" spans="1:23" x14ac:dyDescent="0.3">
      <c r="B13" s="24">
        <v>2013</v>
      </c>
      <c r="C13" s="36">
        <v>511765691</v>
      </c>
      <c r="D13" s="36">
        <v>103261715</v>
      </c>
      <c r="E13" s="36">
        <v>562971747.00999999</v>
      </c>
      <c r="F13" s="36">
        <v>-69209156</v>
      </c>
      <c r="G13" s="36">
        <v>39784929</v>
      </c>
      <c r="H13" s="36">
        <v>-152987</v>
      </c>
      <c r="I13" s="48">
        <f t="shared" si="0"/>
        <v>1148421939.01</v>
      </c>
      <c r="J13" s="36">
        <v>388918836.60000002</v>
      </c>
      <c r="K13" s="36">
        <v>53703907</v>
      </c>
      <c r="L13" s="48">
        <f t="shared" si="1"/>
        <v>442622743.60000002</v>
      </c>
      <c r="M13" s="36">
        <v>41422598.289999999</v>
      </c>
      <c r="N13" s="48">
        <f t="shared" si="2"/>
        <v>1632467280.9000001</v>
      </c>
      <c r="O13" s="48">
        <v>1632467280.9000001</v>
      </c>
      <c r="P13" s="35">
        <f t="shared" si="3"/>
        <v>0</v>
      </c>
    </row>
    <row r="14" spans="1:23" x14ac:dyDescent="0.3">
      <c r="B14" s="24">
        <v>2014</v>
      </c>
      <c r="C14" s="36">
        <v>527929569</v>
      </c>
      <c r="D14" s="36">
        <v>125317539</v>
      </c>
      <c r="E14" s="36">
        <v>571007696.63000011</v>
      </c>
      <c r="F14" s="36">
        <v>-61279958</v>
      </c>
      <c r="G14" s="36">
        <v>43989777</v>
      </c>
      <c r="H14" s="36">
        <v>-294712</v>
      </c>
      <c r="I14" s="48">
        <f t="shared" si="0"/>
        <v>1206669911.6300001</v>
      </c>
      <c r="J14" s="36">
        <v>433496944.44</v>
      </c>
      <c r="K14" s="36">
        <v>45730928</v>
      </c>
      <c r="L14" s="48">
        <f t="shared" si="1"/>
        <v>479227872.44</v>
      </c>
      <c r="M14" s="36">
        <v>43163005.329999998</v>
      </c>
      <c r="N14" s="48">
        <f t="shared" si="2"/>
        <v>1729060789.4000001</v>
      </c>
      <c r="O14" s="48">
        <v>1729060789.4000001</v>
      </c>
      <c r="P14" s="35">
        <f t="shared" si="3"/>
        <v>0</v>
      </c>
    </row>
    <row r="15" spans="1:23" x14ac:dyDescent="0.3">
      <c r="B15" s="24">
        <v>2015</v>
      </c>
      <c r="C15" s="36">
        <v>513553793</v>
      </c>
      <c r="D15" s="36">
        <v>127929530</v>
      </c>
      <c r="E15" s="36">
        <v>634820878.83999991</v>
      </c>
      <c r="F15" s="36">
        <v>-66831596</v>
      </c>
      <c r="G15" s="36">
        <v>43069133</v>
      </c>
      <c r="H15" s="36">
        <v>-64643</v>
      </c>
      <c r="I15" s="48">
        <f t="shared" si="0"/>
        <v>1252477095.8399999</v>
      </c>
      <c r="J15" s="36">
        <v>454136774.61000001</v>
      </c>
      <c r="K15" s="36">
        <v>47350815</v>
      </c>
      <c r="L15" s="48">
        <f t="shared" si="1"/>
        <v>501487589.61000001</v>
      </c>
      <c r="M15" s="36">
        <v>43557015.049999997</v>
      </c>
      <c r="N15" s="48">
        <f t="shared" si="2"/>
        <v>1797521700.4999998</v>
      </c>
      <c r="O15" s="48">
        <v>1797521700.5</v>
      </c>
      <c r="P15" s="35">
        <f t="shared" si="3"/>
        <v>0</v>
      </c>
    </row>
    <row r="16" spans="1:23" x14ac:dyDescent="0.3">
      <c r="B16" s="24">
        <v>2016</v>
      </c>
      <c r="C16" s="36">
        <v>530168227</v>
      </c>
      <c r="D16" s="36">
        <v>137231216</v>
      </c>
      <c r="E16" s="36">
        <v>666004662.94000006</v>
      </c>
      <c r="F16" s="36">
        <v>-67288910</v>
      </c>
      <c r="G16" s="36">
        <v>43327109</v>
      </c>
      <c r="H16" s="36">
        <v>-30134</v>
      </c>
      <c r="I16" s="48">
        <f t="shared" si="0"/>
        <v>1309412170.9400001</v>
      </c>
      <c r="J16" s="36">
        <v>484712976.02999997</v>
      </c>
      <c r="K16" s="36">
        <v>49008092</v>
      </c>
      <c r="L16" s="48">
        <f t="shared" si="1"/>
        <v>533721068.02999997</v>
      </c>
      <c r="M16" s="36">
        <v>49274358.609999999</v>
      </c>
      <c r="N16" s="48">
        <f t="shared" si="2"/>
        <v>1892407597.5799999</v>
      </c>
      <c r="O16" s="48">
        <v>1892407597.5799999</v>
      </c>
      <c r="P16" s="35">
        <f t="shared" si="3"/>
        <v>0</v>
      </c>
    </row>
    <row r="17" spans="1:23" x14ac:dyDescent="0.3">
      <c r="B17" s="24">
        <v>2017</v>
      </c>
      <c r="C17" s="36">
        <v>544654068</v>
      </c>
      <c r="D17" s="36">
        <v>152778477</v>
      </c>
      <c r="E17" s="36">
        <v>711925770.5999999</v>
      </c>
      <c r="F17" s="36">
        <v>-66043334</v>
      </c>
      <c r="G17" s="36">
        <v>41128707</v>
      </c>
      <c r="H17" s="36">
        <v>-158040</v>
      </c>
      <c r="I17" s="48">
        <f t="shared" si="0"/>
        <v>1384285648.5999999</v>
      </c>
      <c r="J17" s="36">
        <v>528951320.05999994</v>
      </c>
      <c r="K17" s="36">
        <v>50285364</v>
      </c>
      <c r="L17" s="48">
        <f t="shared" si="1"/>
        <v>579236684.05999994</v>
      </c>
      <c r="M17" s="36">
        <v>70806013.290000007</v>
      </c>
      <c r="N17" s="48">
        <f t="shared" si="2"/>
        <v>2034328345.9499998</v>
      </c>
      <c r="O17" s="48">
        <v>2034328345.95</v>
      </c>
      <c r="P17" s="35">
        <f t="shared" si="3"/>
        <v>0</v>
      </c>
    </row>
    <row r="18" spans="1:23" s="35" customFormat="1" x14ac:dyDescent="0.3">
      <c r="A18" s="15"/>
      <c r="B18" s="24">
        <v>2018</v>
      </c>
      <c r="C18" s="36">
        <v>520139750</v>
      </c>
      <c r="D18" s="36">
        <v>153240671</v>
      </c>
      <c r="E18" s="36">
        <v>709843512.8900001</v>
      </c>
      <c r="F18" s="36">
        <v>-65727430</v>
      </c>
      <c r="G18" s="36">
        <v>36301669</v>
      </c>
      <c r="H18" s="36">
        <v>-130406</v>
      </c>
      <c r="I18" s="48">
        <f t="shared" si="0"/>
        <v>1353667766.8900001</v>
      </c>
      <c r="J18" s="36">
        <v>527424187.41999996</v>
      </c>
      <c r="K18" s="36">
        <v>50865821</v>
      </c>
      <c r="L18" s="48">
        <f t="shared" si="1"/>
        <v>578290008.41999996</v>
      </c>
      <c r="M18" s="35">
        <v>66763125.520000003</v>
      </c>
      <c r="N18" s="48">
        <f t="shared" si="2"/>
        <v>1998720900.8299999</v>
      </c>
      <c r="O18" s="48">
        <v>1998720900.8299999</v>
      </c>
      <c r="P18" s="35">
        <f t="shared" si="3"/>
        <v>0</v>
      </c>
    </row>
    <row r="19" spans="1:23" s="35" customFormat="1" ht="15" thickBot="1" x14ac:dyDescent="0.35">
      <c r="A19" s="15"/>
      <c r="B19" s="24"/>
      <c r="C19" s="36"/>
      <c r="D19" s="36"/>
      <c r="E19" s="36"/>
      <c r="F19" s="36"/>
      <c r="G19" s="36"/>
      <c r="H19" s="36"/>
      <c r="I19" s="46">
        <f>SUM(I8:I18)</f>
        <v>11610391997.17</v>
      </c>
      <c r="J19" s="36"/>
      <c r="K19" s="15"/>
      <c r="L19" s="46">
        <f>SUM(L8:L18)</f>
        <v>4726375724.7799997</v>
      </c>
      <c r="M19" s="46">
        <f>SUM(M8:M18)</f>
        <v>428821987.09000003</v>
      </c>
      <c r="N19" s="46">
        <f>SUM(N8:N18)</f>
        <v>16765589709.039999</v>
      </c>
      <c r="O19" s="46">
        <f>SUM(O8:O18)</f>
        <v>16765589709.039999</v>
      </c>
      <c r="P19" s="35">
        <f>SUM(P8:P18)</f>
        <v>0</v>
      </c>
    </row>
    <row r="20" spans="1:23" s="35" customFormat="1" ht="15" thickTop="1" x14ac:dyDescent="0.3">
      <c r="A20" s="15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</row>
    <row r="21" spans="1:23" s="35" customFormat="1" x14ac:dyDescent="0.3">
      <c r="A21" s="15"/>
      <c r="B21" s="2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45"/>
      <c r="N21" s="45"/>
    </row>
    <row r="22" spans="1:23" s="35" customFormat="1" x14ac:dyDescent="0.3">
      <c r="A22" s="64" t="s">
        <v>631</v>
      </c>
      <c r="B22" s="281" t="s">
        <v>640</v>
      </c>
      <c r="C22" s="24"/>
      <c r="D22" s="24"/>
      <c r="E22" s="24"/>
      <c r="F22" s="24"/>
      <c r="G22" s="24"/>
      <c r="H22" s="24"/>
      <c r="I22" s="24"/>
      <c r="J22" s="24"/>
      <c r="K22" s="24"/>
      <c r="L22" s="24"/>
    </row>
    <row r="24" spans="1:23" s="35" customFormat="1" x14ac:dyDescent="0.3">
      <c r="A24" s="15"/>
      <c r="B24" s="24"/>
      <c r="C24" s="24"/>
      <c r="D24" s="24"/>
      <c r="E24" s="24"/>
      <c r="F24" s="24"/>
      <c r="G24" s="24"/>
      <c r="H24" s="36"/>
      <c r="I24" s="36"/>
      <c r="J24" s="24"/>
      <c r="K24" s="36"/>
      <c r="L24" s="36"/>
    </row>
    <row r="25" spans="1:23" s="35" customFormat="1" x14ac:dyDescent="0.3">
      <c r="A25" s="15"/>
      <c r="B25" s="24" t="s">
        <v>639</v>
      </c>
      <c r="C25" s="24"/>
      <c r="D25" s="24"/>
      <c r="E25" s="24"/>
      <c r="F25" s="24"/>
      <c r="G25" s="24"/>
      <c r="H25" s="36"/>
      <c r="I25" s="36"/>
      <c r="J25" s="24"/>
      <c r="K25" s="36"/>
      <c r="L25" s="36"/>
    </row>
    <row r="26" spans="1:23" s="35" customFormat="1" ht="15" thickBot="1" x14ac:dyDescent="0.35">
      <c r="A26" s="15"/>
      <c r="B26" s="24"/>
      <c r="C26" s="24"/>
      <c r="D26" s="24"/>
      <c r="E26" s="24"/>
      <c r="F26" s="24"/>
      <c r="G26" s="24"/>
      <c r="H26" s="36"/>
      <c r="I26" s="36"/>
      <c r="J26" s="24"/>
      <c r="K26" s="36"/>
      <c r="L26" s="36"/>
    </row>
    <row r="27" spans="1:23" s="66" customFormat="1" ht="15.75" customHeight="1" thickBot="1" x14ac:dyDescent="0.35">
      <c r="B27" s="64"/>
      <c r="C27" s="506" t="s">
        <v>8</v>
      </c>
      <c r="D27" s="507"/>
      <c r="E27" s="507"/>
      <c r="F27" s="507"/>
      <c r="G27" s="507"/>
      <c r="H27" s="507"/>
      <c r="I27" s="508"/>
      <c r="J27" s="506" t="s">
        <v>10</v>
      </c>
      <c r="K27" s="507"/>
      <c r="L27" s="508"/>
      <c r="M27" s="509" t="s">
        <v>638</v>
      </c>
      <c r="N27" s="509" t="s">
        <v>637</v>
      </c>
      <c r="O27" s="509" t="s">
        <v>636</v>
      </c>
      <c r="P27" s="45"/>
      <c r="Q27" s="45"/>
      <c r="R27" s="45"/>
      <c r="S27" s="45"/>
      <c r="T27" s="45"/>
      <c r="V27" s="45"/>
      <c r="W27" s="45"/>
    </row>
    <row r="28" spans="1:23" s="24" customFormat="1" ht="43.8" thickBot="1" x14ac:dyDescent="0.35">
      <c r="B28" s="44" t="s">
        <v>112</v>
      </c>
      <c r="C28" s="43" t="s">
        <v>185</v>
      </c>
      <c r="D28" s="41" t="s">
        <v>65</v>
      </c>
      <c r="E28" s="41" t="s">
        <v>66</v>
      </c>
      <c r="F28" s="41" t="s">
        <v>635</v>
      </c>
      <c r="G28" s="41" t="s">
        <v>629</v>
      </c>
      <c r="H28" s="41" t="s">
        <v>628</v>
      </c>
      <c r="I28" s="42" t="s">
        <v>627</v>
      </c>
      <c r="J28" s="41" t="s">
        <v>66</v>
      </c>
      <c r="K28" s="41" t="s">
        <v>77</v>
      </c>
      <c r="L28" s="40" t="s">
        <v>626</v>
      </c>
      <c r="M28" s="510"/>
      <c r="N28" s="510"/>
      <c r="O28" s="510"/>
      <c r="P28" s="36" t="s">
        <v>634</v>
      </c>
      <c r="S28" s="39" t="s">
        <v>633</v>
      </c>
      <c r="T28" s="39" t="s">
        <v>632</v>
      </c>
      <c r="V28" s="39" t="s">
        <v>318</v>
      </c>
      <c r="W28" s="39" t="s">
        <v>336</v>
      </c>
    </row>
    <row r="29" spans="1:23" s="24" customFormat="1" ht="15" thickBot="1" x14ac:dyDescent="0.35">
      <c r="B29" s="75">
        <v>2007</v>
      </c>
      <c r="C29" s="74"/>
      <c r="D29" s="74"/>
      <c r="E29" s="74"/>
      <c r="F29" s="74"/>
      <c r="G29" s="74"/>
      <c r="H29" s="74"/>
      <c r="I29" s="127"/>
      <c r="J29" s="74"/>
      <c r="K29" s="74"/>
      <c r="L29" s="128"/>
      <c r="M29" s="129"/>
      <c r="N29" s="129"/>
      <c r="O29" s="129"/>
      <c r="P29" s="36"/>
      <c r="Q29" s="36"/>
      <c r="R29" s="36"/>
      <c r="S29" s="36"/>
      <c r="T29" s="36"/>
      <c r="V29" s="36"/>
      <c r="W29" s="36"/>
    </row>
    <row r="30" spans="1:23" s="24" customFormat="1" x14ac:dyDescent="0.3">
      <c r="A30" s="64" t="s">
        <v>631</v>
      </c>
      <c r="B30" s="64">
        <v>2008</v>
      </c>
      <c r="C30" s="36">
        <f t="shared" ref="C30:O30" si="4">C8</f>
        <v>200764854.79535913</v>
      </c>
      <c r="D30" s="36">
        <f t="shared" si="4"/>
        <v>55745701.675906241</v>
      </c>
      <c r="E30" s="36">
        <f t="shared" si="4"/>
        <v>362738039.98106241</v>
      </c>
      <c r="F30" s="36">
        <f t="shared" si="4"/>
        <v>-46717847.382135198</v>
      </c>
      <c r="G30" s="36">
        <f t="shared" si="4"/>
        <v>15993726.531652041</v>
      </c>
      <c r="H30" s="36">
        <f t="shared" si="4"/>
        <v>-107145.60184477615</v>
      </c>
      <c r="I30" s="48">
        <f t="shared" si="4"/>
        <v>588417329.99999988</v>
      </c>
      <c r="J30" s="36">
        <f t="shared" si="4"/>
        <v>195034254.93583822</v>
      </c>
      <c r="K30" s="36">
        <f t="shared" si="4"/>
        <v>30889121.734161761</v>
      </c>
      <c r="L30" s="51">
        <f t="shared" si="4"/>
        <v>225923376.66999999</v>
      </c>
      <c r="M30" s="36">
        <f t="shared" si="4"/>
        <v>17674062</v>
      </c>
      <c r="N30" s="51">
        <f t="shared" si="4"/>
        <v>832014768.66999984</v>
      </c>
      <c r="O30" s="50">
        <f t="shared" si="4"/>
        <v>832014768.66999996</v>
      </c>
      <c r="P30" s="35">
        <f t="shared" ref="P30:P40" si="5">O30-N30</f>
        <v>0</v>
      </c>
      <c r="Q30" s="47">
        <f>'Electric Bonus'!J25</f>
        <v>0.6462</v>
      </c>
      <c r="R30" s="47">
        <f t="shared" ref="R30:R40" si="6">1-Q30</f>
        <v>0.3538</v>
      </c>
      <c r="S30" s="36">
        <f t="shared" ref="S30:S40" si="7">SUM(F30:G30)+(M30*Q30)</f>
        <v>-19303141.986083157</v>
      </c>
      <c r="T30" s="36">
        <f t="shared" ref="T30:T40" si="8">K30+(M30*R30)</f>
        <v>37142204.869761758</v>
      </c>
      <c r="V30" s="36">
        <f t="shared" ref="V30:V40" si="9">I30+(M30*Q30)</f>
        <v>599838308.86439991</v>
      </c>
      <c r="W30" s="36">
        <f t="shared" ref="W30:W40" si="10">L30+(M30*R30)</f>
        <v>232176459.80559999</v>
      </c>
    </row>
    <row r="31" spans="1:23" s="24" customFormat="1" x14ac:dyDescent="0.3">
      <c r="A31" s="64" t="s">
        <v>631</v>
      </c>
      <c r="B31" s="64">
        <v>2009</v>
      </c>
      <c r="C31" s="36">
        <f t="shared" ref="C31:O31" si="11">AVERAGE(C8:C9)</f>
        <v>222872503.50591493</v>
      </c>
      <c r="D31" s="36">
        <f t="shared" si="11"/>
        <v>61884258.103178203</v>
      </c>
      <c r="E31" s="36">
        <f t="shared" si="11"/>
        <v>406795662.99034625</v>
      </c>
      <c r="F31" s="36">
        <f t="shared" si="11"/>
        <v>-51862282.445186265</v>
      </c>
      <c r="G31" s="36">
        <f t="shared" si="11"/>
        <v>17754909.723276235</v>
      </c>
      <c r="H31" s="36">
        <f t="shared" si="11"/>
        <v>-118944.16752939188</v>
      </c>
      <c r="I31" s="48">
        <f t="shared" si="11"/>
        <v>657326107.70999992</v>
      </c>
      <c r="J31" s="36">
        <f t="shared" si="11"/>
        <v>221855695.64139649</v>
      </c>
      <c r="K31" s="36">
        <f t="shared" si="11"/>
        <v>34290543.028603517</v>
      </c>
      <c r="L31" s="48">
        <f t="shared" si="11"/>
        <v>256146238.67000002</v>
      </c>
      <c r="M31" s="36">
        <f t="shared" si="11"/>
        <v>14612842.5</v>
      </c>
      <c r="N31" s="48">
        <f t="shared" si="11"/>
        <v>928085188.87999988</v>
      </c>
      <c r="O31" s="49">
        <f t="shared" si="11"/>
        <v>928085188.88</v>
      </c>
      <c r="P31" s="35">
        <f t="shared" si="5"/>
        <v>0</v>
      </c>
      <c r="Q31" s="47">
        <f>'Electric Bonus'!J26</f>
        <v>0.64790000000000003</v>
      </c>
      <c r="R31" s="47">
        <f t="shared" si="6"/>
        <v>0.35209999999999997</v>
      </c>
      <c r="S31" s="36">
        <f t="shared" si="7"/>
        <v>-24639712.066160031</v>
      </c>
      <c r="T31" s="36">
        <f t="shared" si="8"/>
        <v>39435724.872853518</v>
      </c>
      <c r="V31" s="36">
        <f t="shared" si="9"/>
        <v>666793768.36574996</v>
      </c>
      <c r="W31" s="36">
        <f t="shared" si="10"/>
        <v>261291420.51425001</v>
      </c>
    </row>
    <row r="32" spans="1:23" s="24" customFormat="1" x14ac:dyDescent="0.3">
      <c r="A32" s="64" t="s">
        <v>631</v>
      </c>
      <c r="B32" s="64">
        <v>2010</v>
      </c>
      <c r="C32" s="36">
        <f t="shared" ref="C32:O32" si="12">AVERAGE(C9:C10)</f>
        <v>265118872.59558469</v>
      </c>
      <c r="D32" s="36">
        <f t="shared" si="12"/>
        <v>73614665.253191978</v>
      </c>
      <c r="E32" s="36">
        <f t="shared" si="12"/>
        <v>489132193.39692485</v>
      </c>
      <c r="F32" s="36">
        <f t="shared" si="12"/>
        <v>-61692984.265942246</v>
      </c>
      <c r="G32" s="36">
        <f t="shared" si="12"/>
        <v>21120423.447598845</v>
      </c>
      <c r="H32" s="36">
        <f t="shared" si="12"/>
        <v>-141490.50735805923</v>
      </c>
      <c r="I32" s="48">
        <f t="shared" si="12"/>
        <v>787151679.91999996</v>
      </c>
      <c r="J32" s="36">
        <f t="shared" si="12"/>
        <v>267788670.38511899</v>
      </c>
      <c r="K32" s="36">
        <f t="shared" si="12"/>
        <v>40790451.784881026</v>
      </c>
      <c r="L32" s="48">
        <f t="shared" si="12"/>
        <v>308579122.17000002</v>
      </c>
      <c r="M32" s="36">
        <f t="shared" si="12"/>
        <v>17684426</v>
      </c>
      <c r="N32" s="48">
        <f t="shared" si="12"/>
        <v>1113415228.0899999</v>
      </c>
      <c r="O32" s="49">
        <f t="shared" si="12"/>
        <v>1113415228.0899999</v>
      </c>
      <c r="P32" s="35">
        <f t="shared" si="5"/>
        <v>0</v>
      </c>
      <c r="Q32" s="47">
        <f>'Electric Bonus'!J27</f>
        <v>0.66510000000000002</v>
      </c>
      <c r="R32" s="47">
        <f t="shared" si="6"/>
        <v>0.33489999999999998</v>
      </c>
      <c r="S32" s="36">
        <f t="shared" si="7"/>
        <v>-28810649.085743401</v>
      </c>
      <c r="T32" s="36">
        <f t="shared" si="8"/>
        <v>46712966.052281022</v>
      </c>
      <c r="V32" s="36">
        <f t="shared" si="9"/>
        <v>798913591.65259993</v>
      </c>
      <c r="W32" s="36">
        <f t="shared" si="10"/>
        <v>314501636.43740004</v>
      </c>
    </row>
    <row r="33" spans="1:23" x14ac:dyDescent="0.3">
      <c r="B33" s="24">
        <v>2011</v>
      </c>
      <c r="C33" s="36">
        <f t="shared" ref="C33:O33" si="13">AVERAGE(C10:C11)</f>
        <v>288556078.98734939</v>
      </c>
      <c r="D33" s="36">
        <f t="shared" si="13"/>
        <v>80122395.487966895</v>
      </c>
      <c r="E33" s="36">
        <f t="shared" si="13"/>
        <v>501404812.10710979</v>
      </c>
      <c r="F33" s="36">
        <f t="shared" si="13"/>
        <v>-67146806.51182358</v>
      </c>
      <c r="G33" s="36">
        <f t="shared" si="13"/>
        <v>22987524.490148626</v>
      </c>
      <c r="H33" s="36">
        <f t="shared" si="13"/>
        <v>-153998.64075105538</v>
      </c>
      <c r="I33" s="48">
        <f t="shared" si="13"/>
        <v>825770005.91999996</v>
      </c>
      <c r="J33" s="36">
        <f t="shared" si="13"/>
        <v>305217215.04664159</v>
      </c>
      <c r="K33" s="36">
        <f t="shared" si="13"/>
        <v>44396435.123358399</v>
      </c>
      <c r="L33" s="48">
        <f t="shared" si="13"/>
        <v>349613650.17000002</v>
      </c>
      <c r="M33" s="36">
        <f t="shared" si="13"/>
        <v>29278221.5</v>
      </c>
      <c r="N33" s="48">
        <f t="shared" si="13"/>
        <v>1204661877.5899999</v>
      </c>
      <c r="O33" s="48">
        <f t="shared" si="13"/>
        <v>1204661877.5899999</v>
      </c>
      <c r="P33" s="35">
        <f t="shared" si="5"/>
        <v>0</v>
      </c>
      <c r="Q33" s="47">
        <f>'Electric Bonus'!J28</f>
        <v>0.65949999999999998</v>
      </c>
      <c r="R33" s="47">
        <f t="shared" si="6"/>
        <v>0.34050000000000002</v>
      </c>
      <c r="S33" s="36">
        <f t="shared" si="7"/>
        <v>-24850294.942424953</v>
      </c>
      <c r="T33" s="36">
        <f t="shared" si="8"/>
        <v>54365669.544108398</v>
      </c>
      <c r="V33" s="36">
        <f t="shared" si="9"/>
        <v>845078992.99924994</v>
      </c>
      <c r="W33" s="36">
        <f t="shared" si="10"/>
        <v>359582884.59075004</v>
      </c>
    </row>
    <row r="34" spans="1:23" x14ac:dyDescent="0.3">
      <c r="B34" s="24">
        <v>2012</v>
      </c>
      <c r="C34" s="36">
        <f t="shared" ref="C34:O34" si="14">AVERAGE(C11:C12)</f>
        <v>351429182.5</v>
      </c>
      <c r="D34" s="36">
        <f t="shared" si="14"/>
        <v>86485814.5</v>
      </c>
      <c r="E34" s="36">
        <f t="shared" si="14"/>
        <v>501044525.20999998</v>
      </c>
      <c r="F34" s="36">
        <f t="shared" si="14"/>
        <v>-67606972</v>
      </c>
      <c r="G34" s="36">
        <f t="shared" si="14"/>
        <v>25171810.5</v>
      </c>
      <c r="H34" s="36">
        <f t="shared" si="14"/>
        <v>-155973.5</v>
      </c>
      <c r="I34" s="48">
        <f t="shared" si="14"/>
        <v>896368387.21000004</v>
      </c>
      <c r="J34" s="36">
        <f t="shared" si="14"/>
        <v>337206508.80500001</v>
      </c>
      <c r="K34" s="36">
        <f t="shared" si="14"/>
        <v>47147560</v>
      </c>
      <c r="L34" s="48">
        <f t="shared" si="14"/>
        <v>384354068.80500001</v>
      </c>
      <c r="M34" s="36">
        <f t="shared" si="14"/>
        <v>30396478.5</v>
      </c>
      <c r="N34" s="48">
        <f t="shared" si="14"/>
        <v>1311118934.5149999</v>
      </c>
      <c r="O34" s="48">
        <f t="shared" si="14"/>
        <v>1311118934.5149999</v>
      </c>
      <c r="P34" s="35">
        <f t="shared" si="5"/>
        <v>0</v>
      </c>
      <c r="Q34" s="47">
        <f>'Electric Bonus'!J29</f>
        <v>0.67110000000000003</v>
      </c>
      <c r="R34" s="47">
        <f t="shared" si="6"/>
        <v>0.32889999999999997</v>
      </c>
      <c r="S34" s="36">
        <f t="shared" si="7"/>
        <v>-22036084.778650001</v>
      </c>
      <c r="T34" s="36">
        <f t="shared" si="8"/>
        <v>57144961.778650001</v>
      </c>
      <c r="V34" s="36">
        <f t="shared" si="9"/>
        <v>916767463.93134999</v>
      </c>
      <c r="W34" s="36">
        <f t="shared" si="10"/>
        <v>394351470.58364999</v>
      </c>
    </row>
    <row r="35" spans="1:23" x14ac:dyDescent="0.3">
      <c r="B35" s="24">
        <v>2013</v>
      </c>
      <c r="C35" s="36">
        <f t="shared" ref="C35:O35" si="15">AVERAGE(C12:C13)</f>
        <v>461384745.5</v>
      </c>
      <c r="D35" s="36">
        <f t="shared" si="15"/>
        <v>97597534.5</v>
      </c>
      <c r="E35" s="36">
        <f t="shared" si="15"/>
        <v>544831137.005</v>
      </c>
      <c r="F35" s="36">
        <f t="shared" si="15"/>
        <v>-68254369</v>
      </c>
      <c r="G35" s="36">
        <f t="shared" si="15"/>
        <v>33439127.5</v>
      </c>
      <c r="H35" s="36">
        <f t="shared" si="15"/>
        <v>-154587.5</v>
      </c>
      <c r="I35" s="48">
        <f t="shared" si="15"/>
        <v>1068843588.005</v>
      </c>
      <c r="J35" s="36">
        <f t="shared" si="15"/>
        <v>369898814.26999998</v>
      </c>
      <c r="K35" s="36">
        <f t="shared" si="15"/>
        <v>51547548</v>
      </c>
      <c r="L35" s="48">
        <f t="shared" si="15"/>
        <v>421446362.26999998</v>
      </c>
      <c r="M35" s="36">
        <f t="shared" si="15"/>
        <v>33738170.644999996</v>
      </c>
      <c r="N35" s="48">
        <f t="shared" si="15"/>
        <v>1524028120.9200001</v>
      </c>
      <c r="O35" s="48">
        <f t="shared" si="15"/>
        <v>1524028120.9200001</v>
      </c>
      <c r="P35" s="35">
        <f t="shared" si="5"/>
        <v>0</v>
      </c>
      <c r="Q35" s="47">
        <f>'Electric Bonus'!J30</f>
        <v>0.67979999999999996</v>
      </c>
      <c r="R35" s="47">
        <f t="shared" si="6"/>
        <v>0.32020000000000004</v>
      </c>
      <c r="S35" s="36">
        <f t="shared" si="7"/>
        <v>-11880033.095529005</v>
      </c>
      <c r="T35" s="36">
        <f t="shared" si="8"/>
        <v>62350510.240529001</v>
      </c>
      <c r="V35" s="36">
        <f t="shared" si="9"/>
        <v>1091778796.409471</v>
      </c>
      <c r="W35" s="36">
        <f t="shared" si="10"/>
        <v>432249324.51052898</v>
      </c>
    </row>
    <row r="36" spans="1:23" x14ac:dyDescent="0.3">
      <c r="B36" s="24">
        <v>2014</v>
      </c>
      <c r="C36" s="36">
        <f t="shared" ref="C36:O36" si="16">AVERAGE(C13:C14)</f>
        <v>519847630</v>
      </c>
      <c r="D36" s="36">
        <f t="shared" si="16"/>
        <v>114289627</v>
      </c>
      <c r="E36" s="36">
        <f t="shared" si="16"/>
        <v>566989721.82000005</v>
      </c>
      <c r="F36" s="36">
        <f t="shared" si="16"/>
        <v>-65244557</v>
      </c>
      <c r="G36" s="36">
        <f t="shared" si="16"/>
        <v>41887353</v>
      </c>
      <c r="H36" s="36">
        <f t="shared" si="16"/>
        <v>-223849.5</v>
      </c>
      <c r="I36" s="48">
        <f t="shared" si="16"/>
        <v>1177545925.3200002</v>
      </c>
      <c r="J36" s="36">
        <f t="shared" si="16"/>
        <v>411207890.51999998</v>
      </c>
      <c r="K36" s="36">
        <f t="shared" si="16"/>
        <v>49717417.5</v>
      </c>
      <c r="L36" s="48">
        <f t="shared" si="16"/>
        <v>460925308.01999998</v>
      </c>
      <c r="M36" s="36">
        <f t="shared" si="16"/>
        <v>42292801.810000002</v>
      </c>
      <c r="N36" s="48">
        <f t="shared" si="16"/>
        <v>1680764035.1500001</v>
      </c>
      <c r="O36" s="48">
        <f t="shared" si="16"/>
        <v>1680764035.1500001</v>
      </c>
      <c r="P36" s="35">
        <f t="shared" si="5"/>
        <v>0</v>
      </c>
      <c r="Q36" s="47">
        <f>'Electric Bonus'!J31</f>
        <v>0.6855</v>
      </c>
      <c r="R36" s="47">
        <f t="shared" si="6"/>
        <v>0.3145</v>
      </c>
      <c r="S36" s="36">
        <f t="shared" si="7"/>
        <v>5634511.6407550015</v>
      </c>
      <c r="T36" s="36">
        <f t="shared" si="8"/>
        <v>63018503.669245005</v>
      </c>
      <c r="V36" s="36">
        <f t="shared" si="9"/>
        <v>1206537640.9607551</v>
      </c>
      <c r="W36" s="36">
        <f t="shared" si="10"/>
        <v>474226394.18924499</v>
      </c>
    </row>
    <row r="37" spans="1:23" x14ac:dyDescent="0.3">
      <c r="B37" s="24">
        <v>2015</v>
      </c>
      <c r="C37" s="36">
        <f t="shared" ref="C37:O37" si="17">AVERAGE(C14:C15)</f>
        <v>520741681</v>
      </c>
      <c r="D37" s="36">
        <f t="shared" si="17"/>
        <v>126623534.5</v>
      </c>
      <c r="E37" s="36">
        <f t="shared" si="17"/>
        <v>602914287.73500001</v>
      </c>
      <c r="F37" s="36">
        <f t="shared" si="17"/>
        <v>-64055777</v>
      </c>
      <c r="G37" s="36">
        <f t="shared" si="17"/>
        <v>43529455</v>
      </c>
      <c r="H37" s="36">
        <f t="shared" si="17"/>
        <v>-179677.5</v>
      </c>
      <c r="I37" s="48">
        <f t="shared" si="17"/>
        <v>1229573503.7350001</v>
      </c>
      <c r="J37" s="36">
        <f t="shared" si="17"/>
        <v>443816859.52499998</v>
      </c>
      <c r="K37" s="36">
        <f t="shared" si="17"/>
        <v>46540871.5</v>
      </c>
      <c r="L37" s="48">
        <f t="shared" si="17"/>
        <v>490357731.02499998</v>
      </c>
      <c r="M37" s="36">
        <f t="shared" si="17"/>
        <v>43360010.189999998</v>
      </c>
      <c r="N37" s="48">
        <f t="shared" si="17"/>
        <v>1763291244.9499998</v>
      </c>
      <c r="O37" s="48">
        <f t="shared" si="17"/>
        <v>1763291244.95</v>
      </c>
      <c r="P37" s="35">
        <f t="shared" si="5"/>
        <v>0</v>
      </c>
      <c r="Q37" s="47">
        <f>'Electric Bonus'!J32</f>
        <v>0.68410000000000004</v>
      </c>
      <c r="R37" s="47">
        <f t="shared" si="6"/>
        <v>0.31589999999999996</v>
      </c>
      <c r="S37" s="36">
        <f t="shared" si="7"/>
        <v>9136260.9709790014</v>
      </c>
      <c r="T37" s="36">
        <f t="shared" si="8"/>
        <v>60238298.719021</v>
      </c>
      <c r="V37" s="36">
        <f t="shared" si="9"/>
        <v>1259236086.7059791</v>
      </c>
      <c r="W37" s="36">
        <f t="shared" si="10"/>
        <v>504055158.244021</v>
      </c>
    </row>
    <row r="38" spans="1:23" x14ac:dyDescent="0.3">
      <c r="B38" s="24">
        <v>2016</v>
      </c>
      <c r="C38" s="36">
        <f t="shared" ref="C38:O38" si="18">AVERAGE(C15:C16)</f>
        <v>521861010</v>
      </c>
      <c r="D38" s="36">
        <f t="shared" si="18"/>
        <v>132580373</v>
      </c>
      <c r="E38" s="36">
        <f t="shared" si="18"/>
        <v>650412770.88999999</v>
      </c>
      <c r="F38" s="36">
        <f t="shared" si="18"/>
        <v>-67060253</v>
      </c>
      <c r="G38" s="36">
        <f t="shared" si="18"/>
        <v>43198121</v>
      </c>
      <c r="H38" s="36">
        <f t="shared" si="18"/>
        <v>-47388.5</v>
      </c>
      <c r="I38" s="48">
        <f t="shared" si="18"/>
        <v>1280944633.3899999</v>
      </c>
      <c r="J38" s="36">
        <f t="shared" si="18"/>
        <v>469424875.31999999</v>
      </c>
      <c r="K38" s="36">
        <f t="shared" si="18"/>
        <v>48179453.5</v>
      </c>
      <c r="L38" s="48">
        <f t="shared" si="18"/>
        <v>517604328.81999999</v>
      </c>
      <c r="M38" s="36">
        <f t="shared" si="18"/>
        <v>46415686.829999998</v>
      </c>
      <c r="N38" s="48">
        <f t="shared" si="18"/>
        <v>1844964649.04</v>
      </c>
      <c r="O38" s="48">
        <f t="shared" si="18"/>
        <v>1844964649.04</v>
      </c>
      <c r="P38" s="35">
        <f t="shared" si="5"/>
        <v>0</v>
      </c>
      <c r="Q38" s="47">
        <f>'Electric Bonus'!J33</f>
        <v>0.66769999999999996</v>
      </c>
      <c r="R38" s="47">
        <f t="shared" si="6"/>
        <v>0.33230000000000004</v>
      </c>
      <c r="S38" s="36">
        <f t="shared" si="7"/>
        <v>7129622.0963909961</v>
      </c>
      <c r="T38" s="36">
        <f t="shared" si="8"/>
        <v>63603386.233609006</v>
      </c>
      <c r="V38" s="36">
        <f t="shared" si="9"/>
        <v>1311936387.4863908</v>
      </c>
      <c r="W38" s="36">
        <f t="shared" si="10"/>
        <v>533028261.55360901</v>
      </c>
    </row>
    <row r="39" spans="1:23" x14ac:dyDescent="0.3">
      <c r="B39" s="24">
        <v>2017</v>
      </c>
      <c r="C39" s="36">
        <f t="shared" ref="C39:O39" si="19">AVERAGE(C16:C17)</f>
        <v>537411147.5</v>
      </c>
      <c r="D39" s="36">
        <f t="shared" si="19"/>
        <v>145004846.5</v>
      </c>
      <c r="E39" s="36">
        <f t="shared" si="19"/>
        <v>688965216.76999998</v>
      </c>
      <c r="F39" s="36">
        <f t="shared" si="19"/>
        <v>-66666122</v>
      </c>
      <c r="G39" s="36">
        <f t="shared" si="19"/>
        <v>42227908</v>
      </c>
      <c r="H39" s="36">
        <f t="shared" si="19"/>
        <v>-94087</v>
      </c>
      <c r="I39" s="48">
        <f t="shared" si="19"/>
        <v>1346848909.77</v>
      </c>
      <c r="J39" s="36">
        <f t="shared" si="19"/>
        <v>506832148.04499996</v>
      </c>
      <c r="K39" s="36">
        <f t="shared" si="19"/>
        <v>49646728</v>
      </c>
      <c r="L39" s="48">
        <f t="shared" si="19"/>
        <v>556478876.04499996</v>
      </c>
      <c r="M39" s="36">
        <f t="shared" si="19"/>
        <v>60040185.950000003</v>
      </c>
      <c r="N39" s="48">
        <f t="shared" si="19"/>
        <v>1963367971.7649999</v>
      </c>
      <c r="O39" s="48">
        <f t="shared" si="19"/>
        <v>1963367971.7649999</v>
      </c>
      <c r="P39" s="35">
        <f t="shared" si="5"/>
        <v>0</v>
      </c>
      <c r="Q39" s="47">
        <f>'Electric Bonus'!J34</f>
        <v>0.65590000000000004</v>
      </c>
      <c r="R39" s="47">
        <f t="shared" si="6"/>
        <v>0.34409999999999996</v>
      </c>
      <c r="S39" s="36">
        <f t="shared" si="7"/>
        <v>14942143.964605004</v>
      </c>
      <c r="T39" s="36">
        <f t="shared" si="8"/>
        <v>70306555.985394999</v>
      </c>
      <c r="V39" s="36">
        <f t="shared" si="9"/>
        <v>1386229267.7346051</v>
      </c>
      <c r="W39" s="36">
        <f t="shared" si="10"/>
        <v>577138704.03039491</v>
      </c>
    </row>
    <row r="40" spans="1:23" s="35" customFormat="1" x14ac:dyDescent="0.3">
      <c r="A40" s="15"/>
      <c r="B40" s="24">
        <v>2018</v>
      </c>
      <c r="C40" s="36">
        <f t="shared" ref="C40:O40" si="20">AVERAGE(C17:C18)</f>
        <v>532396909</v>
      </c>
      <c r="D40" s="36">
        <f t="shared" si="20"/>
        <v>153009574</v>
      </c>
      <c r="E40" s="36">
        <f t="shared" si="20"/>
        <v>710884641.745</v>
      </c>
      <c r="F40" s="36">
        <f t="shared" si="20"/>
        <v>-65885382</v>
      </c>
      <c r="G40" s="36">
        <f t="shared" si="20"/>
        <v>38715188</v>
      </c>
      <c r="H40" s="36">
        <f t="shared" si="20"/>
        <v>-144223</v>
      </c>
      <c r="I40" s="48">
        <f t="shared" si="20"/>
        <v>1368976707.7449999</v>
      </c>
      <c r="J40" s="36">
        <f t="shared" si="20"/>
        <v>528187753.73999995</v>
      </c>
      <c r="K40" s="36">
        <f t="shared" si="20"/>
        <v>50575592.5</v>
      </c>
      <c r="L40" s="48">
        <f t="shared" si="20"/>
        <v>578763346.24000001</v>
      </c>
      <c r="M40" s="35">
        <f t="shared" si="20"/>
        <v>68784569.405000001</v>
      </c>
      <c r="N40" s="48">
        <f t="shared" si="20"/>
        <v>2016524623.3899999</v>
      </c>
      <c r="O40" s="48">
        <f t="shared" si="20"/>
        <v>2016524623.3899999</v>
      </c>
      <c r="P40" s="35">
        <f t="shared" si="5"/>
        <v>0</v>
      </c>
      <c r="Q40" s="47">
        <f>'Electric Bonus'!J35</f>
        <v>0.66190000000000004</v>
      </c>
      <c r="R40" s="47">
        <f t="shared" si="6"/>
        <v>0.33809999999999996</v>
      </c>
      <c r="S40" s="36">
        <f t="shared" si="7"/>
        <v>18358312.489169501</v>
      </c>
      <c r="T40" s="36">
        <f t="shared" si="8"/>
        <v>73831655.415830493</v>
      </c>
      <c r="V40" s="36">
        <f t="shared" si="9"/>
        <v>1414505214.2341695</v>
      </c>
      <c r="W40" s="36">
        <f t="shared" si="10"/>
        <v>602019409.1558305</v>
      </c>
    </row>
    <row r="41" spans="1:23" s="35" customFormat="1" ht="15" thickBot="1" x14ac:dyDescent="0.35">
      <c r="A41" s="15"/>
      <c r="B41" s="24"/>
      <c r="C41" s="36"/>
      <c r="D41" s="36"/>
      <c r="E41" s="36"/>
      <c r="F41" s="36"/>
      <c r="G41" s="36"/>
      <c r="H41" s="36"/>
      <c r="I41" s="46">
        <f>SUM(I30:I40)</f>
        <v>11227766778.724998</v>
      </c>
      <c r="J41" s="36"/>
      <c r="K41" s="15"/>
      <c r="L41" s="46">
        <f>SUM(L30:L40)</f>
        <v>4550192408.9050007</v>
      </c>
      <c r="M41" s="46">
        <f>SUM(M30:M40)</f>
        <v>404277455.32999992</v>
      </c>
      <c r="N41" s="46">
        <f>SUM(N30:N40)</f>
        <v>16182236642.959999</v>
      </c>
      <c r="O41" s="46">
        <f>SUM(O30:O40)</f>
        <v>16182236642.959999</v>
      </c>
      <c r="P41" s="35">
        <f>SUM(P30:P40)</f>
        <v>0</v>
      </c>
    </row>
    <row r="42" spans="1:23" ht="15" thickTop="1" x14ac:dyDescent="0.3"/>
    <row r="44" spans="1:23" x14ac:dyDescent="0.3">
      <c r="B44" s="24" t="s">
        <v>630</v>
      </c>
    </row>
    <row r="45" spans="1:23" ht="15" thickBot="1" x14ac:dyDescent="0.35">
      <c r="H45" s="36"/>
      <c r="I45" s="36"/>
      <c r="K45" s="36"/>
      <c r="L45" s="36"/>
    </row>
    <row r="46" spans="1:23" ht="15.75" customHeight="1" thickBot="1" x14ac:dyDescent="0.35">
      <c r="B46" s="64"/>
      <c r="C46" s="506" t="s">
        <v>8</v>
      </c>
      <c r="D46" s="507"/>
      <c r="E46" s="507"/>
      <c r="F46" s="507"/>
      <c r="G46" s="507"/>
      <c r="H46" s="507"/>
      <c r="I46" s="508"/>
      <c r="J46" s="506" t="s">
        <v>10</v>
      </c>
      <c r="K46" s="507"/>
      <c r="L46" s="508"/>
      <c r="V46" s="45"/>
      <c r="W46" s="45"/>
    </row>
    <row r="47" spans="1:23" ht="29.4" thickBot="1" x14ac:dyDescent="0.35">
      <c r="B47" s="44" t="s">
        <v>112</v>
      </c>
      <c r="C47" s="43" t="s">
        <v>185</v>
      </c>
      <c r="D47" s="41" t="s">
        <v>65</v>
      </c>
      <c r="E47" s="41" t="s">
        <v>66</v>
      </c>
      <c r="F47" s="41"/>
      <c r="G47" s="41" t="s">
        <v>629</v>
      </c>
      <c r="H47" s="41" t="s">
        <v>628</v>
      </c>
      <c r="I47" s="42" t="s">
        <v>627</v>
      </c>
      <c r="J47" s="41" t="s">
        <v>66</v>
      </c>
      <c r="K47" s="41" t="s">
        <v>77</v>
      </c>
      <c r="L47" s="40" t="s">
        <v>626</v>
      </c>
      <c r="V47" s="39"/>
      <c r="W47" s="39"/>
    </row>
    <row r="48" spans="1:23" ht="15" thickBot="1" x14ac:dyDescent="0.35">
      <c r="B48" s="75">
        <v>2007</v>
      </c>
      <c r="C48" s="74"/>
      <c r="D48" s="74"/>
      <c r="E48" s="74"/>
      <c r="F48" s="74"/>
      <c r="G48" s="74"/>
      <c r="H48" s="74"/>
      <c r="I48" s="127"/>
      <c r="J48" s="74"/>
      <c r="K48" s="74"/>
      <c r="L48" s="128"/>
      <c r="V48" s="36"/>
      <c r="W48" s="36"/>
    </row>
    <row r="49" spans="2:23" ht="15" thickBot="1" x14ac:dyDescent="0.35">
      <c r="B49" s="64">
        <v>2008</v>
      </c>
      <c r="C49" s="38">
        <f t="shared" ref="C49:E59" si="21">C30/$V30</f>
        <v>0.33469828756926601</v>
      </c>
      <c r="D49" s="37">
        <f t="shared" si="21"/>
        <v>9.2934547280654214E-2</v>
      </c>
      <c r="E49" s="37">
        <f t="shared" si="21"/>
        <v>0.60472636478952091</v>
      </c>
      <c r="F49" s="37"/>
      <c r="G49" s="37">
        <f t="shared" ref="G49:G59" si="22">S30/$V30</f>
        <v>-3.2180575499799975E-2</v>
      </c>
      <c r="H49" s="37">
        <f t="shared" ref="H49:H59" si="23">H30/$V30</f>
        <v>-1.7862413964126722E-4</v>
      </c>
      <c r="I49" s="418">
        <f t="shared" ref="I49:I59" si="24">SUM(C49:H49)</f>
        <v>0.99999999999999978</v>
      </c>
      <c r="J49" s="37">
        <f t="shared" ref="J49:J59" si="25">J30/$W30</f>
        <v>0.84002596602230595</v>
      </c>
      <c r="K49" s="37">
        <f t="shared" ref="K49:K59" si="26">T30/$W30</f>
        <v>0.159974033977694</v>
      </c>
      <c r="L49" s="419">
        <f t="shared" ref="L49:L59" si="27">SUM(J49:K49)</f>
        <v>1</v>
      </c>
      <c r="V49" s="36"/>
      <c r="W49" s="36"/>
    </row>
    <row r="50" spans="2:23" ht="15" thickBot="1" x14ac:dyDescent="0.35">
      <c r="B50" s="64">
        <v>2009</v>
      </c>
      <c r="C50" s="38">
        <f t="shared" si="21"/>
        <v>0.33424503059192484</v>
      </c>
      <c r="D50" s="37">
        <f t="shared" si="21"/>
        <v>9.2808692940923573E-2</v>
      </c>
      <c r="E50" s="37">
        <f t="shared" si="21"/>
        <v>0.61007718171596736</v>
      </c>
      <c r="F50" s="37"/>
      <c r="G50" s="37">
        <f t="shared" si="22"/>
        <v>-3.6952523006550726E-2</v>
      </c>
      <c r="H50" s="37">
        <f t="shared" si="23"/>
        <v>-1.7838224226497058E-4</v>
      </c>
      <c r="I50" s="418">
        <f t="shared" si="24"/>
        <v>1</v>
      </c>
      <c r="J50" s="37">
        <f t="shared" si="25"/>
        <v>0.84907378590831761</v>
      </c>
      <c r="K50" s="37">
        <f t="shared" si="26"/>
        <v>0.15092621409168241</v>
      </c>
      <c r="L50" s="419">
        <f t="shared" si="27"/>
        <v>1</v>
      </c>
      <c r="V50" s="36"/>
      <c r="W50" s="36"/>
    </row>
    <row r="51" spans="2:23" ht="15" thickBot="1" x14ac:dyDescent="0.35">
      <c r="B51" s="64">
        <v>2010</v>
      </c>
      <c r="C51" s="38">
        <f t="shared" si="21"/>
        <v>0.33184924548244404</v>
      </c>
      <c r="D51" s="37">
        <f t="shared" si="21"/>
        <v>9.2143463351168797E-2</v>
      </c>
      <c r="E51" s="37">
        <f t="shared" si="21"/>
        <v>0.6122466791247424</v>
      </c>
      <c r="F51" s="37"/>
      <c r="G51" s="37">
        <f t="shared" si="22"/>
        <v>-3.606228431556268E-2</v>
      </c>
      <c r="H51" s="37">
        <f t="shared" si="23"/>
        <v>-1.7710364279242987E-4</v>
      </c>
      <c r="I51" s="418">
        <f t="shared" si="24"/>
        <v>1.0000000000000002</v>
      </c>
      <c r="J51" s="37">
        <f t="shared" si="25"/>
        <v>0.85146987919861261</v>
      </c>
      <c r="K51" s="37">
        <f t="shared" si="26"/>
        <v>0.14853012080138731</v>
      </c>
      <c r="L51" s="419">
        <f t="shared" si="27"/>
        <v>0.99999999999999989</v>
      </c>
      <c r="V51" s="36"/>
      <c r="W51" s="36"/>
    </row>
    <row r="52" spans="2:23" ht="15" thickBot="1" x14ac:dyDescent="0.35">
      <c r="B52" s="24">
        <v>2011</v>
      </c>
      <c r="C52" s="38">
        <f t="shared" si="21"/>
        <v>0.34145456386655859</v>
      </c>
      <c r="D52" s="37">
        <f t="shared" si="21"/>
        <v>9.4810539785880124E-2</v>
      </c>
      <c r="E52" s="37">
        <f t="shared" si="21"/>
        <v>0.59332301034674373</v>
      </c>
      <c r="F52" s="37"/>
      <c r="G52" s="37">
        <f t="shared" si="22"/>
        <v>-2.9405884122417191E-2</v>
      </c>
      <c r="H52" s="37">
        <f t="shared" si="23"/>
        <v>-1.8222987676513226E-4</v>
      </c>
      <c r="I52" s="418">
        <f t="shared" si="24"/>
        <v>1.0000000000000002</v>
      </c>
      <c r="J52" s="37">
        <f t="shared" si="25"/>
        <v>0.84880907330730349</v>
      </c>
      <c r="K52" s="37">
        <f t="shared" si="26"/>
        <v>0.1511909266926964</v>
      </c>
      <c r="L52" s="419">
        <f t="shared" si="27"/>
        <v>0.99999999999999989</v>
      </c>
      <c r="V52" s="36"/>
      <c r="W52" s="36"/>
    </row>
    <row r="53" spans="2:23" ht="15" thickBot="1" x14ac:dyDescent="0.35">
      <c r="B53" s="24">
        <v>2012</v>
      </c>
      <c r="C53" s="38">
        <f t="shared" si="21"/>
        <v>0.38333513821812065</v>
      </c>
      <c r="D53" s="37">
        <f t="shared" si="21"/>
        <v>9.433778782803344E-2</v>
      </c>
      <c r="E53" s="37">
        <f t="shared" si="21"/>
        <v>0.54653393027429642</v>
      </c>
      <c r="F53" s="37"/>
      <c r="G53" s="37">
        <f t="shared" si="22"/>
        <v>-2.4036722119427357E-2</v>
      </c>
      <c r="H53" s="37">
        <f t="shared" si="23"/>
        <v>-1.7013420102317213E-4</v>
      </c>
      <c r="I53" s="418">
        <f t="shared" si="24"/>
        <v>1</v>
      </c>
      <c r="J53" s="37">
        <f t="shared" si="25"/>
        <v>0.85509129281533036</v>
      </c>
      <c r="K53" s="37">
        <f t="shared" si="26"/>
        <v>0.14490870718466964</v>
      </c>
      <c r="L53" s="419">
        <f t="shared" si="27"/>
        <v>1</v>
      </c>
      <c r="V53" s="36"/>
      <c r="W53" s="36"/>
    </row>
    <row r="54" spans="2:23" ht="15" thickBot="1" x14ac:dyDescent="0.35">
      <c r="B54" s="24">
        <v>2013</v>
      </c>
      <c r="C54" s="38">
        <f t="shared" si="21"/>
        <v>0.42259910800370398</v>
      </c>
      <c r="D54" s="37">
        <f t="shared" si="21"/>
        <v>8.9393139728458415E-2</v>
      </c>
      <c r="E54" s="37">
        <f t="shared" si="21"/>
        <v>0.49903069998866456</v>
      </c>
      <c r="F54" s="37"/>
      <c r="G54" s="37">
        <f t="shared" si="22"/>
        <v>-1.0881355394150194E-2</v>
      </c>
      <c r="H54" s="37">
        <f t="shared" si="23"/>
        <v>-1.4159232667678779E-4</v>
      </c>
      <c r="I54" s="418">
        <f t="shared" si="24"/>
        <v>0.99999999999999978</v>
      </c>
      <c r="J54" s="37">
        <f t="shared" si="25"/>
        <v>0.85575336569667626</v>
      </c>
      <c r="K54" s="37">
        <f t="shared" si="26"/>
        <v>0.14424663430332377</v>
      </c>
      <c r="L54" s="419">
        <f t="shared" si="27"/>
        <v>1</v>
      </c>
      <c r="V54" s="36"/>
      <c r="W54" s="36"/>
    </row>
    <row r="55" spans="2:23" ht="15" thickBot="1" x14ac:dyDescent="0.35">
      <c r="B55" s="24">
        <v>2014</v>
      </c>
      <c r="C55" s="38">
        <f t="shared" si="21"/>
        <v>0.43085902366547801</v>
      </c>
      <c r="D55" s="37">
        <f t="shared" si="21"/>
        <v>9.4725289224289924E-2</v>
      </c>
      <c r="E55" s="37">
        <f t="shared" si="21"/>
        <v>0.46993123344955173</v>
      </c>
      <c r="F55" s="37"/>
      <c r="G55" s="37">
        <f t="shared" si="22"/>
        <v>4.6699841343269578E-3</v>
      </c>
      <c r="H55" s="37">
        <f t="shared" si="23"/>
        <v>-1.8553047364668263E-4</v>
      </c>
      <c r="I55" s="418">
        <f t="shared" si="24"/>
        <v>1</v>
      </c>
      <c r="J55" s="37">
        <f t="shared" si="25"/>
        <v>0.86711304043507786</v>
      </c>
      <c r="K55" s="37">
        <f t="shared" si="26"/>
        <v>0.13288695956492211</v>
      </c>
      <c r="L55" s="419">
        <f t="shared" si="27"/>
        <v>1</v>
      </c>
      <c r="V55" s="36"/>
      <c r="W55" s="36"/>
    </row>
    <row r="56" spans="2:23" ht="15" thickBot="1" x14ac:dyDescent="0.35">
      <c r="B56" s="24">
        <v>2015</v>
      </c>
      <c r="C56" s="38">
        <f t="shared" si="21"/>
        <v>0.41353776825297472</v>
      </c>
      <c r="D56" s="37">
        <f t="shared" si="21"/>
        <v>0.10055583368106374</v>
      </c>
      <c r="E56" s="37">
        <f t="shared" si="21"/>
        <v>0.47879368618807328</v>
      </c>
      <c r="F56" s="37"/>
      <c r="G56" s="37">
        <f t="shared" si="22"/>
        <v>7.2553995771185683E-3</v>
      </c>
      <c r="H56" s="37">
        <f t="shared" si="23"/>
        <v>-1.426876992304249E-4</v>
      </c>
      <c r="I56" s="418">
        <f t="shared" si="24"/>
        <v>0.99999999999999989</v>
      </c>
      <c r="J56" s="37">
        <f t="shared" si="25"/>
        <v>0.88049264503338598</v>
      </c>
      <c r="K56" s="37">
        <f t="shared" si="26"/>
        <v>0.11950735496661398</v>
      </c>
      <c r="L56" s="419">
        <f t="shared" si="27"/>
        <v>1</v>
      </c>
      <c r="V56" s="36"/>
      <c r="W56" s="36"/>
    </row>
    <row r="57" spans="2:23" ht="15" thickBot="1" x14ac:dyDescent="0.35">
      <c r="B57" s="24">
        <v>2016</v>
      </c>
      <c r="C57" s="38">
        <f t="shared" si="21"/>
        <v>0.39777920254187127</v>
      </c>
      <c r="D57" s="37">
        <f t="shared" si="21"/>
        <v>0.10105701333127731</v>
      </c>
      <c r="E57" s="37">
        <f t="shared" si="21"/>
        <v>0.4957654784895178</v>
      </c>
      <c r="F57" s="37"/>
      <c r="G57" s="37">
        <f t="shared" si="22"/>
        <v>5.4344266722039939E-3</v>
      </c>
      <c r="H57" s="37">
        <f t="shared" si="23"/>
        <v>-3.6121034870291362E-5</v>
      </c>
      <c r="I57" s="418">
        <f t="shared" si="24"/>
        <v>1</v>
      </c>
      <c r="J57" s="37">
        <f t="shared" si="25"/>
        <v>0.88067539599452904</v>
      </c>
      <c r="K57" s="37">
        <f t="shared" si="26"/>
        <v>0.11932460400547097</v>
      </c>
      <c r="L57" s="419">
        <f t="shared" si="27"/>
        <v>1</v>
      </c>
      <c r="V57" s="36"/>
      <c r="W57" s="36"/>
    </row>
    <row r="58" spans="2:23" ht="15" thickBot="1" x14ac:dyDescent="0.35">
      <c r="B58" s="24">
        <v>2017</v>
      </c>
      <c r="C58" s="38">
        <f t="shared" si="21"/>
        <v>0.38767840212914034</v>
      </c>
      <c r="D58" s="37">
        <f t="shared" si="21"/>
        <v>0.10460379814153607</v>
      </c>
      <c r="E58" s="37">
        <f t="shared" si="21"/>
        <v>0.497006687714736</v>
      </c>
      <c r="F58" s="37"/>
      <c r="G58" s="37">
        <f t="shared" si="22"/>
        <v>1.0778984625698793E-2</v>
      </c>
      <c r="H58" s="37">
        <f t="shared" si="23"/>
        <v>-6.787261111126175E-5</v>
      </c>
      <c r="I58" s="418">
        <f t="shared" si="24"/>
        <v>0.99999999999999989</v>
      </c>
      <c r="J58" s="37">
        <f t="shared" si="25"/>
        <v>0.87818083331716346</v>
      </c>
      <c r="K58" s="37">
        <f t="shared" si="26"/>
        <v>0.12181916668283664</v>
      </c>
      <c r="L58" s="419">
        <f t="shared" si="27"/>
        <v>1</v>
      </c>
      <c r="V58" s="36"/>
      <c r="W58" s="36"/>
    </row>
    <row r="59" spans="2:23" x14ac:dyDescent="0.3">
      <c r="B59" s="24">
        <v>2018</v>
      </c>
      <c r="C59" s="38">
        <f t="shared" si="21"/>
        <v>0.37638384336974412</v>
      </c>
      <c r="D59" s="37">
        <f t="shared" si="21"/>
        <v>0.10817179919894553</v>
      </c>
      <c r="E59" s="37">
        <f t="shared" si="21"/>
        <v>0.50256770677927953</v>
      </c>
      <c r="F59" s="37"/>
      <c r="G59" s="37">
        <f t="shared" si="22"/>
        <v>1.2978610686217171E-2</v>
      </c>
      <c r="H59" s="37">
        <f t="shared" si="23"/>
        <v>-1.0196003418628902E-4</v>
      </c>
      <c r="I59" s="418">
        <f t="shared" si="24"/>
        <v>1</v>
      </c>
      <c r="J59" s="37">
        <f t="shared" si="25"/>
        <v>0.87736000817754445</v>
      </c>
      <c r="K59" s="37">
        <f t="shared" si="26"/>
        <v>0.12263999182245541</v>
      </c>
      <c r="L59" s="419">
        <f t="shared" si="27"/>
        <v>0.99999999999999989</v>
      </c>
      <c r="V59" s="36"/>
      <c r="W59" s="36"/>
    </row>
  </sheetData>
  <mergeCells count="12">
    <mergeCell ref="N5:N6"/>
    <mergeCell ref="O5:O6"/>
    <mergeCell ref="C27:I27"/>
    <mergeCell ref="J27:L27"/>
    <mergeCell ref="M27:M28"/>
    <mergeCell ref="N27:N28"/>
    <mergeCell ref="O27:O28"/>
    <mergeCell ref="C46:I46"/>
    <mergeCell ref="J46:L46"/>
    <mergeCell ref="C5:I5"/>
    <mergeCell ref="J5:L5"/>
    <mergeCell ref="M5:M6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>
      <selection sqref="A1:XFD1048576"/>
    </sheetView>
  </sheetViews>
  <sheetFormatPr defaultColWidth="9.109375" defaultRowHeight="14.4" outlineLevelCol="1" x14ac:dyDescent="0.3"/>
  <cols>
    <col min="1" max="1" width="4.109375" style="15" customWidth="1"/>
    <col min="2" max="2" width="9.109375" style="24"/>
    <col min="3" max="3" width="14.33203125" style="24" bestFit="1" customWidth="1"/>
    <col min="4" max="4" width="15.33203125" style="24" bestFit="1" customWidth="1"/>
    <col min="5" max="5" width="15" style="24" bestFit="1" customWidth="1"/>
    <col min="6" max="6" width="14.44140625" style="35" bestFit="1" customWidth="1"/>
    <col min="7" max="7" width="14.33203125" style="35" customWidth="1" outlineLevel="1"/>
    <col min="8" max="8" width="9.88671875" style="35" bestFit="1" customWidth="1"/>
    <col min="9" max="9" width="15.33203125" style="35" bestFit="1" customWidth="1"/>
    <col min="10" max="10" width="9.44140625" style="35" bestFit="1" customWidth="1"/>
    <col min="11" max="11" width="13.44140625" style="35" customWidth="1"/>
    <col min="12" max="12" width="13.88671875" style="35" customWidth="1"/>
    <col min="13" max="13" width="12.5546875" style="35" bestFit="1" customWidth="1"/>
    <col min="14" max="17" width="9.109375" style="35"/>
    <col min="18" max="16384" width="9.109375" style="15"/>
  </cols>
  <sheetData>
    <row r="1" spans="1:17" ht="18" x14ac:dyDescent="0.35">
      <c r="A1" s="67" t="s">
        <v>656</v>
      </c>
    </row>
    <row r="2" spans="1:17" ht="18" x14ac:dyDescent="0.35">
      <c r="A2" s="67" t="s">
        <v>655</v>
      </c>
      <c r="K2" s="57"/>
    </row>
    <row r="3" spans="1:17" x14ac:dyDescent="0.3">
      <c r="K3" s="52"/>
    </row>
    <row r="4" spans="1:17" s="24" customFormat="1" ht="43.2" x14ac:dyDescent="0.3">
      <c r="B4" s="44" t="s">
        <v>112</v>
      </c>
      <c r="C4" s="56" t="s">
        <v>651</v>
      </c>
      <c r="D4" s="56" t="s">
        <v>650</v>
      </c>
      <c r="E4" s="56" t="s">
        <v>649</v>
      </c>
      <c r="F4" s="56" t="s">
        <v>648</v>
      </c>
      <c r="G4" s="56" t="s">
        <v>647</v>
      </c>
      <c r="H4" s="55" t="s">
        <v>519</v>
      </c>
      <c r="I4" s="55" t="s">
        <v>646</v>
      </c>
      <c r="J4" s="56" t="s">
        <v>645</v>
      </c>
      <c r="K4" s="56" t="s">
        <v>644</v>
      </c>
      <c r="L4" s="55" t="s">
        <v>643</v>
      </c>
      <c r="M4" s="36"/>
      <c r="N4" s="36"/>
      <c r="O4" s="36"/>
      <c r="P4" s="36"/>
      <c r="Q4" s="36"/>
    </row>
    <row r="5" spans="1:17" s="24" customFormat="1" x14ac:dyDescent="0.3">
      <c r="B5" s="75">
        <v>2007</v>
      </c>
      <c r="C5" s="74">
        <f>C6</f>
        <v>99488892.107357442</v>
      </c>
      <c r="D5" s="74"/>
      <c r="E5" s="74"/>
      <c r="F5" s="74"/>
      <c r="G5" s="74"/>
      <c r="H5" s="73"/>
      <c r="I5" s="73"/>
      <c r="J5" s="74"/>
      <c r="K5" s="74"/>
      <c r="L5" s="73"/>
      <c r="M5" s="36"/>
      <c r="N5" s="36"/>
      <c r="O5" s="36"/>
      <c r="P5" s="36"/>
      <c r="Q5" s="36"/>
    </row>
    <row r="6" spans="1:17" s="24" customFormat="1" x14ac:dyDescent="0.3">
      <c r="A6" s="64" t="s">
        <v>631</v>
      </c>
      <c r="B6" s="64">
        <v>2008</v>
      </c>
      <c r="C6" s="54">
        <f>F6-E6-D6</f>
        <v>99488892.107357442</v>
      </c>
      <c r="D6" s="54">
        <v>87182165.002436489</v>
      </c>
      <c r="E6" s="54">
        <f>E7</f>
        <v>-2508157</v>
      </c>
      <c r="F6" s="54">
        <f>C7</f>
        <v>184162900.10979393</v>
      </c>
      <c r="G6" s="35"/>
      <c r="H6" s="69">
        <v>0.35</v>
      </c>
      <c r="I6" s="45">
        <f t="shared" ref="I6:I16" si="0">F6*H6</f>
        <v>64457015.038427874</v>
      </c>
      <c r="J6" s="53">
        <v>0.6462</v>
      </c>
      <c r="K6" s="36">
        <v>5606099.4813075</v>
      </c>
      <c r="L6" s="36">
        <f t="shared" ref="L6:L16" si="1">SUM(I6:K6)</f>
        <v>70063115.165935382</v>
      </c>
      <c r="M6" s="36"/>
      <c r="N6" s="36"/>
      <c r="O6" s="36"/>
      <c r="P6" s="36"/>
      <c r="Q6" s="36"/>
    </row>
    <row r="7" spans="1:17" s="24" customFormat="1" x14ac:dyDescent="0.3">
      <c r="A7" s="64" t="s">
        <v>631</v>
      </c>
      <c r="B7" s="64">
        <v>2009</v>
      </c>
      <c r="C7" s="54">
        <f>F7-E7-D7</f>
        <v>184162900.10979393</v>
      </c>
      <c r="D7" s="54">
        <v>163788505.91387913</v>
      </c>
      <c r="E7" s="54">
        <f>E8</f>
        <v>-2508157</v>
      </c>
      <c r="F7" s="54">
        <f>C8</f>
        <v>345443249.02367306</v>
      </c>
      <c r="G7" s="35">
        <f t="shared" ref="G7:G16" si="2">F7-F6</f>
        <v>161280348.91387913</v>
      </c>
      <c r="H7" s="69">
        <v>0.35</v>
      </c>
      <c r="I7" s="45">
        <f t="shared" si="0"/>
        <v>120905137.15828556</v>
      </c>
      <c r="J7" s="53">
        <v>0.64790000000000003</v>
      </c>
      <c r="K7" s="36">
        <v>7022480.6295875004</v>
      </c>
      <c r="L7" s="36">
        <f t="shared" si="1"/>
        <v>127927618.43577306</v>
      </c>
      <c r="M7" s="36"/>
      <c r="N7" s="36"/>
      <c r="O7" s="36"/>
      <c r="P7" s="36"/>
      <c r="Q7" s="36"/>
    </row>
    <row r="8" spans="1:17" s="24" customFormat="1" x14ac:dyDescent="0.3">
      <c r="A8" s="64" t="s">
        <v>631</v>
      </c>
      <c r="B8" s="64">
        <v>2010</v>
      </c>
      <c r="C8" s="54">
        <f>F8-E8-D8</f>
        <v>345443249.02367306</v>
      </c>
      <c r="D8" s="54">
        <v>169798341.97632691</v>
      </c>
      <c r="E8" s="54">
        <f>E9</f>
        <v>-2508157</v>
      </c>
      <c r="F8" s="54">
        <f>C9</f>
        <v>512733434</v>
      </c>
      <c r="G8" s="35">
        <f t="shared" si="2"/>
        <v>167290184.97632694</v>
      </c>
      <c r="H8" s="69">
        <v>0.35</v>
      </c>
      <c r="I8" s="45">
        <f t="shared" si="0"/>
        <v>179456701.89999998</v>
      </c>
      <c r="J8" s="53">
        <v>0.66510000000000002</v>
      </c>
      <c r="K8" s="36">
        <v>10293970.121189998</v>
      </c>
      <c r="L8" s="36">
        <f t="shared" si="1"/>
        <v>189750672.68629</v>
      </c>
      <c r="N8" s="36"/>
      <c r="O8" s="36"/>
      <c r="P8" s="36"/>
      <c r="Q8" s="36"/>
    </row>
    <row r="9" spans="1:17" x14ac:dyDescent="0.3">
      <c r="B9" s="24">
        <v>2011</v>
      </c>
      <c r="C9" s="36">
        <v>512733434</v>
      </c>
      <c r="D9" s="36">
        <f>144967280+202029</f>
        <v>145169309</v>
      </c>
      <c r="E9" s="36">
        <f t="shared" ref="E9:E16" si="3">F9-D9-C9</f>
        <v>-2508157</v>
      </c>
      <c r="F9" s="35">
        <v>655394586</v>
      </c>
      <c r="G9" s="35">
        <f t="shared" si="2"/>
        <v>142661152</v>
      </c>
      <c r="H9" s="68">
        <v>0.35</v>
      </c>
      <c r="I9" s="35">
        <f t="shared" si="0"/>
        <v>229388105.09999999</v>
      </c>
      <c r="J9" s="52">
        <v>0.65949999999999998</v>
      </c>
      <c r="K9" s="36">
        <v>16531099.742849998</v>
      </c>
      <c r="L9" s="36">
        <f t="shared" si="1"/>
        <v>245919205.50235</v>
      </c>
    </row>
    <row r="10" spans="1:17" x14ac:dyDescent="0.3">
      <c r="B10" s="24">
        <v>2012</v>
      </c>
      <c r="C10" s="36">
        <f>F9</f>
        <v>655394586</v>
      </c>
      <c r="D10" s="36">
        <v>443492483</v>
      </c>
      <c r="E10" s="36">
        <f t="shared" si="3"/>
        <v>-1644941</v>
      </c>
      <c r="F10" s="35">
        <v>1097242128</v>
      </c>
      <c r="G10" s="35">
        <f t="shared" si="2"/>
        <v>441847542</v>
      </c>
      <c r="H10" s="68">
        <v>0.35</v>
      </c>
      <c r="I10" s="35">
        <f t="shared" si="0"/>
        <v>384034744.79999995</v>
      </c>
      <c r="J10" s="52">
        <v>0.67110000000000003</v>
      </c>
      <c r="K10" s="36">
        <v>18741503.040854998</v>
      </c>
      <c r="L10" s="36">
        <f t="shared" si="1"/>
        <v>402776248.51195496</v>
      </c>
    </row>
    <row r="11" spans="1:17" x14ac:dyDescent="0.3">
      <c r="B11" s="24">
        <v>2013</v>
      </c>
      <c r="C11" s="36">
        <f>F10</f>
        <v>1097242128</v>
      </c>
      <c r="D11" s="36">
        <f>268399002+1701</f>
        <v>268400703</v>
      </c>
      <c r="E11" s="36">
        <f t="shared" si="3"/>
        <v>-9217321</v>
      </c>
      <c r="F11" s="35">
        <v>1356425510</v>
      </c>
      <c r="G11" s="35">
        <f t="shared" si="2"/>
        <v>259183382</v>
      </c>
      <c r="H11" s="68">
        <v>0.35</v>
      </c>
      <c r="I11" s="35">
        <f t="shared" si="0"/>
        <v>474748928.49999994</v>
      </c>
      <c r="J11" s="52">
        <v>0.67979999999999996</v>
      </c>
      <c r="K11" s="36">
        <v>32939134.840919998</v>
      </c>
      <c r="L11" s="36">
        <f t="shared" si="1"/>
        <v>507688064.02071989</v>
      </c>
    </row>
    <row r="12" spans="1:17" x14ac:dyDescent="0.3">
      <c r="B12" s="24">
        <v>2014</v>
      </c>
      <c r="C12" s="36">
        <f>F11</f>
        <v>1356425510</v>
      </c>
      <c r="D12" s="36">
        <f>109696702-89123</f>
        <v>109607579</v>
      </c>
      <c r="E12" s="36">
        <f t="shared" si="3"/>
        <v>-10413923</v>
      </c>
      <c r="F12" s="35">
        <v>1455619166</v>
      </c>
      <c r="G12" s="35">
        <f t="shared" si="2"/>
        <v>99193656</v>
      </c>
      <c r="H12" s="68">
        <v>0.35</v>
      </c>
      <c r="I12" s="35">
        <f t="shared" si="0"/>
        <v>509466708.09999996</v>
      </c>
      <c r="J12" s="52">
        <v>0.6855</v>
      </c>
      <c r="K12" s="36">
        <v>33729502.235624999</v>
      </c>
      <c r="L12" s="36">
        <f t="shared" si="1"/>
        <v>543196211.02112496</v>
      </c>
    </row>
    <row r="13" spans="1:17" x14ac:dyDescent="0.3">
      <c r="B13" s="24">
        <v>2015</v>
      </c>
      <c r="C13" s="36">
        <f>F12</f>
        <v>1455619166</v>
      </c>
      <c r="D13" s="36">
        <v>97670499</v>
      </c>
      <c r="E13" s="36">
        <f t="shared" si="3"/>
        <v>-9647138</v>
      </c>
      <c r="F13" s="35">
        <v>1543642527</v>
      </c>
      <c r="G13" s="35">
        <f t="shared" si="2"/>
        <v>88023361</v>
      </c>
      <c r="H13" s="68">
        <v>0.35</v>
      </c>
      <c r="I13" s="35">
        <f t="shared" si="0"/>
        <v>540274884.44999993</v>
      </c>
      <c r="J13" s="52">
        <v>0.68410000000000004</v>
      </c>
      <c r="K13" s="36">
        <v>31805558.448929999</v>
      </c>
      <c r="L13" s="36">
        <f t="shared" si="1"/>
        <v>572080443.58302999</v>
      </c>
    </row>
    <row r="14" spans="1:17" x14ac:dyDescent="0.3">
      <c r="B14" s="24">
        <v>2016</v>
      </c>
      <c r="C14" s="36">
        <v>1543642527</v>
      </c>
      <c r="D14" s="36">
        <v>173708642</v>
      </c>
      <c r="E14" s="36">
        <f t="shared" si="3"/>
        <v>-10436538</v>
      </c>
      <c r="F14" s="35">
        <v>1706914631</v>
      </c>
      <c r="G14" s="35">
        <f t="shared" si="2"/>
        <v>163272104</v>
      </c>
      <c r="H14" s="68">
        <v>0.35</v>
      </c>
      <c r="I14" s="35">
        <f t="shared" si="0"/>
        <v>597420120.8499999</v>
      </c>
      <c r="J14" s="52">
        <v>0.66769999999999996</v>
      </c>
      <c r="K14" s="36">
        <v>27037323.160924997</v>
      </c>
      <c r="L14" s="36">
        <f t="shared" si="1"/>
        <v>624457444.67862499</v>
      </c>
    </row>
    <row r="15" spans="1:17" x14ac:dyDescent="0.3">
      <c r="B15" s="24">
        <v>2017</v>
      </c>
      <c r="C15" s="36">
        <f>F14</f>
        <v>1706914631</v>
      </c>
      <c r="D15" s="36">
        <f>189938240-3</f>
        <v>189938237</v>
      </c>
      <c r="E15" s="36">
        <f t="shared" si="3"/>
        <v>-20233976</v>
      </c>
      <c r="F15" s="35">
        <v>1876618892</v>
      </c>
      <c r="G15" s="35">
        <f t="shared" si="2"/>
        <v>169704261</v>
      </c>
      <c r="H15" s="68">
        <v>0.35</v>
      </c>
      <c r="I15" s="35">
        <f t="shared" si="0"/>
        <v>656816612.19999993</v>
      </c>
      <c r="J15" s="52">
        <v>0.65590000000000004</v>
      </c>
      <c r="K15" s="36">
        <v>44615344.811450005</v>
      </c>
      <c r="L15" s="36">
        <f t="shared" si="1"/>
        <v>701431957.66734993</v>
      </c>
    </row>
    <row r="16" spans="1:17" x14ac:dyDescent="0.3">
      <c r="B16" s="24">
        <v>2018</v>
      </c>
      <c r="C16" s="36">
        <f>F15</f>
        <v>1876618892</v>
      </c>
      <c r="D16" s="36">
        <v>0</v>
      </c>
      <c r="E16" s="36">
        <f t="shared" si="3"/>
        <v>-16093380</v>
      </c>
      <c r="F16" s="35">
        <v>1860525512</v>
      </c>
      <c r="G16" s="35">
        <f t="shared" si="2"/>
        <v>-16093380</v>
      </c>
      <c r="H16" s="68">
        <v>0.35</v>
      </c>
      <c r="I16" s="35">
        <f t="shared" si="0"/>
        <v>651183929.19999993</v>
      </c>
      <c r="J16" s="52">
        <v>0.66190000000000004</v>
      </c>
      <c r="K16" s="36">
        <v>42856034.997649997</v>
      </c>
      <c r="L16" s="36">
        <f t="shared" si="1"/>
        <v>694039964.85955</v>
      </c>
    </row>
    <row r="17" spans="1:12" x14ac:dyDescent="0.3">
      <c r="C17" s="36"/>
      <c r="D17" s="36"/>
      <c r="E17" s="36"/>
    </row>
    <row r="19" spans="1:12" s="35" customFormat="1" x14ac:dyDescent="0.3">
      <c r="A19" s="64" t="s">
        <v>631</v>
      </c>
      <c r="B19" s="72" t="s">
        <v>654</v>
      </c>
      <c r="C19" s="64"/>
      <c r="D19" s="64"/>
      <c r="E19" s="64"/>
      <c r="F19" s="45"/>
    </row>
    <row r="20" spans="1:12" s="35" customFormat="1" x14ac:dyDescent="0.3">
      <c r="A20" s="64" t="s">
        <v>653</v>
      </c>
      <c r="B20" s="281" t="s">
        <v>652</v>
      </c>
      <c r="C20" s="24"/>
      <c r="D20" s="24"/>
      <c r="E20" s="24"/>
    </row>
    <row r="23" spans="1:12" ht="43.2" x14ac:dyDescent="0.3">
      <c r="A23" s="24"/>
      <c r="B23" s="44" t="s">
        <v>112</v>
      </c>
      <c r="C23" s="56" t="s">
        <v>651</v>
      </c>
      <c r="D23" s="56" t="s">
        <v>650</v>
      </c>
      <c r="E23" s="56" t="s">
        <v>649</v>
      </c>
      <c r="F23" s="56" t="s">
        <v>648</v>
      </c>
      <c r="G23" s="56" t="s">
        <v>647</v>
      </c>
      <c r="H23" s="55" t="s">
        <v>519</v>
      </c>
      <c r="I23" s="55" t="s">
        <v>646</v>
      </c>
      <c r="J23" s="56" t="s">
        <v>645</v>
      </c>
      <c r="K23" s="56" t="s">
        <v>644</v>
      </c>
      <c r="L23" s="55" t="s">
        <v>643</v>
      </c>
    </row>
    <row r="24" spans="1:12" x14ac:dyDescent="0.3">
      <c r="A24" s="24"/>
      <c r="B24" s="75">
        <v>2007</v>
      </c>
      <c r="C24" s="74">
        <f>C25</f>
        <v>99488892.107357442</v>
      </c>
      <c r="D24" s="74"/>
      <c r="E24" s="74"/>
      <c r="F24" s="74"/>
      <c r="G24" s="74"/>
      <c r="H24" s="73"/>
      <c r="I24" s="73"/>
      <c r="J24" s="74"/>
      <c r="K24" s="74"/>
      <c r="L24" s="73"/>
    </row>
    <row r="25" spans="1:12" x14ac:dyDescent="0.3">
      <c r="A25" s="64" t="s">
        <v>631</v>
      </c>
      <c r="B25" s="64">
        <v>2008</v>
      </c>
      <c r="C25" s="54">
        <f>C6</f>
        <v>99488892.107357442</v>
      </c>
      <c r="D25" s="54">
        <f>D6</f>
        <v>87182165.002436489</v>
      </c>
      <c r="E25" s="54">
        <f>E6</f>
        <v>-2508157</v>
      </c>
      <c r="F25" s="54">
        <f>F6</f>
        <v>184162900.10979393</v>
      </c>
      <c r="H25" s="69">
        <v>0.35</v>
      </c>
      <c r="I25" s="45">
        <f>I6</f>
        <v>64457015.038427874</v>
      </c>
      <c r="J25" s="53">
        <v>0.6462</v>
      </c>
      <c r="K25" s="36">
        <f>K6</f>
        <v>5606099.4813075</v>
      </c>
      <c r="L25" s="36">
        <f>L6</f>
        <v>70063115.165935382</v>
      </c>
    </row>
    <row r="26" spans="1:12" x14ac:dyDescent="0.3">
      <c r="A26" s="64" t="s">
        <v>631</v>
      </c>
      <c r="B26" s="64">
        <v>2009</v>
      </c>
      <c r="C26" s="54">
        <f t="shared" ref="C26:F35" si="4">AVERAGE(C6:C7)</f>
        <v>141825896.1085757</v>
      </c>
      <c r="D26" s="54">
        <f t="shared" si="4"/>
        <v>125485335.45815781</v>
      </c>
      <c r="E26" s="54">
        <f t="shared" si="4"/>
        <v>-2508157</v>
      </c>
      <c r="F26" s="54">
        <f t="shared" si="4"/>
        <v>264803074.56673348</v>
      </c>
      <c r="G26" s="35">
        <f t="shared" ref="G26:G35" si="5">F26-F25</f>
        <v>80640174.456939548</v>
      </c>
      <c r="H26" s="69">
        <v>0.35</v>
      </c>
      <c r="I26" s="45">
        <f t="shared" ref="I26:I35" si="6">F26*H26</f>
        <v>92681076.098356709</v>
      </c>
      <c r="J26" s="53">
        <v>0.64790000000000003</v>
      </c>
      <c r="K26" s="54">
        <f t="shared" ref="K26:K35" si="7">AVERAGE(K6:K7)</f>
        <v>6314290.0554475002</v>
      </c>
      <c r="L26" s="36">
        <f t="shared" ref="L26:L35" si="8">SUM(I26:K26)</f>
        <v>98995366.801704213</v>
      </c>
    </row>
    <row r="27" spans="1:12" x14ac:dyDescent="0.3">
      <c r="A27" s="64" t="s">
        <v>631</v>
      </c>
      <c r="B27" s="64">
        <v>2010</v>
      </c>
      <c r="C27" s="54">
        <f t="shared" si="4"/>
        <v>264803074.56673348</v>
      </c>
      <c r="D27" s="54">
        <f t="shared" si="4"/>
        <v>166793423.94510302</v>
      </c>
      <c r="E27" s="54">
        <f t="shared" si="4"/>
        <v>-2508157</v>
      </c>
      <c r="F27" s="54">
        <f t="shared" si="4"/>
        <v>429088341.51183653</v>
      </c>
      <c r="G27" s="35">
        <f t="shared" si="5"/>
        <v>164285266.94510305</v>
      </c>
      <c r="H27" s="69">
        <v>0.35</v>
      </c>
      <c r="I27" s="45">
        <f t="shared" si="6"/>
        <v>150180919.52914277</v>
      </c>
      <c r="J27" s="53">
        <v>0.66510000000000002</v>
      </c>
      <c r="K27" s="36">
        <f t="shared" si="7"/>
        <v>8658225.3753887489</v>
      </c>
      <c r="L27" s="36">
        <f t="shared" si="8"/>
        <v>158839145.56963152</v>
      </c>
    </row>
    <row r="28" spans="1:12" x14ac:dyDescent="0.3">
      <c r="B28" s="24">
        <v>2011</v>
      </c>
      <c r="C28" s="36">
        <f t="shared" si="4"/>
        <v>429088341.51183653</v>
      </c>
      <c r="D28" s="36">
        <f t="shared" si="4"/>
        <v>157483825.48816347</v>
      </c>
      <c r="E28" s="36">
        <f t="shared" si="4"/>
        <v>-2508157</v>
      </c>
      <c r="F28" s="35">
        <f t="shared" si="4"/>
        <v>584064010</v>
      </c>
      <c r="G28" s="35">
        <f t="shared" si="5"/>
        <v>154975668.48816347</v>
      </c>
      <c r="H28" s="68">
        <v>0.35</v>
      </c>
      <c r="I28" s="35">
        <f t="shared" si="6"/>
        <v>204422403.5</v>
      </c>
      <c r="J28" s="52">
        <v>0.65949999999999998</v>
      </c>
      <c r="K28" s="36">
        <f t="shared" si="7"/>
        <v>13412534.932019997</v>
      </c>
      <c r="L28" s="36">
        <f t="shared" si="8"/>
        <v>217834939.09152001</v>
      </c>
    </row>
    <row r="29" spans="1:12" x14ac:dyDescent="0.3">
      <c r="B29" s="24">
        <v>2012</v>
      </c>
      <c r="C29" s="36">
        <f t="shared" si="4"/>
        <v>584064010</v>
      </c>
      <c r="D29" s="36">
        <f t="shared" si="4"/>
        <v>294330896</v>
      </c>
      <c r="E29" s="36">
        <f t="shared" si="4"/>
        <v>-2076549</v>
      </c>
      <c r="F29" s="35">
        <f t="shared" si="4"/>
        <v>876318357</v>
      </c>
      <c r="G29" s="35">
        <f t="shared" si="5"/>
        <v>292254347</v>
      </c>
      <c r="H29" s="68">
        <v>0.35</v>
      </c>
      <c r="I29" s="35">
        <f t="shared" si="6"/>
        <v>306711424.94999999</v>
      </c>
      <c r="J29" s="52">
        <v>0.67110000000000003</v>
      </c>
      <c r="K29" s="36">
        <f t="shared" si="7"/>
        <v>17636301.391852498</v>
      </c>
      <c r="L29" s="36">
        <f t="shared" si="8"/>
        <v>324347727.01295251</v>
      </c>
    </row>
    <row r="30" spans="1:12" x14ac:dyDescent="0.3">
      <c r="B30" s="24">
        <v>2013</v>
      </c>
      <c r="C30" s="36">
        <f t="shared" si="4"/>
        <v>876318357</v>
      </c>
      <c r="D30" s="36">
        <f t="shared" si="4"/>
        <v>355946593</v>
      </c>
      <c r="E30" s="36">
        <f t="shared" si="4"/>
        <v>-5431131</v>
      </c>
      <c r="F30" s="35">
        <f t="shared" si="4"/>
        <v>1226833819</v>
      </c>
      <c r="G30" s="35">
        <f t="shared" si="5"/>
        <v>350515462</v>
      </c>
      <c r="H30" s="68">
        <v>0.35</v>
      </c>
      <c r="I30" s="35">
        <f t="shared" si="6"/>
        <v>429391836.64999998</v>
      </c>
      <c r="J30" s="52">
        <v>0.67979999999999996</v>
      </c>
      <c r="K30" s="36">
        <f t="shared" si="7"/>
        <v>25840318.940887496</v>
      </c>
      <c r="L30" s="36">
        <f t="shared" si="8"/>
        <v>455232156.27068746</v>
      </c>
    </row>
    <row r="31" spans="1:12" x14ac:dyDescent="0.3">
      <c r="B31" s="24">
        <v>2014</v>
      </c>
      <c r="C31" s="36">
        <f t="shared" si="4"/>
        <v>1226833819</v>
      </c>
      <c r="D31" s="36">
        <f t="shared" si="4"/>
        <v>189004141</v>
      </c>
      <c r="E31" s="36">
        <f t="shared" si="4"/>
        <v>-9815622</v>
      </c>
      <c r="F31" s="35">
        <f t="shared" si="4"/>
        <v>1406022338</v>
      </c>
      <c r="G31" s="35">
        <f t="shared" si="5"/>
        <v>179188519</v>
      </c>
      <c r="H31" s="68">
        <v>0.35</v>
      </c>
      <c r="I31" s="35">
        <f t="shared" si="6"/>
        <v>492107818.29999995</v>
      </c>
      <c r="J31" s="52">
        <v>0.6855</v>
      </c>
      <c r="K31" s="36">
        <f t="shared" si="7"/>
        <v>33334318.5382725</v>
      </c>
      <c r="L31" s="36">
        <f t="shared" si="8"/>
        <v>525442137.52377248</v>
      </c>
    </row>
    <row r="32" spans="1:12" x14ac:dyDescent="0.3">
      <c r="B32" s="24">
        <v>2015</v>
      </c>
      <c r="C32" s="36">
        <f t="shared" si="4"/>
        <v>1406022338</v>
      </c>
      <c r="D32" s="36">
        <f t="shared" si="4"/>
        <v>103639039</v>
      </c>
      <c r="E32" s="36">
        <f t="shared" si="4"/>
        <v>-10030530.5</v>
      </c>
      <c r="F32" s="35">
        <f t="shared" si="4"/>
        <v>1499630846.5</v>
      </c>
      <c r="G32" s="35">
        <f t="shared" si="5"/>
        <v>93608508.5</v>
      </c>
      <c r="H32" s="68">
        <v>0.35</v>
      </c>
      <c r="I32" s="35">
        <f t="shared" si="6"/>
        <v>524870796.27499998</v>
      </c>
      <c r="J32" s="52">
        <v>0.68410000000000004</v>
      </c>
      <c r="K32" s="36">
        <f t="shared" si="7"/>
        <v>32767530.342277497</v>
      </c>
      <c r="L32" s="36">
        <f t="shared" si="8"/>
        <v>557638327.30137742</v>
      </c>
    </row>
    <row r="33" spans="2:12" x14ac:dyDescent="0.3">
      <c r="B33" s="24">
        <v>2016</v>
      </c>
      <c r="C33" s="36">
        <f t="shared" si="4"/>
        <v>1499630846.5</v>
      </c>
      <c r="D33" s="36">
        <f t="shared" si="4"/>
        <v>135689570.5</v>
      </c>
      <c r="E33" s="36">
        <f t="shared" si="4"/>
        <v>-10041838</v>
      </c>
      <c r="F33" s="35">
        <f t="shared" si="4"/>
        <v>1625278579</v>
      </c>
      <c r="G33" s="35">
        <f t="shared" si="5"/>
        <v>125647732.5</v>
      </c>
      <c r="H33" s="68">
        <v>0.35</v>
      </c>
      <c r="I33" s="35">
        <f t="shared" si="6"/>
        <v>568847502.64999998</v>
      </c>
      <c r="J33" s="52">
        <v>0.66769999999999996</v>
      </c>
      <c r="K33" s="36">
        <f t="shared" si="7"/>
        <v>29421440.804927498</v>
      </c>
      <c r="L33" s="36">
        <f t="shared" si="8"/>
        <v>598268944.1226275</v>
      </c>
    </row>
    <row r="34" spans="2:12" x14ac:dyDescent="0.3">
      <c r="B34" s="24">
        <v>2017</v>
      </c>
      <c r="C34" s="36">
        <f t="shared" si="4"/>
        <v>1625278579</v>
      </c>
      <c r="D34" s="36">
        <f t="shared" si="4"/>
        <v>181823439.5</v>
      </c>
      <c r="E34" s="36">
        <f t="shared" si="4"/>
        <v>-15335257</v>
      </c>
      <c r="F34" s="35">
        <f t="shared" si="4"/>
        <v>1791766761.5</v>
      </c>
      <c r="G34" s="35">
        <f t="shared" si="5"/>
        <v>166488182.5</v>
      </c>
      <c r="H34" s="68">
        <v>0.35</v>
      </c>
      <c r="I34" s="35">
        <f t="shared" si="6"/>
        <v>627118366.52499998</v>
      </c>
      <c r="J34" s="52">
        <v>0.65590000000000004</v>
      </c>
      <c r="K34" s="36">
        <f t="shared" si="7"/>
        <v>35826333.986187503</v>
      </c>
      <c r="L34" s="36">
        <f t="shared" si="8"/>
        <v>662944701.16708744</v>
      </c>
    </row>
    <row r="35" spans="2:12" x14ac:dyDescent="0.3">
      <c r="B35" s="24">
        <v>2018</v>
      </c>
      <c r="C35" s="36">
        <f t="shared" si="4"/>
        <v>1791766761.5</v>
      </c>
      <c r="D35" s="36">
        <f t="shared" si="4"/>
        <v>94969118.5</v>
      </c>
      <c r="E35" s="36">
        <f t="shared" si="4"/>
        <v>-18163678</v>
      </c>
      <c r="F35" s="35">
        <f t="shared" si="4"/>
        <v>1868572202</v>
      </c>
      <c r="G35" s="35">
        <f t="shared" si="5"/>
        <v>76805440.5</v>
      </c>
      <c r="H35" s="68">
        <v>0.35</v>
      </c>
      <c r="I35" s="35">
        <f t="shared" si="6"/>
        <v>654000270.69999993</v>
      </c>
      <c r="J35" s="52">
        <v>0.66190000000000004</v>
      </c>
      <c r="K35" s="36">
        <f t="shared" si="7"/>
        <v>43735689.904550001</v>
      </c>
      <c r="L35" s="36">
        <f t="shared" si="8"/>
        <v>697735961.26644993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3"/>
  <sheetViews>
    <sheetView zoomScale="85" zoomScaleNormal="85" workbookViewId="0">
      <pane xSplit="2" ySplit="6" topLeftCell="C7" activePane="bottomRight" state="frozen"/>
      <selection sqref="A1:XFD1048576"/>
      <selection pane="topRight" sqref="A1:XFD1048576"/>
      <selection pane="bottomLeft" sqref="A1:XFD1048576"/>
      <selection pane="bottomRight" activeCell="A3" sqref="A3"/>
    </sheetView>
  </sheetViews>
  <sheetFormatPr defaultColWidth="8.6640625" defaultRowHeight="14.4" outlineLevelRow="1" outlineLevelCol="1" x14ac:dyDescent="0.3"/>
  <cols>
    <col min="1" max="1" width="4.88671875" style="15" bestFit="1" customWidth="1"/>
    <col min="2" max="2" width="40.88671875" style="15" bestFit="1" customWidth="1"/>
    <col min="3" max="3" width="17.88671875" style="15" bestFit="1" customWidth="1"/>
    <col min="4" max="6" width="13.44140625" style="15" bestFit="1" customWidth="1"/>
    <col min="7" max="7" width="16" style="15" bestFit="1" customWidth="1"/>
    <col min="8" max="8" width="9.88671875" style="15" bestFit="1" customWidth="1"/>
    <col min="9" max="9" width="16" style="15" bestFit="1" customWidth="1"/>
    <col min="10" max="10" width="13.6640625" style="15" bestFit="1" customWidth="1"/>
    <col min="11" max="12" width="13.44140625" style="15" bestFit="1" customWidth="1"/>
    <col min="13" max="13" width="16.6640625" style="15" customWidth="1"/>
    <col min="14" max="14" width="22.44140625" style="15" bestFit="1" customWidth="1"/>
    <col min="15" max="15" width="8.6640625" style="15"/>
    <col min="16" max="16" width="17.88671875" style="15" hidden="1" customWidth="1" outlineLevel="1"/>
    <col min="17" max="19" width="13.44140625" style="15" hidden="1" customWidth="1" outlineLevel="1"/>
    <col min="20" max="20" width="16" style="15" hidden="1" customWidth="1" outlineLevel="1"/>
    <col min="21" max="21" width="9.88671875" style="15" hidden="1" customWidth="1" outlineLevel="1"/>
    <col min="22" max="22" width="16" style="15" hidden="1" customWidth="1" outlineLevel="1"/>
    <col min="23" max="23" width="13.6640625" style="15" hidden="1" customWidth="1" outlineLevel="1"/>
    <col min="24" max="25" width="13.44140625" style="15" hidden="1" customWidth="1" outlineLevel="1"/>
    <col min="26" max="26" width="16.6640625" style="15" hidden="1" customWidth="1" outlineLevel="1"/>
    <col min="27" max="27" width="8.6640625" style="15" collapsed="1"/>
    <col min="28" max="28" width="17.88671875" style="15" hidden="1" customWidth="1" outlineLevel="1"/>
    <col min="29" max="31" width="13.44140625" style="15" hidden="1" customWidth="1" outlineLevel="1"/>
    <col min="32" max="32" width="16" style="15" hidden="1" customWidth="1" outlineLevel="1"/>
    <col min="33" max="33" width="9.88671875" style="15" hidden="1" customWidth="1" outlineLevel="1"/>
    <col min="34" max="34" width="16" style="15" hidden="1" customWidth="1" outlineLevel="1"/>
    <col min="35" max="35" width="13.6640625" style="15" hidden="1" customWidth="1" outlineLevel="1"/>
    <col min="36" max="37" width="13.44140625" style="15" hidden="1" customWidth="1" outlineLevel="1"/>
    <col min="38" max="38" width="16.6640625" style="15" hidden="1" customWidth="1" outlineLevel="1"/>
    <col min="39" max="39" width="8.6640625" style="15" collapsed="1"/>
    <col min="40" max="42" width="16.6640625" style="15" customWidth="1"/>
    <col min="43" max="16384" width="8.6640625" style="15"/>
  </cols>
  <sheetData>
    <row r="1" spans="1:42" ht="15" customHeight="1" outlineLevel="1" x14ac:dyDescent="0.3">
      <c r="A1" s="66"/>
      <c r="P1" s="15" t="s">
        <v>796</v>
      </c>
      <c r="AB1" s="15" t="s">
        <v>797</v>
      </c>
    </row>
    <row r="2" spans="1:42" ht="15" customHeight="1" outlineLevel="1" x14ac:dyDescent="0.3">
      <c r="A2" s="66"/>
    </row>
    <row r="3" spans="1:42" ht="15" customHeight="1" outlineLevel="1" x14ac:dyDescent="0.3"/>
    <row r="4" spans="1:42" x14ac:dyDescent="0.3">
      <c r="A4" s="66" t="s">
        <v>601</v>
      </c>
      <c r="B4" s="155"/>
      <c r="C4" s="156" t="s">
        <v>12</v>
      </c>
      <c r="D4" s="156"/>
      <c r="E4" s="156"/>
      <c r="F4" s="156"/>
      <c r="G4" s="156"/>
      <c r="I4" s="79" t="s">
        <v>202</v>
      </c>
      <c r="J4" s="79"/>
      <c r="K4" s="79"/>
      <c r="L4" s="79"/>
      <c r="M4" s="79"/>
      <c r="P4" s="156" t="s">
        <v>12</v>
      </c>
      <c r="Q4" s="156"/>
      <c r="R4" s="156"/>
      <c r="S4" s="156"/>
      <c r="T4" s="156"/>
      <c r="V4" s="79" t="s">
        <v>202</v>
      </c>
      <c r="W4" s="79"/>
      <c r="X4" s="79"/>
      <c r="Y4" s="79"/>
      <c r="Z4" s="79"/>
      <c r="AB4" s="156" t="s">
        <v>12</v>
      </c>
      <c r="AC4" s="156"/>
      <c r="AD4" s="156"/>
      <c r="AE4" s="156"/>
      <c r="AF4" s="156"/>
      <c r="AH4" s="79" t="s">
        <v>202</v>
      </c>
      <c r="AI4" s="79"/>
      <c r="AJ4" s="79"/>
      <c r="AK4" s="79"/>
      <c r="AL4" s="79"/>
      <c r="AN4" s="79"/>
      <c r="AO4" s="79"/>
      <c r="AP4" s="79"/>
    </row>
    <row r="5" spans="1:42" ht="43.2" x14ac:dyDescent="0.3">
      <c r="A5" s="157" t="s">
        <v>587</v>
      </c>
      <c r="B5" s="433"/>
      <c r="C5" s="157" t="s">
        <v>592</v>
      </c>
      <c r="D5" s="157" t="s">
        <v>190</v>
      </c>
      <c r="E5" s="157" t="s">
        <v>17</v>
      </c>
      <c r="F5" s="157" t="s">
        <v>18</v>
      </c>
      <c r="G5" s="157" t="s">
        <v>19</v>
      </c>
      <c r="H5" s="157" t="s">
        <v>20</v>
      </c>
      <c r="I5" s="157" t="s">
        <v>21</v>
      </c>
      <c r="J5" s="157" t="s">
        <v>190</v>
      </c>
      <c r="K5" s="157" t="s">
        <v>17</v>
      </c>
      <c r="L5" s="157" t="s">
        <v>18</v>
      </c>
      <c r="M5" s="157" t="s">
        <v>591</v>
      </c>
      <c r="P5" s="157" t="s">
        <v>592</v>
      </c>
      <c r="Q5" s="157" t="s">
        <v>190</v>
      </c>
      <c r="R5" s="157" t="s">
        <v>17</v>
      </c>
      <c r="S5" s="157" t="s">
        <v>18</v>
      </c>
      <c r="T5" s="157" t="s">
        <v>19</v>
      </c>
      <c r="U5" s="157" t="s">
        <v>20</v>
      </c>
      <c r="V5" s="157" t="s">
        <v>21</v>
      </c>
      <c r="W5" s="157" t="s">
        <v>190</v>
      </c>
      <c r="X5" s="157" t="s">
        <v>17</v>
      </c>
      <c r="Y5" s="157" t="s">
        <v>18</v>
      </c>
      <c r="Z5" s="157" t="s">
        <v>591</v>
      </c>
      <c r="AB5" s="157" t="s">
        <v>592</v>
      </c>
      <c r="AC5" s="157" t="s">
        <v>190</v>
      </c>
      <c r="AD5" s="157" t="s">
        <v>17</v>
      </c>
      <c r="AE5" s="157" t="s">
        <v>18</v>
      </c>
      <c r="AF5" s="157" t="s">
        <v>19</v>
      </c>
      <c r="AG5" s="157" t="s">
        <v>20</v>
      </c>
      <c r="AH5" s="157" t="s">
        <v>21</v>
      </c>
      <c r="AI5" s="157" t="s">
        <v>190</v>
      </c>
      <c r="AJ5" s="157" t="s">
        <v>17</v>
      </c>
      <c r="AK5" s="157" t="s">
        <v>18</v>
      </c>
      <c r="AL5" s="157" t="s">
        <v>591</v>
      </c>
      <c r="AN5" s="157" t="s">
        <v>793</v>
      </c>
      <c r="AO5" s="157" t="s">
        <v>794</v>
      </c>
      <c r="AP5" s="157" t="s">
        <v>795</v>
      </c>
    </row>
    <row r="6" spans="1:42" x14ac:dyDescent="0.3">
      <c r="A6" s="76"/>
      <c r="B6" s="76"/>
      <c r="C6" s="24" t="s">
        <v>353</v>
      </c>
      <c r="D6" s="24" t="s">
        <v>354</v>
      </c>
      <c r="E6" s="24" t="s">
        <v>355</v>
      </c>
      <c r="F6" s="24" t="s">
        <v>581</v>
      </c>
      <c r="G6" s="24" t="s">
        <v>589</v>
      </c>
      <c r="H6" s="24" t="s">
        <v>582</v>
      </c>
      <c r="I6" s="24" t="s">
        <v>242</v>
      </c>
      <c r="J6" s="24" t="s">
        <v>583</v>
      </c>
      <c r="K6" s="24" t="s">
        <v>584</v>
      </c>
      <c r="L6" s="24" t="s">
        <v>585</v>
      </c>
      <c r="M6" s="24" t="s">
        <v>593</v>
      </c>
      <c r="P6" s="24" t="s">
        <v>353</v>
      </c>
      <c r="Q6" s="24" t="s">
        <v>354</v>
      </c>
      <c r="R6" s="24" t="s">
        <v>355</v>
      </c>
      <c r="S6" s="24" t="s">
        <v>581</v>
      </c>
      <c r="T6" s="24" t="s">
        <v>589</v>
      </c>
      <c r="U6" s="24" t="s">
        <v>582</v>
      </c>
      <c r="V6" s="24" t="s">
        <v>242</v>
      </c>
      <c r="W6" s="24" t="s">
        <v>583</v>
      </c>
      <c r="X6" s="24" t="s">
        <v>584</v>
      </c>
      <c r="Y6" s="24" t="s">
        <v>585</v>
      </c>
      <c r="Z6" s="24" t="s">
        <v>593</v>
      </c>
      <c r="AB6" s="24" t="s">
        <v>353</v>
      </c>
      <c r="AC6" s="24" t="s">
        <v>354</v>
      </c>
      <c r="AD6" s="24" t="s">
        <v>355</v>
      </c>
      <c r="AE6" s="24" t="s">
        <v>581</v>
      </c>
      <c r="AF6" s="24" t="s">
        <v>589</v>
      </c>
      <c r="AG6" s="24" t="s">
        <v>582</v>
      </c>
      <c r="AH6" s="24" t="s">
        <v>242</v>
      </c>
      <c r="AI6" s="24" t="s">
        <v>583</v>
      </c>
      <c r="AJ6" s="24" t="s">
        <v>584</v>
      </c>
      <c r="AK6" s="24" t="s">
        <v>585</v>
      </c>
      <c r="AL6" s="24" t="s">
        <v>593</v>
      </c>
      <c r="AN6" s="24" t="s">
        <v>593</v>
      </c>
      <c r="AO6" s="24" t="s">
        <v>593</v>
      </c>
      <c r="AP6" s="24" t="s">
        <v>593</v>
      </c>
    </row>
    <row r="7" spans="1:42" x14ac:dyDescent="0.3">
      <c r="A7" s="158">
        <f>IF(ISBLANK(B7),"",MAX(A$6:A6)+1)</f>
        <v>1</v>
      </c>
      <c r="B7" s="159" t="s">
        <v>23</v>
      </c>
    </row>
    <row r="8" spans="1:42" x14ac:dyDescent="0.3">
      <c r="A8" s="158">
        <f>IF(ISBLANK(B8),"",MAX(A$6:A7)+1)</f>
        <v>2</v>
      </c>
      <c r="B8" s="15" t="s">
        <v>24</v>
      </c>
      <c r="C8" s="499">
        <v>434673079.7856375</v>
      </c>
      <c r="D8" s="499"/>
      <c r="E8" s="499"/>
      <c r="F8" s="499"/>
      <c r="G8" s="499">
        <f>SUM(C8:F8)</f>
        <v>434673079.7856375</v>
      </c>
      <c r="H8" s="52"/>
      <c r="I8" s="499">
        <v>448235286.15228266</v>
      </c>
      <c r="J8" s="499"/>
      <c r="K8" s="499"/>
      <c r="L8" s="499"/>
      <c r="M8" s="499">
        <f>SUM(I8:L8)</f>
        <v>448235286.15228266</v>
      </c>
      <c r="N8" s="16"/>
      <c r="P8" s="499">
        <v>434673079.7856375</v>
      </c>
      <c r="Q8" s="499"/>
      <c r="R8" s="499"/>
      <c r="S8" s="499"/>
      <c r="T8" s="499">
        <v>434673079.7856375</v>
      </c>
      <c r="U8" s="52"/>
      <c r="V8" s="499">
        <v>448235286.15228266</v>
      </c>
      <c r="W8" s="499"/>
      <c r="X8" s="499"/>
      <c r="Y8" s="499"/>
      <c r="Z8" s="499">
        <v>448235286.15228266</v>
      </c>
      <c r="AB8" s="499">
        <f>+C8-P8</f>
        <v>0</v>
      </c>
      <c r="AC8" s="499">
        <f t="shared" ref="AC8:AL8" si="0">+D8-Q8</f>
        <v>0</v>
      </c>
      <c r="AD8" s="499">
        <f t="shared" si="0"/>
        <v>0</v>
      </c>
      <c r="AE8" s="499">
        <f t="shared" si="0"/>
        <v>0</v>
      </c>
      <c r="AF8" s="499">
        <f t="shared" si="0"/>
        <v>0</v>
      </c>
      <c r="AG8" s="52">
        <f t="shared" si="0"/>
        <v>0</v>
      </c>
      <c r="AH8" s="499">
        <f t="shared" si="0"/>
        <v>0</v>
      </c>
      <c r="AI8" s="499">
        <f t="shared" si="0"/>
        <v>0</v>
      </c>
      <c r="AJ8" s="499">
        <f t="shared" si="0"/>
        <v>0</v>
      </c>
      <c r="AK8" s="499">
        <f t="shared" si="0"/>
        <v>0</v>
      </c>
      <c r="AL8" s="499">
        <f t="shared" si="0"/>
        <v>0</v>
      </c>
      <c r="AN8" s="499">
        <v>0</v>
      </c>
      <c r="AO8" s="499">
        <v>0</v>
      </c>
      <c r="AP8" s="499">
        <v>0</v>
      </c>
    </row>
    <row r="9" spans="1:42" x14ac:dyDescent="0.3">
      <c r="A9" s="158">
        <f>IF(ISBLANK(B9),"",MAX(A$6:A8)+1)</f>
        <v>3</v>
      </c>
      <c r="B9" s="15" t="s">
        <v>176</v>
      </c>
      <c r="C9" s="57">
        <v>0</v>
      </c>
      <c r="D9" s="57"/>
      <c r="E9" s="57"/>
      <c r="F9" s="57"/>
      <c r="G9" s="57">
        <f>SUM(C9:F9)</f>
        <v>0</v>
      </c>
      <c r="H9" s="59"/>
      <c r="I9" s="57">
        <f>G9*(1+H9)^(28/12)</f>
        <v>0</v>
      </c>
      <c r="J9" s="57"/>
      <c r="K9" s="57"/>
      <c r="L9" s="57"/>
      <c r="M9" s="57">
        <f>SUM(I9:L9)</f>
        <v>0</v>
      </c>
      <c r="P9" s="57">
        <v>0</v>
      </c>
      <c r="Q9" s="57"/>
      <c r="R9" s="57"/>
      <c r="S9" s="57"/>
      <c r="T9" s="57">
        <v>0</v>
      </c>
      <c r="U9" s="59"/>
      <c r="V9" s="57">
        <v>0</v>
      </c>
      <c r="W9" s="57"/>
      <c r="X9" s="57"/>
      <c r="Y9" s="57"/>
      <c r="Z9" s="57">
        <v>0</v>
      </c>
      <c r="AB9" s="57">
        <f t="shared" ref="AB9:AB72" si="1">+C9-P9</f>
        <v>0</v>
      </c>
      <c r="AC9" s="57">
        <f t="shared" ref="AC9:AC72" si="2">+D9-Q9</f>
        <v>0</v>
      </c>
      <c r="AD9" s="57">
        <f t="shared" ref="AD9:AD72" si="3">+E9-R9</f>
        <v>0</v>
      </c>
      <c r="AE9" s="57">
        <f t="shared" ref="AE9:AE72" si="4">+F9-S9</f>
        <v>0</v>
      </c>
      <c r="AF9" s="57">
        <f t="shared" ref="AF9:AF72" si="5">+G9-T9</f>
        <v>0</v>
      </c>
      <c r="AG9" s="59">
        <f t="shared" ref="AG9:AG72" si="6">+H9-U9</f>
        <v>0</v>
      </c>
      <c r="AH9" s="57">
        <f t="shared" ref="AH9:AH72" si="7">+I9-V9</f>
        <v>0</v>
      </c>
      <c r="AI9" s="57">
        <f t="shared" ref="AI9:AI72" si="8">+J9-W9</f>
        <v>0</v>
      </c>
      <c r="AJ9" s="57">
        <f t="shared" ref="AJ9:AJ72" si="9">+K9-X9</f>
        <v>0</v>
      </c>
      <c r="AK9" s="57">
        <f t="shared" ref="AK9:AK72" si="10">+L9-Y9</f>
        <v>0</v>
      </c>
      <c r="AL9" s="57">
        <f t="shared" ref="AL9:AL72" si="11">+M9-Z9</f>
        <v>0</v>
      </c>
      <c r="AN9" s="57">
        <v>0</v>
      </c>
      <c r="AO9" s="57">
        <v>0</v>
      </c>
      <c r="AP9" s="57">
        <v>0</v>
      </c>
    </row>
    <row r="10" spans="1:42" x14ac:dyDescent="0.3">
      <c r="A10" s="158">
        <f>IF(ISBLANK(B10),"",MAX(A$6:A9)+1)</f>
        <v>4</v>
      </c>
      <c r="B10" s="15" t="s">
        <v>27</v>
      </c>
      <c r="C10" s="500">
        <v>14089923.029999997</v>
      </c>
      <c r="D10" s="500"/>
      <c r="E10" s="500"/>
      <c r="F10" s="500"/>
      <c r="G10" s="500">
        <f>SUM(C10:F10)</f>
        <v>14089923.029999997</v>
      </c>
      <c r="H10" s="59">
        <f ca="1">Gas_Sales!D30</f>
        <v>2.5999649153138904E-2</v>
      </c>
      <c r="I10" s="500">
        <f ca="1">G10*(1+H10)^(28/12)</f>
        <v>14959558.713321999</v>
      </c>
      <c r="J10" s="500"/>
      <c r="K10" s="500"/>
      <c r="L10" s="500"/>
      <c r="M10" s="500">
        <f ca="1">SUM(I10:L10)</f>
        <v>14959558.713321999</v>
      </c>
      <c r="P10" s="500">
        <v>14089923.029999997</v>
      </c>
      <c r="Q10" s="500"/>
      <c r="R10" s="500"/>
      <c r="S10" s="500"/>
      <c r="T10" s="500">
        <v>14089923.029999997</v>
      </c>
      <c r="U10" s="59">
        <v>2.5999649153138904E-2</v>
      </c>
      <c r="V10" s="500">
        <v>14959558.713321999</v>
      </c>
      <c r="W10" s="500"/>
      <c r="X10" s="500"/>
      <c r="Y10" s="500"/>
      <c r="Z10" s="500">
        <v>14959558.713321999</v>
      </c>
      <c r="AB10" s="500">
        <f t="shared" si="1"/>
        <v>0</v>
      </c>
      <c r="AC10" s="500">
        <f t="shared" si="2"/>
        <v>0</v>
      </c>
      <c r="AD10" s="500">
        <f t="shared" si="3"/>
        <v>0</v>
      </c>
      <c r="AE10" s="500">
        <f t="shared" si="4"/>
        <v>0</v>
      </c>
      <c r="AF10" s="500">
        <f t="shared" si="5"/>
        <v>0</v>
      </c>
      <c r="AG10" s="59">
        <f t="shared" ca="1" si="6"/>
        <v>0</v>
      </c>
      <c r="AH10" s="500">
        <f t="shared" ca="1" si="7"/>
        <v>0</v>
      </c>
      <c r="AI10" s="500">
        <f t="shared" si="8"/>
        <v>0</v>
      </c>
      <c r="AJ10" s="500">
        <f t="shared" si="9"/>
        <v>0</v>
      </c>
      <c r="AK10" s="500">
        <f t="shared" si="10"/>
        <v>0</v>
      </c>
      <c r="AL10" s="500">
        <f t="shared" ca="1" si="11"/>
        <v>0</v>
      </c>
      <c r="AN10" s="500">
        <v>0</v>
      </c>
      <c r="AO10" s="500">
        <v>0</v>
      </c>
      <c r="AP10" s="500">
        <v>0</v>
      </c>
    </row>
    <row r="11" spans="1:42" x14ac:dyDescent="0.3">
      <c r="A11" s="158">
        <f>IF(ISBLANK(B11),"",MAX(A$6:A10)+1)</f>
        <v>5</v>
      </c>
      <c r="B11" s="15" t="s">
        <v>28</v>
      </c>
      <c r="C11" s="501">
        <f>SUM(C8:C10)</f>
        <v>448763002.81563747</v>
      </c>
      <c r="D11" s="501">
        <f>SUM(D8:D10)</f>
        <v>0</v>
      </c>
      <c r="E11" s="501">
        <f>SUM(E8:E10)</f>
        <v>0</v>
      </c>
      <c r="F11" s="501">
        <f>SUM(F8:F10)</f>
        <v>0</v>
      </c>
      <c r="G11" s="501">
        <f>SUM(G8:G10)</f>
        <v>448763002.81563747</v>
      </c>
      <c r="H11" s="26">
        <f ca="1">(I11/G11)^(12/28)-1</f>
        <v>1.3657949920243828E-2</v>
      </c>
      <c r="I11" s="501">
        <f ca="1">SUM(I8:I10)</f>
        <v>463194844.86560464</v>
      </c>
      <c r="J11" s="501">
        <f>SUM(J8:J10)</f>
        <v>0</v>
      </c>
      <c r="K11" s="501">
        <f>SUM(K8:K10)</f>
        <v>0</v>
      </c>
      <c r="L11" s="501">
        <f>SUM(L8:L10)</f>
        <v>0</v>
      </c>
      <c r="M11" s="501">
        <f ca="1">SUM(M8:M10)</f>
        <v>463194844.86560464</v>
      </c>
      <c r="P11" s="501">
        <v>448763002.81563747</v>
      </c>
      <c r="Q11" s="501">
        <v>0</v>
      </c>
      <c r="R11" s="501">
        <v>0</v>
      </c>
      <c r="S11" s="501">
        <v>0</v>
      </c>
      <c r="T11" s="501">
        <v>448763002.81563747</v>
      </c>
      <c r="U11" s="26">
        <v>1.3657949920243828E-2</v>
      </c>
      <c r="V11" s="501">
        <v>463194844.86560464</v>
      </c>
      <c r="W11" s="501">
        <v>0</v>
      </c>
      <c r="X11" s="501">
        <v>0</v>
      </c>
      <c r="Y11" s="501">
        <v>0</v>
      </c>
      <c r="Z11" s="501">
        <v>463194844.86560464</v>
      </c>
      <c r="AB11" s="501">
        <f t="shared" si="1"/>
        <v>0</v>
      </c>
      <c r="AC11" s="501">
        <f t="shared" si="2"/>
        <v>0</v>
      </c>
      <c r="AD11" s="501">
        <f t="shared" si="3"/>
        <v>0</v>
      </c>
      <c r="AE11" s="501">
        <f t="shared" si="4"/>
        <v>0</v>
      </c>
      <c r="AF11" s="501">
        <f t="shared" si="5"/>
        <v>0</v>
      </c>
      <c r="AG11" s="26">
        <f t="shared" ca="1" si="6"/>
        <v>0</v>
      </c>
      <c r="AH11" s="501">
        <f t="shared" ca="1" si="7"/>
        <v>0</v>
      </c>
      <c r="AI11" s="501">
        <f t="shared" si="8"/>
        <v>0</v>
      </c>
      <c r="AJ11" s="501">
        <f t="shared" si="9"/>
        <v>0</v>
      </c>
      <c r="AK11" s="501">
        <f t="shared" si="10"/>
        <v>0</v>
      </c>
      <c r="AL11" s="501">
        <f t="shared" ca="1" si="11"/>
        <v>0</v>
      </c>
      <c r="AN11" s="501">
        <v>0</v>
      </c>
      <c r="AO11" s="501">
        <v>0</v>
      </c>
      <c r="AP11" s="501">
        <v>0</v>
      </c>
    </row>
    <row r="12" spans="1:42" x14ac:dyDescent="0.3">
      <c r="A12" s="158" t="str">
        <f>IF(ISBLANK(B12),"",MAX(A$6:A11)+1)</f>
        <v/>
      </c>
      <c r="C12" s="76"/>
      <c r="D12" s="76"/>
      <c r="E12" s="76"/>
      <c r="F12" s="76"/>
      <c r="G12" s="76"/>
      <c r="H12" s="25"/>
      <c r="I12" s="76"/>
      <c r="J12" s="76"/>
      <c r="K12" s="76"/>
      <c r="L12" s="76"/>
      <c r="M12" s="76"/>
      <c r="P12" s="76"/>
      <c r="Q12" s="76"/>
      <c r="R12" s="76"/>
      <c r="S12" s="76"/>
      <c r="T12" s="76"/>
      <c r="U12" s="25"/>
      <c r="V12" s="76"/>
      <c r="W12" s="76"/>
      <c r="X12" s="76"/>
      <c r="Y12" s="76"/>
      <c r="Z12" s="76"/>
      <c r="AB12" s="76">
        <f t="shared" si="1"/>
        <v>0</v>
      </c>
      <c r="AC12" s="76">
        <f t="shared" si="2"/>
        <v>0</v>
      </c>
      <c r="AD12" s="76">
        <f t="shared" si="3"/>
        <v>0</v>
      </c>
      <c r="AE12" s="76">
        <f t="shared" si="4"/>
        <v>0</v>
      </c>
      <c r="AF12" s="76">
        <f t="shared" si="5"/>
        <v>0</v>
      </c>
      <c r="AG12" s="25">
        <f t="shared" si="6"/>
        <v>0</v>
      </c>
      <c r="AH12" s="76">
        <f t="shared" si="7"/>
        <v>0</v>
      </c>
      <c r="AI12" s="76">
        <f t="shared" si="8"/>
        <v>0</v>
      </c>
      <c r="AJ12" s="76">
        <f t="shared" si="9"/>
        <v>0</v>
      </c>
      <c r="AK12" s="76">
        <f t="shared" si="10"/>
        <v>0</v>
      </c>
      <c r="AL12" s="76">
        <f t="shared" si="11"/>
        <v>0</v>
      </c>
      <c r="AN12" s="76">
        <v>0</v>
      </c>
      <c r="AO12" s="76">
        <v>0</v>
      </c>
      <c r="AP12" s="76">
        <v>0</v>
      </c>
    </row>
    <row r="13" spans="1:42" x14ac:dyDescent="0.3">
      <c r="A13" s="158" t="str">
        <f>IF(ISBLANK(B13),"",MAX(A$6:A12)+1)</f>
        <v/>
      </c>
      <c r="C13" s="168"/>
      <c r="D13" s="168"/>
      <c r="E13" s="168"/>
      <c r="F13" s="168"/>
      <c r="G13" s="168"/>
      <c r="H13" s="25"/>
      <c r="I13" s="168"/>
      <c r="J13" s="168"/>
      <c r="K13" s="168"/>
      <c r="L13" s="168"/>
      <c r="M13" s="168"/>
      <c r="P13" s="168"/>
      <c r="Q13" s="168"/>
      <c r="R13" s="168"/>
      <c r="S13" s="168"/>
      <c r="T13" s="168"/>
      <c r="U13" s="25"/>
      <c r="V13" s="168"/>
      <c r="W13" s="168"/>
      <c r="X13" s="168"/>
      <c r="Y13" s="168"/>
      <c r="Z13" s="168"/>
      <c r="AB13" s="168">
        <f t="shared" si="1"/>
        <v>0</v>
      </c>
      <c r="AC13" s="168">
        <f t="shared" si="2"/>
        <v>0</v>
      </c>
      <c r="AD13" s="168">
        <f t="shared" si="3"/>
        <v>0</v>
      </c>
      <c r="AE13" s="168">
        <f t="shared" si="4"/>
        <v>0</v>
      </c>
      <c r="AF13" s="168">
        <f t="shared" si="5"/>
        <v>0</v>
      </c>
      <c r="AG13" s="25">
        <f t="shared" si="6"/>
        <v>0</v>
      </c>
      <c r="AH13" s="168">
        <f t="shared" si="7"/>
        <v>0</v>
      </c>
      <c r="AI13" s="168">
        <f t="shared" si="8"/>
        <v>0</v>
      </c>
      <c r="AJ13" s="168">
        <f t="shared" si="9"/>
        <v>0</v>
      </c>
      <c r="AK13" s="168">
        <f t="shared" si="10"/>
        <v>0</v>
      </c>
      <c r="AL13" s="168">
        <f t="shared" si="11"/>
        <v>0</v>
      </c>
      <c r="AN13" s="168">
        <v>0</v>
      </c>
      <c r="AO13" s="168">
        <v>0</v>
      </c>
      <c r="AP13" s="168">
        <v>0</v>
      </c>
    </row>
    <row r="14" spans="1:42" x14ac:dyDescent="0.3">
      <c r="A14" s="158">
        <f>IF(ISBLANK(B14),"",MAX(A$6:A13)+1)</f>
        <v>6</v>
      </c>
      <c r="B14" s="15" t="s">
        <v>29</v>
      </c>
      <c r="C14" s="168"/>
      <c r="D14" s="168"/>
      <c r="E14" s="168"/>
      <c r="F14" s="168"/>
      <c r="G14" s="168"/>
      <c r="H14" s="25"/>
      <c r="I14" s="168"/>
      <c r="J14" s="168"/>
      <c r="K14" s="168"/>
      <c r="L14" s="168"/>
      <c r="M14" s="168"/>
      <c r="P14" s="168"/>
      <c r="Q14" s="168"/>
      <c r="R14" s="168"/>
      <c r="S14" s="168"/>
      <c r="T14" s="168"/>
      <c r="U14" s="25"/>
      <c r="V14" s="168"/>
      <c r="W14" s="168"/>
      <c r="X14" s="168"/>
      <c r="Y14" s="168"/>
      <c r="Z14" s="168"/>
      <c r="AB14" s="168">
        <f t="shared" si="1"/>
        <v>0</v>
      </c>
      <c r="AC14" s="168">
        <f t="shared" si="2"/>
        <v>0</v>
      </c>
      <c r="AD14" s="168">
        <f t="shared" si="3"/>
        <v>0</v>
      </c>
      <c r="AE14" s="168">
        <f t="shared" si="4"/>
        <v>0</v>
      </c>
      <c r="AF14" s="168">
        <f t="shared" si="5"/>
        <v>0</v>
      </c>
      <c r="AG14" s="25">
        <f t="shared" si="6"/>
        <v>0</v>
      </c>
      <c r="AH14" s="168">
        <f t="shared" si="7"/>
        <v>0</v>
      </c>
      <c r="AI14" s="168">
        <f t="shared" si="8"/>
        <v>0</v>
      </c>
      <c r="AJ14" s="168">
        <f t="shared" si="9"/>
        <v>0</v>
      </c>
      <c r="AK14" s="168">
        <f t="shared" si="10"/>
        <v>0</v>
      </c>
      <c r="AL14" s="168">
        <f t="shared" si="11"/>
        <v>0</v>
      </c>
      <c r="AN14" s="168">
        <v>0</v>
      </c>
      <c r="AO14" s="168">
        <v>0</v>
      </c>
      <c r="AP14" s="168">
        <v>0</v>
      </c>
    </row>
    <row r="15" spans="1:42" x14ac:dyDescent="0.3">
      <c r="A15" s="158" t="str">
        <f>IF(ISBLANK(B15),"",MAX(A$6:A14)+1)</f>
        <v/>
      </c>
      <c r="C15" s="168"/>
      <c r="D15" s="168"/>
      <c r="E15" s="168"/>
      <c r="F15" s="168"/>
      <c r="G15" s="168"/>
      <c r="H15" s="25"/>
      <c r="I15" s="168"/>
      <c r="J15" s="168"/>
      <c r="K15" s="168"/>
      <c r="L15" s="168"/>
      <c r="M15" s="168"/>
      <c r="P15" s="168"/>
      <c r="Q15" s="168"/>
      <c r="R15" s="168"/>
      <c r="S15" s="168"/>
      <c r="T15" s="168"/>
      <c r="U15" s="25"/>
      <c r="V15" s="168"/>
      <c r="W15" s="168"/>
      <c r="X15" s="168"/>
      <c r="Y15" s="168"/>
      <c r="Z15" s="168"/>
      <c r="AB15" s="168">
        <f t="shared" si="1"/>
        <v>0</v>
      </c>
      <c r="AC15" s="168">
        <f t="shared" si="2"/>
        <v>0</v>
      </c>
      <c r="AD15" s="168">
        <f t="shared" si="3"/>
        <v>0</v>
      </c>
      <c r="AE15" s="168">
        <f t="shared" si="4"/>
        <v>0</v>
      </c>
      <c r="AF15" s="168">
        <f t="shared" si="5"/>
        <v>0</v>
      </c>
      <c r="AG15" s="25">
        <f t="shared" si="6"/>
        <v>0</v>
      </c>
      <c r="AH15" s="168">
        <f t="shared" si="7"/>
        <v>0</v>
      </c>
      <c r="AI15" s="168">
        <f t="shared" si="8"/>
        <v>0</v>
      </c>
      <c r="AJ15" s="168">
        <f t="shared" si="9"/>
        <v>0</v>
      </c>
      <c r="AK15" s="168">
        <f t="shared" si="10"/>
        <v>0</v>
      </c>
      <c r="AL15" s="168">
        <f t="shared" si="11"/>
        <v>0</v>
      </c>
      <c r="AN15" s="168">
        <v>0</v>
      </c>
      <c r="AO15" s="168">
        <v>0</v>
      </c>
      <c r="AP15" s="168">
        <v>0</v>
      </c>
    </row>
    <row r="16" spans="1:42" x14ac:dyDescent="0.3">
      <c r="A16" s="158">
        <f>IF(ISBLANK(B16),"",MAX(A$6:A15)+1)</f>
        <v>7</v>
      </c>
      <c r="B16" s="15" t="s">
        <v>177</v>
      </c>
      <c r="C16" s="168"/>
      <c r="D16" s="168"/>
      <c r="E16" s="168"/>
      <c r="F16" s="168"/>
      <c r="G16" s="168"/>
      <c r="H16" s="25"/>
      <c r="I16" s="168"/>
      <c r="J16" s="168"/>
      <c r="K16" s="168"/>
      <c r="L16" s="168"/>
      <c r="M16" s="168"/>
      <c r="P16" s="168"/>
      <c r="Q16" s="168"/>
      <c r="R16" s="168"/>
      <c r="S16" s="168"/>
      <c r="T16" s="168"/>
      <c r="U16" s="25"/>
      <c r="V16" s="168"/>
      <c r="W16" s="168"/>
      <c r="X16" s="168"/>
      <c r="Y16" s="168"/>
      <c r="Z16" s="168"/>
      <c r="AB16" s="168">
        <f t="shared" si="1"/>
        <v>0</v>
      </c>
      <c r="AC16" s="168">
        <f t="shared" si="2"/>
        <v>0</v>
      </c>
      <c r="AD16" s="168">
        <f t="shared" si="3"/>
        <v>0</v>
      </c>
      <c r="AE16" s="168">
        <f t="shared" si="4"/>
        <v>0</v>
      </c>
      <c r="AF16" s="168">
        <f t="shared" si="5"/>
        <v>0</v>
      </c>
      <c r="AG16" s="25">
        <f t="shared" si="6"/>
        <v>0</v>
      </c>
      <c r="AH16" s="168">
        <f t="shared" si="7"/>
        <v>0</v>
      </c>
      <c r="AI16" s="168">
        <f t="shared" si="8"/>
        <v>0</v>
      </c>
      <c r="AJ16" s="168">
        <f t="shared" si="9"/>
        <v>0</v>
      </c>
      <c r="AK16" s="168">
        <f t="shared" si="10"/>
        <v>0</v>
      </c>
      <c r="AL16" s="168">
        <f t="shared" si="11"/>
        <v>0</v>
      </c>
      <c r="AN16" s="168">
        <v>0</v>
      </c>
      <c r="AO16" s="168">
        <v>0</v>
      </c>
      <c r="AP16" s="168">
        <v>0</v>
      </c>
    </row>
    <row r="17" spans="1:42" x14ac:dyDescent="0.3">
      <c r="A17" s="158" t="str">
        <f>IF(ISBLANK(B17),"",MAX(A$6:A16)+1)</f>
        <v/>
      </c>
      <c r="C17" s="57"/>
      <c r="D17" s="57"/>
      <c r="E17" s="57"/>
      <c r="F17" s="57"/>
      <c r="G17" s="57"/>
      <c r="H17" s="25"/>
      <c r="I17" s="57"/>
      <c r="J17" s="57"/>
      <c r="K17" s="57"/>
      <c r="L17" s="57"/>
      <c r="M17" s="57"/>
      <c r="P17" s="57"/>
      <c r="Q17" s="57"/>
      <c r="R17" s="57"/>
      <c r="S17" s="57"/>
      <c r="T17" s="57"/>
      <c r="U17" s="25"/>
      <c r="V17" s="57"/>
      <c r="W17" s="57"/>
      <c r="X17" s="57"/>
      <c r="Y17" s="57"/>
      <c r="Z17" s="57"/>
      <c r="AB17" s="57">
        <f t="shared" si="1"/>
        <v>0</v>
      </c>
      <c r="AC17" s="57">
        <f t="shared" si="2"/>
        <v>0</v>
      </c>
      <c r="AD17" s="57">
        <f t="shared" si="3"/>
        <v>0</v>
      </c>
      <c r="AE17" s="57">
        <f t="shared" si="4"/>
        <v>0</v>
      </c>
      <c r="AF17" s="57">
        <f t="shared" si="5"/>
        <v>0</v>
      </c>
      <c r="AG17" s="25">
        <f t="shared" si="6"/>
        <v>0</v>
      </c>
      <c r="AH17" s="57">
        <f t="shared" si="7"/>
        <v>0</v>
      </c>
      <c r="AI17" s="57">
        <f t="shared" si="8"/>
        <v>0</v>
      </c>
      <c r="AJ17" s="57">
        <f t="shared" si="9"/>
        <v>0</v>
      </c>
      <c r="AK17" s="57">
        <f t="shared" si="10"/>
        <v>0</v>
      </c>
      <c r="AL17" s="57">
        <f t="shared" si="11"/>
        <v>0</v>
      </c>
      <c r="AN17" s="57">
        <v>0</v>
      </c>
      <c r="AO17" s="57">
        <v>0</v>
      </c>
      <c r="AP17" s="57">
        <v>0</v>
      </c>
    </row>
    <row r="18" spans="1:42" x14ac:dyDescent="0.3">
      <c r="A18" s="158">
        <f>IF(ISBLANK(B18),"",MAX(A$6:A17)+1)</f>
        <v>8</v>
      </c>
      <c r="B18" s="15" t="s">
        <v>178</v>
      </c>
      <c r="C18" s="499">
        <v>0</v>
      </c>
      <c r="D18" s="499"/>
      <c r="E18" s="499"/>
      <c r="F18" s="499"/>
      <c r="G18" s="499">
        <f>SUM(C18:F18)</f>
        <v>0</v>
      </c>
      <c r="H18" s="59"/>
      <c r="I18" s="499">
        <f>G18*(1+H18)^2</f>
        <v>0</v>
      </c>
      <c r="J18" s="499"/>
      <c r="K18" s="499"/>
      <c r="L18" s="499"/>
      <c r="M18" s="499">
        <f>SUM(I18:L18)</f>
        <v>0</v>
      </c>
      <c r="P18" s="499">
        <v>0</v>
      </c>
      <c r="Q18" s="499"/>
      <c r="R18" s="499"/>
      <c r="S18" s="499"/>
      <c r="T18" s="499">
        <v>0</v>
      </c>
      <c r="U18" s="59"/>
      <c r="V18" s="499">
        <v>0</v>
      </c>
      <c r="W18" s="499"/>
      <c r="X18" s="499"/>
      <c r="Y18" s="499"/>
      <c r="Z18" s="499">
        <v>0</v>
      </c>
      <c r="AB18" s="499">
        <f t="shared" si="1"/>
        <v>0</v>
      </c>
      <c r="AC18" s="499">
        <f t="shared" si="2"/>
        <v>0</v>
      </c>
      <c r="AD18" s="499">
        <f t="shared" si="3"/>
        <v>0</v>
      </c>
      <c r="AE18" s="499">
        <f t="shared" si="4"/>
        <v>0</v>
      </c>
      <c r="AF18" s="499">
        <f t="shared" si="5"/>
        <v>0</v>
      </c>
      <c r="AG18" s="59">
        <f t="shared" si="6"/>
        <v>0</v>
      </c>
      <c r="AH18" s="499">
        <f t="shared" si="7"/>
        <v>0</v>
      </c>
      <c r="AI18" s="499">
        <f t="shared" si="8"/>
        <v>0</v>
      </c>
      <c r="AJ18" s="499">
        <f t="shared" si="9"/>
        <v>0</v>
      </c>
      <c r="AK18" s="499">
        <f t="shared" si="10"/>
        <v>0</v>
      </c>
      <c r="AL18" s="499">
        <f t="shared" si="11"/>
        <v>0</v>
      </c>
      <c r="AN18" s="499">
        <v>0</v>
      </c>
      <c r="AO18" s="499">
        <v>0</v>
      </c>
      <c r="AP18" s="499">
        <v>0</v>
      </c>
    </row>
    <row r="19" spans="1:42" x14ac:dyDescent="0.3">
      <c r="A19" s="158" t="str">
        <f>IF(ISBLANK(B19),"",MAX(A$6:A18)+1)</f>
        <v/>
      </c>
      <c r="C19" s="57"/>
      <c r="D19" s="57"/>
      <c r="E19" s="57"/>
      <c r="F19" s="57"/>
      <c r="G19" s="57"/>
      <c r="H19" s="25"/>
      <c r="I19" s="57"/>
      <c r="J19" s="57"/>
      <c r="K19" s="57"/>
      <c r="L19" s="57"/>
      <c r="M19" s="57"/>
      <c r="P19" s="57"/>
      <c r="Q19" s="57"/>
      <c r="R19" s="57"/>
      <c r="S19" s="57"/>
      <c r="T19" s="57"/>
      <c r="U19" s="25"/>
      <c r="V19" s="57"/>
      <c r="W19" s="57"/>
      <c r="X19" s="57"/>
      <c r="Y19" s="57"/>
      <c r="Z19" s="57"/>
      <c r="AB19" s="57">
        <f t="shared" si="1"/>
        <v>0</v>
      </c>
      <c r="AC19" s="57">
        <f t="shared" si="2"/>
        <v>0</v>
      </c>
      <c r="AD19" s="57">
        <f t="shared" si="3"/>
        <v>0</v>
      </c>
      <c r="AE19" s="57">
        <f t="shared" si="4"/>
        <v>0</v>
      </c>
      <c r="AF19" s="57">
        <f t="shared" si="5"/>
        <v>0</v>
      </c>
      <c r="AG19" s="25">
        <f t="shared" si="6"/>
        <v>0</v>
      </c>
      <c r="AH19" s="57">
        <f t="shared" si="7"/>
        <v>0</v>
      </c>
      <c r="AI19" s="57">
        <f t="shared" si="8"/>
        <v>0</v>
      </c>
      <c r="AJ19" s="57">
        <f t="shared" si="9"/>
        <v>0</v>
      </c>
      <c r="AK19" s="57">
        <f t="shared" si="10"/>
        <v>0</v>
      </c>
      <c r="AL19" s="57">
        <f t="shared" si="11"/>
        <v>0</v>
      </c>
      <c r="AN19" s="57">
        <v>0</v>
      </c>
      <c r="AO19" s="57">
        <v>0</v>
      </c>
      <c r="AP19" s="57">
        <v>0</v>
      </c>
    </row>
    <row r="20" spans="1:42" x14ac:dyDescent="0.3">
      <c r="A20" s="158">
        <f>IF(ISBLANK(B20),"",MAX(A$6:A19)+1)</f>
        <v>9</v>
      </c>
      <c r="B20" s="15" t="s">
        <v>35</v>
      </c>
      <c r="C20" s="173">
        <f>C18</f>
        <v>0</v>
      </c>
      <c r="D20" s="173">
        <f>D18</f>
        <v>0</v>
      </c>
      <c r="E20" s="173">
        <f>E18</f>
        <v>0</v>
      </c>
      <c r="F20" s="173">
        <f>F18</f>
        <v>0</v>
      </c>
      <c r="G20" s="173">
        <f>G18</f>
        <v>0</v>
      </c>
      <c r="H20" s="25"/>
      <c r="I20" s="173">
        <f>I18</f>
        <v>0</v>
      </c>
      <c r="J20" s="173">
        <f>J18</f>
        <v>0</v>
      </c>
      <c r="K20" s="173">
        <f>K18</f>
        <v>0</v>
      </c>
      <c r="L20" s="173">
        <f>L18</f>
        <v>0</v>
      </c>
      <c r="M20" s="173">
        <f>M18</f>
        <v>0</v>
      </c>
      <c r="P20" s="173">
        <v>0</v>
      </c>
      <c r="Q20" s="173">
        <v>0</v>
      </c>
      <c r="R20" s="173">
        <v>0</v>
      </c>
      <c r="S20" s="173">
        <v>0</v>
      </c>
      <c r="T20" s="173">
        <v>0</v>
      </c>
      <c r="U20" s="25"/>
      <c r="V20" s="173">
        <v>0</v>
      </c>
      <c r="W20" s="173">
        <v>0</v>
      </c>
      <c r="X20" s="173">
        <v>0</v>
      </c>
      <c r="Y20" s="173">
        <v>0</v>
      </c>
      <c r="Z20" s="173">
        <v>0</v>
      </c>
      <c r="AB20" s="173">
        <f t="shared" si="1"/>
        <v>0</v>
      </c>
      <c r="AC20" s="173">
        <f t="shared" si="2"/>
        <v>0</v>
      </c>
      <c r="AD20" s="173">
        <f t="shared" si="3"/>
        <v>0</v>
      </c>
      <c r="AE20" s="173">
        <f t="shared" si="4"/>
        <v>0</v>
      </c>
      <c r="AF20" s="173">
        <f t="shared" si="5"/>
        <v>0</v>
      </c>
      <c r="AG20" s="25">
        <f t="shared" si="6"/>
        <v>0</v>
      </c>
      <c r="AH20" s="173">
        <f t="shared" si="7"/>
        <v>0</v>
      </c>
      <c r="AI20" s="173">
        <f t="shared" si="8"/>
        <v>0</v>
      </c>
      <c r="AJ20" s="173">
        <f t="shared" si="9"/>
        <v>0</v>
      </c>
      <c r="AK20" s="173">
        <f t="shared" si="10"/>
        <v>0</v>
      </c>
      <c r="AL20" s="173">
        <f t="shared" si="11"/>
        <v>0</v>
      </c>
      <c r="AN20" s="173">
        <v>0</v>
      </c>
      <c r="AO20" s="173">
        <v>0</v>
      </c>
      <c r="AP20" s="173">
        <v>0</v>
      </c>
    </row>
    <row r="21" spans="1:42" x14ac:dyDescent="0.3">
      <c r="A21" s="158" t="str">
        <f>IF(ISBLANK(B21),"",MAX(A$6:A20)+1)</f>
        <v/>
      </c>
      <c r="C21" s="76"/>
      <c r="D21" s="76"/>
      <c r="E21" s="76"/>
      <c r="F21" s="76"/>
      <c r="G21" s="76"/>
      <c r="H21" s="25"/>
      <c r="I21" s="76"/>
      <c r="J21" s="76"/>
      <c r="K21" s="76"/>
      <c r="L21" s="76"/>
      <c r="M21" s="76"/>
      <c r="P21" s="76"/>
      <c r="Q21" s="76"/>
      <c r="R21" s="76"/>
      <c r="S21" s="76"/>
      <c r="T21" s="76"/>
      <c r="U21" s="25"/>
      <c r="V21" s="76"/>
      <c r="W21" s="76"/>
      <c r="X21" s="76"/>
      <c r="Y21" s="76"/>
      <c r="Z21" s="76"/>
      <c r="AB21" s="76">
        <f t="shared" si="1"/>
        <v>0</v>
      </c>
      <c r="AC21" s="76">
        <f t="shared" si="2"/>
        <v>0</v>
      </c>
      <c r="AD21" s="76">
        <f t="shared" si="3"/>
        <v>0</v>
      </c>
      <c r="AE21" s="76">
        <f t="shared" si="4"/>
        <v>0</v>
      </c>
      <c r="AF21" s="76">
        <f t="shared" si="5"/>
        <v>0</v>
      </c>
      <c r="AG21" s="25">
        <f t="shared" si="6"/>
        <v>0</v>
      </c>
      <c r="AH21" s="76">
        <f t="shared" si="7"/>
        <v>0</v>
      </c>
      <c r="AI21" s="76">
        <f t="shared" si="8"/>
        <v>0</v>
      </c>
      <c r="AJ21" s="76">
        <f t="shared" si="9"/>
        <v>0</v>
      </c>
      <c r="AK21" s="76">
        <f t="shared" si="10"/>
        <v>0</v>
      </c>
      <c r="AL21" s="76">
        <f t="shared" si="11"/>
        <v>0</v>
      </c>
      <c r="AN21" s="76">
        <v>0</v>
      </c>
      <c r="AO21" s="76">
        <v>0</v>
      </c>
      <c r="AP21" s="76">
        <v>0</v>
      </c>
    </row>
    <row r="22" spans="1:42" x14ac:dyDescent="0.3">
      <c r="A22" s="158">
        <f>IF(ISBLANK(B22),"",MAX(A$6:A21)+1)</f>
        <v>10</v>
      </c>
      <c r="B22" s="15" t="s">
        <v>36</v>
      </c>
      <c r="C22" s="499">
        <v>6061388.8613986634</v>
      </c>
      <c r="D22" s="499"/>
      <c r="E22" s="499"/>
      <c r="F22" s="499"/>
      <c r="G22" s="499">
        <f t="shared" ref="G22:G35" si="12">SUM(C22:F22)</f>
        <v>6061388.8613986634</v>
      </c>
      <c r="H22" s="26">
        <f ca="1">Gas_OMDetail!D30</f>
        <v>5.5920238063720262E-2</v>
      </c>
      <c r="I22" s="499">
        <f t="shared" ref="I22:I28" ca="1" si="13">G22*(1+H22)^(28/12)</f>
        <v>6881948.4002242647</v>
      </c>
      <c r="J22" s="499"/>
      <c r="K22" s="499"/>
      <c r="L22" s="499"/>
      <c r="M22" s="499">
        <f t="shared" ref="M22:M33" ca="1" si="14">SUM(I22:L22)</f>
        <v>6881948.4002242647</v>
      </c>
      <c r="P22" s="499">
        <v>6061388.8613986634</v>
      </c>
      <c r="Q22" s="499"/>
      <c r="R22" s="499"/>
      <c r="S22" s="499"/>
      <c r="T22" s="499">
        <v>6061388.8613986634</v>
      </c>
      <c r="U22" s="26">
        <v>5.5920238063720262E-2</v>
      </c>
      <c r="V22" s="499">
        <v>6881948.4002242647</v>
      </c>
      <c r="W22" s="499"/>
      <c r="X22" s="499"/>
      <c r="Y22" s="499"/>
      <c r="Z22" s="499">
        <v>6881948.4002242647</v>
      </c>
      <c r="AB22" s="499">
        <f t="shared" si="1"/>
        <v>0</v>
      </c>
      <c r="AC22" s="499">
        <f t="shared" si="2"/>
        <v>0</v>
      </c>
      <c r="AD22" s="499">
        <f t="shared" si="3"/>
        <v>0</v>
      </c>
      <c r="AE22" s="499">
        <f t="shared" si="4"/>
        <v>0</v>
      </c>
      <c r="AF22" s="499">
        <f t="shared" si="5"/>
        <v>0</v>
      </c>
      <c r="AG22" s="26">
        <f t="shared" ca="1" si="6"/>
        <v>0</v>
      </c>
      <c r="AH22" s="499">
        <f t="shared" ca="1" si="7"/>
        <v>0</v>
      </c>
      <c r="AI22" s="499">
        <f t="shared" si="8"/>
        <v>0</v>
      </c>
      <c r="AJ22" s="499">
        <f t="shared" si="9"/>
        <v>0</v>
      </c>
      <c r="AK22" s="499">
        <f t="shared" si="10"/>
        <v>0</v>
      </c>
      <c r="AL22" s="499">
        <f t="shared" ca="1" si="11"/>
        <v>0</v>
      </c>
      <c r="AN22" s="499">
        <v>0</v>
      </c>
      <c r="AO22" s="499">
        <v>0</v>
      </c>
      <c r="AP22" s="499">
        <v>0</v>
      </c>
    </row>
    <row r="23" spans="1:42" x14ac:dyDescent="0.3">
      <c r="A23" s="158">
        <f>IF(ISBLANK(B23),"",MAX(A$6:A22)+1)</f>
        <v>11</v>
      </c>
      <c r="B23" s="15" t="s">
        <v>37</v>
      </c>
      <c r="C23" s="57">
        <v>2110.77</v>
      </c>
      <c r="D23" s="57"/>
      <c r="E23" s="57"/>
      <c r="F23" s="57"/>
      <c r="G23" s="57">
        <f t="shared" si="12"/>
        <v>2110.77</v>
      </c>
      <c r="H23" s="26"/>
      <c r="I23" s="57">
        <f t="shared" si="13"/>
        <v>2110.77</v>
      </c>
      <c r="J23" s="57"/>
      <c r="K23" s="57"/>
      <c r="L23" s="57"/>
      <c r="M23" s="57">
        <f t="shared" si="14"/>
        <v>2110.77</v>
      </c>
      <c r="P23" s="57">
        <v>2110.77</v>
      </c>
      <c r="Q23" s="57"/>
      <c r="R23" s="57"/>
      <c r="S23" s="57"/>
      <c r="T23" s="57">
        <v>2110.77</v>
      </c>
      <c r="U23" s="26"/>
      <c r="V23" s="57">
        <v>2110.77</v>
      </c>
      <c r="W23" s="57"/>
      <c r="X23" s="57"/>
      <c r="Y23" s="57"/>
      <c r="Z23" s="57">
        <v>2110.77</v>
      </c>
      <c r="AB23" s="57">
        <f t="shared" si="1"/>
        <v>0</v>
      </c>
      <c r="AC23" s="57">
        <f t="shared" si="2"/>
        <v>0</v>
      </c>
      <c r="AD23" s="57">
        <f t="shared" si="3"/>
        <v>0</v>
      </c>
      <c r="AE23" s="57">
        <f t="shared" si="4"/>
        <v>0</v>
      </c>
      <c r="AF23" s="57">
        <f t="shared" si="5"/>
        <v>0</v>
      </c>
      <c r="AG23" s="26">
        <f t="shared" si="6"/>
        <v>0</v>
      </c>
      <c r="AH23" s="57">
        <f t="shared" si="7"/>
        <v>0</v>
      </c>
      <c r="AI23" s="57">
        <f t="shared" si="8"/>
        <v>0</v>
      </c>
      <c r="AJ23" s="57">
        <f t="shared" si="9"/>
        <v>0</v>
      </c>
      <c r="AK23" s="57">
        <f t="shared" si="10"/>
        <v>0</v>
      </c>
      <c r="AL23" s="57">
        <f t="shared" si="11"/>
        <v>0</v>
      </c>
      <c r="AN23" s="57">
        <v>0</v>
      </c>
      <c r="AO23" s="57">
        <v>0</v>
      </c>
      <c r="AP23" s="57">
        <v>0</v>
      </c>
    </row>
    <row r="24" spans="1:42" x14ac:dyDescent="0.3">
      <c r="A24" s="158">
        <f>IF(ISBLANK(B24),"",MAX(A$6:A23)+1)</f>
        <v>12</v>
      </c>
      <c r="B24" s="15" t="s">
        <v>38</v>
      </c>
      <c r="C24" s="57">
        <v>60697625.368441522</v>
      </c>
      <c r="D24" s="57"/>
      <c r="E24" s="57"/>
      <c r="F24" s="57"/>
      <c r="G24" s="57">
        <f t="shared" si="12"/>
        <v>60697625.368441522</v>
      </c>
      <c r="H24" s="26">
        <f ca="1">Gas_OMDetail!D85</f>
        <v>9.3026586584459281E-3</v>
      </c>
      <c r="I24" s="57">
        <f t="shared" ca="1" si="13"/>
        <v>62023319.739795186</v>
      </c>
      <c r="J24" s="57"/>
      <c r="K24" s="57"/>
      <c r="L24" s="57"/>
      <c r="M24" s="57">
        <f t="shared" ca="1" si="14"/>
        <v>62023319.739795186</v>
      </c>
      <c r="P24" s="57">
        <v>60697625.368441522</v>
      </c>
      <c r="Q24" s="57"/>
      <c r="R24" s="57"/>
      <c r="S24" s="57"/>
      <c r="T24" s="57">
        <v>60697625.368441522</v>
      </c>
      <c r="U24" s="26">
        <v>9.3026586584459281E-3</v>
      </c>
      <c r="V24" s="57">
        <v>62023319.739795186</v>
      </c>
      <c r="W24" s="57"/>
      <c r="X24" s="57"/>
      <c r="Y24" s="57"/>
      <c r="Z24" s="57">
        <v>62023319.739795186</v>
      </c>
      <c r="AB24" s="57">
        <f t="shared" si="1"/>
        <v>0</v>
      </c>
      <c r="AC24" s="57">
        <f t="shared" si="2"/>
        <v>0</v>
      </c>
      <c r="AD24" s="57">
        <f t="shared" si="3"/>
        <v>0</v>
      </c>
      <c r="AE24" s="57">
        <f t="shared" si="4"/>
        <v>0</v>
      </c>
      <c r="AF24" s="57">
        <f t="shared" si="5"/>
        <v>0</v>
      </c>
      <c r="AG24" s="26">
        <f t="shared" ca="1" si="6"/>
        <v>0</v>
      </c>
      <c r="AH24" s="57">
        <f t="shared" ca="1" si="7"/>
        <v>0</v>
      </c>
      <c r="AI24" s="57">
        <f t="shared" si="8"/>
        <v>0</v>
      </c>
      <c r="AJ24" s="57">
        <f t="shared" si="9"/>
        <v>0</v>
      </c>
      <c r="AK24" s="57">
        <f t="shared" si="10"/>
        <v>0</v>
      </c>
      <c r="AL24" s="57">
        <f t="shared" ca="1" si="11"/>
        <v>0</v>
      </c>
      <c r="AN24" s="57">
        <v>0</v>
      </c>
      <c r="AO24" s="57">
        <v>0</v>
      </c>
      <c r="AP24" s="57">
        <v>0</v>
      </c>
    </row>
    <row r="25" spans="1:42" x14ac:dyDescent="0.3">
      <c r="A25" s="158">
        <f>IF(ISBLANK(B25),"",MAX(A$6:A24)+1)</f>
        <v>13</v>
      </c>
      <c r="B25" s="15" t="s">
        <v>39</v>
      </c>
      <c r="C25" s="57">
        <v>28153388.160692897</v>
      </c>
      <c r="D25" s="57"/>
      <c r="E25" s="57"/>
      <c r="F25" s="57"/>
      <c r="G25" s="57">
        <f t="shared" si="12"/>
        <v>28153388.160692897</v>
      </c>
      <c r="H25" s="26">
        <f ca="1">Gas_OMDetail!$D$140</f>
        <v>1.0934921542960385E-2</v>
      </c>
      <c r="I25" s="57">
        <f t="shared" ca="1" si="13"/>
        <v>28876959.634036496</v>
      </c>
      <c r="J25" s="57"/>
      <c r="K25" s="57"/>
      <c r="L25" s="57"/>
      <c r="M25" s="57">
        <f t="shared" ca="1" si="14"/>
        <v>28876959.634036496</v>
      </c>
      <c r="P25" s="57">
        <v>28153388.160692897</v>
      </c>
      <c r="Q25" s="57"/>
      <c r="R25" s="57"/>
      <c r="S25" s="57"/>
      <c r="T25" s="57">
        <v>28153388.160692897</v>
      </c>
      <c r="U25" s="26">
        <v>1.0934921542960385E-2</v>
      </c>
      <c r="V25" s="57">
        <v>28876959.634036496</v>
      </c>
      <c r="W25" s="57"/>
      <c r="X25" s="57"/>
      <c r="Y25" s="57"/>
      <c r="Z25" s="57">
        <v>28876959.634036496</v>
      </c>
      <c r="AB25" s="57">
        <f t="shared" si="1"/>
        <v>0</v>
      </c>
      <c r="AC25" s="57">
        <f t="shared" si="2"/>
        <v>0</v>
      </c>
      <c r="AD25" s="57">
        <f t="shared" si="3"/>
        <v>0</v>
      </c>
      <c r="AE25" s="57">
        <f t="shared" si="4"/>
        <v>0</v>
      </c>
      <c r="AF25" s="57">
        <f t="shared" si="5"/>
        <v>0</v>
      </c>
      <c r="AG25" s="26">
        <f t="shared" ca="1" si="6"/>
        <v>0</v>
      </c>
      <c r="AH25" s="57">
        <f t="shared" ca="1" si="7"/>
        <v>0</v>
      </c>
      <c r="AI25" s="57">
        <f t="shared" si="8"/>
        <v>0</v>
      </c>
      <c r="AJ25" s="57">
        <f t="shared" si="9"/>
        <v>0</v>
      </c>
      <c r="AK25" s="57">
        <f t="shared" si="10"/>
        <v>0</v>
      </c>
      <c r="AL25" s="57">
        <f t="shared" ca="1" si="11"/>
        <v>0</v>
      </c>
      <c r="AN25" s="57">
        <v>0</v>
      </c>
      <c r="AO25" s="57">
        <v>0</v>
      </c>
      <c r="AP25" s="57">
        <v>0</v>
      </c>
    </row>
    <row r="26" spans="1:42" x14ac:dyDescent="0.3">
      <c r="A26" s="158">
        <f>IF(ISBLANK(B26),"",MAX(A$6:A25)+1)</f>
        <v>14</v>
      </c>
      <c r="B26" s="15" t="s">
        <v>40</v>
      </c>
      <c r="C26" s="57">
        <v>1763236.0746447137</v>
      </c>
      <c r="D26" s="57"/>
      <c r="E26" s="57"/>
      <c r="F26" s="57"/>
      <c r="G26" s="57">
        <f t="shared" si="12"/>
        <v>1763236.0746447137</v>
      </c>
      <c r="H26" s="26">
        <f ca="1">Gas_OMDetail!$D$140</f>
        <v>1.0934921542960385E-2</v>
      </c>
      <c r="I26" s="57">
        <f t="shared" ca="1" si="13"/>
        <v>1808553.0829245392</v>
      </c>
      <c r="J26" s="57"/>
      <c r="K26" s="57"/>
      <c r="L26" s="57"/>
      <c r="M26" s="57">
        <f t="shared" ca="1" si="14"/>
        <v>1808553.0829245392</v>
      </c>
      <c r="P26" s="57">
        <v>1763236.0746447137</v>
      </c>
      <c r="Q26" s="57"/>
      <c r="R26" s="57"/>
      <c r="S26" s="57"/>
      <c r="T26" s="57">
        <v>1763236.0746447137</v>
      </c>
      <c r="U26" s="26">
        <v>1.0934921542960385E-2</v>
      </c>
      <c r="V26" s="57">
        <v>1808553.0829245392</v>
      </c>
      <c r="W26" s="57"/>
      <c r="X26" s="57"/>
      <c r="Y26" s="57"/>
      <c r="Z26" s="57">
        <v>1808553.0829245392</v>
      </c>
      <c r="AB26" s="57">
        <f t="shared" si="1"/>
        <v>0</v>
      </c>
      <c r="AC26" s="57">
        <f t="shared" si="2"/>
        <v>0</v>
      </c>
      <c r="AD26" s="57">
        <f t="shared" si="3"/>
        <v>0</v>
      </c>
      <c r="AE26" s="57">
        <f t="shared" si="4"/>
        <v>0</v>
      </c>
      <c r="AF26" s="57">
        <f t="shared" si="5"/>
        <v>0</v>
      </c>
      <c r="AG26" s="26">
        <f t="shared" ca="1" si="6"/>
        <v>0</v>
      </c>
      <c r="AH26" s="57">
        <f t="shared" ca="1" si="7"/>
        <v>0</v>
      </c>
      <c r="AI26" s="57">
        <f t="shared" si="8"/>
        <v>0</v>
      </c>
      <c r="AJ26" s="57">
        <f t="shared" si="9"/>
        <v>0</v>
      </c>
      <c r="AK26" s="57">
        <f t="shared" si="10"/>
        <v>0</v>
      </c>
      <c r="AL26" s="57">
        <f t="shared" ca="1" si="11"/>
        <v>0</v>
      </c>
      <c r="AN26" s="57">
        <v>0</v>
      </c>
      <c r="AO26" s="57">
        <v>0</v>
      </c>
      <c r="AP26" s="57">
        <v>0</v>
      </c>
    </row>
    <row r="27" spans="1:42" x14ac:dyDescent="0.3">
      <c r="A27" s="158">
        <f>IF(ISBLANK(B27),"",MAX(A$6:A26)+1)</f>
        <v>15</v>
      </c>
      <c r="B27" s="15" t="s">
        <v>41</v>
      </c>
      <c r="C27" s="57">
        <v>0</v>
      </c>
      <c r="D27" s="57"/>
      <c r="E27" s="57"/>
      <c r="F27" s="57"/>
      <c r="G27" s="57">
        <f t="shared" si="12"/>
        <v>0</v>
      </c>
      <c r="H27" s="26"/>
      <c r="I27" s="57">
        <f t="shared" si="13"/>
        <v>0</v>
      </c>
      <c r="J27" s="57"/>
      <c r="K27" s="57"/>
      <c r="L27" s="57"/>
      <c r="M27" s="57">
        <f t="shared" si="14"/>
        <v>0</v>
      </c>
      <c r="P27" s="57">
        <v>0</v>
      </c>
      <c r="Q27" s="57"/>
      <c r="R27" s="57"/>
      <c r="S27" s="57"/>
      <c r="T27" s="57">
        <v>0</v>
      </c>
      <c r="U27" s="26"/>
      <c r="V27" s="57">
        <v>0</v>
      </c>
      <c r="W27" s="57"/>
      <c r="X27" s="57"/>
      <c r="Y27" s="57"/>
      <c r="Z27" s="57">
        <v>0</v>
      </c>
      <c r="AB27" s="57">
        <f t="shared" si="1"/>
        <v>0</v>
      </c>
      <c r="AC27" s="57">
        <f t="shared" si="2"/>
        <v>0</v>
      </c>
      <c r="AD27" s="57">
        <f t="shared" si="3"/>
        <v>0</v>
      </c>
      <c r="AE27" s="57">
        <f t="shared" si="4"/>
        <v>0</v>
      </c>
      <c r="AF27" s="57">
        <f t="shared" si="5"/>
        <v>0</v>
      </c>
      <c r="AG27" s="26">
        <f t="shared" si="6"/>
        <v>0</v>
      </c>
      <c r="AH27" s="57">
        <f t="shared" si="7"/>
        <v>0</v>
      </c>
      <c r="AI27" s="57">
        <f t="shared" si="8"/>
        <v>0</v>
      </c>
      <c r="AJ27" s="57">
        <f t="shared" si="9"/>
        <v>0</v>
      </c>
      <c r="AK27" s="57">
        <f t="shared" si="10"/>
        <v>0</v>
      </c>
      <c r="AL27" s="57">
        <f t="shared" si="11"/>
        <v>0</v>
      </c>
      <c r="AN27" s="57">
        <v>0</v>
      </c>
      <c r="AO27" s="57">
        <v>0</v>
      </c>
      <c r="AP27" s="57">
        <v>0</v>
      </c>
    </row>
    <row r="28" spans="1:42" x14ac:dyDescent="0.3">
      <c r="A28" s="158">
        <f>IF(ISBLANK(B28),"",MAX(A$6:A27)+1)</f>
        <v>16</v>
      </c>
      <c r="B28" s="15" t="s">
        <v>42</v>
      </c>
      <c r="C28" s="57">
        <v>59109968.726902723</v>
      </c>
      <c r="D28" s="57"/>
      <c r="E28" s="57"/>
      <c r="F28" s="57"/>
      <c r="G28" s="57">
        <f t="shared" si="12"/>
        <v>59109968.726902723</v>
      </c>
      <c r="H28" s="26">
        <f ca="1">Gas_OMDetail!D195</f>
        <v>2.0158787434836345E-2</v>
      </c>
      <c r="I28" s="57">
        <f t="shared" ca="1" si="13"/>
        <v>61927783.697323285</v>
      </c>
      <c r="J28" s="57"/>
      <c r="K28" s="57"/>
      <c r="L28" s="57"/>
      <c r="M28" s="57">
        <f t="shared" ca="1" si="14"/>
        <v>61927783.697323285</v>
      </c>
      <c r="P28" s="57">
        <v>59109968.726902723</v>
      </c>
      <c r="Q28" s="57"/>
      <c r="R28" s="57"/>
      <c r="S28" s="57"/>
      <c r="T28" s="57">
        <v>59109968.726902723</v>
      </c>
      <c r="U28" s="26">
        <v>2.0158787434836345E-2</v>
      </c>
      <c r="V28" s="57">
        <v>61927783.697323285</v>
      </c>
      <c r="W28" s="57"/>
      <c r="X28" s="57"/>
      <c r="Y28" s="57"/>
      <c r="Z28" s="57">
        <v>61927783.697323285</v>
      </c>
      <c r="AB28" s="57">
        <f t="shared" si="1"/>
        <v>0</v>
      </c>
      <c r="AC28" s="57">
        <f t="shared" si="2"/>
        <v>0</v>
      </c>
      <c r="AD28" s="57">
        <f t="shared" si="3"/>
        <v>0</v>
      </c>
      <c r="AE28" s="57">
        <f t="shared" si="4"/>
        <v>0</v>
      </c>
      <c r="AF28" s="57">
        <f t="shared" si="5"/>
        <v>0</v>
      </c>
      <c r="AG28" s="26">
        <f t="shared" ca="1" si="6"/>
        <v>0</v>
      </c>
      <c r="AH28" s="57">
        <f t="shared" ca="1" si="7"/>
        <v>0</v>
      </c>
      <c r="AI28" s="57">
        <f t="shared" si="8"/>
        <v>0</v>
      </c>
      <c r="AJ28" s="57">
        <f t="shared" si="9"/>
        <v>0</v>
      </c>
      <c r="AK28" s="57">
        <f t="shared" si="10"/>
        <v>0</v>
      </c>
      <c r="AL28" s="57">
        <f t="shared" ca="1" si="11"/>
        <v>0</v>
      </c>
      <c r="AN28" s="57">
        <v>0</v>
      </c>
      <c r="AO28" s="57">
        <v>0</v>
      </c>
      <c r="AP28" s="57">
        <v>0</v>
      </c>
    </row>
    <row r="29" spans="1:42" x14ac:dyDescent="0.3">
      <c r="A29" s="158">
        <f>IF(ISBLANK(B29),"",MAX(A$6:A28)+1)</f>
        <v>17</v>
      </c>
      <c r="B29" s="15" t="s">
        <v>1</v>
      </c>
      <c r="C29" s="57">
        <v>116957730.5099999</v>
      </c>
      <c r="D29" s="57">
        <f>CRM!X36</f>
        <v>-2616179.6237217812</v>
      </c>
      <c r="E29" s="57">
        <f>-AMI!F50</f>
        <v>-2455596.1125766858</v>
      </c>
      <c r="F29" s="57">
        <f>-'GTZ Historical RB'!E65</f>
        <v>-3294178.3411877672</v>
      </c>
      <c r="G29" s="57">
        <f t="shared" si="12"/>
        <v>108591776.43251367</v>
      </c>
      <c r="H29" s="26"/>
      <c r="I29" s="57">
        <v>135112552.94691035</v>
      </c>
      <c r="J29" s="57"/>
      <c r="K29" s="171" t="s">
        <v>596</v>
      </c>
      <c r="L29" s="57"/>
      <c r="M29" s="57">
        <f t="shared" si="14"/>
        <v>135112552.94691035</v>
      </c>
      <c r="P29" s="57">
        <v>116957730.5099999</v>
      </c>
      <c r="Q29" s="57">
        <v>-2616179.6237217812</v>
      </c>
      <c r="R29" s="57">
        <v>-2455596.1125766858</v>
      </c>
      <c r="S29" s="57">
        <v>-3294178.3411877672</v>
      </c>
      <c r="T29" s="57">
        <v>108591776.43251367</v>
      </c>
      <c r="U29" s="26"/>
      <c r="V29" s="57">
        <v>135112552.94691035</v>
      </c>
      <c r="W29" s="57"/>
      <c r="X29" s="171" t="s">
        <v>596</v>
      </c>
      <c r="Y29" s="57"/>
      <c r="Z29" s="57">
        <v>135112552.94691035</v>
      </c>
      <c r="AB29" s="57">
        <f t="shared" si="1"/>
        <v>0</v>
      </c>
      <c r="AC29" s="57">
        <f t="shared" si="2"/>
        <v>0</v>
      </c>
      <c r="AD29" s="57">
        <f t="shared" si="3"/>
        <v>0</v>
      </c>
      <c r="AE29" s="57">
        <f t="shared" si="4"/>
        <v>0</v>
      </c>
      <c r="AF29" s="57">
        <f t="shared" si="5"/>
        <v>0</v>
      </c>
      <c r="AG29" s="26">
        <f t="shared" si="6"/>
        <v>0</v>
      </c>
      <c r="AH29" s="57">
        <f t="shared" si="7"/>
        <v>0</v>
      </c>
      <c r="AI29" s="57">
        <f t="shared" si="8"/>
        <v>0</v>
      </c>
      <c r="AJ29" s="171"/>
      <c r="AK29" s="57">
        <f t="shared" si="10"/>
        <v>0</v>
      </c>
      <c r="AL29" s="57">
        <f t="shared" si="11"/>
        <v>0</v>
      </c>
      <c r="AN29" s="57">
        <v>0</v>
      </c>
      <c r="AO29" s="57">
        <v>0</v>
      </c>
      <c r="AP29" s="57">
        <v>0</v>
      </c>
    </row>
    <row r="30" spans="1:42" x14ac:dyDescent="0.3">
      <c r="A30" s="158">
        <f>IF(ISBLANK(B30),"",MAX(A$6:A29)+1)</f>
        <v>18</v>
      </c>
      <c r="B30" s="15" t="s">
        <v>43</v>
      </c>
      <c r="C30" s="57">
        <v>26117569.960000005</v>
      </c>
      <c r="D30" s="57"/>
      <c r="E30" s="57"/>
      <c r="F30" s="57"/>
      <c r="G30" s="57">
        <f t="shared" si="12"/>
        <v>26117569.960000005</v>
      </c>
      <c r="H30" s="26"/>
      <c r="I30" s="57">
        <v>39655705.639344297</v>
      </c>
      <c r="J30" s="57"/>
      <c r="K30" s="57"/>
      <c r="L30" s="171" t="s">
        <v>596</v>
      </c>
      <c r="M30" s="57">
        <f t="shared" si="14"/>
        <v>39655705.639344297</v>
      </c>
      <c r="P30" s="57">
        <v>26117569.960000005</v>
      </c>
      <c r="Q30" s="57"/>
      <c r="R30" s="57"/>
      <c r="S30" s="57"/>
      <c r="T30" s="57">
        <v>26117569.960000005</v>
      </c>
      <c r="U30" s="26"/>
      <c r="V30" s="57">
        <v>39655705.639344297</v>
      </c>
      <c r="W30" s="57"/>
      <c r="X30" s="57"/>
      <c r="Y30" s="171" t="s">
        <v>596</v>
      </c>
      <c r="Z30" s="57">
        <v>39655705.639344297</v>
      </c>
      <c r="AB30" s="57">
        <f t="shared" si="1"/>
        <v>0</v>
      </c>
      <c r="AC30" s="57">
        <f t="shared" si="2"/>
        <v>0</v>
      </c>
      <c r="AD30" s="57">
        <f t="shared" si="3"/>
        <v>0</v>
      </c>
      <c r="AE30" s="57">
        <f t="shared" si="4"/>
        <v>0</v>
      </c>
      <c r="AF30" s="57">
        <f t="shared" si="5"/>
        <v>0</v>
      </c>
      <c r="AG30" s="26">
        <f t="shared" si="6"/>
        <v>0</v>
      </c>
      <c r="AH30" s="57">
        <f t="shared" si="7"/>
        <v>0</v>
      </c>
      <c r="AI30" s="57">
        <f t="shared" si="8"/>
        <v>0</v>
      </c>
      <c r="AJ30" s="57">
        <f t="shared" si="9"/>
        <v>0</v>
      </c>
      <c r="AK30" s="171"/>
      <c r="AL30" s="57">
        <f t="shared" si="11"/>
        <v>0</v>
      </c>
      <c r="AN30" s="57">
        <v>0</v>
      </c>
      <c r="AO30" s="57">
        <v>0</v>
      </c>
      <c r="AP30" s="57">
        <v>0</v>
      </c>
    </row>
    <row r="31" spans="1:42" x14ac:dyDescent="0.3">
      <c r="A31" s="158">
        <f>IF(ISBLANK(B31),"",MAX(A$6:A30)+1)</f>
        <v>19</v>
      </c>
      <c r="B31" s="15" t="s">
        <v>179</v>
      </c>
      <c r="C31" s="57">
        <v>0</v>
      </c>
      <c r="D31" s="57"/>
      <c r="E31" s="57"/>
      <c r="F31" s="57"/>
      <c r="G31" s="57">
        <f t="shared" si="12"/>
        <v>0</v>
      </c>
      <c r="H31" s="26"/>
      <c r="I31" s="57">
        <f>G31*(1+H31)^(28/12)</f>
        <v>0</v>
      </c>
      <c r="J31" s="57"/>
      <c r="K31" s="57"/>
      <c r="L31" s="57"/>
      <c r="M31" s="57">
        <f t="shared" si="14"/>
        <v>0</v>
      </c>
      <c r="P31" s="57">
        <v>0</v>
      </c>
      <c r="Q31" s="57"/>
      <c r="R31" s="57"/>
      <c r="S31" s="57"/>
      <c r="T31" s="57">
        <v>0</v>
      </c>
      <c r="U31" s="26"/>
      <c r="V31" s="57">
        <v>0</v>
      </c>
      <c r="W31" s="57"/>
      <c r="X31" s="57"/>
      <c r="Y31" s="57"/>
      <c r="Z31" s="57">
        <v>0</v>
      </c>
      <c r="AB31" s="57">
        <f t="shared" si="1"/>
        <v>0</v>
      </c>
      <c r="AC31" s="57">
        <f t="shared" si="2"/>
        <v>0</v>
      </c>
      <c r="AD31" s="57">
        <f t="shared" si="3"/>
        <v>0</v>
      </c>
      <c r="AE31" s="57">
        <f t="shared" si="4"/>
        <v>0</v>
      </c>
      <c r="AF31" s="57">
        <f t="shared" si="5"/>
        <v>0</v>
      </c>
      <c r="AG31" s="26">
        <f t="shared" si="6"/>
        <v>0</v>
      </c>
      <c r="AH31" s="57">
        <f t="shared" si="7"/>
        <v>0</v>
      </c>
      <c r="AI31" s="57">
        <f t="shared" si="8"/>
        <v>0</v>
      </c>
      <c r="AJ31" s="57">
        <f t="shared" si="9"/>
        <v>0</v>
      </c>
      <c r="AK31" s="57">
        <f t="shared" si="10"/>
        <v>0</v>
      </c>
      <c r="AL31" s="57">
        <f t="shared" si="11"/>
        <v>0</v>
      </c>
      <c r="AN31" s="57">
        <v>0</v>
      </c>
      <c r="AO31" s="57">
        <v>0</v>
      </c>
      <c r="AP31" s="57">
        <v>0</v>
      </c>
    </row>
    <row r="32" spans="1:42" x14ac:dyDescent="0.3">
      <c r="A32" s="158">
        <f>IF(ISBLANK(B32),"",MAX(A$6:A31)+1)</f>
        <v>20</v>
      </c>
      <c r="B32" s="15" t="s">
        <v>45</v>
      </c>
      <c r="C32" s="57">
        <v>15879143.377125692</v>
      </c>
      <c r="D32" s="57"/>
      <c r="E32" s="57"/>
      <c r="F32" s="57"/>
      <c r="G32" s="57">
        <f t="shared" si="12"/>
        <v>15879143.377125692</v>
      </c>
      <c r="H32" s="26">
        <v>0</v>
      </c>
      <c r="I32" s="57">
        <f>G32*(1+H32)^(28/12)</f>
        <v>15879143.377125692</v>
      </c>
      <c r="J32" s="57"/>
      <c r="K32" s="57"/>
      <c r="L32" s="57"/>
      <c r="M32" s="57">
        <f t="shared" si="14"/>
        <v>15879143.377125692</v>
      </c>
      <c r="P32" s="57">
        <v>15879143.377125692</v>
      </c>
      <c r="Q32" s="57"/>
      <c r="R32" s="57"/>
      <c r="S32" s="57"/>
      <c r="T32" s="57">
        <v>15879143.377125692</v>
      </c>
      <c r="U32" s="26">
        <v>0</v>
      </c>
      <c r="V32" s="57">
        <v>15879143.377125692</v>
      </c>
      <c r="W32" s="57"/>
      <c r="X32" s="57"/>
      <c r="Y32" s="57"/>
      <c r="Z32" s="57">
        <v>15879143.377125692</v>
      </c>
      <c r="AB32" s="57">
        <f t="shared" si="1"/>
        <v>0</v>
      </c>
      <c r="AC32" s="57">
        <f t="shared" si="2"/>
        <v>0</v>
      </c>
      <c r="AD32" s="57">
        <f t="shared" si="3"/>
        <v>0</v>
      </c>
      <c r="AE32" s="57">
        <f t="shared" si="4"/>
        <v>0</v>
      </c>
      <c r="AF32" s="57">
        <f t="shared" si="5"/>
        <v>0</v>
      </c>
      <c r="AG32" s="26">
        <f t="shared" si="6"/>
        <v>0</v>
      </c>
      <c r="AH32" s="57">
        <f t="shared" si="7"/>
        <v>0</v>
      </c>
      <c r="AI32" s="57">
        <f t="shared" si="8"/>
        <v>0</v>
      </c>
      <c r="AJ32" s="57">
        <f t="shared" si="9"/>
        <v>0</v>
      </c>
      <c r="AK32" s="57">
        <f t="shared" si="10"/>
        <v>0</v>
      </c>
      <c r="AL32" s="57">
        <f t="shared" si="11"/>
        <v>0</v>
      </c>
      <c r="AN32" s="57">
        <v>0</v>
      </c>
      <c r="AO32" s="57">
        <v>453090.44834855944</v>
      </c>
      <c r="AP32" s="57">
        <v>232541.38674901426</v>
      </c>
    </row>
    <row r="33" spans="1:42" x14ac:dyDescent="0.3">
      <c r="A33" s="158">
        <f>IF(ISBLANK(B33),"",MAX(A$6:A32)+1)</f>
        <v>21</v>
      </c>
      <c r="B33" s="15" t="s">
        <v>47</v>
      </c>
      <c r="C33" s="57">
        <v>24126527.513585337</v>
      </c>
      <c r="D33" s="57"/>
      <c r="E33" s="57"/>
      <c r="F33" s="57"/>
      <c r="G33" s="57">
        <f t="shared" si="12"/>
        <v>24126527.513585337</v>
      </c>
      <c r="H33" s="26">
        <f ca="1">Gas_TOTI!D30</f>
        <v>3.1473722098515289E-2</v>
      </c>
      <c r="I33" s="57">
        <f ca="1">G33*(1+H33)^(28/12)</f>
        <v>25935654.491653703</v>
      </c>
      <c r="J33" s="57"/>
      <c r="K33" s="57"/>
      <c r="L33" s="57"/>
      <c r="M33" s="57">
        <f t="shared" ca="1" si="14"/>
        <v>25935654.491653703</v>
      </c>
      <c r="P33" s="57">
        <v>24126527.513585337</v>
      </c>
      <c r="Q33" s="57"/>
      <c r="R33" s="57"/>
      <c r="S33" s="57"/>
      <c r="T33" s="57">
        <v>24126527.513585337</v>
      </c>
      <c r="U33" s="26">
        <v>3.1473722098515289E-2</v>
      </c>
      <c r="V33" s="57">
        <v>25935654.491653703</v>
      </c>
      <c r="W33" s="57"/>
      <c r="X33" s="57"/>
      <c r="Y33" s="57"/>
      <c r="Z33" s="57">
        <v>25935654.491653703</v>
      </c>
      <c r="AB33" s="57">
        <f t="shared" si="1"/>
        <v>0</v>
      </c>
      <c r="AC33" s="57">
        <f t="shared" si="2"/>
        <v>0</v>
      </c>
      <c r="AD33" s="57">
        <f t="shared" si="3"/>
        <v>0</v>
      </c>
      <c r="AE33" s="57">
        <f t="shared" si="4"/>
        <v>0</v>
      </c>
      <c r="AF33" s="57">
        <f t="shared" si="5"/>
        <v>0</v>
      </c>
      <c r="AG33" s="26">
        <f t="shared" ca="1" si="6"/>
        <v>0</v>
      </c>
      <c r="AH33" s="57">
        <f t="shared" ca="1" si="7"/>
        <v>0</v>
      </c>
      <c r="AI33" s="57">
        <f t="shared" si="8"/>
        <v>0</v>
      </c>
      <c r="AJ33" s="57">
        <f t="shared" si="9"/>
        <v>0</v>
      </c>
      <c r="AK33" s="57">
        <f t="shared" si="10"/>
        <v>0</v>
      </c>
      <c r="AL33" s="57">
        <f t="shared" ca="1" si="11"/>
        <v>0</v>
      </c>
      <c r="AN33" s="57">
        <v>0</v>
      </c>
      <c r="AO33" s="57">
        <v>0</v>
      </c>
      <c r="AP33" s="57">
        <v>0</v>
      </c>
    </row>
    <row r="34" spans="1:42" x14ac:dyDescent="0.3">
      <c r="A34" s="158">
        <f>IF(ISBLANK(B34),"",MAX(A$6:A33)+1)</f>
        <v>22</v>
      </c>
      <c r="B34" s="15" t="s">
        <v>48</v>
      </c>
      <c r="C34" s="57">
        <v>5694739.5742254965</v>
      </c>
      <c r="D34" s="57"/>
      <c r="E34" s="57"/>
      <c r="F34" s="57"/>
      <c r="G34" s="57">
        <f t="shared" si="12"/>
        <v>5694739.5742254965</v>
      </c>
      <c r="H34" s="26"/>
      <c r="I34" s="57">
        <v>17330178.748116042</v>
      </c>
      <c r="J34" s="57"/>
      <c r="K34" s="57"/>
      <c r="L34" s="57"/>
      <c r="M34" s="57">
        <f>I34</f>
        <v>17330178.748116042</v>
      </c>
      <c r="P34" s="57">
        <v>5694739.5742254965</v>
      </c>
      <c r="Q34" s="57"/>
      <c r="R34" s="57"/>
      <c r="S34" s="57"/>
      <c r="T34" s="57">
        <v>5694739.5742254965</v>
      </c>
      <c r="U34" s="26"/>
      <c r="V34" s="57">
        <v>17330178.748116042</v>
      </c>
      <c r="W34" s="57"/>
      <c r="X34" s="57"/>
      <c r="Y34" s="57"/>
      <c r="Z34" s="57">
        <v>17330178.748116042</v>
      </c>
      <c r="AB34" s="57">
        <f t="shared" si="1"/>
        <v>0</v>
      </c>
      <c r="AC34" s="57">
        <f t="shared" si="2"/>
        <v>0</v>
      </c>
      <c r="AD34" s="57">
        <f t="shared" si="3"/>
        <v>0</v>
      </c>
      <c r="AE34" s="57">
        <f t="shared" si="4"/>
        <v>0</v>
      </c>
      <c r="AF34" s="57">
        <f t="shared" si="5"/>
        <v>0</v>
      </c>
      <c r="AG34" s="26">
        <f t="shared" si="6"/>
        <v>0</v>
      </c>
      <c r="AH34" s="57">
        <f t="shared" si="7"/>
        <v>0</v>
      </c>
      <c r="AI34" s="57">
        <f t="shared" si="8"/>
        <v>0</v>
      </c>
      <c r="AJ34" s="57">
        <f t="shared" si="9"/>
        <v>0</v>
      </c>
      <c r="AK34" s="57">
        <f t="shared" si="10"/>
        <v>0</v>
      </c>
      <c r="AL34" s="57">
        <f t="shared" si="11"/>
        <v>0</v>
      </c>
      <c r="AN34" s="57">
        <v>0</v>
      </c>
      <c r="AO34" s="57">
        <v>-95148.994153190404</v>
      </c>
      <c r="AP34" s="57">
        <v>-48833.691217295825</v>
      </c>
    </row>
    <row r="35" spans="1:42" x14ac:dyDescent="0.3">
      <c r="A35" s="158">
        <f>IF(ISBLANK(B35),"",MAX(A$6:A34)+1)</f>
        <v>23</v>
      </c>
      <c r="B35" s="15" t="s">
        <v>49</v>
      </c>
      <c r="C35" s="500">
        <v>523320</v>
      </c>
      <c r="D35" s="500"/>
      <c r="E35" s="500"/>
      <c r="F35" s="500"/>
      <c r="G35" s="500">
        <f t="shared" si="12"/>
        <v>523320</v>
      </c>
      <c r="H35" s="26"/>
      <c r="I35" s="500">
        <v>-19324083.772600427</v>
      </c>
      <c r="J35" s="500"/>
      <c r="K35" s="500"/>
      <c r="L35" s="500"/>
      <c r="M35" s="500">
        <f>I35</f>
        <v>-19324083.772600427</v>
      </c>
      <c r="P35" s="500">
        <v>523320</v>
      </c>
      <c r="Q35" s="500"/>
      <c r="R35" s="500"/>
      <c r="S35" s="500"/>
      <c r="T35" s="500">
        <v>523320</v>
      </c>
      <c r="U35" s="26"/>
      <c r="V35" s="500">
        <v>-19324083.772600427</v>
      </c>
      <c r="W35" s="500"/>
      <c r="X35" s="500"/>
      <c r="Y35" s="500"/>
      <c r="Z35" s="500">
        <v>-19324083.772600427</v>
      </c>
      <c r="AB35" s="500">
        <f t="shared" si="1"/>
        <v>0</v>
      </c>
      <c r="AC35" s="500">
        <f t="shared" si="2"/>
        <v>0</v>
      </c>
      <c r="AD35" s="500">
        <f t="shared" si="3"/>
        <v>0</v>
      </c>
      <c r="AE35" s="500">
        <f t="shared" si="4"/>
        <v>0</v>
      </c>
      <c r="AF35" s="500">
        <f t="shared" si="5"/>
        <v>0</v>
      </c>
      <c r="AG35" s="26">
        <f t="shared" si="6"/>
        <v>0</v>
      </c>
      <c r="AH35" s="500">
        <f t="shared" si="7"/>
        <v>0</v>
      </c>
      <c r="AI35" s="500">
        <f t="shared" si="8"/>
        <v>0</v>
      </c>
      <c r="AJ35" s="500">
        <f t="shared" si="9"/>
        <v>0</v>
      </c>
      <c r="AK35" s="500">
        <f t="shared" si="10"/>
        <v>0</v>
      </c>
      <c r="AL35" s="500">
        <f t="shared" si="11"/>
        <v>0</v>
      </c>
      <c r="AN35" s="500">
        <v>192756.1458834745</v>
      </c>
      <c r="AO35" s="500">
        <v>-5194.2164430953562</v>
      </c>
      <c r="AP35" s="500">
        <v>-2729.4370863586664</v>
      </c>
    </row>
    <row r="36" spans="1:42" x14ac:dyDescent="0.3">
      <c r="A36" s="158">
        <f>IF(ISBLANK(B36),"",MAX(A$6:A35)+1)</f>
        <v>24</v>
      </c>
      <c r="B36" s="15" t="s">
        <v>50</v>
      </c>
      <c r="C36" s="173">
        <f>SUM(C20:C35)</f>
        <v>345086748.89701694</v>
      </c>
      <c r="D36" s="173">
        <f>SUM(D20:D35)</f>
        <v>-2616179.6237217812</v>
      </c>
      <c r="E36" s="173">
        <f>SUM(E20:E35)</f>
        <v>-2455596.1125766858</v>
      </c>
      <c r="F36" s="173">
        <f>SUM(F20:F35)</f>
        <v>-3294178.3411877672</v>
      </c>
      <c r="G36" s="173">
        <f>SUM(G20:G35)</f>
        <v>336720794.81953067</v>
      </c>
      <c r="H36" s="27"/>
      <c r="I36" s="173">
        <f ca="1">SUM(I20:I35)</f>
        <v>376109826.75485337</v>
      </c>
      <c r="J36" s="173">
        <f>SUM(J20:J35)</f>
        <v>0</v>
      </c>
      <c r="K36" s="173">
        <f>SUM(K20:K35)</f>
        <v>0</v>
      </c>
      <c r="L36" s="173">
        <f>SUM(L20:L35)</f>
        <v>0</v>
      </c>
      <c r="M36" s="173">
        <f ca="1">SUM(M20:M35)</f>
        <v>376109826.75485337</v>
      </c>
      <c r="P36" s="173">
        <v>345086748.89701694</v>
      </c>
      <c r="Q36" s="173">
        <v>-2616179.6237217812</v>
      </c>
      <c r="R36" s="173">
        <v>-2455596.1125766858</v>
      </c>
      <c r="S36" s="173">
        <v>-3294178.3411877672</v>
      </c>
      <c r="T36" s="173">
        <v>336720794.81953067</v>
      </c>
      <c r="U36" s="27"/>
      <c r="V36" s="173">
        <v>376109826.75485337</v>
      </c>
      <c r="W36" s="173">
        <v>0</v>
      </c>
      <c r="X36" s="173">
        <v>0</v>
      </c>
      <c r="Y36" s="173">
        <v>0</v>
      </c>
      <c r="Z36" s="173">
        <v>376109826.75485337</v>
      </c>
      <c r="AB36" s="173">
        <f t="shared" si="1"/>
        <v>0</v>
      </c>
      <c r="AC36" s="173">
        <f t="shared" si="2"/>
        <v>0</v>
      </c>
      <c r="AD36" s="173">
        <f t="shared" si="3"/>
        <v>0</v>
      </c>
      <c r="AE36" s="173">
        <f t="shared" si="4"/>
        <v>0</v>
      </c>
      <c r="AF36" s="173">
        <f t="shared" si="5"/>
        <v>0</v>
      </c>
      <c r="AG36" s="27">
        <f t="shared" si="6"/>
        <v>0</v>
      </c>
      <c r="AH36" s="173">
        <f t="shared" ca="1" si="7"/>
        <v>0</v>
      </c>
      <c r="AI36" s="173">
        <f t="shared" si="8"/>
        <v>0</v>
      </c>
      <c r="AJ36" s="173">
        <f t="shared" si="9"/>
        <v>0</v>
      </c>
      <c r="AK36" s="173">
        <f t="shared" si="10"/>
        <v>0</v>
      </c>
      <c r="AL36" s="173">
        <f t="shared" ca="1" si="11"/>
        <v>0</v>
      </c>
      <c r="AN36" s="173">
        <v>192756.14588350058</v>
      </c>
      <c r="AO36" s="173">
        <v>352747.23775219917</v>
      </c>
      <c r="AP36" s="173">
        <v>180978.25844538212</v>
      </c>
    </row>
    <row r="37" spans="1:42" x14ac:dyDescent="0.3">
      <c r="A37" s="158" t="str">
        <f>IF(ISBLANK(B37),"",MAX(A$6:A36)+1)</f>
        <v/>
      </c>
      <c r="C37" s="77"/>
      <c r="D37" s="77"/>
      <c r="E37" s="77"/>
      <c r="F37" s="77"/>
      <c r="G37" s="77"/>
      <c r="H37" s="27"/>
      <c r="I37" s="77"/>
      <c r="J37" s="77"/>
      <c r="K37" s="77"/>
      <c r="L37" s="77"/>
      <c r="M37" s="77"/>
      <c r="P37" s="77"/>
      <c r="Q37" s="77"/>
      <c r="R37" s="77"/>
      <c r="S37" s="77"/>
      <c r="T37" s="77"/>
      <c r="U37" s="27"/>
      <c r="V37" s="77"/>
      <c r="W37" s="77"/>
      <c r="X37" s="77"/>
      <c r="Y37" s="77"/>
      <c r="Z37" s="77"/>
      <c r="AB37" s="77">
        <f t="shared" si="1"/>
        <v>0</v>
      </c>
      <c r="AC37" s="77">
        <f t="shared" si="2"/>
        <v>0</v>
      </c>
      <c r="AD37" s="77">
        <f t="shared" si="3"/>
        <v>0</v>
      </c>
      <c r="AE37" s="77">
        <f t="shared" si="4"/>
        <v>0</v>
      </c>
      <c r="AF37" s="77">
        <f t="shared" si="5"/>
        <v>0</v>
      </c>
      <c r="AG37" s="27">
        <f t="shared" si="6"/>
        <v>0</v>
      </c>
      <c r="AH37" s="77">
        <f t="shared" si="7"/>
        <v>0</v>
      </c>
      <c r="AI37" s="77">
        <f t="shared" si="8"/>
        <v>0</v>
      </c>
      <c r="AJ37" s="77">
        <f t="shared" si="9"/>
        <v>0</v>
      </c>
      <c r="AK37" s="77">
        <f t="shared" si="10"/>
        <v>0</v>
      </c>
      <c r="AL37" s="77">
        <f t="shared" si="11"/>
        <v>0</v>
      </c>
      <c r="AN37" s="77">
        <v>0</v>
      </c>
      <c r="AO37" s="77">
        <v>0</v>
      </c>
      <c r="AP37" s="77">
        <v>0</v>
      </c>
    </row>
    <row r="38" spans="1:42" x14ac:dyDescent="0.3">
      <c r="A38" s="158">
        <f>IF(ISBLANK(B38),"",MAX(A$6:A37)+1)</f>
        <v>25</v>
      </c>
      <c r="B38" s="15" t="s">
        <v>51</v>
      </c>
      <c r="C38" s="161">
        <f>C11-C36</f>
        <v>103676253.91862053</v>
      </c>
      <c r="D38" s="161">
        <f>D11-D36</f>
        <v>2616179.6237217812</v>
      </c>
      <c r="E38" s="161">
        <f>E11-E36</f>
        <v>2455596.1125766858</v>
      </c>
      <c r="F38" s="161">
        <f>F11-F36</f>
        <v>3294178.3411877672</v>
      </c>
      <c r="G38" s="161">
        <f>G11-G36</f>
        <v>112042207.9961068</v>
      </c>
      <c r="H38" s="27"/>
      <c r="I38" s="161">
        <f ca="1">I11-I36</f>
        <v>87085018.110751271</v>
      </c>
      <c r="J38" s="161"/>
      <c r="K38" s="161"/>
      <c r="L38" s="161"/>
      <c r="M38" s="161">
        <f ca="1">M11-M36</f>
        <v>87085018.110751271</v>
      </c>
      <c r="P38" s="161">
        <v>103676253.91862053</v>
      </c>
      <c r="Q38" s="161">
        <v>2616179.6237217812</v>
      </c>
      <c r="R38" s="161">
        <v>2455596.1125766858</v>
      </c>
      <c r="S38" s="161">
        <v>3294178.3411877672</v>
      </c>
      <c r="T38" s="161">
        <v>112042207.9961068</v>
      </c>
      <c r="U38" s="27"/>
      <c r="V38" s="161">
        <v>87085018.110751271</v>
      </c>
      <c r="W38" s="161"/>
      <c r="X38" s="161"/>
      <c r="Y38" s="161"/>
      <c r="Z38" s="161">
        <v>87085018.110751271</v>
      </c>
      <c r="AB38" s="161">
        <f t="shared" si="1"/>
        <v>0</v>
      </c>
      <c r="AC38" s="161">
        <f t="shared" si="2"/>
        <v>0</v>
      </c>
      <c r="AD38" s="161">
        <f t="shared" si="3"/>
        <v>0</v>
      </c>
      <c r="AE38" s="161">
        <f t="shared" si="4"/>
        <v>0</v>
      </c>
      <c r="AF38" s="161">
        <f t="shared" si="5"/>
        <v>0</v>
      </c>
      <c r="AG38" s="27">
        <f t="shared" si="6"/>
        <v>0</v>
      </c>
      <c r="AH38" s="161">
        <f t="shared" ca="1" si="7"/>
        <v>0</v>
      </c>
      <c r="AI38" s="161">
        <f t="shared" si="8"/>
        <v>0</v>
      </c>
      <c r="AJ38" s="161">
        <f t="shared" si="9"/>
        <v>0</v>
      </c>
      <c r="AK38" s="161">
        <f t="shared" si="10"/>
        <v>0</v>
      </c>
      <c r="AL38" s="161">
        <f t="shared" ca="1" si="11"/>
        <v>0</v>
      </c>
      <c r="AN38" s="161">
        <v>-192756.14588350058</v>
      </c>
      <c r="AO38" s="161">
        <v>-352747.23775219917</v>
      </c>
      <c r="AP38" s="161">
        <v>-180978.25844538212</v>
      </c>
    </row>
    <row r="39" spans="1:42" x14ac:dyDescent="0.3">
      <c r="A39" s="158">
        <f>IF(ISBLANK(B39),"",MAX(A$6:A38)+1)</f>
        <v>26</v>
      </c>
      <c r="B39" s="15" t="s">
        <v>571</v>
      </c>
      <c r="C39" s="77">
        <f>C38+C34+C35</f>
        <v>109894313.49284603</v>
      </c>
      <c r="D39" s="77"/>
      <c r="E39" s="77"/>
      <c r="F39" s="77"/>
      <c r="G39" s="77"/>
      <c r="H39" s="27"/>
      <c r="I39" s="77"/>
      <c r="J39" s="77"/>
      <c r="K39" s="77"/>
      <c r="L39" s="77"/>
      <c r="M39" s="77">
        <f ca="1">M11-SUM(M22:M33)</f>
        <v>85091113.086266875</v>
      </c>
      <c r="P39" s="77">
        <v>109894313.49284603</v>
      </c>
      <c r="Q39" s="77"/>
      <c r="R39" s="77"/>
      <c r="S39" s="77"/>
      <c r="T39" s="77"/>
      <c r="U39" s="27"/>
      <c r="V39" s="77"/>
      <c r="W39" s="77"/>
      <c r="X39" s="77"/>
      <c r="Y39" s="77"/>
      <c r="Z39" s="77">
        <v>85091113.086266875</v>
      </c>
      <c r="AB39" s="77">
        <f t="shared" si="1"/>
        <v>0</v>
      </c>
      <c r="AC39" s="77">
        <f t="shared" si="2"/>
        <v>0</v>
      </c>
      <c r="AD39" s="77">
        <f t="shared" si="3"/>
        <v>0</v>
      </c>
      <c r="AE39" s="77">
        <f t="shared" si="4"/>
        <v>0</v>
      </c>
      <c r="AF39" s="77">
        <f t="shared" si="5"/>
        <v>0</v>
      </c>
      <c r="AG39" s="27">
        <f t="shared" si="6"/>
        <v>0</v>
      </c>
      <c r="AH39" s="77">
        <f t="shared" si="7"/>
        <v>0</v>
      </c>
      <c r="AI39" s="77">
        <f t="shared" si="8"/>
        <v>0</v>
      </c>
      <c r="AJ39" s="77">
        <f t="shared" si="9"/>
        <v>0</v>
      </c>
      <c r="AK39" s="77">
        <f t="shared" si="10"/>
        <v>0</v>
      </c>
      <c r="AL39" s="77">
        <f t="shared" ca="1" si="11"/>
        <v>0</v>
      </c>
      <c r="AN39" s="77">
        <v>0</v>
      </c>
      <c r="AO39" s="77">
        <v>-453090.44834852219</v>
      </c>
      <c r="AP39" s="77">
        <v>-232541.38674902916</v>
      </c>
    </row>
    <row r="40" spans="1:42" x14ac:dyDescent="0.3">
      <c r="A40" s="158">
        <f>IF(ISBLANK(B40),"",MAX(A$6:A39)+1)</f>
        <v>27</v>
      </c>
      <c r="B40" s="15" t="s">
        <v>52</v>
      </c>
      <c r="C40" s="77">
        <f ca="1">C51</f>
        <v>1962589183.1507938</v>
      </c>
      <c r="D40" s="77">
        <f>D51</f>
        <v>-73516466.176427826</v>
      </c>
      <c r="E40" s="77">
        <f>E51</f>
        <v>-13642850.873609414</v>
      </c>
      <c r="F40" s="77">
        <f>F51</f>
        <v>-14239197.195381718</v>
      </c>
      <c r="G40" s="77">
        <f ca="1">G51</f>
        <v>1861190668.9053748</v>
      </c>
      <c r="H40" s="27"/>
      <c r="I40" s="77">
        <f>I51</f>
        <v>2097911052.4043577</v>
      </c>
      <c r="J40" s="77"/>
      <c r="K40" s="77"/>
      <c r="L40" s="77"/>
      <c r="M40" s="77">
        <f>M51</f>
        <v>2296049297.4567351</v>
      </c>
      <c r="P40" s="77">
        <v>1962589183.1507938</v>
      </c>
      <c r="Q40" s="77">
        <v>-73516466.176427826</v>
      </c>
      <c r="R40" s="77">
        <v>-13642850.873609414</v>
      </c>
      <c r="S40" s="77">
        <v>-14239197.195381718</v>
      </c>
      <c r="T40" s="77">
        <v>1861190668.9053748</v>
      </c>
      <c r="U40" s="27"/>
      <c r="V40" s="77">
        <v>2097911052.4043577</v>
      </c>
      <c r="W40" s="77"/>
      <c r="X40" s="77"/>
      <c r="Y40" s="77"/>
      <c r="Z40" s="77">
        <v>2296049297.4567351</v>
      </c>
      <c r="AB40" s="77">
        <f t="shared" ca="1" si="1"/>
        <v>0</v>
      </c>
      <c r="AC40" s="77">
        <f t="shared" si="2"/>
        <v>0</v>
      </c>
      <c r="AD40" s="77">
        <f t="shared" si="3"/>
        <v>0</v>
      </c>
      <c r="AE40" s="77">
        <f t="shared" si="4"/>
        <v>0</v>
      </c>
      <c r="AF40" s="77">
        <f t="shared" ca="1" si="5"/>
        <v>0</v>
      </c>
      <c r="AG40" s="27">
        <f t="shared" si="6"/>
        <v>0</v>
      </c>
      <c r="AH40" s="77">
        <f t="shared" si="7"/>
        <v>0</v>
      </c>
      <c r="AI40" s="77">
        <f t="shared" si="8"/>
        <v>0</v>
      </c>
      <c r="AJ40" s="77">
        <f t="shared" si="9"/>
        <v>0</v>
      </c>
      <c r="AK40" s="77">
        <f t="shared" si="10"/>
        <v>0</v>
      </c>
      <c r="AL40" s="77">
        <f t="shared" si="11"/>
        <v>0</v>
      </c>
      <c r="AN40" s="77">
        <v>0</v>
      </c>
      <c r="AO40" s="77">
        <v>874005.7955737114</v>
      </c>
      <c r="AP40" s="77">
        <v>459269.23882865906</v>
      </c>
    </row>
    <row r="41" spans="1:42" x14ac:dyDescent="0.3">
      <c r="A41" s="158" t="str">
        <f>IF(ISBLANK(B41),"",MAX(A$6:A40)+1)</f>
        <v/>
      </c>
      <c r="C41" s="76"/>
      <c r="D41" s="76"/>
      <c r="E41" s="76"/>
      <c r="F41" s="76"/>
      <c r="G41" s="76"/>
      <c r="H41" s="27"/>
      <c r="I41" s="76"/>
      <c r="J41" s="76"/>
      <c r="K41" s="76"/>
      <c r="L41" s="76"/>
      <c r="M41" s="76"/>
      <c r="P41" s="76"/>
      <c r="Q41" s="76"/>
      <c r="R41" s="76"/>
      <c r="S41" s="76"/>
      <c r="T41" s="76"/>
      <c r="U41" s="27"/>
      <c r="V41" s="76"/>
      <c r="W41" s="76"/>
      <c r="X41" s="76"/>
      <c r="Y41" s="76"/>
      <c r="Z41" s="76"/>
      <c r="AB41" s="76">
        <f t="shared" si="1"/>
        <v>0</v>
      </c>
      <c r="AC41" s="76">
        <f t="shared" si="2"/>
        <v>0</v>
      </c>
      <c r="AD41" s="76">
        <f t="shared" si="3"/>
        <v>0</v>
      </c>
      <c r="AE41" s="76">
        <f t="shared" si="4"/>
        <v>0</v>
      </c>
      <c r="AF41" s="76">
        <f t="shared" si="5"/>
        <v>0</v>
      </c>
      <c r="AG41" s="27">
        <f t="shared" si="6"/>
        <v>0</v>
      </c>
      <c r="AH41" s="76">
        <f t="shared" si="7"/>
        <v>0</v>
      </c>
      <c r="AI41" s="76">
        <f t="shared" si="8"/>
        <v>0</v>
      </c>
      <c r="AJ41" s="76">
        <f t="shared" si="9"/>
        <v>0</v>
      </c>
      <c r="AK41" s="76">
        <f t="shared" si="10"/>
        <v>0</v>
      </c>
      <c r="AL41" s="76">
        <f t="shared" si="11"/>
        <v>0</v>
      </c>
      <c r="AN41" s="76">
        <v>0</v>
      </c>
      <c r="AO41" s="76">
        <v>0</v>
      </c>
      <c r="AP41" s="76">
        <v>0</v>
      </c>
    </row>
    <row r="42" spans="1:42" x14ac:dyDescent="0.3">
      <c r="A42" s="158">
        <f>IF(ISBLANK(B42),"",MAX(A$6:A41)+1)</f>
        <v>28</v>
      </c>
      <c r="B42" s="15" t="s">
        <v>53</v>
      </c>
      <c r="C42" s="175">
        <v>6.5199999999999994E-2</v>
      </c>
      <c r="D42" s="175"/>
      <c r="E42" s="175"/>
      <c r="F42" s="175"/>
      <c r="G42" s="175">
        <v>6.5199999999999994E-2</v>
      </c>
      <c r="H42" s="27"/>
      <c r="I42" s="175">
        <v>6.5199999999999994E-2</v>
      </c>
      <c r="J42" s="175"/>
      <c r="K42" s="175"/>
      <c r="L42" s="175"/>
      <c r="M42" s="175">
        <v>6.5199999999999994E-2</v>
      </c>
      <c r="P42" s="175">
        <v>6.5199999999999994E-2</v>
      </c>
      <c r="Q42" s="175"/>
      <c r="R42" s="175"/>
      <c r="S42" s="175"/>
      <c r="T42" s="175">
        <v>6.5199999999999994E-2</v>
      </c>
      <c r="U42" s="27"/>
      <c r="V42" s="175">
        <v>6.5199999999999994E-2</v>
      </c>
      <c r="W42" s="175"/>
      <c r="X42" s="175"/>
      <c r="Y42" s="175"/>
      <c r="Z42" s="175">
        <v>6.5199999999999994E-2</v>
      </c>
      <c r="AB42" s="175">
        <f t="shared" si="1"/>
        <v>0</v>
      </c>
      <c r="AC42" s="175">
        <f t="shared" si="2"/>
        <v>0</v>
      </c>
      <c r="AD42" s="175">
        <f t="shared" si="3"/>
        <v>0</v>
      </c>
      <c r="AE42" s="175">
        <f t="shared" si="4"/>
        <v>0</v>
      </c>
      <c r="AF42" s="175">
        <f t="shared" si="5"/>
        <v>0</v>
      </c>
      <c r="AG42" s="27">
        <f t="shared" si="6"/>
        <v>0</v>
      </c>
      <c r="AH42" s="175">
        <f t="shared" si="7"/>
        <v>0</v>
      </c>
      <c r="AI42" s="175">
        <f t="shared" si="8"/>
        <v>0</v>
      </c>
      <c r="AJ42" s="175">
        <f t="shared" si="9"/>
        <v>0</v>
      </c>
      <c r="AK42" s="175">
        <f t="shared" si="10"/>
        <v>0</v>
      </c>
      <c r="AL42" s="175">
        <f t="shared" si="11"/>
        <v>0</v>
      </c>
      <c r="AN42" s="175">
        <v>0</v>
      </c>
      <c r="AO42" s="175">
        <v>0</v>
      </c>
      <c r="AP42" s="175">
        <v>0</v>
      </c>
    </row>
    <row r="43" spans="1:42" x14ac:dyDescent="0.3">
      <c r="A43" s="158" t="str">
        <f>IF(ISBLANK(B43),"",MAX(A$6:A42)+1)</f>
        <v/>
      </c>
      <c r="C43" s="502"/>
      <c r="D43" s="502"/>
      <c r="E43" s="502"/>
      <c r="F43" s="502"/>
      <c r="G43" s="502"/>
      <c r="H43" s="27"/>
      <c r="I43" s="502"/>
      <c r="J43" s="502"/>
      <c r="K43" s="502"/>
      <c r="L43" s="502"/>
      <c r="M43" s="502"/>
      <c r="P43" s="502"/>
      <c r="Q43" s="502"/>
      <c r="R43" s="502"/>
      <c r="S43" s="502"/>
      <c r="T43" s="502"/>
      <c r="U43" s="27"/>
      <c r="V43" s="502"/>
      <c r="W43" s="502"/>
      <c r="X43" s="502"/>
      <c r="Y43" s="502"/>
      <c r="Z43" s="502"/>
      <c r="AB43" s="502">
        <f t="shared" si="1"/>
        <v>0</v>
      </c>
      <c r="AC43" s="502">
        <f t="shared" si="2"/>
        <v>0</v>
      </c>
      <c r="AD43" s="502">
        <f t="shared" si="3"/>
        <v>0</v>
      </c>
      <c r="AE43" s="502">
        <f t="shared" si="4"/>
        <v>0</v>
      </c>
      <c r="AF43" s="502">
        <f t="shared" si="5"/>
        <v>0</v>
      </c>
      <c r="AG43" s="27">
        <f t="shared" si="6"/>
        <v>0</v>
      </c>
      <c r="AH43" s="502">
        <f t="shared" si="7"/>
        <v>0</v>
      </c>
      <c r="AI43" s="502">
        <f t="shared" si="8"/>
        <v>0</v>
      </c>
      <c r="AJ43" s="502">
        <f t="shared" si="9"/>
        <v>0</v>
      </c>
      <c r="AK43" s="502">
        <f t="shared" si="10"/>
        <v>0</v>
      </c>
      <c r="AL43" s="502">
        <f t="shared" si="11"/>
        <v>0</v>
      </c>
      <c r="AN43" s="502">
        <v>0</v>
      </c>
      <c r="AO43" s="502">
        <v>0</v>
      </c>
      <c r="AP43" s="502">
        <v>0</v>
      </c>
    </row>
    <row r="44" spans="1:42" x14ac:dyDescent="0.3">
      <c r="A44" s="158">
        <f>IF(ISBLANK(B44),"",MAX(A$6:A43)+1)</f>
        <v>29</v>
      </c>
      <c r="B44" s="15" t="s">
        <v>54</v>
      </c>
      <c r="C44" s="76"/>
      <c r="D44" s="76"/>
      <c r="E44" s="76"/>
      <c r="F44" s="76"/>
      <c r="G44" s="76"/>
      <c r="H44" s="27"/>
      <c r="I44" s="76"/>
      <c r="J44" s="76"/>
      <c r="K44" s="76"/>
      <c r="L44" s="76"/>
      <c r="M44" s="76"/>
      <c r="P44" s="76"/>
      <c r="Q44" s="76"/>
      <c r="R44" s="76"/>
      <c r="S44" s="76"/>
      <c r="T44" s="76"/>
      <c r="U44" s="27"/>
      <c r="V44" s="76"/>
      <c r="W44" s="76"/>
      <c r="X44" s="76"/>
      <c r="Y44" s="76"/>
      <c r="Z44" s="76"/>
      <c r="AB44" s="76">
        <f t="shared" si="1"/>
        <v>0</v>
      </c>
      <c r="AC44" s="76">
        <f t="shared" si="2"/>
        <v>0</v>
      </c>
      <c r="AD44" s="76">
        <f t="shared" si="3"/>
        <v>0</v>
      </c>
      <c r="AE44" s="76">
        <f t="shared" si="4"/>
        <v>0</v>
      </c>
      <c r="AF44" s="76">
        <f t="shared" si="5"/>
        <v>0</v>
      </c>
      <c r="AG44" s="27">
        <f t="shared" si="6"/>
        <v>0</v>
      </c>
      <c r="AH44" s="76">
        <f t="shared" si="7"/>
        <v>0</v>
      </c>
      <c r="AI44" s="76">
        <f t="shared" si="8"/>
        <v>0</v>
      </c>
      <c r="AJ44" s="76">
        <f t="shared" si="9"/>
        <v>0</v>
      </c>
      <c r="AK44" s="76">
        <f t="shared" si="10"/>
        <v>0</v>
      </c>
      <c r="AL44" s="76">
        <f t="shared" si="11"/>
        <v>0</v>
      </c>
      <c r="AN44" s="76">
        <v>0</v>
      </c>
      <c r="AO44" s="76">
        <v>0</v>
      </c>
      <c r="AP44" s="76">
        <v>0</v>
      </c>
    </row>
    <row r="45" spans="1:42" x14ac:dyDescent="0.3">
      <c r="A45" s="158">
        <f>IF(ISBLANK(B45),"",MAX(A$6:A44)+1)</f>
        <v>30</v>
      </c>
      <c r="B45" s="15" t="s">
        <v>180</v>
      </c>
      <c r="C45" s="161">
        <f ca="1">C59</f>
        <v>4100486956.6681142</v>
      </c>
      <c r="D45" s="161">
        <f>D59</f>
        <v>-84751774.307916671</v>
      </c>
      <c r="E45" s="161">
        <f>E59</f>
        <v>-16228881.069029139</v>
      </c>
      <c r="F45" s="161">
        <f>F59</f>
        <v>-16597798.789668249</v>
      </c>
      <c r="G45" s="161">
        <f ca="1">SUM(C45:F45)</f>
        <v>3982908502.5015001</v>
      </c>
      <c r="H45" s="26"/>
      <c r="I45" s="161">
        <f>I59</f>
        <v>4532472039.5173817</v>
      </c>
      <c r="J45" s="161">
        <f>J59</f>
        <v>105802468.1600001</v>
      </c>
      <c r="K45" s="161">
        <f>K59</f>
        <v>66784661.41225782</v>
      </c>
      <c r="L45" s="161">
        <f>L59</f>
        <v>82865659.666204244</v>
      </c>
      <c r="M45" s="161">
        <f>M59</f>
        <v>4787924828.7558432</v>
      </c>
      <c r="P45" s="161">
        <v>4100486956.6681142</v>
      </c>
      <c r="Q45" s="161">
        <v>-84751774.307916671</v>
      </c>
      <c r="R45" s="161">
        <v>-16228881.069029139</v>
      </c>
      <c r="S45" s="161">
        <v>-16597798.789668249</v>
      </c>
      <c r="T45" s="161">
        <v>3982908502.5015001</v>
      </c>
      <c r="U45" s="26"/>
      <c r="V45" s="161">
        <v>4532472039.5173817</v>
      </c>
      <c r="W45" s="161">
        <v>105802468.1600001</v>
      </c>
      <c r="X45" s="161">
        <v>66784661.41225782</v>
      </c>
      <c r="Y45" s="161">
        <v>82865659.666204244</v>
      </c>
      <c r="Z45" s="161">
        <v>4787924828.7558432</v>
      </c>
      <c r="AB45" s="161">
        <f t="shared" ca="1" si="1"/>
        <v>0</v>
      </c>
      <c r="AC45" s="161">
        <f t="shared" si="2"/>
        <v>0</v>
      </c>
      <c r="AD45" s="161">
        <f t="shared" si="3"/>
        <v>0</v>
      </c>
      <c r="AE45" s="161">
        <f t="shared" si="4"/>
        <v>0</v>
      </c>
      <c r="AF45" s="161">
        <f t="shared" ca="1" si="5"/>
        <v>0</v>
      </c>
      <c r="AG45" s="26">
        <f t="shared" si="6"/>
        <v>0</v>
      </c>
      <c r="AH45" s="161">
        <f t="shared" si="7"/>
        <v>0</v>
      </c>
      <c r="AI45" s="161">
        <f t="shared" si="8"/>
        <v>0</v>
      </c>
      <c r="AJ45" s="161">
        <f t="shared" si="9"/>
        <v>0</v>
      </c>
      <c r="AK45" s="161">
        <f t="shared" si="10"/>
        <v>0</v>
      </c>
      <c r="AL45" s="161">
        <f t="shared" si="11"/>
        <v>0</v>
      </c>
      <c r="AN45" s="161">
        <v>0</v>
      </c>
      <c r="AO45" s="161">
        <v>0</v>
      </c>
      <c r="AP45" s="161">
        <v>0</v>
      </c>
    </row>
    <row r="46" spans="1:42" x14ac:dyDescent="0.3">
      <c r="A46" s="158">
        <f>IF(ISBLANK(B46),"",MAX(A$6:A45)+1)</f>
        <v>31</v>
      </c>
      <c r="B46" s="15" t="s">
        <v>181</v>
      </c>
      <c r="C46" s="162">
        <f ca="1">C67</f>
        <v>-1569795174.7788</v>
      </c>
      <c r="D46" s="162">
        <f>D67</f>
        <v>3209723.1798207625</v>
      </c>
      <c r="E46" s="162">
        <f>E67</f>
        <v>1296178.4092875994</v>
      </c>
      <c r="F46" s="162">
        <f>F67</f>
        <v>1430783.8862761646</v>
      </c>
      <c r="G46" s="162">
        <f ca="1">SUM(C46:F46)</f>
        <v>-1563858489.3034153</v>
      </c>
      <c r="H46" s="26"/>
      <c r="I46" s="162">
        <f>I67</f>
        <v>-1886812085.3659108</v>
      </c>
      <c r="J46" s="162">
        <f>J67</f>
        <v>-10067230.849618189</v>
      </c>
      <c r="K46" s="162">
        <f>K67</f>
        <v>-10582560.510378484</v>
      </c>
      <c r="L46" s="162">
        <f>L67</f>
        <v>-18729954.286813222</v>
      </c>
      <c r="M46" s="162">
        <f>M67</f>
        <v>-1926191831.0127208</v>
      </c>
      <c r="P46" s="162">
        <v>-1569795174.7788</v>
      </c>
      <c r="Q46" s="162">
        <v>3209723.1798207625</v>
      </c>
      <c r="R46" s="162">
        <v>1296178.4092875994</v>
      </c>
      <c r="S46" s="162">
        <v>1430783.8862761646</v>
      </c>
      <c r="T46" s="162">
        <v>-1563858489.3034153</v>
      </c>
      <c r="U46" s="26"/>
      <c r="V46" s="162">
        <v>-1886812085.3659108</v>
      </c>
      <c r="W46" s="162">
        <v>-10067230.849618189</v>
      </c>
      <c r="X46" s="162">
        <v>-10582560.510378484</v>
      </c>
      <c r="Y46" s="162">
        <v>-18729954.286813222</v>
      </c>
      <c r="Z46" s="162">
        <v>-1926191831.0127208</v>
      </c>
      <c r="AB46" s="162">
        <f t="shared" ca="1" si="1"/>
        <v>0</v>
      </c>
      <c r="AC46" s="162">
        <f t="shared" si="2"/>
        <v>0</v>
      </c>
      <c r="AD46" s="162">
        <f t="shared" si="3"/>
        <v>0</v>
      </c>
      <c r="AE46" s="162">
        <f t="shared" si="4"/>
        <v>0</v>
      </c>
      <c r="AF46" s="162">
        <f t="shared" ca="1" si="5"/>
        <v>0</v>
      </c>
      <c r="AG46" s="26">
        <f t="shared" si="6"/>
        <v>0</v>
      </c>
      <c r="AH46" s="162">
        <f t="shared" si="7"/>
        <v>0</v>
      </c>
      <c r="AI46" s="162">
        <f t="shared" si="8"/>
        <v>0</v>
      </c>
      <c r="AJ46" s="162">
        <f t="shared" si="9"/>
        <v>0</v>
      </c>
      <c r="AK46" s="162">
        <f t="shared" si="10"/>
        <v>0</v>
      </c>
      <c r="AL46" s="162">
        <f t="shared" si="11"/>
        <v>0</v>
      </c>
      <c r="AN46" s="162">
        <v>0</v>
      </c>
      <c r="AO46" s="162">
        <v>0</v>
      </c>
      <c r="AP46" s="162">
        <v>0</v>
      </c>
    </row>
    <row r="47" spans="1:42" x14ac:dyDescent="0.3">
      <c r="A47" s="158">
        <f>IF(ISBLANK(B47),"",MAX(A$6:A46)+1)</f>
        <v>32</v>
      </c>
      <c r="B47" s="15" t="s">
        <v>182</v>
      </c>
      <c r="C47" s="80">
        <f ca="1">C91+C101</f>
        <v>-607066028.19967902</v>
      </c>
      <c r="D47" s="80">
        <f>D91+D101</f>
        <v>8025584.9516680902</v>
      </c>
      <c r="E47" s="80">
        <f>E91+E101</f>
        <v>1289851.786132125</v>
      </c>
      <c r="F47" s="80">
        <f>F91+F101</f>
        <v>927817.70801036642</v>
      </c>
      <c r="G47" s="80">
        <f ca="1">SUM(C47:F47)</f>
        <v>-596822773.75386846</v>
      </c>
      <c r="H47" s="26"/>
      <c r="I47" s="80">
        <f>I91+I101</f>
        <v>-586712331.2082721</v>
      </c>
      <c r="J47" s="80">
        <f>J91+J101</f>
        <v>-8937256.0344074257</v>
      </c>
      <c r="K47" s="80">
        <f>K91+K101</f>
        <v>-2256392.3988461853</v>
      </c>
      <c r="L47" s="80">
        <f>L91+L101</f>
        <v>-6741150.1060194559</v>
      </c>
      <c r="M47" s="80">
        <f>SUM(I47:L47)</f>
        <v>-604647129.74754512</v>
      </c>
      <c r="P47" s="80">
        <v>-607066028.19967902</v>
      </c>
      <c r="Q47" s="80">
        <v>8025584.9516680902</v>
      </c>
      <c r="R47" s="80">
        <v>1289851.786132125</v>
      </c>
      <c r="S47" s="80">
        <v>927817.70801036642</v>
      </c>
      <c r="T47" s="80">
        <v>-596822773.75386846</v>
      </c>
      <c r="U47" s="26"/>
      <c r="V47" s="80">
        <v>-586712331.2082721</v>
      </c>
      <c r="W47" s="80">
        <v>-8937256.0344074257</v>
      </c>
      <c r="X47" s="80">
        <v>-2256392.3988461853</v>
      </c>
      <c r="Y47" s="80">
        <v>-6741150.1060194559</v>
      </c>
      <c r="Z47" s="80">
        <v>-604647129.74754512</v>
      </c>
      <c r="AB47" s="80">
        <f t="shared" ca="1" si="1"/>
        <v>0</v>
      </c>
      <c r="AC47" s="80">
        <f t="shared" si="2"/>
        <v>0</v>
      </c>
      <c r="AD47" s="80">
        <f t="shared" si="3"/>
        <v>0</v>
      </c>
      <c r="AE47" s="80">
        <f t="shared" si="4"/>
        <v>0</v>
      </c>
      <c r="AF47" s="80">
        <f t="shared" ca="1" si="5"/>
        <v>0</v>
      </c>
      <c r="AG47" s="26">
        <f t="shared" si="6"/>
        <v>0</v>
      </c>
      <c r="AH47" s="80">
        <f t="shared" si="7"/>
        <v>0</v>
      </c>
      <c r="AI47" s="80">
        <f t="shared" si="8"/>
        <v>0</v>
      </c>
      <c r="AJ47" s="80">
        <f t="shared" si="9"/>
        <v>0</v>
      </c>
      <c r="AK47" s="80">
        <f t="shared" si="10"/>
        <v>0</v>
      </c>
      <c r="AL47" s="80">
        <f t="shared" si="11"/>
        <v>0</v>
      </c>
      <c r="AN47" s="80">
        <v>0</v>
      </c>
      <c r="AO47" s="80">
        <v>-232330.65451955795</v>
      </c>
      <c r="AP47" s="80">
        <v>-122084.22804331779</v>
      </c>
    </row>
    <row r="48" spans="1:42" x14ac:dyDescent="0.3">
      <c r="A48" s="158">
        <f>IF(ISBLANK(B48),"",MAX(A$6:A47)+1)</f>
        <v>33</v>
      </c>
      <c r="B48" s="15" t="s">
        <v>183</v>
      </c>
      <c r="C48" s="503">
        <f>C102</f>
        <v>-15468370.592007965</v>
      </c>
      <c r="D48" s="503">
        <f>D102</f>
        <v>0</v>
      </c>
      <c r="E48" s="503">
        <f>E102</f>
        <v>0</v>
      </c>
      <c r="F48" s="503">
        <f>F102</f>
        <v>0</v>
      </c>
      <c r="G48" s="503">
        <f>SUM(C48:F48)</f>
        <v>-15468370.592007965</v>
      </c>
      <c r="H48" s="26"/>
      <c r="I48" s="503">
        <f>I102</f>
        <v>-15468370.592007965</v>
      </c>
      <c r="J48" s="503">
        <f>J102</f>
        <v>0</v>
      </c>
      <c r="K48" s="503">
        <f>K102</f>
        <v>0</v>
      </c>
      <c r="L48" s="503">
        <f>L102</f>
        <v>0</v>
      </c>
      <c r="M48" s="503">
        <f>M102</f>
        <v>-15468370.592007965</v>
      </c>
      <c r="P48" s="503">
        <v>-15468370.592007965</v>
      </c>
      <c r="Q48" s="503">
        <v>0</v>
      </c>
      <c r="R48" s="503">
        <v>0</v>
      </c>
      <c r="S48" s="503">
        <v>0</v>
      </c>
      <c r="T48" s="503">
        <v>-15468370.592007965</v>
      </c>
      <c r="U48" s="26"/>
      <c r="V48" s="503">
        <v>-15468370.592007965</v>
      </c>
      <c r="W48" s="503">
        <v>0</v>
      </c>
      <c r="X48" s="503">
        <v>0</v>
      </c>
      <c r="Y48" s="503">
        <v>0</v>
      </c>
      <c r="Z48" s="503">
        <v>-15468370.592007965</v>
      </c>
      <c r="AB48" s="503">
        <f t="shared" si="1"/>
        <v>0</v>
      </c>
      <c r="AC48" s="503">
        <f t="shared" si="2"/>
        <v>0</v>
      </c>
      <c r="AD48" s="503">
        <f t="shared" si="3"/>
        <v>0</v>
      </c>
      <c r="AE48" s="503">
        <f t="shared" si="4"/>
        <v>0</v>
      </c>
      <c r="AF48" s="503">
        <f t="shared" si="5"/>
        <v>0</v>
      </c>
      <c r="AG48" s="26">
        <f t="shared" si="6"/>
        <v>0</v>
      </c>
      <c r="AH48" s="503">
        <f t="shared" si="7"/>
        <v>0</v>
      </c>
      <c r="AI48" s="503">
        <f t="shared" si="8"/>
        <v>0</v>
      </c>
      <c r="AJ48" s="503">
        <f t="shared" si="9"/>
        <v>0</v>
      </c>
      <c r="AK48" s="503">
        <f t="shared" si="10"/>
        <v>0</v>
      </c>
      <c r="AL48" s="503">
        <f t="shared" si="11"/>
        <v>0</v>
      </c>
      <c r="AN48" s="503">
        <v>0</v>
      </c>
      <c r="AO48" s="503">
        <v>1106336.4500931576</v>
      </c>
      <c r="AP48" s="503">
        <v>581353.46687253565</v>
      </c>
    </row>
    <row r="49" spans="1:42" x14ac:dyDescent="0.3">
      <c r="A49" s="158">
        <f>IF(ISBLANK(B49),"",MAX(A$6:A48)+1)</f>
        <v>34</v>
      </c>
      <c r="B49" s="15" t="s">
        <v>184</v>
      </c>
      <c r="C49" s="504">
        <f ca="1">SUM(C45:C48)</f>
        <v>1908157383.0976274</v>
      </c>
      <c r="D49" s="504">
        <f>SUM(D45:D48)</f>
        <v>-73516466.176427826</v>
      </c>
      <c r="E49" s="504">
        <f>SUM(E45:E48)</f>
        <v>-13642850.873609414</v>
      </c>
      <c r="F49" s="504">
        <f>SUM(F45:F48)</f>
        <v>-14239197.195381718</v>
      </c>
      <c r="G49" s="504">
        <f ca="1">SUM(G45:G48)</f>
        <v>1806758868.8522084</v>
      </c>
      <c r="H49" s="505"/>
      <c r="I49" s="504">
        <f>SUM(I45:I48)</f>
        <v>2043479252.3511913</v>
      </c>
      <c r="J49" s="504">
        <f>SUM(J45:J48)</f>
        <v>86797981.275974497</v>
      </c>
      <c r="K49" s="504">
        <f>SUM(K45:K48)</f>
        <v>53945708.503033154</v>
      </c>
      <c r="L49" s="504">
        <f>SUM(L45:L48)</f>
        <v>57394555.273371562</v>
      </c>
      <c r="M49" s="504">
        <f>SUM(M45:M48)</f>
        <v>2241617497.4035687</v>
      </c>
      <c r="P49" s="504">
        <v>1908157383.0976274</v>
      </c>
      <c r="Q49" s="504">
        <v>-73516466.176427826</v>
      </c>
      <c r="R49" s="504">
        <v>-13642850.873609414</v>
      </c>
      <c r="S49" s="504">
        <v>-14239197.195381718</v>
      </c>
      <c r="T49" s="504">
        <v>1806758868.8522084</v>
      </c>
      <c r="U49" s="505"/>
      <c r="V49" s="504">
        <v>2043479252.3511913</v>
      </c>
      <c r="W49" s="504">
        <v>86797981.275974497</v>
      </c>
      <c r="X49" s="504">
        <v>53945708.503033154</v>
      </c>
      <c r="Y49" s="504">
        <v>57394555.273371562</v>
      </c>
      <c r="Z49" s="504">
        <v>2241617497.4035687</v>
      </c>
      <c r="AB49" s="504">
        <f t="shared" ca="1" si="1"/>
        <v>0</v>
      </c>
      <c r="AC49" s="504">
        <f t="shared" si="2"/>
        <v>0</v>
      </c>
      <c r="AD49" s="504">
        <f t="shared" si="3"/>
        <v>0</v>
      </c>
      <c r="AE49" s="504">
        <f t="shared" si="4"/>
        <v>0</v>
      </c>
      <c r="AF49" s="504">
        <f t="shared" ca="1" si="5"/>
        <v>0</v>
      </c>
      <c r="AG49" s="505">
        <f t="shared" si="6"/>
        <v>0</v>
      </c>
      <c r="AH49" s="504">
        <f t="shared" si="7"/>
        <v>0</v>
      </c>
      <c r="AI49" s="504">
        <f t="shared" si="8"/>
        <v>0</v>
      </c>
      <c r="AJ49" s="504">
        <f t="shared" si="9"/>
        <v>0</v>
      </c>
      <c r="AK49" s="504">
        <f t="shared" si="10"/>
        <v>0</v>
      </c>
      <c r="AL49" s="504">
        <f t="shared" si="11"/>
        <v>0</v>
      </c>
      <c r="AN49" s="504">
        <v>0</v>
      </c>
      <c r="AO49" s="504">
        <v>874005.7955737114</v>
      </c>
      <c r="AP49" s="504">
        <v>459269.23882865906</v>
      </c>
    </row>
    <row r="50" spans="1:42" x14ac:dyDescent="0.3">
      <c r="A50" s="158">
        <f>IF(ISBLANK(B50),"",MAX(A$6:A49)+1)</f>
        <v>35</v>
      </c>
      <c r="B50" s="15" t="s">
        <v>60</v>
      </c>
      <c r="C50" s="503">
        <f>C103</f>
        <v>54431800.053166389</v>
      </c>
      <c r="D50" s="503">
        <f>D103</f>
        <v>0</v>
      </c>
      <c r="E50" s="503">
        <f>E103</f>
        <v>0</v>
      </c>
      <c r="F50" s="503">
        <f>F103</f>
        <v>0</v>
      </c>
      <c r="G50" s="503">
        <f>SUM(C50:F50)</f>
        <v>54431800.053166389</v>
      </c>
      <c r="H50" s="26"/>
      <c r="I50" s="503">
        <f>I103</f>
        <v>54431800.053166389</v>
      </c>
      <c r="J50" s="503">
        <f>J103</f>
        <v>0</v>
      </c>
      <c r="K50" s="503">
        <f>K103</f>
        <v>0</v>
      </c>
      <c r="L50" s="503">
        <f>L103</f>
        <v>0</v>
      </c>
      <c r="M50" s="503">
        <f>M103</f>
        <v>54431800.053166389</v>
      </c>
      <c r="P50" s="503">
        <v>54431800.053166389</v>
      </c>
      <c r="Q50" s="503">
        <v>0</v>
      </c>
      <c r="R50" s="503">
        <v>0</v>
      </c>
      <c r="S50" s="503">
        <v>0</v>
      </c>
      <c r="T50" s="503">
        <v>54431800.053166389</v>
      </c>
      <c r="U50" s="26"/>
      <c r="V50" s="503">
        <v>54431800.053166389</v>
      </c>
      <c r="W50" s="503">
        <v>0</v>
      </c>
      <c r="X50" s="503">
        <v>0</v>
      </c>
      <c r="Y50" s="503">
        <v>0</v>
      </c>
      <c r="Z50" s="503">
        <v>54431800.053166389</v>
      </c>
      <c r="AB50" s="503">
        <f t="shared" si="1"/>
        <v>0</v>
      </c>
      <c r="AC50" s="503">
        <f t="shared" si="2"/>
        <v>0</v>
      </c>
      <c r="AD50" s="503">
        <f t="shared" si="3"/>
        <v>0</v>
      </c>
      <c r="AE50" s="503">
        <f t="shared" si="4"/>
        <v>0</v>
      </c>
      <c r="AF50" s="503">
        <f t="shared" si="5"/>
        <v>0</v>
      </c>
      <c r="AG50" s="26">
        <f t="shared" si="6"/>
        <v>0</v>
      </c>
      <c r="AH50" s="503">
        <f t="shared" si="7"/>
        <v>0</v>
      </c>
      <c r="AI50" s="503">
        <f t="shared" si="8"/>
        <v>0</v>
      </c>
      <c r="AJ50" s="503">
        <f t="shared" si="9"/>
        <v>0</v>
      </c>
      <c r="AK50" s="503">
        <f t="shared" si="10"/>
        <v>0</v>
      </c>
      <c r="AL50" s="503">
        <f t="shared" si="11"/>
        <v>0</v>
      </c>
      <c r="AN50" s="503">
        <v>0</v>
      </c>
      <c r="AO50" s="503">
        <v>0</v>
      </c>
      <c r="AP50" s="503">
        <v>0</v>
      </c>
    </row>
    <row r="51" spans="1:42" ht="15" thickBot="1" x14ac:dyDescent="0.35">
      <c r="A51" s="158">
        <f>IF(ISBLANK(B51),"",MAX(A$6:A50)+1)</f>
        <v>36</v>
      </c>
      <c r="B51" s="15" t="s">
        <v>62</v>
      </c>
      <c r="C51" s="179">
        <f ca="1">SUM(C49:C50)</f>
        <v>1962589183.1507938</v>
      </c>
      <c r="D51" s="179">
        <f>SUM(D49:D50)</f>
        <v>-73516466.176427826</v>
      </c>
      <c r="E51" s="179">
        <f>SUM(E49:E50)</f>
        <v>-13642850.873609414</v>
      </c>
      <c r="F51" s="179">
        <f>SUM(F49:F50)</f>
        <v>-14239197.195381718</v>
      </c>
      <c r="G51" s="179">
        <f ca="1">SUM(G49:G50)</f>
        <v>1861190668.9053748</v>
      </c>
      <c r="H51" s="505"/>
      <c r="I51" s="179">
        <f>SUM(I49:I50)</f>
        <v>2097911052.4043577</v>
      </c>
      <c r="J51" s="179">
        <f>SUM(J49:J50)</f>
        <v>86797981.275974497</v>
      </c>
      <c r="K51" s="179">
        <f>SUM(K49:K50)</f>
        <v>53945708.503033154</v>
      </c>
      <c r="L51" s="179">
        <f>SUM(L49:L50)</f>
        <v>57394555.273371562</v>
      </c>
      <c r="M51" s="179">
        <f>SUM(M49:M50)</f>
        <v>2296049297.4567351</v>
      </c>
      <c r="P51" s="179">
        <v>1962589183.1507938</v>
      </c>
      <c r="Q51" s="179">
        <v>-73516466.176427826</v>
      </c>
      <c r="R51" s="179">
        <v>-13642850.873609414</v>
      </c>
      <c r="S51" s="179">
        <v>-14239197.195381718</v>
      </c>
      <c r="T51" s="179">
        <v>1861190668.9053748</v>
      </c>
      <c r="U51" s="505"/>
      <c r="V51" s="179">
        <v>2097911052.4043577</v>
      </c>
      <c r="W51" s="179">
        <v>86797981.275974497</v>
      </c>
      <c r="X51" s="179">
        <v>53945708.503033154</v>
      </c>
      <c r="Y51" s="179">
        <v>57394555.273371562</v>
      </c>
      <c r="Z51" s="179">
        <v>2296049297.4567351</v>
      </c>
      <c r="AB51" s="179">
        <f t="shared" ca="1" si="1"/>
        <v>0</v>
      </c>
      <c r="AC51" s="179">
        <f t="shared" si="2"/>
        <v>0</v>
      </c>
      <c r="AD51" s="179">
        <f t="shared" si="3"/>
        <v>0</v>
      </c>
      <c r="AE51" s="179">
        <f t="shared" si="4"/>
        <v>0</v>
      </c>
      <c r="AF51" s="179">
        <f t="shared" ca="1" si="5"/>
        <v>0</v>
      </c>
      <c r="AG51" s="505">
        <f t="shared" si="6"/>
        <v>0</v>
      </c>
      <c r="AH51" s="179">
        <f t="shared" si="7"/>
        <v>0</v>
      </c>
      <c r="AI51" s="179">
        <f t="shared" si="8"/>
        <v>0</v>
      </c>
      <c r="AJ51" s="179">
        <f t="shared" si="9"/>
        <v>0</v>
      </c>
      <c r="AK51" s="179">
        <f t="shared" si="10"/>
        <v>0</v>
      </c>
      <c r="AL51" s="179">
        <f t="shared" si="11"/>
        <v>0</v>
      </c>
      <c r="AN51" s="179">
        <v>0</v>
      </c>
      <c r="AO51" s="179">
        <v>874005.7955737114</v>
      </c>
      <c r="AP51" s="179">
        <v>459269.23882865906</v>
      </c>
    </row>
    <row r="52" spans="1:42" ht="15" thickTop="1" x14ac:dyDescent="0.3">
      <c r="A52" s="158">
        <f>IF(ISBLANK(B52),"",MAX(A$6:A51)+1)</f>
        <v>37</v>
      </c>
      <c r="B52" s="193" t="s">
        <v>570</v>
      </c>
      <c r="C52" s="20">
        <v>0</v>
      </c>
      <c r="D52" s="20"/>
      <c r="E52" s="20"/>
      <c r="F52" s="20"/>
      <c r="G52" s="20"/>
      <c r="H52" s="27"/>
      <c r="I52" s="20"/>
      <c r="J52" s="20"/>
      <c r="K52" s="20"/>
      <c r="L52" s="20"/>
      <c r="M52" s="20"/>
      <c r="P52" s="20">
        <v>0</v>
      </c>
      <c r="Q52" s="20"/>
      <c r="R52" s="20"/>
      <c r="S52" s="20"/>
      <c r="T52" s="20"/>
      <c r="U52" s="27"/>
      <c r="V52" s="20"/>
      <c r="W52" s="20"/>
      <c r="X52" s="20"/>
      <c r="Y52" s="20"/>
      <c r="Z52" s="20"/>
      <c r="AB52" s="20">
        <f t="shared" si="1"/>
        <v>0</v>
      </c>
      <c r="AC52" s="20">
        <f t="shared" si="2"/>
        <v>0</v>
      </c>
      <c r="AD52" s="20">
        <f t="shared" si="3"/>
        <v>0</v>
      </c>
      <c r="AE52" s="20">
        <f t="shared" si="4"/>
        <v>0</v>
      </c>
      <c r="AF52" s="20">
        <f t="shared" si="5"/>
        <v>0</v>
      </c>
      <c r="AG52" s="27">
        <f t="shared" si="6"/>
        <v>0</v>
      </c>
      <c r="AH52" s="20">
        <f t="shared" si="7"/>
        <v>0</v>
      </c>
      <c r="AI52" s="20">
        <f t="shared" si="8"/>
        <v>0</v>
      </c>
      <c r="AJ52" s="20">
        <f t="shared" si="9"/>
        <v>0</v>
      </c>
      <c r="AK52" s="20">
        <f t="shared" si="10"/>
        <v>0</v>
      </c>
      <c r="AL52" s="20">
        <f t="shared" si="11"/>
        <v>0</v>
      </c>
      <c r="AN52" s="20">
        <v>0</v>
      </c>
      <c r="AO52" s="20">
        <v>0</v>
      </c>
      <c r="AP52" s="20">
        <v>0</v>
      </c>
    </row>
    <row r="53" spans="1:42" x14ac:dyDescent="0.3">
      <c r="A53" s="158">
        <f>IF(ISBLANK(B53),"",MAX(A$6:A52)+1)</f>
        <v>38</v>
      </c>
      <c r="B53" s="15" t="s">
        <v>63</v>
      </c>
      <c r="H53" s="27"/>
      <c r="U53" s="27"/>
      <c r="AB53" s="15">
        <f t="shared" si="1"/>
        <v>0</v>
      </c>
      <c r="AC53" s="15">
        <f t="shared" si="2"/>
        <v>0</v>
      </c>
      <c r="AD53" s="15">
        <f t="shared" si="3"/>
        <v>0</v>
      </c>
      <c r="AE53" s="15">
        <f t="shared" si="4"/>
        <v>0</v>
      </c>
      <c r="AF53" s="15">
        <f t="shared" si="5"/>
        <v>0</v>
      </c>
      <c r="AG53" s="27">
        <f t="shared" si="6"/>
        <v>0</v>
      </c>
      <c r="AH53" s="15">
        <f t="shared" si="7"/>
        <v>0</v>
      </c>
      <c r="AI53" s="15">
        <f t="shared" si="8"/>
        <v>0</v>
      </c>
      <c r="AJ53" s="15">
        <f t="shared" si="9"/>
        <v>0</v>
      </c>
      <c r="AK53" s="15">
        <f t="shared" si="10"/>
        <v>0</v>
      </c>
      <c r="AL53" s="15">
        <f t="shared" si="11"/>
        <v>0</v>
      </c>
      <c r="AN53" s="15">
        <v>0</v>
      </c>
      <c r="AO53" s="15">
        <v>0</v>
      </c>
      <c r="AP53" s="15">
        <v>0</v>
      </c>
    </row>
    <row r="54" spans="1:42" x14ac:dyDescent="0.3">
      <c r="A54" s="158">
        <f>IF(ISBLANK(B54),"",MAX(A$6:A53)+1)</f>
        <v>39</v>
      </c>
      <c r="B54" s="21" t="s">
        <v>185</v>
      </c>
      <c r="C54" s="16">
        <f ca="1">Gas_CBR!M56</f>
        <v>76474409.469999999</v>
      </c>
      <c r="D54" s="16"/>
      <c r="E54" s="16"/>
      <c r="F54" s="16"/>
      <c r="G54" s="16">
        <f ca="1">SUM(C54:F54)</f>
        <v>76474409.469999999</v>
      </c>
      <c r="H54" s="26">
        <f ca="1">Gas_PPlant!D30</f>
        <v>1.3282089954823606E-2</v>
      </c>
      <c r="I54" s="177">
        <v>70765039.407125533</v>
      </c>
      <c r="J54" s="177"/>
      <c r="K54" s="177"/>
      <c r="L54" s="177"/>
      <c r="M54" s="177">
        <f>SUM(I54:L54)</f>
        <v>70765039.407125533</v>
      </c>
      <c r="P54" s="16">
        <v>76474409.469999999</v>
      </c>
      <c r="Q54" s="16"/>
      <c r="R54" s="16"/>
      <c r="S54" s="16"/>
      <c r="T54" s="16">
        <v>76474409.469999999</v>
      </c>
      <c r="U54" s="26">
        <v>1.3282089954823606E-2</v>
      </c>
      <c r="V54" s="177">
        <v>70765039.407125533</v>
      </c>
      <c r="W54" s="177"/>
      <c r="X54" s="177"/>
      <c r="Y54" s="177"/>
      <c r="Z54" s="177">
        <v>70765039.407125533</v>
      </c>
      <c r="AB54" s="16">
        <f t="shared" ca="1" si="1"/>
        <v>0</v>
      </c>
      <c r="AC54" s="16">
        <f t="shared" si="2"/>
        <v>0</v>
      </c>
      <c r="AD54" s="16">
        <f t="shared" si="3"/>
        <v>0</v>
      </c>
      <c r="AE54" s="16">
        <f t="shared" si="4"/>
        <v>0</v>
      </c>
      <c r="AF54" s="16">
        <f t="shared" ca="1" si="5"/>
        <v>0</v>
      </c>
      <c r="AG54" s="26">
        <f t="shared" ca="1" si="6"/>
        <v>0</v>
      </c>
      <c r="AH54" s="177">
        <f t="shared" si="7"/>
        <v>0</v>
      </c>
      <c r="AI54" s="177">
        <f t="shared" si="8"/>
        <v>0</v>
      </c>
      <c r="AJ54" s="177">
        <f t="shared" si="9"/>
        <v>0</v>
      </c>
      <c r="AK54" s="177">
        <f t="shared" si="10"/>
        <v>0</v>
      </c>
      <c r="AL54" s="177">
        <f t="shared" si="11"/>
        <v>0</v>
      </c>
      <c r="AN54" s="177">
        <v>0</v>
      </c>
      <c r="AO54" s="177">
        <v>0</v>
      </c>
      <c r="AP54" s="177">
        <v>0</v>
      </c>
    </row>
    <row r="55" spans="1:42" x14ac:dyDescent="0.3">
      <c r="A55" s="158">
        <f>IF(ISBLANK(B55),"",MAX(A$6:A54)+1)</f>
        <v>40</v>
      </c>
      <c r="B55" s="21" t="s">
        <v>65</v>
      </c>
      <c r="C55" s="162">
        <f ca="1">Gas_CBR!M57</f>
        <v>0</v>
      </c>
      <c r="D55" s="162"/>
      <c r="E55" s="162"/>
      <c r="F55" s="162"/>
      <c r="G55" s="162">
        <f ca="1">SUM(C55:F55)</f>
        <v>0</v>
      </c>
      <c r="H55" s="26"/>
      <c r="I55" s="162">
        <v>0</v>
      </c>
      <c r="J55" s="162"/>
      <c r="K55" s="162"/>
      <c r="L55" s="162"/>
      <c r="M55" s="162">
        <f>SUM(I55:L55)</f>
        <v>0</v>
      </c>
      <c r="P55" s="162">
        <v>0</v>
      </c>
      <c r="Q55" s="162"/>
      <c r="R55" s="162"/>
      <c r="S55" s="162"/>
      <c r="T55" s="162">
        <v>0</v>
      </c>
      <c r="U55" s="26"/>
      <c r="V55" s="162">
        <v>0</v>
      </c>
      <c r="W55" s="162"/>
      <c r="X55" s="162"/>
      <c r="Y55" s="162"/>
      <c r="Z55" s="162">
        <v>0</v>
      </c>
      <c r="AB55" s="162">
        <f t="shared" ca="1" si="1"/>
        <v>0</v>
      </c>
      <c r="AC55" s="162">
        <f t="shared" si="2"/>
        <v>0</v>
      </c>
      <c r="AD55" s="162">
        <f t="shared" si="3"/>
        <v>0</v>
      </c>
      <c r="AE55" s="162">
        <f t="shared" si="4"/>
        <v>0</v>
      </c>
      <c r="AF55" s="162">
        <f t="shared" ca="1" si="5"/>
        <v>0</v>
      </c>
      <c r="AG55" s="26">
        <f t="shared" si="6"/>
        <v>0</v>
      </c>
      <c r="AH55" s="162">
        <f t="shared" si="7"/>
        <v>0</v>
      </c>
      <c r="AI55" s="162">
        <f t="shared" si="8"/>
        <v>0</v>
      </c>
      <c r="AJ55" s="162">
        <f t="shared" si="9"/>
        <v>0</v>
      </c>
      <c r="AK55" s="162">
        <f t="shared" si="10"/>
        <v>0</v>
      </c>
      <c r="AL55" s="162">
        <f t="shared" si="11"/>
        <v>0</v>
      </c>
      <c r="AN55" s="162">
        <v>0</v>
      </c>
      <c r="AO55" s="162">
        <v>0</v>
      </c>
      <c r="AP55" s="162">
        <v>0</v>
      </c>
    </row>
    <row r="56" spans="1:42" x14ac:dyDescent="0.3">
      <c r="A56" s="158">
        <f>IF(ISBLANK(B56),"",MAX(A$6:A55)+1)</f>
        <v>41</v>
      </c>
      <c r="B56" s="21" t="s">
        <v>66</v>
      </c>
      <c r="C56" s="162">
        <f ca="1">Gas_CBR!M58</f>
        <v>3710993361</v>
      </c>
      <c r="D56" s="162">
        <f>Gas_CBR!$M117</f>
        <v>-84751774.307916671</v>
      </c>
      <c r="E56" s="162">
        <f>Gas_CBR!$M118</f>
        <v>-16228881.069029139</v>
      </c>
      <c r="F56" s="162"/>
      <c r="G56" s="162">
        <f ca="1">SUM(C56:F56)</f>
        <v>3610012705.623054</v>
      </c>
      <c r="H56" s="26">
        <f ca="1">Gas_DPlant!D30</f>
        <v>5.2166066813214673E-2</v>
      </c>
      <c r="I56" s="35">
        <v>4083711622.2839174</v>
      </c>
      <c r="J56" s="35">
        <v>105802468.1600001</v>
      </c>
      <c r="K56" s="35">
        <v>66784661.41225782</v>
      </c>
      <c r="L56" s="35"/>
      <c r="M56" s="35">
        <f>SUM(I56:L56)</f>
        <v>4256298751.8561754</v>
      </c>
      <c r="P56" s="162">
        <v>3710993361</v>
      </c>
      <c r="Q56" s="162">
        <v>-84751774.307916671</v>
      </c>
      <c r="R56" s="162">
        <v>-16228881.069029139</v>
      </c>
      <c r="S56" s="162"/>
      <c r="T56" s="162">
        <v>3610012705.623054</v>
      </c>
      <c r="U56" s="26">
        <v>5.2166066813214673E-2</v>
      </c>
      <c r="V56" s="35">
        <v>4083711622.2839174</v>
      </c>
      <c r="W56" s="35">
        <v>105802468.1600001</v>
      </c>
      <c r="X56" s="35">
        <v>66784661.41225782</v>
      </c>
      <c r="Y56" s="35"/>
      <c r="Z56" s="35">
        <v>4256298751.8561754</v>
      </c>
      <c r="AB56" s="162">
        <f t="shared" ca="1" si="1"/>
        <v>0</v>
      </c>
      <c r="AC56" s="162">
        <f t="shared" si="2"/>
        <v>0</v>
      </c>
      <c r="AD56" s="162">
        <f t="shared" si="3"/>
        <v>0</v>
      </c>
      <c r="AE56" s="162">
        <f t="shared" si="4"/>
        <v>0</v>
      </c>
      <c r="AF56" s="162">
        <f t="shared" ca="1" si="5"/>
        <v>0</v>
      </c>
      <c r="AG56" s="26">
        <f t="shared" ca="1" si="6"/>
        <v>0</v>
      </c>
      <c r="AH56" s="35">
        <f t="shared" si="7"/>
        <v>0</v>
      </c>
      <c r="AI56" s="35">
        <f t="shared" si="8"/>
        <v>0</v>
      </c>
      <c r="AJ56" s="35">
        <f t="shared" si="9"/>
        <v>0</v>
      </c>
      <c r="AK56" s="35">
        <f t="shared" si="10"/>
        <v>0</v>
      </c>
      <c r="AL56" s="35">
        <f t="shared" si="11"/>
        <v>0</v>
      </c>
      <c r="AN56" s="35">
        <v>0</v>
      </c>
      <c r="AO56" s="35">
        <v>0</v>
      </c>
      <c r="AP56" s="35">
        <v>0</v>
      </c>
    </row>
    <row r="57" spans="1:42" x14ac:dyDescent="0.3">
      <c r="A57" s="158">
        <f>IF(ISBLANK(B57),"",MAX(A$6:A56)+1)</f>
        <v>42</v>
      </c>
      <c r="B57" s="21" t="s">
        <v>67</v>
      </c>
      <c r="C57" s="162">
        <v>139418656.4843142</v>
      </c>
      <c r="D57" s="162"/>
      <c r="E57" s="162"/>
      <c r="F57" s="162">
        <f>Gas_CBR!$M133</f>
        <v>-16597798.789668249</v>
      </c>
      <c r="G57" s="162">
        <f>SUM(C57:F57)</f>
        <v>122820857.69464596</v>
      </c>
      <c r="H57" s="26">
        <f ca="1">Gas_IPlant!D30</f>
        <v>0.15105801563149757</v>
      </c>
      <c r="I57" s="35">
        <v>152894023.34968811</v>
      </c>
      <c r="J57" s="35"/>
      <c r="K57" s="35"/>
      <c r="L57" s="35">
        <v>82865659.666204244</v>
      </c>
      <c r="M57" s="35">
        <f>SUM(I57:L57)</f>
        <v>235759683.01589236</v>
      </c>
      <c r="P57" s="162">
        <v>139418656.4843142</v>
      </c>
      <c r="Q57" s="162"/>
      <c r="R57" s="162"/>
      <c r="S57" s="162">
        <v>-16597798.789668249</v>
      </c>
      <c r="T57" s="162">
        <v>122820857.69464596</v>
      </c>
      <c r="U57" s="26">
        <v>0.15105801563149757</v>
      </c>
      <c r="V57" s="35">
        <v>152894023.34968811</v>
      </c>
      <c r="W57" s="35"/>
      <c r="X57" s="35"/>
      <c r="Y57" s="35">
        <v>82865659.666204244</v>
      </c>
      <c r="Z57" s="35">
        <v>235759683.01589236</v>
      </c>
      <c r="AB57" s="162">
        <f t="shared" si="1"/>
        <v>0</v>
      </c>
      <c r="AC57" s="162">
        <f t="shared" si="2"/>
        <v>0</v>
      </c>
      <c r="AD57" s="162">
        <f t="shared" si="3"/>
        <v>0</v>
      </c>
      <c r="AE57" s="162">
        <f t="shared" si="4"/>
        <v>0</v>
      </c>
      <c r="AF57" s="162">
        <f t="shared" si="5"/>
        <v>0</v>
      </c>
      <c r="AG57" s="26">
        <f t="shared" ca="1" si="6"/>
        <v>0</v>
      </c>
      <c r="AH57" s="35">
        <f t="shared" si="7"/>
        <v>0</v>
      </c>
      <c r="AI57" s="35">
        <f t="shared" si="8"/>
        <v>0</v>
      </c>
      <c r="AJ57" s="35">
        <f t="shared" si="9"/>
        <v>0</v>
      </c>
      <c r="AK57" s="35">
        <f t="shared" si="10"/>
        <v>0</v>
      </c>
      <c r="AL57" s="35">
        <f t="shared" si="11"/>
        <v>0</v>
      </c>
      <c r="AN57" s="35">
        <v>0</v>
      </c>
      <c r="AO57" s="35">
        <v>0</v>
      </c>
      <c r="AP57" s="35">
        <v>0</v>
      </c>
    </row>
    <row r="58" spans="1:42" x14ac:dyDescent="0.3">
      <c r="A58" s="158">
        <f>IF(ISBLANK(B58),"",MAX(A$6:A57)+1)</f>
        <v>43</v>
      </c>
      <c r="B58" s="21" t="s">
        <v>68</v>
      </c>
      <c r="C58" s="162">
        <f ca="1">Gas_CBR!M60</f>
        <v>173600529.71380004</v>
      </c>
      <c r="D58" s="162"/>
      <c r="E58" s="162"/>
      <c r="F58" s="162"/>
      <c r="G58" s="162">
        <f ca="1">SUM(C58:F58)</f>
        <v>173600529.71380004</v>
      </c>
      <c r="H58" s="26">
        <f ca="1">Gas_GPlant!D30</f>
        <v>2.903099810414056E-2</v>
      </c>
      <c r="I58" s="35">
        <v>225101354.47665015</v>
      </c>
      <c r="J58" s="35"/>
      <c r="K58" s="35"/>
      <c r="L58" s="35"/>
      <c r="M58" s="35">
        <f>SUM(I58:L58)</f>
        <v>225101354.47665015</v>
      </c>
      <c r="P58" s="162">
        <v>173600529.71380004</v>
      </c>
      <c r="Q58" s="162"/>
      <c r="R58" s="162"/>
      <c r="S58" s="162"/>
      <c r="T58" s="162">
        <v>173600529.71380004</v>
      </c>
      <c r="U58" s="26">
        <v>2.903099810414056E-2</v>
      </c>
      <c r="V58" s="35">
        <v>225101354.47665015</v>
      </c>
      <c r="W58" s="35"/>
      <c r="X58" s="35"/>
      <c r="Y58" s="35"/>
      <c r="Z58" s="35">
        <v>225101354.47665015</v>
      </c>
      <c r="AB58" s="162">
        <f t="shared" ca="1" si="1"/>
        <v>0</v>
      </c>
      <c r="AC58" s="162">
        <f t="shared" si="2"/>
        <v>0</v>
      </c>
      <c r="AD58" s="162">
        <f t="shared" si="3"/>
        <v>0</v>
      </c>
      <c r="AE58" s="162">
        <f t="shared" si="4"/>
        <v>0</v>
      </c>
      <c r="AF58" s="162">
        <f t="shared" ca="1" si="5"/>
        <v>0</v>
      </c>
      <c r="AG58" s="26">
        <f t="shared" ca="1" si="6"/>
        <v>0</v>
      </c>
      <c r="AH58" s="35">
        <f t="shared" si="7"/>
        <v>0</v>
      </c>
      <c r="AI58" s="35">
        <f t="shared" si="8"/>
        <v>0</v>
      </c>
      <c r="AJ58" s="35">
        <f t="shared" si="9"/>
        <v>0</v>
      </c>
      <c r="AK58" s="35">
        <f t="shared" si="10"/>
        <v>0</v>
      </c>
      <c r="AL58" s="35">
        <f t="shared" si="11"/>
        <v>0</v>
      </c>
      <c r="AN58" s="35">
        <v>0</v>
      </c>
      <c r="AO58" s="35">
        <v>0</v>
      </c>
      <c r="AP58" s="35">
        <v>0</v>
      </c>
    </row>
    <row r="59" spans="1:42" x14ac:dyDescent="0.3">
      <c r="A59" s="158">
        <f>IF(ISBLANK(B59),"",MAX(A$6:A58)+1)</f>
        <v>44</v>
      </c>
      <c r="B59" s="452" t="s">
        <v>0</v>
      </c>
      <c r="C59" s="17">
        <f ca="1">SUM(C54:C58)</f>
        <v>4100486956.6681142</v>
      </c>
      <c r="D59" s="17">
        <f>SUM(D54:D58)</f>
        <v>-84751774.307916671</v>
      </c>
      <c r="E59" s="17">
        <f>SUM(E54:E58)</f>
        <v>-16228881.069029139</v>
      </c>
      <c r="F59" s="17">
        <f>SUM(F54:F58)</f>
        <v>-16597798.789668249</v>
      </c>
      <c r="G59" s="17">
        <f ca="1">SUM(G54:G58)</f>
        <v>3982908502.5014997</v>
      </c>
      <c r="H59" s="28"/>
      <c r="I59" s="181">
        <f>SUM(I54:I58)</f>
        <v>4532472039.5173817</v>
      </c>
      <c r="J59" s="181">
        <f>SUM(J54:J58)</f>
        <v>105802468.1600001</v>
      </c>
      <c r="K59" s="181">
        <f>SUM(K54:K58)</f>
        <v>66784661.41225782</v>
      </c>
      <c r="L59" s="181">
        <f>SUM(L54:L58)</f>
        <v>82865659.666204244</v>
      </c>
      <c r="M59" s="181">
        <f>SUM(M54:M58)</f>
        <v>4787924828.7558432</v>
      </c>
      <c r="P59" s="17">
        <v>4100486956.6681142</v>
      </c>
      <c r="Q59" s="17">
        <v>-84751774.307916671</v>
      </c>
      <c r="R59" s="17">
        <v>-16228881.069029139</v>
      </c>
      <c r="S59" s="17">
        <v>-16597798.789668249</v>
      </c>
      <c r="T59" s="17">
        <v>3982908502.5014997</v>
      </c>
      <c r="U59" s="28"/>
      <c r="V59" s="181">
        <v>4532472039.5173817</v>
      </c>
      <c r="W59" s="181">
        <v>105802468.1600001</v>
      </c>
      <c r="X59" s="181">
        <v>66784661.41225782</v>
      </c>
      <c r="Y59" s="181">
        <v>82865659.666204244</v>
      </c>
      <c r="Z59" s="181">
        <v>4787924828.7558432</v>
      </c>
      <c r="AB59" s="17">
        <f t="shared" ca="1" si="1"/>
        <v>0</v>
      </c>
      <c r="AC59" s="17">
        <f t="shared" si="2"/>
        <v>0</v>
      </c>
      <c r="AD59" s="17">
        <f t="shared" si="3"/>
        <v>0</v>
      </c>
      <c r="AE59" s="17">
        <f t="shared" si="4"/>
        <v>0</v>
      </c>
      <c r="AF59" s="17">
        <f t="shared" ca="1" si="5"/>
        <v>0</v>
      </c>
      <c r="AG59" s="28">
        <f t="shared" si="6"/>
        <v>0</v>
      </c>
      <c r="AH59" s="181">
        <f t="shared" si="7"/>
        <v>0</v>
      </c>
      <c r="AI59" s="181">
        <f t="shared" si="8"/>
        <v>0</v>
      </c>
      <c r="AJ59" s="181">
        <f t="shared" si="9"/>
        <v>0</v>
      </c>
      <c r="AK59" s="181">
        <f t="shared" si="10"/>
        <v>0</v>
      </c>
      <c r="AL59" s="181">
        <f t="shared" si="11"/>
        <v>0</v>
      </c>
      <c r="AN59" s="181">
        <v>0</v>
      </c>
      <c r="AO59" s="181">
        <v>0</v>
      </c>
      <c r="AP59" s="181">
        <v>0</v>
      </c>
    </row>
    <row r="60" spans="1:42" x14ac:dyDescent="0.3">
      <c r="A60" s="158" t="str">
        <f>IF(ISBLANK(B60),"",MAX(A$6:A59)+1)</f>
        <v/>
      </c>
      <c r="H60" s="27"/>
      <c r="U60" s="27"/>
      <c r="AB60" s="15">
        <f t="shared" si="1"/>
        <v>0</v>
      </c>
      <c r="AC60" s="15">
        <f t="shared" si="2"/>
        <v>0</v>
      </c>
      <c r="AD60" s="15">
        <f t="shared" si="3"/>
        <v>0</v>
      </c>
      <c r="AE60" s="15">
        <f t="shared" si="4"/>
        <v>0</v>
      </c>
      <c r="AF60" s="15">
        <f t="shared" si="5"/>
        <v>0</v>
      </c>
      <c r="AG60" s="27">
        <f t="shared" si="6"/>
        <v>0</v>
      </c>
      <c r="AH60" s="15">
        <f t="shared" si="7"/>
        <v>0</v>
      </c>
      <c r="AI60" s="15">
        <f t="shared" si="8"/>
        <v>0</v>
      </c>
      <c r="AJ60" s="15">
        <f t="shared" si="9"/>
        <v>0</v>
      </c>
      <c r="AK60" s="15">
        <f t="shared" si="10"/>
        <v>0</v>
      </c>
      <c r="AL60" s="15">
        <f t="shared" si="11"/>
        <v>0</v>
      </c>
      <c r="AN60" s="15">
        <v>0</v>
      </c>
      <c r="AO60" s="15">
        <v>0</v>
      </c>
      <c r="AP60" s="15">
        <v>0</v>
      </c>
    </row>
    <row r="61" spans="1:42" x14ac:dyDescent="0.3">
      <c r="A61" s="158">
        <f>IF(ISBLANK(B61),"",MAX(A$6:A60)+1)</f>
        <v>45</v>
      </c>
      <c r="B61" s="281" t="s">
        <v>186</v>
      </c>
      <c r="H61" s="27"/>
      <c r="U61" s="27"/>
      <c r="AB61" s="15">
        <f t="shared" si="1"/>
        <v>0</v>
      </c>
      <c r="AC61" s="15">
        <f t="shared" si="2"/>
        <v>0</v>
      </c>
      <c r="AD61" s="15">
        <f t="shared" si="3"/>
        <v>0</v>
      </c>
      <c r="AE61" s="15">
        <f t="shared" si="4"/>
        <v>0</v>
      </c>
      <c r="AF61" s="15">
        <f t="shared" si="5"/>
        <v>0</v>
      </c>
      <c r="AG61" s="27">
        <f t="shared" si="6"/>
        <v>0</v>
      </c>
      <c r="AH61" s="15">
        <f t="shared" si="7"/>
        <v>0</v>
      </c>
      <c r="AI61" s="15">
        <f t="shared" si="8"/>
        <v>0</v>
      </c>
      <c r="AJ61" s="15">
        <f t="shared" si="9"/>
        <v>0</v>
      </c>
      <c r="AK61" s="15">
        <f t="shared" si="10"/>
        <v>0</v>
      </c>
      <c r="AL61" s="15">
        <f t="shared" si="11"/>
        <v>0</v>
      </c>
      <c r="AN61" s="15">
        <v>0</v>
      </c>
      <c r="AO61" s="15">
        <v>0</v>
      </c>
      <c r="AP61" s="15">
        <v>0</v>
      </c>
    </row>
    <row r="62" spans="1:42" x14ac:dyDescent="0.3">
      <c r="A62" s="158">
        <f>IF(ISBLANK(B62),"",MAX(A$6:A61)+1)</f>
        <v>46</v>
      </c>
      <c r="B62" s="21" t="s">
        <v>185</v>
      </c>
      <c r="C62" s="16">
        <f ca="1">Gas_CBR!M64</f>
        <v>-33125037.959271803</v>
      </c>
      <c r="D62" s="16"/>
      <c r="E62" s="16"/>
      <c r="F62" s="16"/>
      <c r="G62" s="16">
        <f ca="1">SUM(C62:F62)</f>
        <v>-33125037.959271803</v>
      </c>
      <c r="H62" s="26"/>
      <c r="I62" s="177">
        <v>-36714095.662006587</v>
      </c>
      <c r="J62" s="177"/>
      <c r="K62" s="177"/>
      <c r="L62" s="177"/>
      <c r="M62" s="177">
        <f>SUM(I62:L62)</f>
        <v>-36714095.662006587</v>
      </c>
      <c r="P62" s="16">
        <v>-33125037.959271803</v>
      </c>
      <c r="Q62" s="16"/>
      <c r="R62" s="16"/>
      <c r="S62" s="16"/>
      <c r="T62" s="16">
        <v>-33125037.959271803</v>
      </c>
      <c r="U62" s="26"/>
      <c r="V62" s="177">
        <v>-36714095.662006587</v>
      </c>
      <c r="W62" s="177"/>
      <c r="X62" s="177"/>
      <c r="Y62" s="177"/>
      <c r="Z62" s="177">
        <v>-36714095.662006587</v>
      </c>
      <c r="AB62" s="16">
        <f t="shared" ca="1" si="1"/>
        <v>0</v>
      </c>
      <c r="AC62" s="16">
        <f t="shared" si="2"/>
        <v>0</v>
      </c>
      <c r="AD62" s="16">
        <f t="shared" si="3"/>
        <v>0</v>
      </c>
      <c r="AE62" s="16">
        <f t="shared" si="4"/>
        <v>0</v>
      </c>
      <c r="AF62" s="16">
        <f t="shared" ca="1" si="5"/>
        <v>0</v>
      </c>
      <c r="AG62" s="26">
        <f t="shared" si="6"/>
        <v>0</v>
      </c>
      <c r="AH62" s="177">
        <f t="shared" si="7"/>
        <v>0</v>
      </c>
      <c r="AI62" s="177">
        <f t="shared" si="8"/>
        <v>0</v>
      </c>
      <c r="AJ62" s="177">
        <f t="shared" si="9"/>
        <v>0</v>
      </c>
      <c r="AK62" s="177">
        <f t="shared" si="10"/>
        <v>0</v>
      </c>
      <c r="AL62" s="177">
        <f t="shared" si="11"/>
        <v>0</v>
      </c>
      <c r="AN62" s="177">
        <v>0</v>
      </c>
      <c r="AO62" s="177">
        <v>0</v>
      </c>
      <c r="AP62" s="177">
        <v>0</v>
      </c>
    </row>
    <row r="63" spans="1:42" x14ac:dyDescent="0.3">
      <c r="A63" s="158">
        <f>IF(ISBLANK(B63),"",MAX(A$6:A62)+1)</f>
        <v>47</v>
      </c>
      <c r="B63" s="21" t="s">
        <v>65</v>
      </c>
      <c r="C63" s="162">
        <f ca="1">Gas_CBR!M65</f>
        <v>0</v>
      </c>
      <c r="D63" s="162"/>
      <c r="E63" s="162"/>
      <c r="F63" s="162"/>
      <c r="G63" s="162">
        <f ca="1">SUM(C63:F63)</f>
        <v>0</v>
      </c>
      <c r="H63" s="26"/>
      <c r="I63" s="162">
        <v>0</v>
      </c>
      <c r="J63" s="162"/>
      <c r="K63" s="162"/>
      <c r="L63" s="162"/>
      <c r="M63" s="162">
        <f>SUM(I63:L63)</f>
        <v>0</v>
      </c>
      <c r="P63" s="162">
        <v>0</v>
      </c>
      <c r="Q63" s="162"/>
      <c r="R63" s="162"/>
      <c r="S63" s="162"/>
      <c r="T63" s="162">
        <v>0</v>
      </c>
      <c r="U63" s="26"/>
      <c r="V63" s="162">
        <v>0</v>
      </c>
      <c r="W63" s="162"/>
      <c r="X63" s="162"/>
      <c r="Y63" s="162"/>
      <c r="Z63" s="162">
        <v>0</v>
      </c>
      <c r="AB63" s="162">
        <f t="shared" ca="1" si="1"/>
        <v>0</v>
      </c>
      <c r="AC63" s="162">
        <f t="shared" si="2"/>
        <v>0</v>
      </c>
      <c r="AD63" s="162">
        <f t="shared" si="3"/>
        <v>0</v>
      </c>
      <c r="AE63" s="162">
        <f t="shared" si="4"/>
        <v>0</v>
      </c>
      <c r="AF63" s="162">
        <f t="shared" ca="1" si="5"/>
        <v>0</v>
      </c>
      <c r="AG63" s="26">
        <f t="shared" si="6"/>
        <v>0</v>
      </c>
      <c r="AH63" s="162">
        <f t="shared" si="7"/>
        <v>0</v>
      </c>
      <c r="AI63" s="162">
        <f t="shared" si="8"/>
        <v>0</v>
      </c>
      <c r="AJ63" s="162">
        <f t="shared" si="9"/>
        <v>0</v>
      </c>
      <c r="AK63" s="162">
        <f t="shared" si="10"/>
        <v>0</v>
      </c>
      <c r="AL63" s="162">
        <f t="shared" si="11"/>
        <v>0</v>
      </c>
      <c r="AN63" s="162">
        <v>0</v>
      </c>
      <c r="AO63" s="162">
        <v>0</v>
      </c>
      <c r="AP63" s="162">
        <v>0</v>
      </c>
    </row>
    <row r="64" spans="1:42" x14ac:dyDescent="0.3">
      <c r="A64" s="158">
        <f>IF(ISBLANK(B64),"",MAX(A$6:A63)+1)</f>
        <v>48</v>
      </c>
      <c r="B64" s="21" t="s">
        <v>66</v>
      </c>
      <c r="C64" s="162">
        <f ca="1">Gas_CBR!M66</f>
        <v>-1433137826.69191</v>
      </c>
      <c r="D64" s="162">
        <f>Gas_CBR!$M$122</f>
        <v>3209723.1798207625</v>
      </c>
      <c r="E64" s="162">
        <f>Gas_CBR!$M$123</f>
        <v>1296178.4092875994</v>
      </c>
      <c r="F64" s="162"/>
      <c r="G64" s="162">
        <f ca="1">SUM(C64:F64)</f>
        <v>-1428631925.1028016</v>
      </c>
      <c r="H64" s="26"/>
      <c r="I64" s="35">
        <v>-1664843836.2142625</v>
      </c>
      <c r="J64" s="35">
        <v>-10067230.849618189</v>
      </c>
      <c r="K64" s="35">
        <v>-10582560.510378484</v>
      </c>
      <c r="L64" s="35"/>
      <c r="M64" s="35">
        <f>SUM(I64:L64)</f>
        <v>-1685493627.5742593</v>
      </c>
      <c r="P64" s="162">
        <v>-1433137826.69191</v>
      </c>
      <c r="Q64" s="162">
        <v>3209723.1798207625</v>
      </c>
      <c r="R64" s="162">
        <v>1296178.4092875994</v>
      </c>
      <c r="S64" s="162"/>
      <c r="T64" s="162">
        <v>-1428631925.1028016</v>
      </c>
      <c r="U64" s="26"/>
      <c r="V64" s="35">
        <v>-1664843836.2142625</v>
      </c>
      <c r="W64" s="35">
        <v>-10067230.849618189</v>
      </c>
      <c r="X64" s="35">
        <v>-10582560.510378484</v>
      </c>
      <c r="Y64" s="35"/>
      <c r="Z64" s="35">
        <v>-1685493627.5742593</v>
      </c>
      <c r="AB64" s="162">
        <f t="shared" ca="1" si="1"/>
        <v>0</v>
      </c>
      <c r="AC64" s="162">
        <f t="shared" si="2"/>
        <v>0</v>
      </c>
      <c r="AD64" s="162">
        <f t="shared" si="3"/>
        <v>0</v>
      </c>
      <c r="AE64" s="162">
        <f t="shared" si="4"/>
        <v>0</v>
      </c>
      <c r="AF64" s="162">
        <f t="shared" ca="1" si="5"/>
        <v>0</v>
      </c>
      <c r="AG64" s="26">
        <f t="shared" si="6"/>
        <v>0</v>
      </c>
      <c r="AH64" s="35">
        <f t="shared" si="7"/>
        <v>0</v>
      </c>
      <c r="AI64" s="35">
        <f t="shared" si="8"/>
        <v>0</v>
      </c>
      <c r="AJ64" s="35">
        <f t="shared" si="9"/>
        <v>0</v>
      </c>
      <c r="AK64" s="35">
        <f t="shared" si="10"/>
        <v>0</v>
      </c>
      <c r="AL64" s="35">
        <f t="shared" si="11"/>
        <v>0</v>
      </c>
      <c r="AN64" s="35">
        <v>0</v>
      </c>
      <c r="AO64" s="35">
        <v>0</v>
      </c>
      <c r="AP64" s="35">
        <v>0</v>
      </c>
    </row>
    <row r="65" spans="1:42" x14ac:dyDescent="0.3">
      <c r="A65" s="158">
        <f>IF(ISBLANK(B65),"",MAX(A$6:A64)+1)</f>
        <v>49</v>
      </c>
      <c r="B65" s="21" t="s">
        <v>67</v>
      </c>
      <c r="C65" s="162">
        <f ca="1">Gas_CBR!M67</f>
        <v>-47274087.95805271</v>
      </c>
      <c r="D65" s="162"/>
      <c r="E65" s="162"/>
      <c r="F65" s="162">
        <f>Gas_CBR!$M$137</f>
        <v>1430783.8862761646</v>
      </c>
      <c r="G65" s="162">
        <f ca="1">SUM(C65:F65)</f>
        <v>-45843304.071776547</v>
      </c>
      <c r="H65" s="26"/>
      <c r="I65" s="35">
        <v>-99671678.002397284</v>
      </c>
      <c r="J65" s="35"/>
      <c r="K65" s="35"/>
      <c r="L65" s="35">
        <v>-18729954.286813222</v>
      </c>
      <c r="M65" s="35">
        <f>SUM(I65:L65)</f>
        <v>-118401632.2892105</v>
      </c>
      <c r="P65" s="162">
        <v>-47274087.95805271</v>
      </c>
      <c r="Q65" s="162"/>
      <c r="R65" s="162"/>
      <c r="S65" s="162">
        <v>1430783.8862761646</v>
      </c>
      <c r="T65" s="162">
        <v>-45843304.071776547</v>
      </c>
      <c r="U65" s="26"/>
      <c r="V65" s="35">
        <v>-99671678.002397284</v>
      </c>
      <c r="W65" s="35"/>
      <c r="X65" s="35"/>
      <c r="Y65" s="35">
        <v>-18729954.286813222</v>
      </c>
      <c r="Z65" s="35">
        <v>-118401632.2892105</v>
      </c>
      <c r="AB65" s="162">
        <f t="shared" ca="1" si="1"/>
        <v>0</v>
      </c>
      <c r="AC65" s="162">
        <f t="shared" si="2"/>
        <v>0</v>
      </c>
      <c r="AD65" s="162">
        <f t="shared" si="3"/>
        <v>0</v>
      </c>
      <c r="AE65" s="162">
        <f t="shared" si="4"/>
        <v>0</v>
      </c>
      <c r="AF65" s="162">
        <f t="shared" ca="1" si="5"/>
        <v>0</v>
      </c>
      <c r="AG65" s="26">
        <f t="shared" si="6"/>
        <v>0</v>
      </c>
      <c r="AH65" s="35">
        <f t="shared" si="7"/>
        <v>0</v>
      </c>
      <c r="AI65" s="35">
        <f t="shared" si="8"/>
        <v>0</v>
      </c>
      <c r="AJ65" s="35">
        <f t="shared" si="9"/>
        <v>0</v>
      </c>
      <c r="AK65" s="35">
        <f t="shared" si="10"/>
        <v>0</v>
      </c>
      <c r="AL65" s="35">
        <f t="shared" si="11"/>
        <v>0</v>
      </c>
      <c r="AN65" s="35">
        <v>0</v>
      </c>
      <c r="AO65" s="35">
        <v>0</v>
      </c>
      <c r="AP65" s="35">
        <v>0</v>
      </c>
    </row>
    <row r="66" spans="1:42" x14ac:dyDescent="0.3">
      <c r="A66" s="158">
        <f>IF(ISBLANK(B66),"",MAX(A$6:A65)+1)</f>
        <v>50</v>
      </c>
      <c r="B66" s="21" t="s">
        <v>68</v>
      </c>
      <c r="C66" s="162">
        <f ca="1">Gas_CBR!M68</f>
        <v>-56258222.169565432</v>
      </c>
      <c r="D66" s="162"/>
      <c r="E66" s="162"/>
      <c r="F66" s="162"/>
      <c r="G66" s="162">
        <f ca="1">SUM(C66:F66)</f>
        <v>-56258222.169565432</v>
      </c>
      <c r="H66" s="26"/>
      <c r="I66" s="35">
        <v>-85582475.487244323</v>
      </c>
      <c r="J66" s="35"/>
      <c r="K66" s="35"/>
      <c r="L66" s="35"/>
      <c r="M66" s="35">
        <f>SUM(I66:L66)</f>
        <v>-85582475.487244323</v>
      </c>
      <c r="P66" s="162">
        <v>-56258222.169565432</v>
      </c>
      <c r="Q66" s="162"/>
      <c r="R66" s="162"/>
      <c r="S66" s="162"/>
      <c r="T66" s="162">
        <v>-56258222.169565432</v>
      </c>
      <c r="U66" s="26"/>
      <c r="V66" s="35">
        <v>-85582475.487244323</v>
      </c>
      <c r="W66" s="35"/>
      <c r="X66" s="35"/>
      <c r="Y66" s="35"/>
      <c r="Z66" s="35">
        <v>-85582475.487244323</v>
      </c>
      <c r="AB66" s="162">
        <f t="shared" ca="1" si="1"/>
        <v>0</v>
      </c>
      <c r="AC66" s="162">
        <f t="shared" si="2"/>
        <v>0</v>
      </c>
      <c r="AD66" s="162">
        <f t="shared" si="3"/>
        <v>0</v>
      </c>
      <c r="AE66" s="162">
        <f t="shared" si="4"/>
        <v>0</v>
      </c>
      <c r="AF66" s="162">
        <f t="shared" ca="1" si="5"/>
        <v>0</v>
      </c>
      <c r="AG66" s="26">
        <f t="shared" si="6"/>
        <v>0</v>
      </c>
      <c r="AH66" s="35">
        <f t="shared" si="7"/>
        <v>0</v>
      </c>
      <c r="AI66" s="35">
        <f t="shared" si="8"/>
        <v>0</v>
      </c>
      <c r="AJ66" s="35">
        <f t="shared" si="9"/>
        <v>0</v>
      </c>
      <c r="AK66" s="35">
        <f t="shared" si="10"/>
        <v>0</v>
      </c>
      <c r="AL66" s="35">
        <f t="shared" si="11"/>
        <v>0</v>
      </c>
      <c r="AN66" s="35">
        <v>0</v>
      </c>
      <c r="AO66" s="35">
        <v>0</v>
      </c>
      <c r="AP66" s="35">
        <v>0</v>
      </c>
    </row>
    <row r="67" spans="1:42" x14ac:dyDescent="0.3">
      <c r="A67" s="158">
        <f>IF(ISBLANK(B67),"",MAX(A$6:A66)+1)</f>
        <v>51</v>
      </c>
      <c r="B67" s="452" t="s">
        <v>0</v>
      </c>
      <c r="C67" s="17">
        <f ca="1">SUM(C62:C66)</f>
        <v>-1569795174.7788</v>
      </c>
      <c r="D67" s="17">
        <f>SUM(D62:D66)</f>
        <v>3209723.1798207625</v>
      </c>
      <c r="E67" s="17">
        <f>SUM(E62:E66)</f>
        <v>1296178.4092875994</v>
      </c>
      <c r="F67" s="17">
        <f>SUM(F62:F66)</f>
        <v>1430783.8862761646</v>
      </c>
      <c r="G67" s="17">
        <f ca="1">SUM(G62:G66)</f>
        <v>-1563858489.3034155</v>
      </c>
      <c r="H67" s="28"/>
      <c r="I67" s="181">
        <f>SUM(I62:I66)</f>
        <v>-1886812085.3659108</v>
      </c>
      <c r="J67" s="181">
        <f>SUM(J62:J66)</f>
        <v>-10067230.849618189</v>
      </c>
      <c r="K67" s="181">
        <f>SUM(K62:K66)</f>
        <v>-10582560.510378484</v>
      </c>
      <c r="L67" s="181">
        <f>SUM(L62:L66)</f>
        <v>-18729954.286813222</v>
      </c>
      <c r="M67" s="181">
        <f>SUM(M62:M66)</f>
        <v>-1926191831.0127208</v>
      </c>
      <c r="P67" s="17">
        <v>-1569795174.7788</v>
      </c>
      <c r="Q67" s="17">
        <v>3209723.1798207625</v>
      </c>
      <c r="R67" s="17">
        <v>1296178.4092875994</v>
      </c>
      <c r="S67" s="17">
        <v>1430783.8862761646</v>
      </c>
      <c r="T67" s="17">
        <v>-1563858489.3034155</v>
      </c>
      <c r="U67" s="28"/>
      <c r="V67" s="181">
        <v>-1886812085.3659108</v>
      </c>
      <c r="W67" s="181">
        <v>-10067230.849618189</v>
      </c>
      <c r="X67" s="181">
        <v>-10582560.510378484</v>
      </c>
      <c r="Y67" s="181">
        <v>-18729954.286813222</v>
      </c>
      <c r="Z67" s="181">
        <v>-1926191831.0127208</v>
      </c>
      <c r="AB67" s="17">
        <f t="shared" ca="1" si="1"/>
        <v>0</v>
      </c>
      <c r="AC67" s="17">
        <f t="shared" si="2"/>
        <v>0</v>
      </c>
      <c r="AD67" s="17">
        <f t="shared" si="3"/>
        <v>0</v>
      </c>
      <c r="AE67" s="17">
        <f t="shared" si="4"/>
        <v>0</v>
      </c>
      <c r="AF67" s="17">
        <f t="shared" ca="1" si="5"/>
        <v>0</v>
      </c>
      <c r="AG67" s="28">
        <f t="shared" si="6"/>
        <v>0</v>
      </c>
      <c r="AH67" s="181">
        <f t="shared" si="7"/>
        <v>0</v>
      </c>
      <c r="AI67" s="181">
        <f t="shared" si="8"/>
        <v>0</v>
      </c>
      <c r="AJ67" s="181">
        <f t="shared" si="9"/>
        <v>0</v>
      </c>
      <c r="AK67" s="181">
        <f t="shared" si="10"/>
        <v>0</v>
      </c>
      <c r="AL67" s="181">
        <f t="shared" si="11"/>
        <v>0</v>
      </c>
      <c r="AN67" s="181">
        <v>0</v>
      </c>
      <c r="AO67" s="181">
        <v>0</v>
      </c>
      <c r="AP67" s="181">
        <v>0</v>
      </c>
    </row>
    <row r="68" spans="1:42" x14ac:dyDescent="0.3">
      <c r="A68" s="158" t="str">
        <f>IF(ISBLANK(B68),"",MAX(A$6:A67)+1)</f>
        <v/>
      </c>
      <c r="H68" s="27"/>
      <c r="U68" s="27"/>
      <c r="AB68" s="15">
        <f t="shared" si="1"/>
        <v>0</v>
      </c>
      <c r="AC68" s="15">
        <f t="shared" si="2"/>
        <v>0</v>
      </c>
      <c r="AD68" s="15">
        <f t="shared" si="3"/>
        <v>0</v>
      </c>
      <c r="AE68" s="15">
        <f t="shared" si="4"/>
        <v>0</v>
      </c>
      <c r="AF68" s="15">
        <f t="shared" si="5"/>
        <v>0</v>
      </c>
      <c r="AG68" s="27">
        <f t="shared" si="6"/>
        <v>0</v>
      </c>
      <c r="AH68" s="15">
        <f t="shared" si="7"/>
        <v>0</v>
      </c>
      <c r="AI68" s="15">
        <f t="shared" si="8"/>
        <v>0</v>
      </c>
      <c r="AJ68" s="15">
        <f t="shared" si="9"/>
        <v>0</v>
      </c>
      <c r="AK68" s="15">
        <f t="shared" si="10"/>
        <v>0</v>
      </c>
      <c r="AL68" s="15">
        <f t="shared" si="11"/>
        <v>0</v>
      </c>
      <c r="AN68" s="15">
        <v>0</v>
      </c>
      <c r="AO68" s="15">
        <v>0</v>
      </c>
      <c r="AP68" s="15">
        <v>0</v>
      </c>
    </row>
    <row r="69" spans="1:42" x14ac:dyDescent="0.3">
      <c r="A69" s="158">
        <f>IF(ISBLANK(B69),"",MAX(A$6:A68)+1)</f>
        <v>52</v>
      </c>
      <c r="B69" s="281" t="s">
        <v>90</v>
      </c>
      <c r="H69" s="27"/>
      <c r="U69" s="27"/>
      <c r="AB69" s="15">
        <f t="shared" si="1"/>
        <v>0</v>
      </c>
      <c r="AC69" s="15">
        <f t="shared" si="2"/>
        <v>0</v>
      </c>
      <c r="AD69" s="15">
        <f t="shared" si="3"/>
        <v>0</v>
      </c>
      <c r="AE69" s="15">
        <f t="shared" si="4"/>
        <v>0</v>
      </c>
      <c r="AF69" s="15">
        <f t="shared" si="5"/>
        <v>0</v>
      </c>
      <c r="AG69" s="27">
        <f t="shared" si="6"/>
        <v>0</v>
      </c>
      <c r="AH69" s="15">
        <f t="shared" si="7"/>
        <v>0</v>
      </c>
      <c r="AI69" s="15">
        <f t="shared" si="8"/>
        <v>0</v>
      </c>
      <c r="AJ69" s="15">
        <f t="shared" si="9"/>
        <v>0</v>
      </c>
      <c r="AK69" s="15">
        <f t="shared" si="10"/>
        <v>0</v>
      </c>
      <c r="AL69" s="15">
        <f t="shared" si="11"/>
        <v>0</v>
      </c>
      <c r="AN69" s="15">
        <v>0</v>
      </c>
      <c r="AO69" s="15">
        <v>0</v>
      </c>
      <c r="AP69" s="15">
        <v>0</v>
      </c>
    </row>
    <row r="70" spans="1:42" x14ac:dyDescent="0.3">
      <c r="A70" s="158">
        <f>IF(ISBLANK(B70),"",MAX(A$6:A69)+1)</f>
        <v>53</v>
      </c>
      <c r="B70" s="21" t="s">
        <v>185</v>
      </c>
      <c r="C70" s="16">
        <f ca="1">Gas_CBR!M72</f>
        <v>0</v>
      </c>
      <c r="D70" s="16"/>
      <c r="E70" s="16"/>
      <c r="F70" s="16"/>
      <c r="G70" s="16">
        <f ca="1">SUM(C70:F70)</f>
        <v>0</v>
      </c>
      <c r="H70" s="26"/>
      <c r="I70" s="177"/>
      <c r="J70" s="177"/>
      <c r="K70" s="177"/>
      <c r="L70" s="177"/>
      <c r="M70" s="177">
        <f>SUM(I70:L70)</f>
        <v>0</v>
      </c>
      <c r="P70" s="16">
        <v>0</v>
      </c>
      <c r="Q70" s="16"/>
      <c r="R70" s="16"/>
      <c r="S70" s="16"/>
      <c r="T70" s="16">
        <v>0</v>
      </c>
      <c r="U70" s="26"/>
      <c r="V70" s="177"/>
      <c r="W70" s="177"/>
      <c r="X70" s="177"/>
      <c r="Y70" s="177"/>
      <c r="Z70" s="177">
        <v>0</v>
      </c>
      <c r="AB70" s="16">
        <f t="shared" ca="1" si="1"/>
        <v>0</v>
      </c>
      <c r="AC70" s="16">
        <f t="shared" si="2"/>
        <v>0</v>
      </c>
      <c r="AD70" s="16">
        <f t="shared" si="3"/>
        <v>0</v>
      </c>
      <c r="AE70" s="16">
        <f t="shared" si="4"/>
        <v>0</v>
      </c>
      <c r="AF70" s="16">
        <f t="shared" ca="1" si="5"/>
        <v>0</v>
      </c>
      <c r="AG70" s="26">
        <f t="shared" si="6"/>
        <v>0</v>
      </c>
      <c r="AH70" s="177">
        <f t="shared" si="7"/>
        <v>0</v>
      </c>
      <c r="AI70" s="177">
        <f t="shared" si="8"/>
        <v>0</v>
      </c>
      <c r="AJ70" s="177">
        <f t="shared" si="9"/>
        <v>0</v>
      </c>
      <c r="AK70" s="177">
        <f t="shared" si="10"/>
        <v>0</v>
      </c>
      <c r="AL70" s="177">
        <f t="shared" si="11"/>
        <v>0</v>
      </c>
      <c r="AN70" s="177">
        <v>0</v>
      </c>
      <c r="AO70" s="177">
        <v>0</v>
      </c>
      <c r="AP70" s="177">
        <v>0</v>
      </c>
    </row>
    <row r="71" spans="1:42" x14ac:dyDescent="0.3">
      <c r="A71" s="158">
        <f>IF(ISBLANK(B71),"",MAX(A$6:A70)+1)</f>
        <v>54</v>
      </c>
      <c r="B71" s="21" t="s">
        <v>65</v>
      </c>
      <c r="C71" s="162">
        <f ca="1">Gas_CBR!M73</f>
        <v>0</v>
      </c>
      <c r="D71" s="162"/>
      <c r="E71" s="162"/>
      <c r="F71" s="162"/>
      <c r="G71" s="162">
        <f ca="1">SUM(C71:F71)</f>
        <v>0</v>
      </c>
      <c r="H71" s="26"/>
      <c r="I71" s="162"/>
      <c r="J71" s="162"/>
      <c r="K71" s="162"/>
      <c r="L71" s="162"/>
      <c r="M71" s="162">
        <f>SUM(I71:L71)</f>
        <v>0</v>
      </c>
      <c r="P71" s="162">
        <v>0</v>
      </c>
      <c r="Q71" s="162"/>
      <c r="R71" s="162"/>
      <c r="S71" s="162"/>
      <c r="T71" s="162">
        <v>0</v>
      </c>
      <c r="U71" s="26"/>
      <c r="V71" s="162"/>
      <c r="W71" s="162"/>
      <c r="X71" s="162"/>
      <c r="Y71" s="162"/>
      <c r="Z71" s="162">
        <v>0</v>
      </c>
      <c r="AB71" s="162">
        <f t="shared" ca="1" si="1"/>
        <v>0</v>
      </c>
      <c r="AC71" s="162">
        <f t="shared" si="2"/>
        <v>0</v>
      </c>
      <c r="AD71" s="162">
        <f t="shared" si="3"/>
        <v>0</v>
      </c>
      <c r="AE71" s="162">
        <f t="shared" si="4"/>
        <v>0</v>
      </c>
      <c r="AF71" s="162">
        <f t="shared" ca="1" si="5"/>
        <v>0</v>
      </c>
      <c r="AG71" s="26">
        <f t="shared" si="6"/>
        <v>0</v>
      </c>
      <c r="AH71" s="162">
        <f t="shared" si="7"/>
        <v>0</v>
      </c>
      <c r="AI71" s="162">
        <f t="shared" si="8"/>
        <v>0</v>
      </c>
      <c r="AJ71" s="162">
        <f t="shared" si="9"/>
        <v>0</v>
      </c>
      <c r="AK71" s="162">
        <f t="shared" si="10"/>
        <v>0</v>
      </c>
      <c r="AL71" s="162">
        <f t="shared" si="11"/>
        <v>0</v>
      </c>
      <c r="AN71" s="162">
        <v>0</v>
      </c>
      <c r="AO71" s="162">
        <v>0</v>
      </c>
      <c r="AP71" s="162">
        <v>0</v>
      </c>
    </row>
    <row r="72" spans="1:42" x14ac:dyDescent="0.3">
      <c r="A72" s="158">
        <f>IF(ISBLANK(B72),"",MAX(A$6:A71)+1)</f>
        <v>55</v>
      </c>
      <c r="B72" s="21" t="s">
        <v>66</v>
      </c>
      <c r="C72" s="162">
        <f ca="1">Gas_CBR!M74</f>
        <v>-271846932.69267762</v>
      </c>
      <c r="D72" s="162">
        <f>Gas_CBR!$M$127</f>
        <v>8025584.9516680902</v>
      </c>
      <c r="E72" s="162">
        <f>Gas_CBR!$M$128</f>
        <v>1289851.786132125</v>
      </c>
      <c r="F72" s="162"/>
      <c r="G72" s="162">
        <f ca="1">SUM(C72:F72)</f>
        <v>-262531495.95487741</v>
      </c>
      <c r="H72" s="26"/>
      <c r="I72" s="35"/>
      <c r="J72" s="35"/>
      <c r="K72" s="35"/>
      <c r="L72" s="35"/>
      <c r="M72" s="35">
        <f>SUM(I72:L72)</f>
        <v>0</v>
      </c>
      <c r="P72" s="162">
        <v>-271846932.69267762</v>
      </c>
      <c r="Q72" s="162">
        <v>8025584.9516680902</v>
      </c>
      <c r="R72" s="162">
        <v>1289851.786132125</v>
      </c>
      <c r="S72" s="162"/>
      <c r="T72" s="162">
        <v>-262531495.95487741</v>
      </c>
      <c r="U72" s="26"/>
      <c r="V72" s="35"/>
      <c r="W72" s="35"/>
      <c r="X72" s="35"/>
      <c r="Y72" s="35"/>
      <c r="Z72" s="35">
        <v>0</v>
      </c>
      <c r="AB72" s="162">
        <f t="shared" ca="1" si="1"/>
        <v>0</v>
      </c>
      <c r="AC72" s="162">
        <f t="shared" si="2"/>
        <v>0</v>
      </c>
      <c r="AD72" s="162">
        <f t="shared" si="3"/>
        <v>0</v>
      </c>
      <c r="AE72" s="162">
        <f t="shared" si="4"/>
        <v>0</v>
      </c>
      <c r="AF72" s="162">
        <f t="shared" ca="1" si="5"/>
        <v>0</v>
      </c>
      <c r="AG72" s="26">
        <f t="shared" si="6"/>
        <v>0</v>
      </c>
      <c r="AH72" s="35">
        <f t="shared" si="7"/>
        <v>0</v>
      </c>
      <c r="AI72" s="35">
        <f t="shared" si="8"/>
        <v>0</v>
      </c>
      <c r="AJ72" s="35">
        <f t="shared" si="9"/>
        <v>0</v>
      </c>
      <c r="AK72" s="35">
        <f t="shared" si="10"/>
        <v>0</v>
      </c>
      <c r="AL72" s="35">
        <f t="shared" si="11"/>
        <v>0</v>
      </c>
      <c r="AN72" s="35">
        <v>0</v>
      </c>
      <c r="AO72" s="35">
        <v>0</v>
      </c>
      <c r="AP72" s="35">
        <v>0</v>
      </c>
    </row>
    <row r="73" spans="1:42" x14ac:dyDescent="0.3">
      <c r="A73" s="158">
        <f>IF(ISBLANK(B73),"",MAX(A$6:A72)+1)</f>
        <v>56</v>
      </c>
      <c r="B73" s="21" t="s">
        <v>67</v>
      </c>
      <c r="C73" s="162">
        <f ca="1">Gas_CBR!M75</f>
        <v>-16932625.893549934</v>
      </c>
      <c r="D73" s="162"/>
      <c r="E73" s="162"/>
      <c r="F73" s="162">
        <f>Gas_CBR!$M$141</f>
        <v>927817.70801036642</v>
      </c>
      <c r="G73" s="162">
        <f ca="1">SUM(C73:F73)</f>
        <v>-16004808.185539568</v>
      </c>
      <c r="H73" s="26"/>
      <c r="I73" s="35"/>
      <c r="J73" s="35"/>
      <c r="K73" s="35"/>
      <c r="L73" s="35"/>
      <c r="M73" s="35">
        <f>SUM(I73:L73)</f>
        <v>0</v>
      </c>
      <c r="P73" s="162">
        <v>-16932625.893549934</v>
      </c>
      <c r="Q73" s="162"/>
      <c r="R73" s="162"/>
      <c r="S73" s="162">
        <v>927817.70801036642</v>
      </c>
      <c r="T73" s="162">
        <v>-16004808.185539568</v>
      </c>
      <c r="U73" s="26"/>
      <c r="V73" s="35"/>
      <c r="W73" s="35"/>
      <c r="X73" s="35"/>
      <c r="Y73" s="35"/>
      <c r="Z73" s="35">
        <v>0</v>
      </c>
      <c r="AB73" s="162">
        <f t="shared" ref="AB73:AB112" ca="1" si="15">+C73-P73</f>
        <v>0</v>
      </c>
      <c r="AC73" s="162">
        <f t="shared" ref="AC73:AC112" si="16">+D73-Q73</f>
        <v>0</v>
      </c>
      <c r="AD73" s="162">
        <f t="shared" ref="AD73:AD112" si="17">+E73-R73</f>
        <v>0</v>
      </c>
      <c r="AE73" s="162">
        <f t="shared" ref="AE73:AE112" si="18">+F73-S73</f>
        <v>0</v>
      </c>
      <c r="AF73" s="162">
        <f t="shared" ref="AF73:AF112" ca="1" si="19">+G73-T73</f>
        <v>0</v>
      </c>
      <c r="AG73" s="26">
        <f t="shared" ref="AG73:AG112" si="20">+H73-U73</f>
        <v>0</v>
      </c>
      <c r="AH73" s="35">
        <f t="shared" ref="AH73:AH112" si="21">+I73-V73</f>
        <v>0</v>
      </c>
      <c r="AI73" s="35">
        <f t="shared" ref="AI73:AI112" si="22">+J73-W73</f>
        <v>0</v>
      </c>
      <c r="AJ73" s="35">
        <f t="shared" ref="AJ73:AJ112" si="23">+K73-X73</f>
        <v>0</v>
      </c>
      <c r="AK73" s="35">
        <f t="shared" ref="AK73:AK112" si="24">+L73-Y73</f>
        <v>0</v>
      </c>
      <c r="AL73" s="35">
        <f t="shared" ref="AL73:AL112" si="25">+M73-Z73</f>
        <v>0</v>
      </c>
      <c r="AN73" s="35">
        <v>0</v>
      </c>
      <c r="AO73" s="35">
        <v>0</v>
      </c>
      <c r="AP73" s="35">
        <v>0</v>
      </c>
    </row>
    <row r="74" spans="1:42" x14ac:dyDescent="0.3">
      <c r="A74" s="158">
        <f>IF(ISBLANK(B74),"",MAX(A$6:A73)+1)</f>
        <v>57</v>
      </c>
      <c r="B74" s="21" t="s">
        <v>68</v>
      </c>
      <c r="C74" s="162">
        <f ca="1">Gas_CBR!M76</f>
        <v>-21066947.020244144</v>
      </c>
      <c r="D74" s="162"/>
      <c r="E74" s="162"/>
      <c r="F74" s="162"/>
      <c r="G74" s="162">
        <f ca="1">SUM(C74:F74)</f>
        <v>-21066947.020244144</v>
      </c>
      <c r="H74" s="26"/>
      <c r="I74" s="35"/>
      <c r="J74" s="35"/>
      <c r="K74" s="35"/>
      <c r="L74" s="35"/>
      <c r="M74" s="35">
        <f>SUM(I74:L74)</f>
        <v>0</v>
      </c>
      <c r="P74" s="162">
        <v>-21066947.020244144</v>
      </c>
      <c r="Q74" s="162"/>
      <c r="R74" s="162"/>
      <c r="S74" s="162"/>
      <c r="T74" s="162">
        <v>-21066947.020244144</v>
      </c>
      <c r="U74" s="26"/>
      <c r="V74" s="35"/>
      <c r="W74" s="35"/>
      <c r="X74" s="35"/>
      <c r="Y74" s="35"/>
      <c r="Z74" s="35">
        <v>0</v>
      </c>
      <c r="AB74" s="162">
        <f t="shared" ca="1" si="15"/>
        <v>0</v>
      </c>
      <c r="AC74" s="162">
        <f t="shared" si="16"/>
        <v>0</v>
      </c>
      <c r="AD74" s="162">
        <f t="shared" si="17"/>
        <v>0</v>
      </c>
      <c r="AE74" s="162">
        <f t="shared" si="18"/>
        <v>0</v>
      </c>
      <c r="AF74" s="162">
        <f t="shared" ca="1" si="19"/>
        <v>0</v>
      </c>
      <c r="AG74" s="26">
        <f t="shared" si="20"/>
        <v>0</v>
      </c>
      <c r="AH74" s="35">
        <f t="shared" si="21"/>
        <v>0</v>
      </c>
      <c r="AI74" s="35">
        <f t="shared" si="22"/>
        <v>0</v>
      </c>
      <c r="AJ74" s="35">
        <f t="shared" si="23"/>
        <v>0</v>
      </c>
      <c r="AK74" s="35">
        <f t="shared" si="24"/>
        <v>0</v>
      </c>
      <c r="AL74" s="35">
        <f t="shared" si="25"/>
        <v>0</v>
      </c>
      <c r="AN74" s="35">
        <v>0</v>
      </c>
      <c r="AO74" s="35">
        <v>0</v>
      </c>
      <c r="AP74" s="35">
        <v>0</v>
      </c>
    </row>
    <row r="75" spans="1:42" x14ac:dyDescent="0.3">
      <c r="A75" s="158">
        <f>IF(ISBLANK(B75),"",MAX(A$6:A74)+1)</f>
        <v>58</v>
      </c>
      <c r="B75" s="452" t="s">
        <v>0</v>
      </c>
      <c r="C75" s="17">
        <f ca="1">SUM(C70:C74)</f>
        <v>-309846505.60647166</v>
      </c>
      <c r="D75" s="17">
        <f>SUM(D70:D74)</f>
        <v>8025584.9516680902</v>
      </c>
      <c r="E75" s="17">
        <f>SUM(E70:E74)</f>
        <v>1289851.786132125</v>
      </c>
      <c r="F75" s="17">
        <f>SUM(F70:F74)</f>
        <v>927817.70801036642</v>
      </c>
      <c r="G75" s="17">
        <f ca="1">SUM(G70:G74)</f>
        <v>-299603251.1606611</v>
      </c>
      <c r="H75" s="28"/>
      <c r="I75" s="181">
        <f>SUM(I70:I74)</f>
        <v>0</v>
      </c>
      <c r="J75" s="181">
        <f>SUM(J70:J74)</f>
        <v>0</v>
      </c>
      <c r="K75" s="181">
        <f>SUM(K70:K74)</f>
        <v>0</v>
      </c>
      <c r="L75" s="181">
        <f>SUM(L70:L74)</f>
        <v>0</v>
      </c>
      <c r="M75" s="181">
        <f>SUM(M70:M74)</f>
        <v>0</v>
      </c>
      <c r="P75" s="17">
        <v>-309846505.60647166</v>
      </c>
      <c r="Q75" s="17">
        <v>8025584.9516680902</v>
      </c>
      <c r="R75" s="17">
        <v>1289851.786132125</v>
      </c>
      <c r="S75" s="17">
        <v>927817.70801036642</v>
      </c>
      <c r="T75" s="17">
        <v>-299603251.1606611</v>
      </c>
      <c r="U75" s="28"/>
      <c r="V75" s="181">
        <v>0</v>
      </c>
      <c r="W75" s="181">
        <v>0</v>
      </c>
      <c r="X75" s="181">
        <v>0</v>
      </c>
      <c r="Y75" s="181">
        <v>0</v>
      </c>
      <c r="Z75" s="181">
        <v>0</v>
      </c>
      <c r="AB75" s="17">
        <f t="shared" ca="1" si="15"/>
        <v>0</v>
      </c>
      <c r="AC75" s="17">
        <f t="shared" si="16"/>
        <v>0</v>
      </c>
      <c r="AD75" s="17">
        <f t="shared" si="17"/>
        <v>0</v>
      </c>
      <c r="AE75" s="17">
        <f t="shared" si="18"/>
        <v>0</v>
      </c>
      <c r="AF75" s="17">
        <f t="shared" ca="1" si="19"/>
        <v>0</v>
      </c>
      <c r="AG75" s="28">
        <f t="shared" si="20"/>
        <v>0</v>
      </c>
      <c r="AH75" s="181">
        <f t="shared" si="21"/>
        <v>0</v>
      </c>
      <c r="AI75" s="181">
        <f t="shared" si="22"/>
        <v>0</v>
      </c>
      <c r="AJ75" s="181">
        <f t="shared" si="23"/>
        <v>0</v>
      </c>
      <c r="AK75" s="181">
        <f t="shared" si="24"/>
        <v>0</v>
      </c>
      <c r="AL75" s="181">
        <f t="shared" si="25"/>
        <v>0</v>
      </c>
      <c r="AN75" s="181">
        <v>0</v>
      </c>
      <c r="AO75" s="181">
        <v>0</v>
      </c>
      <c r="AP75" s="181">
        <v>0</v>
      </c>
    </row>
    <row r="76" spans="1:42" x14ac:dyDescent="0.3">
      <c r="A76" s="158" t="str">
        <f>IF(ISBLANK(B76),"",MAX(A$6:A75)+1)</f>
        <v/>
      </c>
      <c r="B76" s="281"/>
      <c r="H76" s="27"/>
      <c r="U76" s="27"/>
      <c r="AB76" s="15">
        <f t="shared" si="15"/>
        <v>0</v>
      </c>
      <c r="AC76" s="15">
        <f t="shared" si="16"/>
        <v>0</v>
      </c>
      <c r="AD76" s="15">
        <f t="shared" si="17"/>
        <v>0</v>
      </c>
      <c r="AE76" s="15">
        <f t="shared" si="18"/>
        <v>0</v>
      </c>
      <c r="AF76" s="15">
        <f t="shared" si="19"/>
        <v>0</v>
      </c>
      <c r="AG76" s="27">
        <f t="shared" si="20"/>
        <v>0</v>
      </c>
      <c r="AH76" s="15">
        <f t="shared" si="21"/>
        <v>0</v>
      </c>
      <c r="AI76" s="15">
        <f t="shared" si="22"/>
        <v>0</v>
      </c>
      <c r="AJ76" s="15">
        <f t="shared" si="23"/>
        <v>0</v>
      </c>
      <c r="AK76" s="15">
        <f t="shared" si="24"/>
        <v>0</v>
      </c>
      <c r="AL76" s="15">
        <f t="shared" si="25"/>
        <v>0</v>
      </c>
      <c r="AN76" s="15">
        <v>0</v>
      </c>
      <c r="AO76" s="15">
        <v>0</v>
      </c>
      <c r="AP76" s="15">
        <v>0</v>
      </c>
    </row>
    <row r="77" spans="1:42" x14ac:dyDescent="0.3">
      <c r="A77" s="158">
        <f>IF(ISBLANK(B77),"",MAX(A$6:A76)+1)</f>
        <v>59</v>
      </c>
      <c r="B77" s="281" t="s">
        <v>91</v>
      </c>
      <c r="H77" s="27"/>
      <c r="U77" s="27"/>
      <c r="AB77" s="15">
        <f t="shared" si="15"/>
        <v>0</v>
      </c>
      <c r="AC77" s="15">
        <f t="shared" si="16"/>
        <v>0</v>
      </c>
      <c r="AD77" s="15">
        <f t="shared" si="17"/>
        <v>0</v>
      </c>
      <c r="AE77" s="15">
        <f t="shared" si="18"/>
        <v>0</v>
      </c>
      <c r="AF77" s="15">
        <f t="shared" si="19"/>
        <v>0</v>
      </c>
      <c r="AG77" s="27">
        <f t="shared" si="20"/>
        <v>0</v>
      </c>
      <c r="AH77" s="15">
        <f t="shared" si="21"/>
        <v>0</v>
      </c>
      <c r="AI77" s="15">
        <f t="shared" si="22"/>
        <v>0</v>
      </c>
      <c r="AJ77" s="15">
        <f t="shared" si="23"/>
        <v>0</v>
      </c>
      <c r="AK77" s="15">
        <f t="shared" si="24"/>
        <v>0</v>
      </c>
      <c r="AL77" s="15">
        <f t="shared" si="25"/>
        <v>0</v>
      </c>
      <c r="AN77" s="15">
        <v>0</v>
      </c>
      <c r="AO77" s="15">
        <v>0</v>
      </c>
      <c r="AP77" s="15">
        <v>0</v>
      </c>
    </row>
    <row r="78" spans="1:42" x14ac:dyDescent="0.3">
      <c r="A78" s="158">
        <f>IF(ISBLANK(B78),"",MAX(A$6:A77)+1)</f>
        <v>60</v>
      </c>
      <c r="B78" s="21" t="s">
        <v>185</v>
      </c>
      <c r="C78" s="16">
        <f ca="1">Gas_CBR!M80</f>
        <v>0</v>
      </c>
      <c r="D78" s="16"/>
      <c r="E78" s="16"/>
      <c r="F78" s="16"/>
      <c r="G78" s="16">
        <f ca="1">SUM(C78:F78)</f>
        <v>0</v>
      </c>
      <c r="H78" s="26"/>
      <c r="I78" s="177"/>
      <c r="J78" s="177"/>
      <c r="K78" s="177"/>
      <c r="L78" s="177"/>
      <c r="M78" s="177">
        <f>SUM(I78:L78)</f>
        <v>0</v>
      </c>
      <c r="P78" s="16">
        <v>0</v>
      </c>
      <c r="Q78" s="16"/>
      <c r="R78" s="16"/>
      <c r="S78" s="16"/>
      <c r="T78" s="16">
        <v>0</v>
      </c>
      <c r="U78" s="26"/>
      <c r="V78" s="177"/>
      <c r="W78" s="177"/>
      <c r="X78" s="177"/>
      <c r="Y78" s="177"/>
      <c r="Z78" s="177">
        <v>0</v>
      </c>
      <c r="AB78" s="16">
        <f t="shared" ca="1" si="15"/>
        <v>0</v>
      </c>
      <c r="AC78" s="16">
        <f t="shared" si="16"/>
        <v>0</v>
      </c>
      <c r="AD78" s="16">
        <f t="shared" si="17"/>
        <v>0</v>
      </c>
      <c r="AE78" s="16">
        <f t="shared" si="18"/>
        <v>0</v>
      </c>
      <c r="AF78" s="16">
        <f t="shared" ca="1" si="19"/>
        <v>0</v>
      </c>
      <c r="AG78" s="26">
        <f t="shared" si="20"/>
        <v>0</v>
      </c>
      <c r="AH78" s="177">
        <f t="shared" si="21"/>
        <v>0</v>
      </c>
      <c r="AI78" s="177">
        <f t="shared" si="22"/>
        <v>0</v>
      </c>
      <c r="AJ78" s="177">
        <f t="shared" si="23"/>
        <v>0</v>
      </c>
      <c r="AK78" s="177">
        <f t="shared" si="24"/>
        <v>0</v>
      </c>
      <c r="AL78" s="177">
        <f t="shared" si="25"/>
        <v>0</v>
      </c>
      <c r="AN78" s="177">
        <v>0</v>
      </c>
      <c r="AO78" s="177">
        <v>0</v>
      </c>
      <c r="AP78" s="177">
        <v>0</v>
      </c>
    </row>
    <row r="79" spans="1:42" x14ac:dyDescent="0.3">
      <c r="A79" s="158">
        <f>IF(ISBLANK(B79),"",MAX(A$6:A78)+1)</f>
        <v>61</v>
      </c>
      <c r="B79" s="21" t="s">
        <v>65</v>
      </c>
      <c r="C79" s="162">
        <f ca="1">Gas_CBR!M81</f>
        <v>0</v>
      </c>
      <c r="D79" s="162"/>
      <c r="E79" s="162"/>
      <c r="F79" s="162"/>
      <c r="G79" s="162">
        <f ca="1">SUM(C79:F79)</f>
        <v>0</v>
      </c>
      <c r="H79" s="26"/>
      <c r="I79" s="162"/>
      <c r="J79" s="162"/>
      <c r="K79" s="162"/>
      <c r="L79" s="162"/>
      <c r="M79" s="162">
        <f>SUM(I79:L79)</f>
        <v>0</v>
      </c>
      <c r="P79" s="162">
        <v>0</v>
      </c>
      <c r="Q79" s="162"/>
      <c r="R79" s="162"/>
      <c r="S79" s="162"/>
      <c r="T79" s="162">
        <v>0</v>
      </c>
      <c r="U79" s="26"/>
      <c r="V79" s="162"/>
      <c r="W79" s="162"/>
      <c r="X79" s="162"/>
      <c r="Y79" s="162"/>
      <c r="Z79" s="162">
        <v>0</v>
      </c>
      <c r="AB79" s="162">
        <f t="shared" ca="1" si="15"/>
        <v>0</v>
      </c>
      <c r="AC79" s="162">
        <f t="shared" si="16"/>
        <v>0</v>
      </c>
      <c r="AD79" s="162">
        <f t="shared" si="17"/>
        <v>0</v>
      </c>
      <c r="AE79" s="162">
        <f t="shared" si="18"/>
        <v>0</v>
      </c>
      <c r="AF79" s="162">
        <f t="shared" ca="1" si="19"/>
        <v>0</v>
      </c>
      <c r="AG79" s="26">
        <f t="shared" si="20"/>
        <v>0</v>
      </c>
      <c r="AH79" s="162">
        <f t="shared" si="21"/>
        <v>0</v>
      </c>
      <c r="AI79" s="162">
        <f t="shared" si="22"/>
        <v>0</v>
      </c>
      <c r="AJ79" s="162">
        <f t="shared" si="23"/>
        <v>0</v>
      </c>
      <c r="AK79" s="162">
        <f t="shared" si="24"/>
        <v>0</v>
      </c>
      <c r="AL79" s="162">
        <f t="shared" si="25"/>
        <v>0</v>
      </c>
      <c r="AN79" s="162">
        <v>0</v>
      </c>
      <c r="AO79" s="162">
        <v>0</v>
      </c>
      <c r="AP79" s="162">
        <v>0</v>
      </c>
    </row>
    <row r="80" spans="1:42" x14ac:dyDescent="0.3">
      <c r="A80" s="158">
        <f>IF(ISBLANK(B80),"",MAX(A$6:A79)+1)</f>
        <v>62</v>
      </c>
      <c r="B80" s="21" t="s">
        <v>66</v>
      </c>
      <c r="C80" s="162">
        <f ca="1">Gas_CBR!M82</f>
        <v>-254860649.77501619</v>
      </c>
      <c r="D80" s="162"/>
      <c r="E80" s="162"/>
      <c r="F80" s="162"/>
      <c r="G80" s="162">
        <f ca="1">SUM(C80:F80)</f>
        <v>-254860649.77501619</v>
      </c>
      <c r="H80" s="26"/>
      <c r="I80" s="35"/>
      <c r="J80" s="35"/>
      <c r="K80" s="35"/>
      <c r="L80" s="35"/>
      <c r="M80" s="35">
        <f>SUM(I80:L80)</f>
        <v>0</v>
      </c>
      <c r="P80" s="162">
        <v>-254860649.77501619</v>
      </c>
      <c r="Q80" s="162"/>
      <c r="R80" s="162"/>
      <c r="S80" s="162"/>
      <c r="T80" s="162">
        <v>-254860649.77501619</v>
      </c>
      <c r="U80" s="26"/>
      <c r="V80" s="35"/>
      <c r="W80" s="35"/>
      <c r="X80" s="35"/>
      <c r="Y80" s="35"/>
      <c r="Z80" s="35">
        <v>0</v>
      </c>
      <c r="AB80" s="162">
        <f t="shared" ca="1" si="15"/>
        <v>0</v>
      </c>
      <c r="AC80" s="162">
        <f t="shared" si="16"/>
        <v>0</v>
      </c>
      <c r="AD80" s="162">
        <f t="shared" si="17"/>
        <v>0</v>
      </c>
      <c r="AE80" s="162">
        <f t="shared" si="18"/>
        <v>0</v>
      </c>
      <c r="AF80" s="162">
        <f t="shared" ca="1" si="19"/>
        <v>0</v>
      </c>
      <c r="AG80" s="26">
        <f t="shared" si="20"/>
        <v>0</v>
      </c>
      <c r="AH80" s="35">
        <f t="shared" si="21"/>
        <v>0</v>
      </c>
      <c r="AI80" s="35">
        <f t="shared" si="22"/>
        <v>0</v>
      </c>
      <c r="AJ80" s="35">
        <f t="shared" si="23"/>
        <v>0</v>
      </c>
      <c r="AK80" s="35">
        <f t="shared" si="24"/>
        <v>0</v>
      </c>
      <c r="AL80" s="35">
        <f t="shared" si="25"/>
        <v>0</v>
      </c>
      <c r="AN80" s="35">
        <v>0</v>
      </c>
      <c r="AO80" s="35">
        <v>0</v>
      </c>
      <c r="AP80" s="35">
        <v>0</v>
      </c>
    </row>
    <row r="81" spans="1:42" x14ac:dyDescent="0.3">
      <c r="A81" s="158">
        <f>IF(ISBLANK(B81),"",MAX(A$6:A80)+1)</f>
        <v>63</v>
      </c>
      <c r="B81" s="21" t="s">
        <v>67</v>
      </c>
      <c r="C81" s="162">
        <v>-15866663.572248682</v>
      </c>
      <c r="D81" s="162"/>
      <c r="E81" s="162"/>
      <c r="F81" s="162"/>
      <c r="G81" s="162">
        <f>SUM(C81:F81)</f>
        <v>-15866663.572248682</v>
      </c>
      <c r="H81" s="26"/>
      <c r="I81" s="35"/>
      <c r="J81" s="35"/>
      <c r="K81" s="35"/>
      <c r="L81" s="35"/>
      <c r="M81" s="35">
        <f>SUM(I81:L81)</f>
        <v>0</v>
      </c>
      <c r="P81" s="162">
        <v>-15866663.572248682</v>
      </c>
      <c r="Q81" s="162"/>
      <c r="R81" s="162"/>
      <c r="S81" s="162"/>
      <c r="T81" s="162">
        <v>-15866663.572248682</v>
      </c>
      <c r="U81" s="26"/>
      <c r="V81" s="35"/>
      <c r="W81" s="35"/>
      <c r="X81" s="35"/>
      <c r="Y81" s="35"/>
      <c r="Z81" s="35">
        <v>0</v>
      </c>
      <c r="AB81" s="162">
        <f t="shared" si="15"/>
        <v>0</v>
      </c>
      <c r="AC81" s="162">
        <f t="shared" si="16"/>
        <v>0</v>
      </c>
      <c r="AD81" s="162">
        <f t="shared" si="17"/>
        <v>0</v>
      </c>
      <c r="AE81" s="162">
        <f t="shared" si="18"/>
        <v>0</v>
      </c>
      <c r="AF81" s="162">
        <f t="shared" si="19"/>
        <v>0</v>
      </c>
      <c r="AG81" s="26">
        <f t="shared" si="20"/>
        <v>0</v>
      </c>
      <c r="AH81" s="35">
        <f t="shared" si="21"/>
        <v>0</v>
      </c>
      <c r="AI81" s="35">
        <f t="shared" si="22"/>
        <v>0</v>
      </c>
      <c r="AJ81" s="35">
        <f t="shared" si="23"/>
        <v>0</v>
      </c>
      <c r="AK81" s="35">
        <f t="shared" si="24"/>
        <v>0</v>
      </c>
      <c r="AL81" s="35">
        <f t="shared" si="25"/>
        <v>0</v>
      </c>
      <c r="AN81" s="35">
        <v>0</v>
      </c>
      <c r="AO81" s="35">
        <v>0</v>
      </c>
      <c r="AP81" s="35">
        <v>0</v>
      </c>
    </row>
    <row r="82" spans="1:42" x14ac:dyDescent="0.3">
      <c r="A82" s="158">
        <f>IF(ISBLANK(B82),"",MAX(A$6:A81)+1)</f>
        <v>64</v>
      </c>
      <c r="B82" s="21" t="s">
        <v>68</v>
      </c>
      <c r="C82" s="162">
        <f ca="1">Gas_CBR!M84</f>
        <v>-19750584.467418134</v>
      </c>
      <c r="D82" s="162"/>
      <c r="E82" s="162"/>
      <c r="F82" s="162"/>
      <c r="G82" s="162">
        <f ca="1">SUM(C82:F82)</f>
        <v>-19750584.467418134</v>
      </c>
      <c r="H82" s="26"/>
      <c r="I82" s="35"/>
      <c r="J82" s="35"/>
      <c r="K82" s="35"/>
      <c r="L82" s="35"/>
      <c r="M82" s="35">
        <f>SUM(I82:L82)</f>
        <v>0</v>
      </c>
      <c r="P82" s="162">
        <v>-19750584.467418134</v>
      </c>
      <c r="Q82" s="162"/>
      <c r="R82" s="162"/>
      <c r="S82" s="162"/>
      <c r="T82" s="162">
        <v>-19750584.467418134</v>
      </c>
      <c r="U82" s="26"/>
      <c r="V82" s="35"/>
      <c r="W82" s="35"/>
      <c r="X82" s="35"/>
      <c r="Y82" s="35"/>
      <c r="Z82" s="35">
        <v>0</v>
      </c>
      <c r="AB82" s="162">
        <f t="shared" ca="1" si="15"/>
        <v>0</v>
      </c>
      <c r="AC82" s="162">
        <f t="shared" si="16"/>
        <v>0</v>
      </c>
      <c r="AD82" s="162">
        <f t="shared" si="17"/>
        <v>0</v>
      </c>
      <c r="AE82" s="162">
        <f t="shared" si="18"/>
        <v>0</v>
      </c>
      <c r="AF82" s="162">
        <f t="shared" ca="1" si="19"/>
        <v>0</v>
      </c>
      <c r="AG82" s="26">
        <f t="shared" si="20"/>
        <v>0</v>
      </c>
      <c r="AH82" s="35">
        <f t="shared" si="21"/>
        <v>0</v>
      </c>
      <c r="AI82" s="35">
        <f t="shared" si="22"/>
        <v>0</v>
      </c>
      <c r="AJ82" s="35">
        <f t="shared" si="23"/>
        <v>0</v>
      </c>
      <c r="AK82" s="35">
        <f t="shared" si="24"/>
        <v>0</v>
      </c>
      <c r="AL82" s="35">
        <f t="shared" si="25"/>
        <v>0</v>
      </c>
      <c r="AN82" s="35">
        <v>0</v>
      </c>
      <c r="AO82" s="35">
        <v>0</v>
      </c>
      <c r="AP82" s="35">
        <v>0</v>
      </c>
    </row>
    <row r="83" spans="1:42" x14ac:dyDescent="0.3">
      <c r="A83" s="158">
        <f>IF(ISBLANK(B83),"",MAX(A$6:A82)+1)</f>
        <v>65</v>
      </c>
      <c r="B83" s="452" t="s">
        <v>0</v>
      </c>
      <c r="C83" s="17">
        <f ca="1">SUM(C78:C82)</f>
        <v>-290477897.81468302</v>
      </c>
      <c r="D83" s="17">
        <f>SUM(D78:D82)</f>
        <v>0</v>
      </c>
      <c r="E83" s="17">
        <f>SUM(E78:E82)</f>
        <v>0</v>
      </c>
      <c r="F83" s="17">
        <f>SUM(F78:F82)</f>
        <v>0</v>
      </c>
      <c r="G83" s="17">
        <f ca="1">SUM(G78:G82)</f>
        <v>-290477897.81468302</v>
      </c>
      <c r="H83" s="28"/>
      <c r="I83" s="181">
        <f>SUM(I78:I82)</f>
        <v>0</v>
      </c>
      <c r="J83" s="181">
        <f>SUM(J78:J82)</f>
        <v>0</v>
      </c>
      <c r="K83" s="181">
        <f>SUM(K78:K82)</f>
        <v>0</v>
      </c>
      <c r="L83" s="181">
        <f>SUM(L78:L82)</f>
        <v>0</v>
      </c>
      <c r="M83" s="181">
        <f>SUM(M78:M82)</f>
        <v>0</v>
      </c>
      <c r="P83" s="17">
        <v>-290477897.81468302</v>
      </c>
      <c r="Q83" s="17">
        <v>0</v>
      </c>
      <c r="R83" s="17">
        <v>0</v>
      </c>
      <c r="S83" s="17">
        <v>0</v>
      </c>
      <c r="T83" s="17">
        <v>-290477897.81468302</v>
      </c>
      <c r="U83" s="28"/>
      <c r="V83" s="181">
        <v>0</v>
      </c>
      <c r="W83" s="181">
        <v>0</v>
      </c>
      <c r="X83" s="181">
        <v>0</v>
      </c>
      <c r="Y83" s="181">
        <v>0</v>
      </c>
      <c r="Z83" s="181">
        <v>0</v>
      </c>
      <c r="AB83" s="17">
        <f t="shared" ca="1" si="15"/>
        <v>0</v>
      </c>
      <c r="AC83" s="17">
        <f t="shared" si="16"/>
        <v>0</v>
      </c>
      <c r="AD83" s="17">
        <f t="shared" si="17"/>
        <v>0</v>
      </c>
      <c r="AE83" s="17">
        <f t="shared" si="18"/>
        <v>0</v>
      </c>
      <c r="AF83" s="17">
        <f t="shared" ca="1" si="19"/>
        <v>0</v>
      </c>
      <c r="AG83" s="28">
        <f t="shared" si="20"/>
        <v>0</v>
      </c>
      <c r="AH83" s="181">
        <f t="shared" si="21"/>
        <v>0</v>
      </c>
      <c r="AI83" s="181">
        <f t="shared" si="22"/>
        <v>0</v>
      </c>
      <c r="AJ83" s="181">
        <f t="shared" si="23"/>
        <v>0</v>
      </c>
      <c r="AK83" s="181">
        <f t="shared" si="24"/>
        <v>0</v>
      </c>
      <c r="AL83" s="181">
        <f t="shared" si="25"/>
        <v>0</v>
      </c>
      <c r="AN83" s="181">
        <v>0</v>
      </c>
      <c r="AO83" s="181">
        <v>0</v>
      </c>
      <c r="AP83" s="181">
        <v>0</v>
      </c>
    </row>
    <row r="84" spans="1:42" x14ac:dyDescent="0.3">
      <c r="A84" s="158" t="str">
        <f>IF(ISBLANK(B84),"",MAX(A$6:A83)+1)</f>
        <v/>
      </c>
      <c r="B84" s="281"/>
      <c r="H84" s="27"/>
      <c r="U84" s="27"/>
      <c r="AB84" s="15">
        <f t="shared" si="15"/>
        <v>0</v>
      </c>
      <c r="AC84" s="15">
        <f t="shared" si="16"/>
        <v>0</v>
      </c>
      <c r="AD84" s="15">
        <f t="shared" si="17"/>
        <v>0</v>
      </c>
      <c r="AE84" s="15">
        <f t="shared" si="18"/>
        <v>0</v>
      </c>
      <c r="AF84" s="15">
        <f t="shared" si="19"/>
        <v>0</v>
      </c>
      <c r="AG84" s="27">
        <f t="shared" si="20"/>
        <v>0</v>
      </c>
      <c r="AH84" s="15">
        <f t="shared" si="21"/>
        <v>0</v>
      </c>
      <c r="AI84" s="15">
        <f t="shared" si="22"/>
        <v>0</v>
      </c>
      <c r="AJ84" s="15">
        <f t="shared" si="23"/>
        <v>0</v>
      </c>
      <c r="AK84" s="15">
        <f t="shared" si="24"/>
        <v>0</v>
      </c>
      <c r="AL84" s="15">
        <f t="shared" si="25"/>
        <v>0</v>
      </c>
      <c r="AN84" s="15">
        <v>0</v>
      </c>
      <c r="AO84" s="15">
        <v>0</v>
      </c>
      <c r="AP84" s="15">
        <v>0</v>
      </c>
    </row>
    <row r="85" spans="1:42" x14ac:dyDescent="0.3">
      <c r="A85" s="158">
        <f>IF(ISBLANK(B85),"",MAX(A$6:A84)+1)</f>
        <v>66</v>
      </c>
      <c r="B85" s="281" t="s">
        <v>92</v>
      </c>
      <c r="H85" s="27"/>
      <c r="U85" s="27"/>
      <c r="AB85" s="15">
        <f t="shared" si="15"/>
        <v>0</v>
      </c>
      <c r="AC85" s="15">
        <f t="shared" si="16"/>
        <v>0</v>
      </c>
      <c r="AD85" s="15">
        <f t="shared" si="17"/>
        <v>0</v>
      </c>
      <c r="AE85" s="15">
        <f t="shared" si="18"/>
        <v>0</v>
      </c>
      <c r="AF85" s="15">
        <f t="shared" si="19"/>
        <v>0</v>
      </c>
      <c r="AG85" s="27">
        <f t="shared" si="20"/>
        <v>0</v>
      </c>
      <c r="AH85" s="15">
        <f t="shared" si="21"/>
        <v>0</v>
      </c>
      <c r="AI85" s="15">
        <f t="shared" si="22"/>
        <v>0</v>
      </c>
      <c r="AJ85" s="15">
        <f t="shared" si="23"/>
        <v>0</v>
      </c>
      <c r="AK85" s="15">
        <f t="shared" si="24"/>
        <v>0</v>
      </c>
      <c r="AL85" s="15">
        <f t="shared" si="25"/>
        <v>0</v>
      </c>
      <c r="AN85" s="15">
        <v>0</v>
      </c>
      <c r="AO85" s="15">
        <v>0</v>
      </c>
      <c r="AP85" s="15">
        <v>0</v>
      </c>
    </row>
    <row r="86" spans="1:42" x14ac:dyDescent="0.3">
      <c r="A86" s="158">
        <f>IF(ISBLANK(B86),"",MAX(A$6:A85)+1)</f>
        <v>67</v>
      </c>
      <c r="B86" s="21" t="s">
        <v>185</v>
      </c>
      <c r="C86" s="16">
        <f t="shared" ref="C86:G90" ca="1" si="26">C70+C78</f>
        <v>0</v>
      </c>
      <c r="D86" s="16">
        <f t="shared" si="26"/>
        <v>0</v>
      </c>
      <c r="E86" s="16">
        <f t="shared" si="26"/>
        <v>0</v>
      </c>
      <c r="F86" s="16">
        <f t="shared" si="26"/>
        <v>0</v>
      </c>
      <c r="G86" s="16">
        <f t="shared" ca="1" si="26"/>
        <v>0</v>
      </c>
      <c r="H86" s="27"/>
      <c r="I86" s="16">
        <v>-15078.028303402285</v>
      </c>
      <c r="J86" s="16"/>
      <c r="K86" s="16"/>
      <c r="L86" s="16"/>
      <c r="M86" s="16">
        <f>SUM(I86:L86)</f>
        <v>-15078.028303402285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27"/>
      <c r="V86" s="16">
        <v>-15078.028303402285</v>
      </c>
      <c r="W86" s="16"/>
      <c r="X86" s="16"/>
      <c r="Y86" s="16"/>
      <c r="Z86" s="16">
        <v>-15078.028303402285</v>
      </c>
      <c r="AB86" s="16">
        <f t="shared" ca="1" si="15"/>
        <v>0</v>
      </c>
      <c r="AC86" s="16">
        <f t="shared" si="16"/>
        <v>0</v>
      </c>
      <c r="AD86" s="16">
        <f t="shared" si="17"/>
        <v>0</v>
      </c>
      <c r="AE86" s="16">
        <f t="shared" si="18"/>
        <v>0</v>
      </c>
      <c r="AF86" s="16">
        <f t="shared" ca="1" si="19"/>
        <v>0</v>
      </c>
      <c r="AG86" s="27">
        <f t="shared" si="20"/>
        <v>0</v>
      </c>
      <c r="AH86" s="16">
        <f t="shared" si="21"/>
        <v>0</v>
      </c>
      <c r="AI86" s="16">
        <f t="shared" si="22"/>
        <v>0</v>
      </c>
      <c r="AJ86" s="16">
        <f t="shared" si="23"/>
        <v>0</v>
      </c>
      <c r="AK86" s="16">
        <f t="shared" si="24"/>
        <v>0</v>
      </c>
      <c r="AL86" s="16">
        <f t="shared" si="25"/>
        <v>0</v>
      </c>
      <c r="AN86" s="16">
        <v>0</v>
      </c>
      <c r="AO86" s="16">
        <v>0</v>
      </c>
      <c r="AP86" s="16">
        <v>0</v>
      </c>
    </row>
    <row r="87" spans="1:42" x14ac:dyDescent="0.3">
      <c r="A87" s="158">
        <f>IF(ISBLANK(B87),"",MAX(A$6:A86)+1)</f>
        <v>68</v>
      </c>
      <c r="B87" s="21" t="s">
        <v>65</v>
      </c>
      <c r="C87" s="162">
        <f t="shared" ca="1" si="26"/>
        <v>0</v>
      </c>
      <c r="D87" s="162">
        <f t="shared" si="26"/>
        <v>0</v>
      </c>
      <c r="E87" s="162">
        <f t="shared" si="26"/>
        <v>0</v>
      </c>
      <c r="F87" s="162">
        <f t="shared" si="26"/>
        <v>0</v>
      </c>
      <c r="G87" s="162">
        <f t="shared" ca="1" si="26"/>
        <v>0</v>
      </c>
      <c r="H87" s="27"/>
      <c r="I87" s="16">
        <v>0</v>
      </c>
      <c r="J87" s="162"/>
      <c r="K87" s="162"/>
      <c r="L87" s="162"/>
      <c r="M87" s="162">
        <f>SUM(I87:L87)</f>
        <v>0</v>
      </c>
      <c r="P87" s="162">
        <v>0</v>
      </c>
      <c r="Q87" s="162">
        <v>0</v>
      </c>
      <c r="R87" s="162">
        <v>0</v>
      </c>
      <c r="S87" s="162">
        <v>0</v>
      </c>
      <c r="T87" s="162">
        <v>0</v>
      </c>
      <c r="U87" s="27"/>
      <c r="V87" s="16">
        <v>0</v>
      </c>
      <c r="W87" s="162"/>
      <c r="X87" s="162"/>
      <c r="Y87" s="162"/>
      <c r="Z87" s="162">
        <v>0</v>
      </c>
      <c r="AB87" s="162">
        <f t="shared" ca="1" si="15"/>
        <v>0</v>
      </c>
      <c r="AC87" s="162">
        <f t="shared" si="16"/>
        <v>0</v>
      </c>
      <c r="AD87" s="162">
        <f t="shared" si="17"/>
        <v>0</v>
      </c>
      <c r="AE87" s="162">
        <f t="shared" si="18"/>
        <v>0</v>
      </c>
      <c r="AF87" s="162">
        <f t="shared" ca="1" si="19"/>
        <v>0</v>
      </c>
      <c r="AG87" s="27">
        <f t="shared" si="20"/>
        <v>0</v>
      </c>
      <c r="AH87" s="16">
        <f t="shared" si="21"/>
        <v>0</v>
      </c>
      <c r="AI87" s="162">
        <f t="shared" si="22"/>
        <v>0</v>
      </c>
      <c r="AJ87" s="162">
        <f t="shared" si="23"/>
        <v>0</v>
      </c>
      <c r="AK87" s="162">
        <f t="shared" si="24"/>
        <v>0</v>
      </c>
      <c r="AL87" s="162">
        <f t="shared" si="25"/>
        <v>0</v>
      </c>
      <c r="AN87" s="162">
        <v>0</v>
      </c>
      <c r="AO87" s="162">
        <v>0</v>
      </c>
      <c r="AP87" s="162">
        <v>0</v>
      </c>
    </row>
    <row r="88" spans="1:42" x14ac:dyDescent="0.3">
      <c r="A88" s="158">
        <f>IF(ISBLANK(B88),"",MAX(A$6:A87)+1)</f>
        <v>69</v>
      </c>
      <c r="B88" s="21" t="s">
        <v>66</v>
      </c>
      <c r="C88" s="162">
        <f t="shared" ca="1" si="26"/>
        <v>-526707582.46769381</v>
      </c>
      <c r="D88" s="162">
        <f t="shared" si="26"/>
        <v>8025584.9516680902</v>
      </c>
      <c r="E88" s="162">
        <f t="shared" si="26"/>
        <v>1289851.786132125</v>
      </c>
      <c r="F88" s="162">
        <f t="shared" si="26"/>
        <v>0</v>
      </c>
      <c r="G88" s="162">
        <f t="shared" ca="1" si="26"/>
        <v>-517392145.72989357</v>
      </c>
      <c r="H88" s="27"/>
      <c r="I88" s="16">
        <v>-509866985.81675518</v>
      </c>
      <c r="J88" s="162">
        <v>-8937256.0344074257</v>
      </c>
      <c r="K88" s="162">
        <v>-2256392.3988461853</v>
      </c>
      <c r="L88" s="162"/>
      <c r="M88" s="162">
        <f>SUM(I88:L88)</f>
        <v>-521060634.25000882</v>
      </c>
      <c r="P88" s="162">
        <v>-526707582.46769381</v>
      </c>
      <c r="Q88" s="162">
        <v>8025584.9516680902</v>
      </c>
      <c r="R88" s="162">
        <v>1289851.786132125</v>
      </c>
      <c r="S88" s="162">
        <v>0</v>
      </c>
      <c r="T88" s="162">
        <v>-517392145.72989357</v>
      </c>
      <c r="U88" s="27"/>
      <c r="V88" s="16">
        <v>-509866985.81675518</v>
      </c>
      <c r="W88" s="162">
        <v>-8937256.0344074257</v>
      </c>
      <c r="X88" s="162">
        <v>-2256392.3988461853</v>
      </c>
      <c r="Y88" s="162"/>
      <c r="Z88" s="162">
        <v>-521060634.25000882</v>
      </c>
      <c r="AB88" s="162">
        <f t="shared" ca="1" si="15"/>
        <v>0</v>
      </c>
      <c r="AC88" s="162">
        <f t="shared" si="16"/>
        <v>0</v>
      </c>
      <c r="AD88" s="162">
        <f t="shared" si="17"/>
        <v>0</v>
      </c>
      <c r="AE88" s="162">
        <f t="shared" si="18"/>
        <v>0</v>
      </c>
      <c r="AF88" s="162">
        <f t="shared" ca="1" si="19"/>
        <v>0</v>
      </c>
      <c r="AG88" s="27">
        <f t="shared" si="20"/>
        <v>0</v>
      </c>
      <c r="AH88" s="16">
        <f t="shared" si="21"/>
        <v>0</v>
      </c>
      <c r="AI88" s="162">
        <f t="shared" si="22"/>
        <v>0</v>
      </c>
      <c r="AJ88" s="162">
        <f t="shared" si="23"/>
        <v>0</v>
      </c>
      <c r="AK88" s="162">
        <f t="shared" si="24"/>
        <v>0</v>
      </c>
      <c r="AL88" s="162">
        <f t="shared" si="25"/>
        <v>0</v>
      </c>
      <c r="AN88" s="162">
        <v>0</v>
      </c>
      <c r="AO88" s="162">
        <v>0</v>
      </c>
      <c r="AP88" s="162">
        <v>0</v>
      </c>
    </row>
    <row r="89" spans="1:42" x14ac:dyDescent="0.3">
      <c r="A89" s="158">
        <f>IF(ISBLANK(B89),"",MAX(A$6:A88)+1)</f>
        <v>70</v>
      </c>
      <c r="B89" s="21" t="s">
        <v>67</v>
      </c>
      <c r="C89" s="162">
        <f t="shared" ca="1" si="26"/>
        <v>-32799289.465798616</v>
      </c>
      <c r="D89" s="162">
        <f t="shared" si="26"/>
        <v>0</v>
      </c>
      <c r="E89" s="162">
        <f t="shared" si="26"/>
        <v>0</v>
      </c>
      <c r="F89" s="162">
        <f t="shared" si="26"/>
        <v>927817.70801036642</v>
      </c>
      <c r="G89" s="162">
        <f t="shared" ca="1" si="26"/>
        <v>-31871471.757788248</v>
      </c>
      <c r="H89" s="27"/>
      <c r="I89" s="16">
        <v>5554037.9928096319</v>
      </c>
      <c r="J89" s="162"/>
      <c r="K89" s="162"/>
      <c r="L89" s="162">
        <v>-6741150.1060194559</v>
      </c>
      <c r="M89" s="162">
        <f>SUM(I89:L89)</f>
        <v>-1187112.1132098241</v>
      </c>
      <c r="P89" s="162">
        <v>-32799289.465798616</v>
      </c>
      <c r="Q89" s="162">
        <v>0</v>
      </c>
      <c r="R89" s="162">
        <v>0</v>
      </c>
      <c r="S89" s="162">
        <v>927817.70801036642</v>
      </c>
      <c r="T89" s="162">
        <v>-31871471.757788248</v>
      </c>
      <c r="U89" s="27"/>
      <c r="V89" s="16">
        <v>5554037.9928096319</v>
      </c>
      <c r="W89" s="162"/>
      <c r="X89" s="162"/>
      <c r="Y89" s="162">
        <v>-6741150.1060194559</v>
      </c>
      <c r="Z89" s="162">
        <v>-1187112.1132098241</v>
      </c>
      <c r="AB89" s="162">
        <f t="shared" ca="1" si="15"/>
        <v>0</v>
      </c>
      <c r="AC89" s="162">
        <f t="shared" si="16"/>
        <v>0</v>
      </c>
      <c r="AD89" s="162">
        <f t="shared" si="17"/>
        <v>0</v>
      </c>
      <c r="AE89" s="162">
        <f t="shared" si="18"/>
        <v>0</v>
      </c>
      <c r="AF89" s="162">
        <f t="shared" ca="1" si="19"/>
        <v>0</v>
      </c>
      <c r="AG89" s="27">
        <f t="shared" si="20"/>
        <v>0</v>
      </c>
      <c r="AH89" s="16">
        <f t="shared" si="21"/>
        <v>0</v>
      </c>
      <c r="AI89" s="162">
        <f t="shared" si="22"/>
        <v>0</v>
      </c>
      <c r="AJ89" s="162">
        <f t="shared" si="23"/>
        <v>0</v>
      </c>
      <c r="AK89" s="162">
        <f t="shared" si="24"/>
        <v>0</v>
      </c>
      <c r="AL89" s="162">
        <f t="shared" si="25"/>
        <v>0</v>
      </c>
      <c r="AN89" s="162">
        <v>0</v>
      </c>
      <c r="AO89" s="162">
        <v>0</v>
      </c>
      <c r="AP89" s="162">
        <v>0</v>
      </c>
    </row>
    <row r="90" spans="1:42" x14ac:dyDescent="0.3">
      <c r="A90" s="158">
        <f>IF(ISBLANK(B90),"",MAX(A$6:A89)+1)</f>
        <v>71</v>
      </c>
      <c r="B90" s="21" t="s">
        <v>68</v>
      </c>
      <c r="C90" s="162">
        <f t="shared" ca="1" si="26"/>
        <v>-40817531.487662278</v>
      </c>
      <c r="D90" s="162">
        <f t="shared" si="26"/>
        <v>0</v>
      </c>
      <c r="E90" s="162">
        <f t="shared" si="26"/>
        <v>0</v>
      </c>
      <c r="F90" s="162">
        <f t="shared" si="26"/>
        <v>0</v>
      </c>
      <c r="G90" s="162">
        <f t="shared" ca="1" si="26"/>
        <v>-40817531.487662278</v>
      </c>
      <c r="H90" s="27"/>
      <c r="I90" s="16">
        <v>-75642680.577498913</v>
      </c>
      <c r="J90" s="162"/>
      <c r="K90" s="162"/>
      <c r="L90" s="162"/>
      <c r="M90" s="162">
        <f>SUM(I90:L90)</f>
        <v>-75642680.577498913</v>
      </c>
      <c r="P90" s="162">
        <v>-40817531.487662278</v>
      </c>
      <c r="Q90" s="162">
        <v>0</v>
      </c>
      <c r="R90" s="162">
        <v>0</v>
      </c>
      <c r="S90" s="162">
        <v>0</v>
      </c>
      <c r="T90" s="162">
        <v>-40817531.487662278</v>
      </c>
      <c r="U90" s="27"/>
      <c r="V90" s="16">
        <v>-75642680.577498913</v>
      </c>
      <c r="W90" s="162"/>
      <c r="X90" s="162"/>
      <c r="Y90" s="162"/>
      <c r="Z90" s="162">
        <v>-75642680.577498913</v>
      </c>
      <c r="AB90" s="162">
        <f t="shared" ca="1" si="15"/>
        <v>0</v>
      </c>
      <c r="AC90" s="162">
        <f t="shared" si="16"/>
        <v>0</v>
      </c>
      <c r="AD90" s="162">
        <f t="shared" si="17"/>
        <v>0</v>
      </c>
      <c r="AE90" s="162">
        <f t="shared" si="18"/>
        <v>0</v>
      </c>
      <c r="AF90" s="162">
        <f t="shared" ca="1" si="19"/>
        <v>0</v>
      </c>
      <c r="AG90" s="27">
        <f t="shared" si="20"/>
        <v>0</v>
      </c>
      <c r="AH90" s="16">
        <f t="shared" si="21"/>
        <v>0</v>
      </c>
      <c r="AI90" s="162">
        <f t="shared" si="22"/>
        <v>0</v>
      </c>
      <c r="AJ90" s="162">
        <f t="shared" si="23"/>
        <v>0</v>
      </c>
      <c r="AK90" s="162">
        <f t="shared" si="24"/>
        <v>0</v>
      </c>
      <c r="AL90" s="162">
        <f t="shared" si="25"/>
        <v>0</v>
      </c>
      <c r="AN90" s="162">
        <v>0</v>
      </c>
      <c r="AO90" s="162">
        <v>0</v>
      </c>
      <c r="AP90" s="162">
        <v>0</v>
      </c>
    </row>
    <row r="91" spans="1:42" x14ac:dyDescent="0.3">
      <c r="A91" s="158">
        <f>IF(ISBLANK(B91),"",MAX(A$6:A90)+1)</f>
        <v>72</v>
      </c>
      <c r="B91" s="452" t="s">
        <v>0</v>
      </c>
      <c r="C91" s="17">
        <f ca="1">SUM(C86:C90)</f>
        <v>-600324403.42115474</v>
      </c>
      <c r="D91" s="17">
        <f>SUM(D86:D90)</f>
        <v>8025584.9516680902</v>
      </c>
      <c r="E91" s="17">
        <f>SUM(E86:E90)</f>
        <v>1289851.786132125</v>
      </c>
      <c r="F91" s="17">
        <f>SUM(F86:F90)</f>
        <v>927817.70801036642</v>
      </c>
      <c r="G91" s="17">
        <f ca="1">SUM(G86:G90)</f>
        <v>-590081148.97534418</v>
      </c>
      <c r="H91" s="28"/>
      <c r="I91" s="17">
        <f>SUM(I86:I90)</f>
        <v>-579970706.42974782</v>
      </c>
      <c r="J91" s="17">
        <f>SUM(J86:J90)</f>
        <v>-8937256.0344074257</v>
      </c>
      <c r="K91" s="17">
        <f>SUM(K86:K90)</f>
        <v>-2256392.3988461853</v>
      </c>
      <c r="L91" s="17">
        <f>SUM(L86:L90)</f>
        <v>-6741150.1060194559</v>
      </c>
      <c r="M91" s="17">
        <f>SUM(M86:M90)</f>
        <v>-597905504.96902096</v>
      </c>
      <c r="P91" s="17">
        <v>-600324403.42115474</v>
      </c>
      <c r="Q91" s="17">
        <v>8025584.9516680902</v>
      </c>
      <c r="R91" s="17">
        <v>1289851.786132125</v>
      </c>
      <c r="S91" s="17">
        <v>927817.70801036642</v>
      </c>
      <c r="T91" s="17">
        <v>-590081148.97534418</v>
      </c>
      <c r="U91" s="28"/>
      <c r="V91" s="17">
        <v>-579970706.42974782</v>
      </c>
      <c r="W91" s="17">
        <v>-8937256.0344074257</v>
      </c>
      <c r="X91" s="17">
        <v>-2256392.3988461853</v>
      </c>
      <c r="Y91" s="17">
        <v>-6741150.1060194559</v>
      </c>
      <c r="Z91" s="17">
        <v>-597905504.96902096</v>
      </c>
      <c r="AB91" s="17">
        <f t="shared" ca="1" si="15"/>
        <v>0</v>
      </c>
      <c r="AC91" s="17">
        <f t="shared" si="16"/>
        <v>0</v>
      </c>
      <c r="AD91" s="17">
        <f t="shared" si="17"/>
        <v>0</v>
      </c>
      <c r="AE91" s="17">
        <f t="shared" si="18"/>
        <v>0</v>
      </c>
      <c r="AF91" s="17">
        <f t="shared" ca="1" si="19"/>
        <v>0</v>
      </c>
      <c r="AG91" s="28">
        <f t="shared" si="20"/>
        <v>0</v>
      </c>
      <c r="AH91" s="17">
        <f t="shared" si="21"/>
        <v>0</v>
      </c>
      <c r="AI91" s="17">
        <f t="shared" si="22"/>
        <v>0</v>
      </c>
      <c r="AJ91" s="17">
        <f t="shared" si="23"/>
        <v>0</v>
      </c>
      <c r="AK91" s="17">
        <f t="shared" si="24"/>
        <v>0</v>
      </c>
      <c r="AL91" s="17">
        <f t="shared" si="25"/>
        <v>0</v>
      </c>
      <c r="AN91" s="17">
        <v>0</v>
      </c>
      <c r="AO91" s="17">
        <v>0</v>
      </c>
      <c r="AP91" s="17">
        <v>0</v>
      </c>
    </row>
    <row r="92" spans="1:42" x14ac:dyDescent="0.3">
      <c r="A92" s="158" t="str">
        <f>IF(ISBLANK(B92),"",MAX(A$6:A91)+1)</f>
        <v/>
      </c>
      <c r="H92" s="27"/>
      <c r="U92" s="27"/>
      <c r="AB92" s="15">
        <f t="shared" si="15"/>
        <v>0</v>
      </c>
      <c r="AC92" s="15">
        <f t="shared" si="16"/>
        <v>0</v>
      </c>
      <c r="AD92" s="15">
        <f t="shared" si="17"/>
        <v>0</v>
      </c>
      <c r="AE92" s="15">
        <f t="shared" si="18"/>
        <v>0</v>
      </c>
      <c r="AF92" s="15">
        <f t="shared" si="19"/>
        <v>0</v>
      </c>
      <c r="AG92" s="27">
        <f t="shared" si="20"/>
        <v>0</v>
      </c>
      <c r="AH92" s="15">
        <f t="shared" si="21"/>
        <v>0</v>
      </c>
      <c r="AI92" s="15">
        <f t="shared" si="22"/>
        <v>0</v>
      </c>
      <c r="AJ92" s="15">
        <f t="shared" si="23"/>
        <v>0</v>
      </c>
      <c r="AK92" s="15">
        <f t="shared" si="24"/>
        <v>0</v>
      </c>
      <c r="AL92" s="15">
        <f t="shared" si="25"/>
        <v>0</v>
      </c>
      <c r="AN92" s="15">
        <v>0</v>
      </c>
      <c r="AO92" s="15">
        <v>0</v>
      </c>
      <c r="AP92" s="15">
        <v>0</v>
      </c>
    </row>
    <row r="93" spans="1:42" x14ac:dyDescent="0.3">
      <c r="A93" s="158">
        <f>IF(ISBLANK(B93),"",MAX(A$6:A92)+1)</f>
        <v>73</v>
      </c>
      <c r="B93" s="281" t="s">
        <v>203</v>
      </c>
      <c r="H93" s="27"/>
      <c r="U93" s="27"/>
      <c r="AB93" s="15">
        <f t="shared" si="15"/>
        <v>0</v>
      </c>
      <c r="AC93" s="15">
        <f t="shared" si="16"/>
        <v>0</v>
      </c>
      <c r="AD93" s="15">
        <f t="shared" si="17"/>
        <v>0</v>
      </c>
      <c r="AE93" s="15">
        <f t="shared" si="18"/>
        <v>0</v>
      </c>
      <c r="AF93" s="15">
        <f t="shared" si="19"/>
        <v>0</v>
      </c>
      <c r="AG93" s="27">
        <f t="shared" si="20"/>
        <v>0</v>
      </c>
      <c r="AH93" s="15">
        <f t="shared" si="21"/>
        <v>0</v>
      </c>
      <c r="AI93" s="15">
        <f t="shared" si="22"/>
        <v>0</v>
      </c>
      <c r="AJ93" s="15">
        <f t="shared" si="23"/>
        <v>0</v>
      </c>
      <c r="AK93" s="15">
        <f t="shared" si="24"/>
        <v>0</v>
      </c>
      <c r="AL93" s="15">
        <f t="shared" si="25"/>
        <v>0</v>
      </c>
      <c r="AN93" s="15">
        <v>0</v>
      </c>
      <c r="AO93" s="15">
        <v>0</v>
      </c>
      <c r="AP93" s="15">
        <v>0</v>
      </c>
    </row>
    <row r="94" spans="1:42" x14ac:dyDescent="0.3">
      <c r="A94" s="158">
        <f>IF(ISBLANK(B94),"",MAX(A$6:A93)+1)</f>
        <v>74</v>
      </c>
      <c r="B94" s="21" t="s">
        <v>185</v>
      </c>
      <c r="C94" s="16">
        <f t="shared" ref="C94:G98" ca="1" si="27">C54+C62+C86</f>
        <v>43349371.510728195</v>
      </c>
      <c r="D94" s="16">
        <f t="shared" si="27"/>
        <v>0</v>
      </c>
      <c r="E94" s="16">
        <f t="shared" si="27"/>
        <v>0</v>
      </c>
      <c r="F94" s="16">
        <f t="shared" si="27"/>
        <v>0</v>
      </c>
      <c r="G94" s="16">
        <f t="shared" ca="1" si="27"/>
        <v>43349371.510728195</v>
      </c>
      <c r="H94" s="27"/>
      <c r="I94" s="16">
        <f t="shared" ref="I94:M98" si="28">I54+I62+I86</f>
        <v>34035865.716815546</v>
      </c>
      <c r="J94" s="16">
        <f t="shared" si="28"/>
        <v>0</v>
      </c>
      <c r="K94" s="16">
        <f t="shared" si="28"/>
        <v>0</v>
      </c>
      <c r="L94" s="16">
        <f t="shared" si="28"/>
        <v>0</v>
      </c>
      <c r="M94" s="16">
        <f t="shared" si="28"/>
        <v>34035865.716815546</v>
      </c>
      <c r="P94" s="16">
        <v>43349371.510728195</v>
      </c>
      <c r="Q94" s="16">
        <v>0</v>
      </c>
      <c r="R94" s="16">
        <v>0</v>
      </c>
      <c r="S94" s="16">
        <v>0</v>
      </c>
      <c r="T94" s="16">
        <v>43349371.510728195</v>
      </c>
      <c r="U94" s="27"/>
      <c r="V94" s="16">
        <v>34035865.716815546</v>
      </c>
      <c r="W94" s="16">
        <v>0</v>
      </c>
      <c r="X94" s="16">
        <v>0</v>
      </c>
      <c r="Y94" s="16">
        <v>0</v>
      </c>
      <c r="Z94" s="16">
        <v>34035865.716815546</v>
      </c>
      <c r="AB94" s="16">
        <f t="shared" ca="1" si="15"/>
        <v>0</v>
      </c>
      <c r="AC94" s="16">
        <f t="shared" si="16"/>
        <v>0</v>
      </c>
      <c r="AD94" s="16">
        <f t="shared" si="17"/>
        <v>0</v>
      </c>
      <c r="AE94" s="16">
        <f t="shared" si="18"/>
        <v>0</v>
      </c>
      <c r="AF94" s="16">
        <f t="shared" ca="1" si="19"/>
        <v>0</v>
      </c>
      <c r="AG94" s="27">
        <f t="shared" si="20"/>
        <v>0</v>
      </c>
      <c r="AH94" s="16">
        <f t="shared" si="21"/>
        <v>0</v>
      </c>
      <c r="AI94" s="16">
        <f t="shared" si="22"/>
        <v>0</v>
      </c>
      <c r="AJ94" s="16">
        <f t="shared" si="23"/>
        <v>0</v>
      </c>
      <c r="AK94" s="16">
        <f t="shared" si="24"/>
        <v>0</v>
      </c>
      <c r="AL94" s="16">
        <f t="shared" si="25"/>
        <v>0</v>
      </c>
      <c r="AN94" s="16">
        <v>0</v>
      </c>
      <c r="AO94" s="16">
        <v>0</v>
      </c>
      <c r="AP94" s="16">
        <v>0</v>
      </c>
    </row>
    <row r="95" spans="1:42" x14ac:dyDescent="0.3">
      <c r="A95" s="158">
        <f>IF(ISBLANK(B95),"",MAX(A$6:A94)+1)</f>
        <v>75</v>
      </c>
      <c r="B95" s="21" t="s">
        <v>65</v>
      </c>
      <c r="C95" s="162">
        <f t="shared" ca="1" si="27"/>
        <v>0</v>
      </c>
      <c r="D95" s="162">
        <f t="shared" si="27"/>
        <v>0</v>
      </c>
      <c r="E95" s="162">
        <f t="shared" si="27"/>
        <v>0</v>
      </c>
      <c r="F95" s="162">
        <f t="shared" si="27"/>
        <v>0</v>
      </c>
      <c r="G95" s="162">
        <f t="shared" ca="1" si="27"/>
        <v>0</v>
      </c>
      <c r="H95" s="27"/>
      <c r="I95" s="162">
        <f t="shared" si="28"/>
        <v>0</v>
      </c>
      <c r="J95" s="162">
        <f t="shared" si="28"/>
        <v>0</v>
      </c>
      <c r="K95" s="162">
        <f t="shared" si="28"/>
        <v>0</v>
      </c>
      <c r="L95" s="162">
        <f t="shared" si="28"/>
        <v>0</v>
      </c>
      <c r="M95" s="162">
        <f t="shared" si="28"/>
        <v>0</v>
      </c>
      <c r="P95" s="162">
        <v>0</v>
      </c>
      <c r="Q95" s="162">
        <v>0</v>
      </c>
      <c r="R95" s="162">
        <v>0</v>
      </c>
      <c r="S95" s="162">
        <v>0</v>
      </c>
      <c r="T95" s="162">
        <v>0</v>
      </c>
      <c r="U95" s="27"/>
      <c r="V95" s="162">
        <v>0</v>
      </c>
      <c r="W95" s="162">
        <v>0</v>
      </c>
      <c r="X95" s="162">
        <v>0</v>
      </c>
      <c r="Y95" s="162">
        <v>0</v>
      </c>
      <c r="Z95" s="162">
        <v>0</v>
      </c>
      <c r="AB95" s="162">
        <f t="shared" ca="1" si="15"/>
        <v>0</v>
      </c>
      <c r="AC95" s="162">
        <f t="shared" si="16"/>
        <v>0</v>
      </c>
      <c r="AD95" s="162">
        <f t="shared" si="17"/>
        <v>0</v>
      </c>
      <c r="AE95" s="162">
        <f t="shared" si="18"/>
        <v>0</v>
      </c>
      <c r="AF95" s="162">
        <f t="shared" ca="1" si="19"/>
        <v>0</v>
      </c>
      <c r="AG95" s="27">
        <f t="shared" si="20"/>
        <v>0</v>
      </c>
      <c r="AH95" s="162">
        <f t="shared" si="21"/>
        <v>0</v>
      </c>
      <c r="AI95" s="162">
        <f t="shared" si="22"/>
        <v>0</v>
      </c>
      <c r="AJ95" s="162">
        <f t="shared" si="23"/>
        <v>0</v>
      </c>
      <c r="AK95" s="162">
        <f t="shared" si="24"/>
        <v>0</v>
      </c>
      <c r="AL95" s="162">
        <f t="shared" si="25"/>
        <v>0</v>
      </c>
      <c r="AN95" s="162">
        <v>0</v>
      </c>
      <c r="AO95" s="162">
        <v>0</v>
      </c>
      <c r="AP95" s="162">
        <v>0</v>
      </c>
    </row>
    <row r="96" spans="1:42" x14ac:dyDescent="0.3">
      <c r="A96" s="158">
        <f>IF(ISBLANK(B96),"",MAX(A$6:A95)+1)</f>
        <v>76</v>
      </c>
      <c r="B96" s="21" t="s">
        <v>66</v>
      </c>
      <c r="C96" s="162">
        <f t="shared" ca="1" si="27"/>
        <v>1751147951.8403964</v>
      </c>
      <c r="D96" s="162">
        <f t="shared" si="27"/>
        <v>-73516466.176427826</v>
      </c>
      <c r="E96" s="162">
        <f t="shared" si="27"/>
        <v>-13642850.873609414</v>
      </c>
      <c r="F96" s="162">
        <f t="shared" si="27"/>
        <v>0</v>
      </c>
      <c r="G96" s="162">
        <f t="shared" ca="1" si="27"/>
        <v>1663988634.7903585</v>
      </c>
      <c r="H96" s="27"/>
      <c r="I96" s="162">
        <f t="shared" si="28"/>
        <v>1909000800.2528996</v>
      </c>
      <c r="J96" s="162">
        <f t="shared" si="28"/>
        <v>86797981.275974497</v>
      </c>
      <c r="K96" s="162">
        <f t="shared" si="28"/>
        <v>53945708.503033154</v>
      </c>
      <c r="L96" s="162">
        <f t="shared" si="28"/>
        <v>0</v>
      </c>
      <c r="M96" s="162">
        <f t="shared" si="28"/>
        <v>2049744490.0319073</v>
      </c>
      <c r="P96" s="162">
        <v>1751147951.8403964</v>
      </c>
      <c r="Q96" s="162">
        <v>-73516466.176427826</v>
      </c>
      <c r="R96" s="162">
        <v>-13642850.873609414</v>
      </c>
      <c r="S96" s="162">
        <v>0</v>
      </c>
      <c r="T96" s="162">
        <v>1663988634.7903585</v>
      </c>
      <c r="U96" s="27"/>
      <c r="V96" s="162">
        <v>1909000800.2528996</v>
      </c>
      <c r="W96" s="162">
        <v>86797981.275974497</v>
      </c>
      <c r="X96" s="162">
        <v>53945708.503033154</v>
      </c>
      <c r="Y96" s="162">
        <v>0</v>
      </c>
      <c r="Z96" s="162">
        <v>2049744490.0319073</v>
      </c>
      <c r="AB96" s="162">
        <f t="shared" ca="1" si="15"/>
        <v>0</v>
      </c>
      <c r="AC96" s="162">
        <f t="shared" si="16"/>
        <v>0</v>
      </c>
      <c r="AD96" s="162">
        <f t="shared" si="17"/>
        <v>0</v>
      </c>
      <c r="AE96" s="162">
        <f t="shared" si="18"/>
        <v>0</v>
      </c>
      <c r="AF96" s="162">
        <f t="shared" ca="1" si="19"/>
        <v>0</v>
      </c>
      <c r="AG96" s="27">
        <f t="shared" si="20"/>
        <v>0</v>
      </c>
      <c r="AH96" s="162">
        <f t="shared" si="21"/>
        <v>0</v>
      </c>
      <c r="AI96" s="162">
        <f t="shared" si="22"/>
        <v>0</v>
      </c>
      <c r="AJ96" s="162">
        <f t="shared" si="23"/>
        <v>0</v>
      </c>
      <c r="AK96" s="162">
        <f t="shared" si="24"/>
        <v>0</v>
      </c>
      <c r="AL96" s="162">
        <f t="shared" si="25"/>
        <v>0</v>
      </c>
      <c r="AN96" s="162">
        <v>0</v>
      </c>
      <c r="AO96" s="162">
        <v>0</v>
      </c>
      <c r="AP96" s="162">
        <v>0</v>
      </c>
    </row>
    <row r="97" spans="1:42" x14ac:dyDescent="0.3">
      <c r="A97" s="158">
        <f>IF(ISBLANK(B97),"",MAX(A$6:A96)+1)</f>
        <v>77</v>
      </c>
      <c r="B97" s="21" t="s">
        <v>67</v>
      </c>
      <c r="C97" s="162">
        <f t="shared" ca="1" si="27"/>
        <v>59345279.060462877</v>
      </c>
      <c r="D97" s="162">
        <f t="shared" si="27"/>
        <v>0</v>
      </c>
      <c r="E97" s="162">
        <f t="shared" si="27"/>
        <v>0</v>
      </c>
      <c r="F97" s="162">
        <f t="shared" si="27"/>
        <v>-14239197.195381718</v>
      </c>
      <c r="G97" s="162">
        <f t="shared" ca="1" si="27"/>
        <v>45106081.865081154</v>
      </c>
      <c r="H97" s="27"/>
      <c r="I97" s="162">
        <f t="shared" si="28"/>
        <v>58776383.34010046</v>
      </c>
      <c r="J97" s="162">
        <f t="shared" si="28"/>
        <v>0</v>
      </c>
      <c r="K97" s="162">
        <f t="shared" si="28"/>
        <v>0</v>
      </c>
      <c r="L97" s="162">
        <f t="shared" si="28"/>
        <v>57394555.273371562</v>
      </c>
      <c r="M97" s="162">
        <f t="shared" si="28"/>
        <v>116170938.61347203</v>
      </c>
      <c r="P97" s="162">
        <v>59345279.060462877</v>
      </c>
      <c r="Q97" s="162">
        <v>0</v>
      </c>
      <c r="R97" s="162">
        <v>0</v>
      </c>
      <c r="S97" s="162">
        <v>-14239197.195381718</v>
      </c>
      <c r="T97" s="162">
        <v>45106081.865081154</v>
      </c>
      <c r="U97" s="27"/>
      <c r="V97" s="162">
        <v>58776383.34010046</v>
      </c>
      <c r="W97" s="162">
        <v>0</v>
      </c>
      <c r="X97" s="162">
        <v>0</v>
      </c>
      <c r="Y97" s="162">
        <v>57394555.273371562</v>
      </c>
      <c r="Z97" s="162">
        <v>116170938.61347203</v>
      </c>
      <c r="AB97" s="162">
        <f t="shared" ca="1" si="15"/>
        <v>0</v>
      </c>
      <c r="AC97" s="162">
        <f t="shared" si="16"/>
        <v>0</v>
      </c>
      <c r="AD97" s="162">
        <f t="shared" si="17"/>
        <v>0</v>
      </c>
      <c r="AE97" s="162">
        <f t="shared" si="18"/>
        <v>0</v>
      </c>
      <c r="AF97" s="162">
        <f t="shared" ca="1" si="19"/>
        <v>0</v>
      </c>
      <c r="AG97" s="27">
        <f t="shared" si="20"/>
        <v>0</v>
      </c>
      <c r="AH97" s="162">
        <f t="shared" si="21"/>
        <v>0</v>
      </c>
      <c r="AI97" s="162">
        <f t="shared" si="22"/>
        <v>0</v>
      </c>
      <c r="AJ97" s="162">
        <f t="shared" si="23"/>
        <v>0</v>
      </c>
      <c r="AK97" s="162">
        <f t="shared" si="24"/>
        <v>0</v>
      </c>
      <c r="AL97" s="162">
        <f t="shared" si="25"/>
        <v>0</v>
      </c>
      <c r="AN97" s="162">
        <v>0</v>
      </c>
      <c r="AO97" s="162">
        <v>0</v>
      </c>
      <c r="AP97" s="162">
        <v>0</v>
      </c>
    </row>
    <row r="98" spans="1:42" x14ac:dyDescent="0.3">
      <c r="A98" s="158">
        <f>IF(ISBLANK(B98),"",MAX(A$6:A97)+1)</f>
        <v>78</v>
      </c>
      <c r="B98" s="21" t="s">
        <v>68</v>
      </c>
      <c r="C98" s="162">
        <f t="shared" ca="1" si="27"/>
        <v>76524776.056572318</v>
      </c>
      <c r="D98" s="162">
        <f t="shared" si="27"/>
        <v>0</v>
      </c>
      <c r="E98" s="162">
        <f t="shared" si="27"/>
        <v>0</v>
      </c>
      <c r="F98" s="162">
        <f t="shared" si="27"/>
        <v>0</v>
      </c>
      <c r="G98" s="162">
        <f t="shared" ca="1" si="27"/>
        <v>76524776.056572318</v>
      </c>
      <c r="H98" s="25"/>
      <c r="I98" s="162">
        <f t="shared" si="28"/>
        <v>63876198.411906898</v>
      </c>
      <c r="J98" s="162">
        <f t="shared" si="28"/>
        <v>0</v>
      </c>
      <c r="K98" s="162">
        <f t="shared" si="28"/>
        <v>0</v>
      </c>
      <c r="L98" s="162">
        <f t="shared" si="28"/>
        <v>0</v>
      </c>
      <c r="M98" s="162">
        <f t="shared" si="28"/>
        <v>63876198.411906898</v>
      </c>
      <c r="P98" s="162">
        <v>76524776.056572318</v>
      </c>
      <c r="Q98" s="162">
        <v>0</v>
      </c>
      <c r="R98" s="162">
        <v>0</v>
      </c>
      <c r="S98" s="162">
        <v>0</v>
      </c>
      <c r="T98" s="162">
        <v>76524776.056572318</v>
      </c>
      <c r="U98" s="25"/>
      <c r="V98" s="162">
        <v>63876198.411906898</v>
      </c>
      <c r="W98" s="162">
        <v>0</v>
      </c>
      <c r="X98" s="162">
        <v>0</v>
      </c>
      <c r="Y98" s="162">
        <v>0</v>
      </c>
      <c r="Z98" s="162">
        <v>63876198.411906898</v>
      </c>
      <c r="AB98" s="162">
        <f t="shared" ca="1" si="15"/>
        <v>0</v>
      </c>
      <c r="AC98" s="162">
        <f t="shared" si="16"/>
        <v>0</v>
      </c>
      <c r="AD98" s="162">
        <f t="shared" si="17"/>
        <v>0</v>
      </c>
      <c r="AE98" s="162">
        <f t="shared" si="18"/>
        <v>0</v>
      </c>
      <c r="AF98" s="162">
        <f t="shared" ca="1" si="19"/>
        <v>0</v>
      </c>
      <c r="AG98" s="25">
        <f t="shared" si="20"/>
        <v>0</v>
      </c>
      <c r="AH98" s="162">
        <f t="shared" si="21"/>
        <v>0</v>
      </c>
      <c r="AI98" s="162">
        <f t="shared" si="22"/>
        <v>0</v>
      </c>
      <c r="AJ98" s="162">
        <f t="shared" si="23"/>
        <v>0</v>
      </c>
      <c r="AK98" s="162">
        <f t="shared" si="24"/>
        <v>0</v>
      </c>
      <c r="AL98" s="162">
        <f t="shared" si="25"/>
        <v>0</v>
      </c>
      <c r="AN98" s="162">
        <v>0</v>
      </c>
      <c r="AO98" s="162">
        <v>0</v>
      </c>
      <c r="AP98" s="162">
        <v>0</v>
      </c>
    </row>
    <row r="99" spans="1:42" x14ac:dyDescent="0.3">
      <c r="A99" s="158">
        <f>IF(ISBLANK(B99),"",MAX(A$6:A98)+1)</f>
        <v>79</v>
      </c>
      <c r="B99" s="452" t="s">
        <v>0</v>
      </c>
      <c r="C99" s="17">
        <f ca="1">SUM(C94:C98)</f>
        <v>1930367378.4681597</v>
      </c>
      <c r="D99" s="17">
        <f>SUM(D94:D98)</f>
        <v>-73516466.176427826</v>
      </c>
      <c r="E99" s="17">
        <f>SUM(E94:E98)</f>
        <v>-13642850.873609414</v>
      </c>
      <c r="F99" s="17">
        <f>SUM(F94:F98)</f>
        <v>-14239197.195381718</v>
      </c>
      <c r="G99" s="17">
        <f ca="1">SUM(G94:G98)</f>
        <v>1828968864.2227402</v>
      </c>
      <c r="H99" s="29"/>
      <c r="I99" s="17">
        <f>SUM(I94:I98)</f>
        <v>2065689247.7217226</v>
      </c>
      <c r="J99" s="17">
        <f>SUM(J94:J98)</f>
        <v>86797981.275974497</v>
      </c>
      <c r="K99" s="17">
        <f>SUM(K94:K98)</f>
        <v>53945708.503033154</v>
      </c>
      <c r="L99" s="17">
        <f>SUM(L94:L98)</f>
        <v>57394555.273371562</v>
      </c>
      <c r="M99" s="17">
        <f>SUM(M94:M98)</f>
        <v>2263827492.7741017</v>
      </c>
      <c r="P99" s="17">
        <v>1930367378.4681597</v>
      </c>
      <c r="Q99" s="17">
        <v>-73516466.176427826</v>
      </c>
      <c r="R99" s="17">
        <v>-13642850.873609414</v>
      </c>
      <c r="S99" s="17">
        <v>-14239197.195381718</v>
      </c>
      <c r="T99" s="17">
        <v>1828968864.2227402</v>
      </c>
      <c r="U99" s="29"/>
      <c r="V99" s="17">
        <v>2065689247.7217226</v>
      </c>
      <c r="W99" s="17">
        <v>86797981.275974497</v>
      </c>
      <c r="X99" s="17">
        <v>53945708.503033154</v>
      </c>
      <c r="Y99" s="17">
        <v>57394555.273371562</v>
      </c>
      <c r="Z99" s="17">
        <v>2263827492.7741017</v>
      </c>
      <c r="AB99" s="17">
        <f t="shared" ca="1" si="15"/>
        <v>0</v>
      </c>
      <c r="AC99" s="17">
        <f t="shared" si="16"/>
        <v>0</v>
      </c>
      <c r="AD99" s="17">
        <f t="shared" si="17"/>
        <v>0</v>
      </c>
      <c r="AE99" s="17">
        <f t="shared" si="18"/>
        <v>0</v>
      </c>
      <c r="AF99" s="17">
        <f t="shared" ca="1" si="19"/>
        <v>0</v>
      </c>
      <c r="AG99" s="29">
        <f t="shared" si="20"/>
        <v>0</v>
      </c>
      <c r="AH99" s="17">
        <f t="shared" si="21"/>
        <v>0</v>
      </c>
      <c r="AI99" s="17">
        <f t="shared" si="22"/>
        <v>0</v>
      </c>
      <c r="AJ99" s="17">
        <f t="shared" si="23"/>
        <v>0</v>
      </c>
      <c r="AK99" s="17">
        <f t="shared" si="24"/>
        <v>0</v>
      </c>
      <c r="AL99" s="17">
        <f t="shared" si="25"/>
        <v>0</v>
      </c>
      <c r="AN99" s="17">
        <v>0</v>
      </c>
      <c r="AO99" s="17">
        <v>0</v>
      </c>
      <c r="AP99" s="17">
        <v>0</v>
      </c>
    </row>
    <row r="100" spans="1:42" x14ac:dyDescent="0.3">
      <c r="A100" s="158" t="str">
        <f>IF(ISBLANK(B100),"",MAX(A$6:A99)+1)</f>
        <v/>
      </c>
      <c r="H100" s="25"/>
      <c r="U100" s="25"/>
      <c r="AB100" s="15">
        <f t="shared" si="15"/>
        <v>0</v>
      </c>
      <c r="AC100" s="15">
        <f t="shared" si="16"/>
        <v>0</v>
      </c>
      <c r="AD100" s="15">
        <f t="shared" si="17"/>
        <v>0</v>
      </c>
      <c r="AE100" s="15">
        <f t="shared" si="18"/>
        <v>0</v>
      </c>
      <c r="AF100" s="15">
        <f t="shared" si="19"/>
        <v>0</v>
      </c>
      <c r="AG100" s="25">
        <f t="shared" si="20"/>
        <v>0</v>
      </c>
      <c r="AH100" s="15">
        <f t="shared" si="21"/>
        <v>0</v>
      </c>
      <c r="AI100" s="15">
        <f t="shared" si="22"/>
        <v>0</v>
      </c>
      <c r="AJ100" s="15">
        <f t="shared" si="23"/>
        <v>0</v>
      </c>
      <c r="AK100" s="15">
        <f t="shared" si="24"/>
        <v>0</v>
      </c>
      <c r="AL100" s="15">
        <f t="shared" si="25"/>
        <v>0</v>
      </c>
      <c r="AN100" s="15">
        <v>0</v>
      </c>
      <c r="AO100" s="15">
        <v>0</v>
      </c>
      <c r="AP100" s="15">
        <v>0</v>
      </c>
    </row>
    <row r="101" spans="1:42" x14ac:dyDescent="0.3">
      <c r="A101" s="158">
        <f>IF(ISBLANK(B101),"",MAX(A$6:A100)+1)</f>
        <v>80</v>
      </c>
      <c r="B101" s="21" t="s">
        <v>187</v>
      </c>
      <c r="C101" s="16">
        <v>-6741624.7785242535</v>
      </c>
      <c r="D101" s="16"/>
      <c r="E101" s="16"/>
      <c r="F101" s="16"/>
      <c r="G101" s="16">
        <f>SUM(C101:F101)</f>
        <v>-6741624.7785242535</v>
      </c>
      <c r="H101" s="25"/>
      <c r="I101" s="16">
        <f>G101*(1+H101)^(28/12)</f>
        <v>-6741624.7785242535</v>
      </c>
      <c r="J101" s="16"/>
      <c r="K101" s="16"/>
      <c r="L101" s="16"/>
      <c r="M101" s="16">
        <f>SUM(I101:L101)</f>
        <v>-6741624.7785242535</v>
      </c>
      <c r="P101" s="16">
        <v>-6741624.7785242535</v>
      </c>
      <c r="Q101" s="16"/>
      <c r="R101" s="16"/>
      <c r="S101" s="16"/>
      <c r="T101" s="16">
        <v>-6741624.7785242535</v>
      </c>
      <c r="U101" s="25"/>
      <c r="V101" s="16">
        <v>-6741624.7785242535</v>
      </c>
      <c r="W101" s="16"/>
      <c r="X101" s="16"/>
      <c r="Y101" s="16"/>
      <c r="Z101" s="16">
        <v>-6741624.7785242535</v>
      </c>
      <c r="AB101" s="16">
        <f t="shared" si="15"/>
        <v>0</v>
      </c>
      <c r="AC101" s="16">
        <f t="shared" si="16"/>
        <v>0</v>
      </c>
      <c r="AD101" s="16">
        <f t="shared" si="17"/>
        <v>0</v>
      </c>
      <c r="AE101" s="16">
        <f t="shared" si="18"/>
        <v>0</v>
      </c>
      <c r="AF101" s="16">
        <f t="shared" si="19"/>
        <v>0</v>
      </c>
      <c r="AG101" s="25">
        <f t="shared" si="20"/>
        <v>0</v>
      </c>
      <c r="AH101" s="16">
        <f t="shared" si="21"/>
        <v>0</v>
      </c>
      <c r="AI101" s="16">
        <f t="shared" si="22"/>
        <v>0</v>
      </c>
      <c r="AJ101" s="16">
        <f t="shared" si="23"/>
        <v>0</v>
      </c>
      <c r="AK101" s="16">
        <f t="shared" si="24"/>
        <v>0</v>
      </c>
      <c r="AL101" s="16">
        <f t="shared" si="25"/>
        <v>0</v>
      </c>
      <c r="AN101" s="16">
        <v>0</v>
      </c>
      <c r="AO101" s="16">
        <v>-232330.65451956261</v>
      </c>
      <c r="AP101" s="16">
        <v>-122084.22804323398</v>
      </c>
    </row>
    <row r="102" spans="1:42" x14ac:dyDescent="0.3">
      <c r="A102" s="158">
        <f>IF(ISBLANK(B102),"",MAX(A$6:A101)+1)</f>
        <v>81</v>
      </c>
      <c r="B102" s="21" t="s">
        <v>188</v>
      </c>
      <c r="C102" s="162">
        <v>-15468370.592007965</v>
      </c>
      <c r="D102" s="162"/>
      <c r="E102" s="162"/>
      <c r="F102" s="162"/>
      <c r="G102" s="162">
        <f>SUM(C102:F102)</f>
        <v>-15468370.592007965</v>
      </c>
      <c r="H102" s="162"/>
      <c r="I102" s="162">
        <f>G102*(1+H102)^(28/12)</f>
        <v>-15468370.592007965</v>
      </c>
      <c r="J102" s="162"/>
      <c r="K102" s="162"/>
      <c r="L102" s="162"/>
      <c r="M102" s="162">
        <f>SUM(I102:L102)</f>
        <v>-15468370.592007965</v>
      </c>
      <c r="P102" s="162">
        <v>-15468370.592007965</v>
      </c>
      <c r="Q102" s="162"/>
      <c r="R102" s="162"/>
      <c r="S102" s="162"/>
      <c r="T102" s="162">
        <v>-15468370.592007965</v>
      </c>
      <c r="U102" s="162"/>
      <c r="V102" s="162">
        <v>-15468370.592007965</v>
      </c>
      <c r="W102" s="162"/>
      <c r="X102" s="162"/>
      <c r="Y102" s="162"/>
      <c r="Z102" s="162">
        <v>-15468370.592007965</v>
      </c>
      <c r="AB102" s="162">
        <f t="shared" si="15"/>
        <v>0</v>
      </c>
      <c r="AC102" s="162">
        <f t="shared" si="16"/>
        <v>0</v>
      </c>
      <c r="AD102" s="162">
        <f t="shared" si="17"/>
        <v>0</v>
      </c>
      <c r="AE102" s="162">
        <f t="shared" si="18"/>
        <v>0</v>
      </c>
      <c r="AF102" s="162">
        <f t="shared" si="19"/>
        <v>0</v>
      </c>
      <c r="AG102" s="162">
        <f t="shared" si="20"/>
        <v>0</v>
      </c>
      <c r="AH102" s="162">
        <f t="shared" si="21"/>
        <v>0</v>
      </c>
      <c r="AI102" s="162">
        <f t="shared" si="22"/>
        <v>0</v>
      </c>
      <c r="AJ102" s="162">
        <f t="shared" si="23"/>
        <v>0</v>
      </c>
      <c r="AK102" s="162">
        <f t="shared" si="24"/>
        <v>0</v>
      </c>
      <c r="AL102" s="162">
        <f t="shared" si="25"/>
        <v>0</v>
      </c>
      <c r="AN102" s="162">
        <v>0</v>
      </c>
      <c r="AO102" s="162">
        <v>1106336.4500931576</v>
      </c>
      <c r="AP102" s="162">
        <v>581353.46687253565</v>
      </c>
    </row>
    <row r="103" spans="1:42" x14ac:dyDescent="0.3">
      <c r="A103" s="158">
        <f>IF(ISBLANK(B103),"",MAX(A$6:A102)+1)</f>
        <v>82</v>
      </c>
      <c r="B103" s="21" t="s">
        <v>76</v>
      </c>
      <c r="C103" s="162">
        <v>54431800.053166389</v>
      </c>
      <c r="D103" s="162"/>
      <c r="E103" s="162"/>
      <c r="F103" s="162"/>
      <c r="G103" s="162">
        <f>SUM(C103:F103)</f>
        <v>54431800.053166389</v>
      </c>
      <c r="H103" s="162"/>
      <c r="I103" s="162">
        <f>G103*(1+H103)^(28/12)</f>
        <v>54431800.053166389</v>
      </c>
      <c r="J103" s="162"/>
      <c r="K103" s="162"/>
      <c r="L103" s="162"/>
      <c r="M103" s="162">
        <f>SUM(I103:L103)</f>
        <v>54431800.053166389</v>
      </c>
      <c r="P103" s="162">
        <v>54431800.053166389</v>
      </c>
      <c r="Q103" s="162"/>
      <c r="R103" s="162"/>
      <c r="S103" s="162"/>
      <c r="T103" s="162">
        <v>54431800.053166389</v>
      </c>
      <c r="U103" s="162"/>
      <c r="V103" s="162">
        <v>54431800.053166389</v>
      </c>
      <c r="W103" s="162"/>
      <c r="X103" s="162"/>
      <c r="Y103" s="162"/>
      <c r="Z103" s="162">
        <v>54431800.053166389</v>
      </c>
      <c r="AB103" s="162">
        <f t="shared" si="15"/>
        <v>0</v>
      </c>
      <c r="AC103" s="162">
        <f t="shared" si="16"/>
        <v>0</v>
      </c>
      <c r="AD103" s="162">
        <f t="shared" si="17"/>
        <v>0</v>
      </c>
      <c r="AE103" s="162">
        <f t="shared" si="18"/>
        <v>0</v>
      </c>
      <c r="AF103" s="162">
        <f t="shared" si="19"/>
        <v>0</v>
      </c>
      <c r="AG103" s="162">
        <f t="shared" si="20"/>
        <v>0</v>
      </c>
      <c r="AH103" s="162">
        <f t="shared" si="21"/>
        <v>0</v>
      </c>
      <c r="AI103" s="162">
        <f t="shared" si="22"/>
        <v>0</v>
      </c>
      <c r="AJ103" s="162">
        <f t="shared" si="23"/>
        <v>0</v>
      </c>
      <c r="AK103" s="162">
        <f t="shared" si="24"/>
        <v>0</v>
      </c>
      <c r="AL103" s="162">
        <f t="shared" si="25"/>
        <v>0</v>
      </c>
      <c r="AN103" s="162">
        <v>0</v>
      </c>
      <c r="AO103" s="162">
        <v>0</v>
      </c>
      <c r="AP103" s="162">
        <v>0</v>
      </c>
    </row>
    <row r="104" spans="1:42" ht="15" thickBot="1" x14ac:dyDescent="0.35">
      <c r="A104" s="158">
        <f>IF(ISBLANK(B104),"",MAX(A$6:A103)+1)</f>
        <v>83</v>
      </c>
      <c r="B104" s="454" t="s">
        <v>189</v>
      </c>
      <c r="C104" s="78">
        <f ca="1">SUM(C99:C103)</f>
        <v>1962589183.150794</v>
      </c>
      <c r="D104" s="78">
        <f>SUM(D99:D103)</f>
        <v>-73516466.176427826</v>
      </c>
      <c r="E104" s="78">
        <f>SUM(E99:E103)</f>
        <v>-13642850.873609414</v>
      </c>
      <c r="F104" s="78">
        <f>SUM(F99:F103)</f>
        <v>-14239197.195381718</v>
      </c>
      <c r="G104" s="78">
        <f ca="1">SUM(G99:G103)</f>
        <v>1861190668.9053745</v>
      </c>
      <c r="H104" s="29"/>
      <c r="I104" s="78">
        <f>SUM(I99:I103)</f>
        <v>2097911052.404357</v>
      </c>
      <c r="J104" s="78">
        <f>SUM(J99:J103)</f>
        <v>86797981.275974497</v>
      </c>
      <c r="K104" s="78">
        <f>SUM(K99:K103)</f>
        <v>53945708.503033154</v>
      </c>
      <c r="L104" s="78">
        <f>SUM(L99:L103)</f>
        <v>57394555.273371562</v>
      </c>
      <c r="M104" s="78">
        <f>SUM(M99:M103)</f>
        <v>2296049297.4567356</v>
      </c>
      <c r="P104" s="78">
        <v>1962589183.150794</v>
      </c>
      <c r="Q104" s="78">
        <v>-73516466.176427826</v>
      </c>
      <c r="R104" s="78">
        <v>-13642850.873609414</v>
      </c>
      <c r="S104" s="78">
        <v>-14239197.195381718</v>
      </c>
      <c r="T104" s="78">
        <v>1861190668.9053745</v>
      </c>
      <c r="U104" s="29"/>
      <c r="V104" s="78">
        <v>2097911052.404357</v>
      </c>
      <c r="W104" s="78">
        <v>86797981.275974497</v>
      </c>
      <c r="X104" s="78">
        <v>53945708.503033154</v>
      </c>
      <c r="Y104" s="78">
        <v>57394555.273371562</v>
      </c>
      <c r="Z104" s="78">
        <v>2296049297.4567356</v>
      </c>
      <c r="AB104" s="78">
        <f t="shared" ca="1" si="15"/>
        <v>0</v>
      </c>
      <c r="AC104" s="78">
        <f t="shared" si="16"/>
        <v>0</v>
      </c>
      <c r="AD104" s="78">
        <f t="shared" si="17"/>
        <v>0</v>
      </c>
      <c r="AE104" s="78">
        <f t="shared" si="18"/>
        <v>0</v>
      </c>
      <c r="AF104" s="78">
        <f t="shared" ca="1" si="19"/>
        <v>0</v>
      </c>
      <c r="AG104" s="29">
        <f t="shared" si="20"/>
        <v>0</v>
      </c>
      <c r="AH104" s="78">
        <f t="shared" si="21"/>
        <v>0</v>
      </c>
      <c r="AI104" s="78">
        <f t="shared" si="22"/>
        <v>0</v>
      </c>
      <c r="AJ104" s="78">
        <f t="shared" si="23"/>
        <v>0</v>
      </c>
      <c r="AK104" s="78">
        <f t="shared" si="24"/>
        <v>0</v>
      </c>
      <c r="AL104" s="78">
        <f t="shared" si="25"/>
        <v>0</v>
      </c>
      <c r="AN104" s="78">
        <v>0</v>
      </c>
      <c r="AO104" s="78">
        <v>874005.7955737114</v>
      </c>
      <c r="AP104" s="78">
        <v>459269.23882865906</v>
      </c>
    </row>
    <row r="105" spans="1:42" ht="15" thickTop="1" x14ac:dyDescent="0.3">
      <c r="A105" s="158">
        <f>IF(ISBLANK(B105),"",MAX(A$6:A104)+1)</f>
        <v>84</v>
      </c>
      <c r="B105" s="193" t="s">
        <v>570</v>
      </c>
      <c r="C105" s="20">
        <f ca="1">C51-C104</f>
        <v>0</v>
      </c>
      <c r="D105" s="20">
        <f>D51-D104</f>
        <v>0</v>
      </c>
      <c r="E105" s="20">
        <f>E51-E104</f>
        <v>0</v>
      </c>
      <c r="F105" s="20">
        <f>F51-F104</f>
        <v>0</v>
      </c>
      <c r="G105" s="20">
        <f ca="1">G51-G104</f>
        <v>0</v>
      </c>
      <c r="H105" s="25"/>
      <c r="I105" s="20">
        <f>I51-I104</f>
        <v>0</v>
      </c>
      <c r="J105" s="20">
        <f>J51-J104</f>
        <v>0</v>
      </c>
      <c r="K105" s="20">
        <f>K51-K104</f>
        <v>0</v>
      </c>
      <c r="L105" s="20">
        <f>L51-L104</f>
        <v>0</v>
      </c>
      <c r="M105" s="20">
        <f>M51-M104</f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5"/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B105" s="20">
        <f t="shared" ca="1" si="15"/>
        <v>0</v>
      </c>
      <c r="AC105" s="20">
        <f t="shared" si="16"/>
        <v>0</v>
      </c>
      <c r="AD105" s="20">
        <f t="shared" si="17"/>
        <v>0</v>
      </c>
      <c r="AE105" s="20">
        <f t="shared" si="18"/>
        <v>0</v>
      </c>
      <c r="AF105" s="20">
        <f t="shared" ca="1" si="19"/>
        <v>0</v>
      </c>
      <c r="AG105" s="25">
        <f t="shared" si="20"/>
        <v>0</v>
      </c>
      <c r="AH105" s="20">
        <f t="shared" si="21"/>
        <v>0</v>
      </c>
      <c r="AI105" s="20">
        <f t="shared" si="22"/>
        <v>0</v>
      </c>
      <c r="AJ105" s="20">
        <f t="shared" si="23"/>
        <v>0</v>
      </c>
      <c r="AK105" s="20">
        <f t="shared" si="24"/>
        <v>0</v>
      </c>
      <c r="AL105" s="20">
        <f t="shared" si="25"/>
        <v>0</v>
      </c>
      <c r="AN105" s="20">
        <v>0</v>
      </c>
      <c r="AO105" s="20">
        <v>0</v>
      </c>
      <c r="AP105" s="20">
        <v>0</v>
      </c>
    </row>
    <row r="106" spans="1:42" x14ac:dyDescent="0.3">
      <c r="A106" s="158">
        <f>IF(ISBLANK(B106),"",MAX(A$6:A105)+1)</f>
        <v>85</v>
      </c>
      <c r="B106" s="15" t="s">
        <v>78</v>
      </c>
      <c r="M106" s="52">
        <v>7.4399999999999994E-2</v>
      </c>
      <c r="Z106" s="52">
        <v>7.4399999999999994E-2</v>
      </c>
      <c r="AB106" s="15">
        <f t="shared" si="15"/>
        <v>0</v>
      </c>
      <c r="AC106" s="15">
        <f t="shared" si="16"/>
        <v>0</v>
      </c>
      <c r="AD106" s="15">
        <f t="shared" si="17"/>
        <v>0</v>
      </c>
      <c r="AE106" s="15">
        <f t="shared" si="18"/>
        <v>0</v>
      </c>
      <c r="AF106" s="15">
        <f t="shared" si="19"/>
        <v>0</v>
      </c>
      <c r="AG106" s="15">
        <f t="shared" si="20"/>
        <v>0</v>
      </c>
      <c r="AH106" s="15">
        <f t="shared" si="21"/>
        <v>0</v>
      </c>
      <c r="AI106" s="15">
        <f t="shared" si="22"/>
        <v>0</v>
      </c>
      <c r="AJ106" s="15">
        <f t="shared" si="23"/>
        <v>0</v>
      </c>
      <c r="AK106" s="15">
        <f t="shared" si="24"/>
        <v>0</v>
      </c>
      <c r="AL106" s="52">
        <f t="shared" si="25"/>
        <v>0</v>
      </c>
      <c r="AN106" s="52">
        <v>0</v>
      </c>
      <c r="AO106" s="52">
        <v>0</v>
      </c>
      <c r="AP106" s="52">
        <v>0</v>
      </c>
    </row>
    <row r="107" spans="1:42" x14ac:dyDescent="0.3">
      <c r="A107" s="158">
        <f>IF(ISBLANK(B107),"",MAX(A$6:A106)+1)</f>
        <v>86</v>
      </c>
      <c r="B107" s="15" t="s">
        <v>79</v>
      </c>
      <c r="M107" s="16">
        <f>M51*M106</f>
        <v>170826067.73078108</v>
      </c>
      <c r="Z107" s="16">
        <v>170826067.73078108</v>
      </c>
      <c r="AB107" s="15">
        <f t="shared" si="15"/>
        <v>0</v>
      </c>
      <c r="AC107" s="15">
        <f t="shared" si="16"/>
        <v>0</v>
      </c>
      <c r="AD107" s="15">
        <f t="shared" si="17"/>
        <v>0</v>
      </c>
      <c r="AE107" s="15">
        <f t="shared" si="18"/>
        <v>0</v>
      </c>
      <c r="AF107" s="15">
        <f t="shared" si="19"/>
        <v>0</v>
      </c>
      <c r="AG107" s="15">
        <f t="shared" si="20"/>
        <v>0</v>
      </c>
      <c r="AH107" s="15">
        <f t="shared" si="21"/>
        <v>0</v>
      </c>
      <c r="AI107" s="15">
        <f t="shared" si="22"/>
        <v>0</v>
      </c>
      <c r="AJ107" s="15">
        <f t="shared" si="23"/>
        <v>0</v>
      </c>
      <c r="AK107" s="15">
        <f t="shared" si="24"/>
        <v>0</v>
      </c>
      <c r="AL107" s="16">
        <f t="shared" si="25"/>
        <v>0</v>
      </c>
      <c r="AN107" s="16">
        <v>0</v>
      </c>
      <c r="AO107" s="16">
        <v>65026.031190693378</v>
      </c>
      <c r="AP107" s="16">
        <v>34169.631368845701</v>
      </c>
    </row>
    <row r="108" spans="1:42" x14ac:dyDescent="0.3">
      <c r="A108" s="158">
        <f>IF(ISBLANK(B108),"",MAX(A$6:A107)+1)</f>
        <v>87</v>
      </c>
      <c r="B108" s="15" t="s">
        <v>80</v>
      </c>
      <c r="M108" s="16">
        <f ca="1">M107-M38</f>
        <v>83741049.620029807</v>
      </c>
      <c r="Z108" s="16">
        <v>83741049.620029807</v>
      </c>
      <c r="AB108" s="15">
        <f t="shared" si="15"/>
        <v>0</v>
      </c>
      <c r="AC108" s="15">
        <f t="shared" si="16"/>
        <v>0</v>
      </c>
      <c r="AD108" s="15">
        <f t="shared" si="17"/>
        <v>0</v>
      </c>
      <c r="AE108" s="15">
        <f t="shared" si="18"/>
        <v>0</v>
      </c>
      <c r="AF108" s="15">
        <f t="shared" si="19"/>
        <v>0</v>
      </c>
      <c r="AG108" s="15">
        <f t="shared" si="20"/>
        <v>0</v>
      </c>
      <c r="AH108" s="15">
        <f t="shared" si="21"/>
        <v>0</v>
      </c>
      <c r="AI108" s="15">
        <f t="shared" si="22"/>
        <v>0</v>
      </c>
      <c r="AJ108" s="15">
        <f t="shared" si="23"/>
        <v>0</v>
      </c>
      <c r="AK108" s="15">
        <f t="shared" si="24"/>
        <v>0</v>
      </c>
      <c r="AL108" s="16">
        <f t="shared" ca="1" si="25"/>
        <v>0</v>
      </c>
      <c r="AN108" s="16">
        <v>192756.14588350058</v>
      </c>
      <c r="AO108" s="16">
        <v>417773.26894289255</v>
      </c>
      <c r="AP108" s="16">
        <v>215147.88981422782</v>
      </c>
    </row>
    <row r="109" spans="1:42" x14ac:dyDescent="0.3">
      <c r="A109" s="158">
        <f>IF(ISBLANK(B109),"",MAX(A$6:A108)+1)</f>
        <v>88</v>
      </c>
      <c r="B109" s="15" t="s">
        <v>81</v>
      </c>
      <c r="M109" s="23">
        <v>0.75409700000000002</v>
      </c>
      <c r="Z109" s="23">
        <v>0.75409700000000002</v>
      </c>
      <c r="AB109" s="15">
        <f t="shared" si="15"/>
        <v>0</v>
      </c>
      <c r="AC109" s="15">
        <f t="shared" si="16"/>
        <v>0</v>
      </c>
      <c r="AD109" s="15">
        <f t="shared" si="17"/>
        <v>0</v>
      </c>
      <c r="AE109" s="15">
        <f t="shared" si="18"/>
        <v>0</v>
      </c>
      <c r="AF109" s="15">
        <f t="shared" si="19"/>
        <v>0</v>
      </c>
      <c r="AG109" s="15">
        <f t="shared" si="20"/>
        <v>0</v>
      </c>
      <c r="AH109" s="15">
        <f t="shared" si="21"/>
        <v>0</v>
      </c>
      <c r="AI109" s="15">
        <f t="shared" si="22"/>
        <v>0</v>
      </c>
      <c r="AJ109" s="15">
        <f t="shared" si="23"/>
        <v>0</v>
      </c>
      <c r="AK109" s="15">
        <f t="shared" si="24"/>
        <v>0</v>
      </c>
      <c r="AL109" s="23">
        <f t="shared" si="25"/>
        <v>0</v>
      </c>
      <c r="AN109" s="23">
        <v>0</v>
      </c>
      <c r="AO109" s="23">
        <v>0</v>
      </c>
      <c r="AP109" s="23">
        <v>0</v>
      </c>
    </row>
    <row r="110" spans="1:42" x14ac:dyDescent="0.3">
      <c r="A110" s="158">
        <f>IF(ISBLANK(B110),"",MAX(A$6:A109)+1)</f>
        <v>89</v>
      </c>
      <c r="B110" s="15" t="s">
        <v>82</v>
      </c>
      <c r="M110" s="16">
        <f ca="1">M108/M109</f>
        <v>111048113.99598435</v>
      </c>
      <c r="Z110" s="16">
        <v>111048113.99598435</v>
      </c>
      <c r="AB110" s="15">
        <f t="shared" si="15"/>
        <v>0</v>
      </c>
      <c r="AC110" s="15">
        <f t="shared" si="16"/>
        <v>0</v>
      </c>
      <c r="AD110" s="15">
        <f t="shared" si="17"/>
        <v>0</v>
      </c>
      <c r="AE110" s="15">
        <f t="shared" si="18"/>
        <v>0</v>
      </c>
      <c r="AF110" s="15">
        <f t="shared" si="19"/>
        <v>0</v>
      </c>
      <c r="AG110" s="15">
        <f t="shared" si="20"/>
        <v>0</v>
      </c>
      <c r="AH110" s="15">
        <f t="shared" si="21"/>
        <v>0</v>
      </c>
      <c r="AI110" s="15">
        <f t="shared" si="22"/>
        <v>0</v>
      </c>
      <c r="AJ110" s="15">
        <f t="shared" si="23"/>
        <v>0</v>
      </c>
      <c r="AK110" s="15">
        <f t="shared" si="24"/>
        <v>0</v>
      </c>
      <c r="AL110" s="16">
        <f t="shared" ca="1" si="25"/>
        <v>0</v>
      </c>
      <c r="AN110" s="16">
        <v>255611.87205824256</v>
      </c>
      <c r="AO110" s="16">
        <v>554004.68234576285</v>
      </c>
      <c r="AP110" s="16">
        <v>285305.32519586384</v>
      </c>
    </row>
    <row r="111" spans="1:42" x14ac:dyDescent="0.3">
      <c r="A111" s="158">
        <f>IF(ISBLANK(B111),"",MAX(A$6:A110)+1)</f>
        <v>90</v>
      </c>
      <c r="B111" s="15" t="s">
        <v>83</v>
      </c>
      <c r="M111" s="23">
        <f ca="1">1+H11</f>
        <v>1.0136579499202438</v>
      </c>
      <c r="Z111" s="23">
        <v>1.0136579499202438</v>
      </c>
      <c r="AB111" s="15">
        <f t="shared" si="15"/>
        <v>0</v>
      </c>
      <c r="AC111" s="15">
        <f t="shared" si="16"/>
        <v>0</v>
      </c>
      <c r="AD111" s="15">
        <f t="shared" si="17"/>
        <v>0</v>
      </c>
      <c r="AE111" s="15">
        <f t="shared" si="18"/>
        <v>0</v>
      </c>
      <c r="AF111" s="15">
        <f t="shared" si="19"/>
        <v>0</v>
      </c>
      <c r="AG111" s="15">
        <f t="shared" si="20"/>
        <v>0</v>
      </c>
      <c r="AH111" s="15">
        <f t="shared" si="21"/>
        <v>0</v>
      </c>
      <c r="AI111" s="15">
        <f t="shared" si="22"/>
        <v>0</v>
      </c>
      <c r="AJ111" s="15">
        <f t="shared" si="23"/>
        <v>0</v>
      </c>
      <c r="AK111" s="15">
        <f t="shared" si="24"/>
        <v>0</v>
      </c>
      <c r="AL111" s="23">
        <f t="shared" ca="1" si="25"/>
        <v>0</v>
      </c>
      <c r="AN111" s="23">
        <v>0</v>
      </c>
      <c r="AO111" s="23">
        <v>0</v>
      </c>
      <c r="AP111" s="23">
        <v>0</v>
      </c>
    </row>
    <row r="112" spans="1:42" x14ac:dyDescent="0.3">
      <c r="A112" s="158">
        <f>IF(ISBLANK(B112),"",MAX(A$6:A111)+1)</f>
        <v>91</v>
      </c>
      <c r="B112" s="15" t="s">
        <v>84</v>
      </c>
      <c r="M112" s="16">
        <f ca="1">M110/M111</f>
        <v>109551860.17603056</v>
      </c>
      <c r="Z112" s="16">
        <v>109551860.17603056</v>
      </c>
      <c r="AB112" s="15">
        <f t="shared" si="15"/>
        <v>0</v>
      </c>
      <c r="AC112" s="15">
        <f t="shared" si="16"/>
        <v>0</v>
      </c>
      <c r="AD112" s="15">
        <f t="shared" si="17"/>
        <v>0</v>
      </c>
      <c r="AE112" s="15">
        <f t="shared" si="18"/>
        <v>0</v>
      </c>
      <c r="AF112" s="15">
        <f t="shared" si="19"/>
        <v>0</v>
      </c>
      <c r="AG112" s="15">
        <f t="shared" si="20"/>
        <v>0</v>
      </c>
      <c r="AH112" s="15">
        <f t="shared" si="21"/>
        <v>0</v>
      </c>
      <c r="AI112" s="15">
        <f t="shared" si="22"/>
        <v>0</v>
      </c>
      <c r="AJ112" s="15">
        <f t="shared" si="23"/>
        <v>0</v>
      </c>
      <c r="AK112" s="15">
        <f t="shared" si="24"/>
        <v>0</v>
      </c>
      <c r="AL112" s="16">
        <f t="shared" ca="1" si="25"/>
        <v>0</v>
      </c>
      <c r="AN112" s="16">
        <v>252160.689663589</v>
      </c>
      <c r="AO112" s="16">
        <v>546524.70424117148</v>
      </c>
      <c r="AP112" s="16">
        <v>281453.23214757442</v>
      </c>
    </row>
    <row r="113" spans="1:42" x14ac:dyDescent="0.3">
      <c r="A113" s="158" t="str">
        <f>IF(ISBLANK(B113),"",MAX(A$6:A112)+1)</f>
        <v/>
      </c>
      <c r="C113" s="35"/>
      <c r="D113" s="35"/>
      <c r="E113" s="35"/>
      <c r="F113" s="35"/>
      <c r="G113" s="35"/>
      <c r="H113" s="25"/>
      <c r="I113" s="35"/>
      <c r="J113" s="35"/>
      <c r="K113" s="35"/>
      <c r="L113" s="35"/>
      <c r="M113" s="35"/>
      <c r="P113" s="35"/>
      <c r="Q113" s="35"/>
      <c r="R113" s="35"/>
      <c r="S113" s="35"/>
      <c r="T113" s="35"/>
      <c r="U113" s="25"/>
      <c r="V113" s="35"/>
      <c r="W113" s="35"/>
      <c r="X113" s="35"/>
      <c r="Y113" s="35"/>
      <c r="Z113" s="35"/>
      <c r="AB113" s="35"/>
      <c r="AC113" s="35"/>
      <c r="AD113" s="35"/>
      <c r="AE113" s="35"/>
      <c r="AF113" s="35"/>
      <c r="AG113" s="25"/>
      <c r="AH113" s="35"/>
      <c r="AI113" s="35"/>
      <c r="AJ113" s="35"/>
      <c r="AK113" s="35"/>
      <c r="AL113" s="35"/>
      <c r="AN113" s="35"/>
      <c r="AO113" s="35"/>
      <c r="AP113" s="35"/>
    </row>
  </sheetData>
  <printOptions horizontalCentered="1"/>
  <pageMargins left="0.45" right="0.45" top="0.5" bottom="0.5" header="0.3" footer="0.3"/>
  <pageSetup scale="60" fitToWidth="2" fitToHeight="2" orientation="landscape" r:id="rId1"/>
  <headerFooter>
    <oddHeader>&amp;RExh. RJA-9
Page &amp;P of &amp;N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17"/>
  <sheetViews>
    <sheetView zoomScaleNormal="100" workbookViewId="0">
      <pane xSplit="3" ySplit="7" topLeftCell="D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3.2" outlineLevelCol="1" x14ac:dyDescent="0.25"/>
  <cols>
    <col min="1" max="1" width="13.33203125" style="197" customWidth="1"/>
    <col min="2" max="2" width="48" style="197" bestFit="1" customWidth="1"/>
    <col min="3" max="3" width="8.44140625" style="200" bestFit="1" customWidth="1"/>
    <col min="4" max="5" width="15.109375" style="197" bestFit="1" customWidth="1" outlineLevel="1"/>
    <col min="6" max="8" width="15.5546875" style="197" customWidth="1" outlineLevel="1"/>
    <col min="9" max="12" width="15.5546875" style="197" customWidth="1"/>
    <col min="13" max="14" width="16.109375" style="197" bestFit="1" customWidth="1"/>
    <col min="15" max="15" width="9.109375" style="197"/>
    <col min="16" max="16" width="14.109375" style="197" bestFit="1" customWidth="1"/>
    <col min="17" max="17" width="14.6640625" style="197" bestFit="1" customWidth="1"/>
    <col min="18" max="16384" width="9.109375" style="197"/>
  </cols>
  <sheetData>
    <row r="2" spans="1:14" x14ac:dyDescent="0.25">
      <c r="K2" s="258"/>
    </row>
    <row r="3" spans="1:14" x14ac:dyDescent="0.25">
      <c r="A3" s="335" t="s">
        <v>719</v>
      </c>
      <c r="K3" s="258"/>
    </row>
    <row r="4" spans="1:14" x14ac:dyDescent="0.25">
      <c r="K4" s="258"/>
    </row>
    <row r="6" spans="1:14" x14ac:dyDescent="0.25">
      <c r="C6" s="337" t="s">
        <v>718</v>
      </c>
      <c r="D6" s="340">
        <v>0.6462</v>
      </c>
      <c r="E6" s="340">
        <v>0.64790000000000003</v>
      </c>
      <c r="F6" s="340">
        <v>0.66510000000000002</v>
      </c>
      <c r="G6" s="340">
        <v>0.65949999999999998</v>
      </c>
      <c r="H6" s="340">
        <v>0.67110000000000003</v>
      </c>
      <c r="I6" s="340">
        <v>0.67979999999999996</v>
      </c>
      <c r="J6" s="340">
        <v>0.6855</v>
      </c>
      <c r="K6" s="340">
        <v>0.68410000000000004</v>
      </c>
      <c r="L6" s="340">
        <v>0.66769999999999996</v>
      </c>
      <c r="M6" s="340">
        <v>0.65590000000000004</v>
      </c>
      <c r="N6" s="340">
        <v>0.66190000000000004</v>
      </c>
    </row>
    <row r="7" spans="1:14" x14ac:dyDescent="0.25">
      <c r="A7" s="421" t="s">
        <v>407</v>
      </c>
      <c r="B7" s="421" t="s">
        <v>289</v>
      </c>
      <c r="C7" s="421" t="s">
        <v>717</v>
      </c>
      <c r="D7" s="421">
        <v>2008</v>
      </c>
      <c r="E7" s="421">
        <v>2009</v>
      </c>
      <c r="F7" s="421">
        <v>2010</v>
      </c>
      <c r="G7" s="421">
        <v>2011</v>
      </c>
      <c r="H7" s="421">
        <v>2012</v>
      </c>
      <c r="I7" s="421">
        <v>2013</v>
      </c>
      <c r="J7" s="421">
        <v>2014</v>
      </c>
      <c r="K7" s="421">
        <v>2015</v>
      </c>
      <c r="L7" s="421">
        <v>2016</v>
      </c>
      <c r="M7" s="421">
        <v>2017</v>
      </c>
      <c r="N7" s="421">
        <v>2018</v>
      </c>
    </row>
    <row r="9" spans="1:14" x14ac:dyDescent="0.25">
      <c r="A9" s="344"/>
      <c r="B9" s="354" t="s">
        <v>716</v>
      </c>
      <c r="C9" s="345"/>
      <c r="D9" s="352">
        <v>1020807900</v>
      </c>
      <c r="E9" s="352">
        <v>1067140701</v>
      </c>
      <c r="F9" s="352">
        <v>1131920637</v>
      </c>
      <c r="G9" s="352">
        <v>1150114715</v>
      </c>
      <c r="H9" s="352">
        <v>1175888666</v>
      </c>
      <c r="I9" s="352">
        <v>1177401255.2083333</v>
      </c>
      <c r="J9" s="367">
        <v>1259110695</v>
      </c>
      <c r="K9" s="352">
        <v>1275190172</v>
      </c>
      <c r="L9" s="352">
        <v>1312519513</v>
      </c>
      <c r="M9" s="352">
        <v>1395242766</v>
      </c>
      <c r="N9" s="352">
        <v>1400303421</v>
      </c>
    </row>
    <row r="10" spans="1:14" x14ac:dyDescent="0.25">
      <c r="A10" s="344"/>
      <c r="B10" s="354" t="s">
        <v>715</v>
      </c>
      <c r="C10" s="345"/>
      <c r="D10" s="258">
        <v>220456188</v>
      </c>
      <c r="E10" s="258">
        <v>244947699</v>
      </c>
      <c r="F10" s="258">
        <v>270690337</v>
      </c>
      <c r="G10" s="258">
        <v>296975666</v>
      </c>
      <c r="H10" s="258">
        <v>304016382</v>
      </c>
      <c r="I10" s="258">
        <v>551506530</v>
      </c>
      <c r="J10" s="258">
        <v>760082304</v>
      </c>
      <c r="K10" s="258">
        <v>708506938</v>
      </c>
      <c r="L10" s="258">
        <v>711375957</v>
      </c>
      <c r="M10" s="258">
        <v>716256006</v>
      </c>
      <c r="N10" s="258">
        <v>721052179</v>
      </c>
    </row>
    <row r="11" spans="1:14" x14ac:dyDescent="0.25">
      <c r="A11" s="344"/>
      <c r="B11" s="354" t="s">
        <v>714</v>
      </c>
      <c r="C11" s="348"/>
      <c r="D11" s="258">
        <v>911795194.26833332</v>
      </c>
      <c r="E11" s="258">
        <v>1073683875</v>
      </c>
      <c r="F11" s="258">
        <v>1159678704</v>
      </c>
      <c r="G11" s="258">
        <v>1145696868</v>
      </c>
      <c r="H11" s="258">
        <v>1768212900</v>
      </c>
      <c r="I11" s="258">
        <v>1989875531</v>
      </c>
      <c r="J11" s="258">
        <v>1932681757</v>
      </c>
      <c r="K11" s="258">
        <v>1941184243</v>
      </c>
      <c r="L11" s="258">
        <v>1951392214</v>
      </c>
      <c r="M11" s="258">
        <v>1961318540</v>
      </c>
      <c r="N11" s="258">
        <v>1966002966</v>
      </c>
    </row>
    <row r="12" spans="1:14" x14ac:dyDescent="0.25">
      <c r="A12" s="344"/>
      <c r="B12" s="458" t="s">
        <v>64</v>
      </c>
      <c r="C12" s="348" t="s">
        <v>291</v>
      </c>
      <c r="D12" s="368">
        <f t="shared" ref="D12:J12" si="0">SUM(D9:D11)+D87</f>
        <v>2152994700.5330596</v>
      </c>
      <c r="E12" s="368">
        <f t="shared" si="0"/>
        <v>2385678475.5317345</v>
      </c>
      <c r="F12" s="368">
        <f t="shared" si="0"/>
        <v>2562187081.7067275</v>
      </c>
      <c r="G12" s="368">
        <f t="shared" si="0"/>
        <v>2592665790.1796851</v>
      </c>
      <c r="H12" s="368">
        <f t="shared" si="0"/>
        <v>3247814293.9354258</v>
      </c>
      <c r="I12" s="368">
        <f t="shared" si="0"/>
        <v>3718602725.7908983</v>
      </c>
      <c r="J12" s="368">
        <f t="shared" si="0"/>
        <v>3951760754.9222226</v>
      </c>
      <c r="K12" s="368">
        <v>3927587962.736814</v>
      </c>
      <c r="L12" s="368">
        <f>SUM(L9:L11)+L87</f>
        <v>3975039466.2834702</v>
      </c>
      <c r="M12" s="368">
        <f>SUM(M9:M11)+M87</f>
        <v>4069983645.3531337</v>
      </c>
      <c r="N12" s="368">
        <f>SUM(N9:N11)+N87</f>
        <v>4082627772.3040905</v>
      </c>
    </row>
    <row r="13" spans="1:14" x14ac:dyDescent="0.25">
      <c r="A13" s="344"/>
      <c r="B13" s="354" t="s">
        <v>65</v>
      </c>
      <c r="C13" s="348" t="s">
        <v>292</v>
      </c>
      <c r="D13" s="258">
        <v>341765713.91660476</v>
      </c>
      <c r="E13" s="258">
        <v>376068715.50074959</v>
      </c>
      <c r="F13" s="258">
        <v>424917483.14026618</v>
      </c>
      <c r="G13" s="258">
        <v>489148057.0385617</v>
      </c>
      <c r="H13" s="258">
        <v>1119625610.4041896</v>
      </c>
      <c r="I13" s="258">
        <v>1174726197.917851</v>
      </c>
      <c r="J13" s="258">
        <v>1306324775.0415313</v>
      </c>
      <c r="K13" s="258">
        <v>1353557397.7319965</v>
      </c>
      <c r="L13" s="258">
        <v>1411243778.8470633</v>
      </c>
      <c r="M13" s="258">
        <v>1488224287.0951748</v>
      </c>
      <c r="N13" s="258">
        <v>1564106645.4362583</v>
      </c>
    </row>
    <row r="14" spans="1:14" x14ac:dyDescent="0.25">
      <c r="A14" s="344"/>
      <c r="B14" s="354" t="s">
        <v>66</v>
      </c>
      <c r="C14" s="348" t="s">
        <v>214</v>
      </c>
      <c r="D14" s="258">
        <v>3136048547.6941481</v>
      </c>
      <c r="E14" s="258">
        <v>3292598399.8271761</v>
      </c>
      <c r="F14" s="258">
        <v>3456941861.1536126</v>
      </c>
      <c r="G14" s="258">
        <v>3574434260.2229676</v>
      </c>
      <c r="H14" s="258">
        <v>3176475026.7865334</v>
      </c>
      <c r="I14" s="258">
        <v>3242708043.6025748</v>
      </c>
      <c r="J14" s="258">
        <v>3278762821.0320902</v>
      </c>
      <c r="K14" s="258">
        <v>3434450996.7435322</v>
      </c>
      <c r="L14" s="258">
        <v>3561818782.3939004</v>
      </c>
      <c r="M14" s="258">
        <v>3725631583.1224427</v>
      </c>
      <c r="N14" s="258">
        <v>3915929849.9733167</v>
      </c>
    </row>
    <row r="15" spans="1:14" x14ac:dyDescent="0.25">
      <c r="A15" s="344"/>
      <c r="B15" s="354" t="s">
        <v>67</v>
      </c>
      <c r="C15" s="348" t="s">
        <v>217</v>
      </c>
      <c r="D15" s="258">
        <v>35468642</v>
      </c>
      <c r="E15" s="258">
        <v>70470531</v>
      </c>
      <c r="F15" s="258">
        <v>71816769</v>
      </c>
      <c r="G15" s="258">
        <v>73860000</v>
      </c>
      <c r="H15" s="258">
        <v>73221364</v>
      </c>
      <c r="I15" s="258">
        <v>104756169.08333333</v>
      </c>
      <c r="J15" s="258">
        <v>143736349</v>
      </c>
      <c r="K15" s="258">
        <v>144777639.96875</v>
      </c>
      <c r="L15" s="258">
        <v>145635744</v>
      </c>
      <c r="M15" s="258">
        <v>158754921</v>
      </c>
      <c r="N15" s="258">
        <v>161516871</v>
      </c>
    </row>
    <row r="16" spans="1:14" x14ac:dyDescent="0.25">
      <c r="A16" s="344"/>
      <c r="B16" s="354" t="s">
        <v>68</v>
      </c>
      <c r="C16" s="348" t="s">
        <v>216</v>
      </c>
      <c r="D16" s="258">
        <v>144163209.12452099</v>
      </c>
      <c r="E16" s="258">
        <v>140539470.14033949</v>
      </c>
      <c r="F16" s="258">
        <v>134367627.99939406</v>
      </c>
      <c r="G16" s="258">
        <v>146250955.55878562</v>
      </c>
      <c r="H16" s="258">
        <v>172259860.87385109</v>
      </c>
      <c r="I16" s="258">
        <v>194707020.60534182</v>
      </c>
      <c r="J16" s="258">
        <v>207001802.00415581</v>
      </c>
      <c r="K16" s="258">
        <v>215295317.1976569</v>
      </c>
      <c r="L16" s="258">
        <v>220895037.47556594</v>
      </c>
      <c r="M16" s="258">
        <v>228557611.42924863</v>
      </c>
      <c r="N16" s="258">
        <v>224825288.2863344</v>
      </c>
    </row>
    <row r="17" spans="1:17" x14ac:dyDescent="0.25">
      <c r="A17" s="344"/>
      <c r="B17" s="354" t="s">
        <v>713</v>
      </c>
      <c r="C17" s="348" t="s">
        <v>216</v>
      </c>
      <c r="D17" s="258">
        <v>-50006</v>
      </c>
      <c r="E17" s="258">
        <v>-36531</v>
      </c>
      <c r="F17" s="258">
        <v>-548015</v>
      </c>
      <c r="G17" s="258">
        <v>-14</v>
      </c>
      <c r="H17" s="258">
        <v>-470130</v>
      </c>
      <c r="I17" s="486" t="s">
        <v>712</v>
      </c>
      <c r="J17" s="355">
        <v>-518133</v>
      </c>
      <c r="K17" s="355">
        <v>-371179</v>
      </c>
      <c r="L17" s="355">
        <v>0</v>
      </c>
      <c r="M17" s="258">
        <v>-423630</v>
      </c>
      <c r="N17" s="258">
        <v>446512</v>
      </c>
    </row>
    <row r="18" spans="1:17" x14ac:dyDescent="0.25">
      <c r="A18" s="344"/>
      <c r="B18" s="197" t="s">
        <v>711</v>
      </c>
      <c r="C18" s="200" t="s">
        <v>217</v>
      </c>
      <c r="D18" s="258">
        <v>62703498.838679269</v>
      </c>
      <c r="E18" s="258">
        <v>113720481.39805718</v>
      </c>
      <c r="F18" s="258">
        <v>98757484.654800192</v>
      </c>
      <c r="G18" s="258">
        <v>89645118.723194242</v>
      </c>
      <c r="H18" s="258">
        <v>82812179.690776274</v>
      </c>
      <c r="I18" s="258">
        <v>115840344.98317109</v>
      </c>
      <c r="J18" s="258">
        <v>133773446.84000057</v>
      </c>
      <c r="K18" s="258">
        <v>128031272.63592865</v>
      </c>
      <c r="L18" s="258">
        <v>132374840.33501303</v>
      </c>
      <c r="M18" s="258">
        <v>145936302.4287</v>
      </c>
      <c r="N18" s="258">
        <v>220392805.27170002</v>
      </c>
    </row>
    <row r="19" spans="1:17" x14ac:dyDescent="0.25">
      <c r="A19" s="344"/>
      <c r="B19" s="354" t="s">
        <v>710</v>
      </c>
      <c r="C19" s="200" t="s">
        <v>216</v>
      </c>
      <c r="D19" s="258">
        <v>254941056.52992073</v>
      </c>
      <c r="E19" s="258">
        <v>226804016.71024284</v>
      </c>
      <c r="F19" s="258">
        <v>184060770.23669979</v>
      </c>
      <c r="G19" s="258">
        <v>177542202.53880575</v>
      </c>
      <c r="H19" s="258">
        <v>194312638.82512373</v>
      </c>
      <c r="I19" s="258">
        <v>215323863.36322889</v>
      </c>
      <c r="J19" s="258">
        <v>192180432.15999943</v>
      </c>
      <c r="K19" s="258">
        <v>190463804.37327144</v>
      </c>
      <c r="L19" s="258">
        <v>200785626.54268697</v>
      </c>
      <c r="M19" s="258">
        <v>243404445.23450002</v>
      </c>
      <c r="N19" s="258">
        <v>294188990.94690001</v>
      </c>
    </row>
    <row r="20" spans="1:17" ht="14.4" x14ac:dyDescent="0.3">
      <c r="A20" s="460" t="s">
        <v>709</v>
      </c>
      <c r="B20" s="209" t="s">
        <v>708</v>
      </c>
      <c r="C20" s="200" t="s">
        <v>216</v>
      </c>
      <c r="D20" s="258">
        <v>-1655144</v>
      </c>
      <c r="E20" s="258"/>
      <c r="F20" s="258"/>
      <c r="G20" s="258"/>
      <c r="H20" s="258"/>
      <c r="J20" s="258"/>
      <c r="K20" s="60">
        <v>0</v>
      </c>
      <c r="L20" s="258"/>
      <c r="M20" s="258"/>
      <c r="N20" s="258"/>
    </row>
    <row r="21" spans="1:17" ht="14.4" x14ac:dyDescent="0.3">
      <c r="A21" s="460" t="s">
        <v>707</v>
      </c>
      <c r="B21" s="209" t="s">
        <v>706</v>
      </c>
      <c r="C21" s="200" t="s">
        <v>216</v>
      </c>
      <c r="D21" s="258">
        <v>-10373.4486</v>
      </c>
      <c r="E21" s="258"/>
      <c r="F21" s="258"/>
      <c r="G21" s="258"/>
      <c r="H21" s="258"/>
      <c r="J21" s="258"/>
      <c r="K21" s="60">
        <v>0</v>
      </c>
      <c r="L21" s="258"/>
      <c r="M21" s="258"/>
      <c r="N21" s="258"/>
    </row>
    <row r="22" spans="1:17" ht="14.4" x14ac:dyDescent="0.3">
      <c r="A22" s="357">
        <v>11400001</v>
      </c>
      <c r="B22" s="354" t="s">
        <v>705</v>
      </c>
      <c r="C22" s="200" t="s">
        <v>292</v>
      </c>
      <c r="D22" s="60">
        <v>946172</v>
      </c>
      <c r="E22" s="60">
        <v>946172</v>
      </c>
      <c r="F22" s="60">
        <v>946172</v>
      </c>
      <c r="G22" s="60">
        <v>946172</v>
      </c>
      <c r="H22" s="60">
        <v>946172</v>
      </c>
      <c r="I22" s="60">
        <v>946172</v>
      </c>
      <c r="J22" s="258">
        <v>946172</v>
      </c>
      <c r="K22" s="60">
        <v>946172</v>
      </c>
      <c r="L22" s="258">
        <v>946172</v>
      </c>
      <c r="M22" s="258">
        <v>946172</v>
      </c>
      <c r="N22" s="258">
        <v>946172</v>
      </c>
    </row>
    <row r="23" spans="1:17" ht="14.4" x14ac:dyDescent="0.3">
      <c r="A23" s="344">
        <v>11400011</v>
      </c>
      <c r="B23" s="354" t="s">
        <v>704</v>
      </c>
      <c r="C23" s="200" t="s">
        <v>292</v>
      </c>
      <c r="D23" s="60">
        <v>302358</v>
      </c>
      <c r="E23" s="60">
        <v>302358</v>
      </c>
      <c r="F23" s="60">
        <v>302358</v>
      </c>
      <c r="G23" s="60">
        <v>302358</v>
      </c>
      <c r="H23" s="60">
        <v>302358</v>
      </c>
      <c r="I23" s="60">
        <v>302358</v>
      </c>
      <c r="J23" s="258">
        <v>302358</v>
      </c>
      <c r="K23" s="60">
        <v>302358</v>
      </c>
      <c r="L23" s="258">
        <v>302358</v>
      </c>
      <c r="M23" s="258">
        <v>302358</v>
      </c>
      <c r="N23" s="258">
        <v>302358</v>
      </c>
    </row>
    <row r="24" spans="1:17" ht="14.4" x14ac:dyDescent="0.3">
      <c r="A24" s="344">
        <v>11400031</v>
      </c>
      <c r="B24" s="354" t="s">
        <v>703</v>
      </c>
      <c r="C24" s="200" t="s">
        <v>291</v>
      </c>
      <c r="D24" s="60">
        <v>76622597</v>
      </c>
      <c r="E24" s="60">
        <v>76622597</v>
      </c>
      <c r="F24" s="60">
        <v>76622597</v>
      </c>
      <c r="G24" s="62">
        <v>76622597</v>
      </c>
      <c r="H24" s="60">
        <v>76622597</v>
      </c>
      <c r="I24" s="60">
        <v>76622597</v>
      </c>
      <c r="J24" s="258">
        <v>76622597</v>
      </c>
      <c r="K24" s="60">
        <v>76622597</v>
      </c>
      <c r="L24" s="258">
        <v>76622597</v>
      </c>
      <c r="M24" s="258">
        <v>76622597</v>
      </c>
      <c r="N24" s="258">
        <v>76622597</v>
      </c>
    </row>
    <row r="25" spans="1:17" ht="14.4" x14ac:dyDescent="0.3">
      <c r="A25" s="344">
        <v>11491001</v>
      </c>
      <c r="B25" s="354" t="s">
        <v>703</v>
      </c>
      <c r="C25" s="200" t="s">
        <v>291</v>
      </c>
      <c r="D25" s="60">
        <v>0</v>
      </c>
      <c r="E25" s="60">
        <v>0</v>
      </c>
      <c r="F25" s="60">
        <v>0</v>
      </c>
      <c r="G25" s="62">
        <v>0</v>
      </c>
      <c r="H25" s="60">
        <v>0</v>
      </c>
      <c r="I25" s="60">
        <v>0</v>
      </c>
      <c r="J25" s="258">
        <v>0</v>
      </c>
      <c r="K25" s="60">
        <v>0</v>
      </c>
      <c r="L25" s="258">
        <v>0</v>
      </c>
      <c r="M25" s="258">
        <v>0</v>
      </c>
      <c r="N25" s="258">
        <v>0</v>
      </c>
    </row>
    <row r="26" spans="1:17" ht="14.4" x14ac:dyDescent="0.3">
      <c r="A26" s="344"/>
      <c r="B26" s="354"/>
      <c r="C26" s="200" t="s">
        <v>291</v>
      </c>
      <c r="D26" s="60">
        <v>0</v>
      </c>
      <c r="E26" s="60">
        <v>0</v>
      </c>
      <c r="F26" s="60">
        <v>0</v>
      </c>
      <c r="G26" s="62">
        <v>0</v>
      </c>
      <c r="I26" s="60">
        <v>0</v>
      </c>
      <c r="N26" s="258"/>
    </row>
    <row r="27" spans="1:17" ht="14.4" x14ac:dyDescent="0.3">
      <c r="A27" s="344">
        <v>11400061</v>
      </c>
      <c r="B27" s="354" t="s">
        <v>702</v>
      </c>
      <c r="C27" s="200" t="s">
        <v>291</v>
      </c>
      <c r="D27" s="60">
        <v>6287526</v>
      </c>
      <c r="E27" s="60">
        <v>154553362</v>
      </c>
      <c r="F27" s="60">
        <v>156951892</v>
      </c>
      <c r="G27" s="62">
        <v>156960791</v>
      </c>
      <c r="H27" s="60">
        <v>156960791</v>
      </c>
      <c r="I27" s="60">
        <v>156960791</v>
      </c>
      <c r="J27" s="258">
        <v>156960791</v>
      </c>
      <c r="K27" s="60">
        <v>156960791</v>
      </c>
      <c r="L27" s="258">
        <v>156960791</v>
      </c>
      <c r="M27" s="258">
        <v>156960791</v>
      </c>
      <c r="N27" s="258">
        <v>156960791</v>
      </c>
    </row>
    <row r="28" spans="1:17" ht="14.4" x14ac:dyDescent="0.3">
      <c r="A28" s="344">
        <v>11400071</v>
      </c>
      <c r="B28" s="354" t="s">
        <v>701</v>
      </c>
      <c r="C28" s="200" t="s">
        <v>291</v>
      </c>
      <c r="D28" s="60">
        <v>0</v>
      </c>
      <c r="E28" s="60">
        <v>14829084</v>
      </c>
      <c r="F28" s="60">
        <v>16950333</v>
      </c>
      <c r="G28" s="62">
        <v>16950333</v>
      </c>
      <c r="H28" s="60">
        <v>16950333</v>
      </c>
      <c r="I28" s="60">
        <v>16950333</v>
      </c>
      <c r="J28" s="258">
        <v>16950333</v>
      </c>
      <c r="K28" s="60">
        <v>16950333</v>
      </c>
      <c r="L28" s="258">
        <v>16950333</v>
      </c>
      <c r="M28" s="258">
        <v>16950333</v>
      </c>
      <c r="N28" s="258">
        <v>16950333</v>
      </c>
    </row>
    <row r="29" spans="1:17" ht="14.4" x14ac:dyDescent="0.3">
      <c r="A29" s="344">
        <v>11400081</v>
      </c>
      <c r="B29" s="354" t="s">
        <v>700</v>
      </c>
      <c r="C29" s="200" t="s">
        <v>291</v>
      </c>
      <c r="D29" s="60">
        <v>0</v>
      </c>
      <c r="E29" s="60">
        <v>0</v>
      </c>
      <c r="F29" s="60">
        <v>0</v>
      </c>
      <c r="G29" s="62">
        <v>0</v>
      </c>
      <c r="H29" s="60">
        <v>0</v>
      </c>
      <c r="I29" s="60">
        <v>0</v>
      </c>
      <c r="J29" s="258">
        <v>0</v>
      </c>
      <c r="K29" s="60">
        <v>0</v>
      </c>
      <c r="L29" s="258">
        <v>0</v>
      </c>
      <c r="N29" s="258">
        <v>0</v>
      </c>
    </row>
    <row r="30" spans="1:17" ht="14.4" x14ac:dyDescent="0.3">
      <c r="A30" s="344">
        <v>11400091</v>
      </c>
      <c r="B30" s="354" t="s">
        <v>699</v>
      </c>
      <c r="C30" s="200" t="s">
        <v>291</v>
      </c>
      <c r="D30" s="61">
        <v>0</v>
      </c>
      <c r="E30" s="61">
        <v>0</v>
      </c>
      <c r="F30" s="61">
        <v>0</v>
      </c>
      <c r="G30" s="61">
        <v>0</v>
      </c>
      <c r="H30" s="61">
        <v>3849548</v>
      </c>
      <c r="I30" s="61">
        <v>31001779</v>
      </c>
      <c r="J30" s="258">
        <v>31009424</v>
      </c>
      <c r="K30" s="61">
        <v>31009424</v>
      </c>
      <c r="L30" s="258">
        <v>31009424</v>
      </c>
      <c r="M30" s="258">
        <v>31009424</v>
      </c>
      <c r="N30" s="258">
        <v>31009424</v>
      </c>
    </row>
    <row r="31" spans="1:17" ht="14.4" x14ac:dyDescent="0.3">
      <c r="A31" s="474">
        <v>23001001</v>
      </c>
      <c r="B31" s="475" t="s">
        <v>698</v>
      </c>
      <c r="C31" s="476" t="s">
        <v>292</v>
      </c>
      <c r="D31" s="60">
        <v>-269972</v>
      </c>
      <c r="E31" s="60">
        <v>-128070</v>
      </c>
      <c r="F31" s="60">
        <v>0</v>
      </c>
      <c r="G31" s="62">
        <v>0</v>
      </c>
      <c r="H31" s="60">
        <v>0</v>
      </c>
      <c r="I31" s="60">
        <v>0</v>
      </c>
      <c r="J31" s="368">
        <v>0</v>
      </c>
      <c r="K31" s="60">
        <v>0</v>
      </c>
      <c r="L31" s="368">
        <v>0</v>
      </c>
      <c r="M31" s="368">
        <v>0</v>
      </c>
      <c r="N31" s="487">
        <v>0</v>
      </c>
      <c r="Q31" s="259"/>
    </row>
    <row r="32" spans="1:17" ht="14.4" x14ac:dyDescent="0.3">
      <c r="A32" s="361">
        <v>23001021</v>
      </c>
      <c r="B32" s="362" t="s">
        <v>697</v>
      </c>
      <c r="C32" s="363" t="s">
        <v>291</v>
      </c>
      <c r="D32" s="60">
        <v>-1262513</v>
      </c>
      <c r="E32" s="60">
        <v>-1337354</v>
      </c>
      <c r="F32" s="60">
        <v>-1416631</v>
      </c>
      <c r="G32" s="62">
        <v>-1512797</v>
      </c>
      <c r="H32" s="60">
        <v>-1885223</v>
      </c>
      <c r="I32" s="60">
        <v>-1985780</v>
      </c>
      <c r="J32" s="355">
        <v>-2092059</v>
      </c>
      <c r="K32" s="60">
        <v>-11240266</v>
      </c>
      <c r="L32" s="355">
        <v>-21098103</v>
      </c>
      <c r="M32" s="355">
        <v>-61070730</v>
      </c>
      <c r="N32" s="379">
        <v>-62094237</v>
      </c>
      <c r="Q32" s="259"/>
    </row>
    <row r="33" spans="1:17" ht="14.4" x14ac:dyDescent="0.3">
      <c r="A33" s="361">
        <v>23001031</v>
      </c>
      <c r="B33" s="362" t="s">
        <v>696</v>
      </c>
      <c r="C33" s="363" t="s">
        <v>291</v>
      </c>
      <c r="D33" s="60">
        <v>-783138</v>
      </c>
      <c r="E33" s="60">
        <v>-833002</v>
      </c>
      <c r="F33" s="60">
        <v>-886041</v>
      </c>
      <c r="G33" s="62">
        <v>-942456</v>
      </c>
      <c r="H33" s="60">
        <v>-1002464</v>
      </c>
      <c r="I33" s="60">
        <v>-1066293</v>
      </c>
      <c r="J33" s="355">
        <v>-1134185</v>
      </c>
      <c r="K33" s="60">
        <v>-10997201</v>
      </c>
      <c r="L33" s="355">
        <v>-21122267</v>
      </c>
      <c r="M33" s="355">
        <v>-45493237</v>
      </c>
      <c r="N33" s="379">
        <v>-40818948</v>
      </c>
      <c r="Q33" s="259"/>
    </row>
    <row r="34" spans="1:17" ht="14.4" x14ac:dyDescent="0.3">
      <c r="A34" s="361">
        <v>23001041</v>
      </c>
      <c r="B34" s="362" t="s">
        <v>695</v>
      </c>
      <c r="C34" s="363" t="s">
        <v>291</v>
      </c>
      <c r="D34" s="60">
        <v>-130528</v>
      </c>
      <c r="E34" s="60">
        <v>-1079630</v>
      </c>
      <c r="F34" s="60">
        <v>-1146131</v>
      </c>
      <c r="G34" s="62">
        <v>-1216751</v>
      </c>
      <c r="H34" s="60">
        <v>-1291746</v>
      </c>
      <c r="I34" s="60">
        <v>-1371390</v>
      </c>
      <c r="J34" s="355">
        <v>-1498028</v>
      </c>
      <c r="K34" s="60">
        <v>-2078727</v>
      </c>
      <c r="L34" s="355">
        <v>-10524537</v>
      </c>
      <c r="M34" s="355">
        <v>-12966077</v>
      </c>
      <c r="N34" s="379">
        <v>-14170397</v>
      </c>
      <c r="Q34" s="259"/>
    </row>
    <row r="35" spans="1:17" ht="14.4" x14ac:dyDescent="0.3">
      <c r="A35" s="361">
        <v>23001043</v>
      </c>
      <c r="B35" s="209" t="s">
        <v>694</v>
      </c>
      <c r="C35" s="363" t="s">
        <v>216</v>
      </c>
      <c r="D35" s="60">
        <v>0</v>
      </c>
      <c r="E35" s="60">
        <v>0</v>
      </c>
      <c r="F35" s="60">
        <v>0</v>
      </c>
      <c r="G35" s="62">
        <v>0</v>
      </c>
      <c r="H35" s="60">
        <v>-16973</v>
      </c>
      <c r="I35" s="60">
        <v>-279467.81939999998</v>
      </c>
      <c r="J35" s="364">
        <v>-287020.22100000002</v>
      </c>
      <c r="K35" s="60">
        <v>-546201.17430000007</v>
      </c>
      <c r="L35" s="355">
        <v>-384796.1777</v>
      </c>
      <c r="M35" s="355">
        <v>0</v>
      </c>
      <c r="N35" s="379">
        <v>0</v>
      </c>
      <c r="O35" s="359" t="s">
        <v>260</v>
      </c>
      <c r="Q35" s="259"/>
    </row>
    <row r="36" spans="1:17" ht="14.4" x14ac:dyDescent="0.3">
      <c r="A36" s="361">
        <v>23001061</v>
      </c>
      <c r="B36" s="362" t="s">
        <v>693</v>
      </c>
      <c r="C36" s="363" t="s">
        <v>292</v>
      </c>
      <c r="D36" s="60">
        <v>-4355319</v>
      </c>
      <c r="E36" s="60">
        <v>-3927232</v>
      </c>
      <c r="F36" s="60">
        <v>-4386532</v>
      </c>
      <c r="G36" s="62">
        <v>-5156449</v>
      </c>
      <c r="H36" s="60">
        <v>-5736717</v>
      </c>
      <c r="I36" s="60">
        <v>-6431803</v>
      </c>
      <c r="J36" s="355">
        <v>-6885773</v>
      </c>
      <c r="K36" s="60">
        <v>-7815012</v>
      </c>
      <c r="L36" s="355">
        <v>-5508678</v>
      </c>
      <c r="M36" s="355">
        <v>-5243296</v>
      </c>
      <c r="N36" s="379">
        <v>-3867896</v>
      </c>
      <c r="Q36" s="259"/>
    </row>
    <row r="37" spans="1:17" ht="14.4" x14ac:dyDescent="0.3">
      <c r="A37" s="361">
        <v>23001071</v>
      </c>
      <c r="B37" s="362" t="s">
        <v>692</v>
      </c>
      <c r="C37" s="363" t="s">
        <v>214</v>
      </c>
      <c r="D37" s="60">
        <v>-9700274</v>
      </c>
      <c r="E37" s="60">
        <v>-9754825</v>
      </c>
      <c r="F37" s="60">
        <v>-10010906</v>
      </c>
      <c r="G37" s="62">
        <v>-10467345</v>
      </c>
      <c r="H37" s="60">
        <v>-10957919</v>
      </c>
      <c r="I37" s="60">
        <v>-10651595</v>
      </c>
      <c r="J37" s="355">
        <v>-9422484</v>
      </c>
      <c r="K37" s="60">
        <v>-8924539</v>
      </c>
      <c r="L37" s="355">
        <v>-9142229</v>
      </c>
      <c r="M37" s="355">
        <v>-9535302</v>
      </c>
      <c r="N37" s="379">
        <v>-9860880</v>
      </c>
      <c r="Q37" s="259"/>
    </row>
    <row r="38" spans="1:17" ht="14.4" x14ac:dyDescent="0.3">
      <c r="A38" s="361">
        <v>23001081</v>
      </c>
      <c r="B38" s="362" t="s">
        <v>691</v>
      </c>
      <c r="C38" s="363" t="s">
        <v>216</v>
      </c>
      <c r="D38" s="60">
        <v>-3299274</v>
      </c>
      <c r="E38" s="60">
        <v>-898689</v>
      </c>
      <c r="F38" s="60">
        <v>-480732</v>
      </c>
      <c r="G38" s="62">
        <v>-319622</v>
      </c>
      <c r="H38" s="60">
        <v>-245090</v>
      </c>
      <c r="I38" s="60">
        <v>-169199</v>
      </c>
      <c r="J38" s="355">
        <v>0</v>
      </c>
      <c r="K38" s="60">
        <v>0</v>
      </c>
      <c r="L38" s="355">
        <v>0</v>
      </c>
      <c r="M38" s="355">
        <v>0</v>
      </c>
      <c r="N38" s="379">
        <v>0</v>
      </c>
      <c r="Q38" s="259"/>
    </row>
    <row r="39" spans="1:17" ht="14.4" x14ac:dyDescent="0.3">
      <c r="A39" s="361">
        <v>23001091</v>
      </c>
      <c r="B39" s="362" t="s">
        <v>685</v>
      </c>
      <c r="C39" s="363" t="s">
        <v>216</v>
      </c>
      <c r="D39" s="60">
        <v>-12202</v>
      </c>
      <c r="E39" s="60">
        <v>-116109</v>
      </c>
      <c r="F39" s="60">
        <v>-56409</v>
      </c>
      <c r="G39" s="62">
        <v>-55177</v>
      </c>
      <c r="H39" s="60">
        <v>-53289</v>
      </c>
      <c r="I39" s="60">
        <v>0</v>
      </c>
      <c r="J39" s="355">
        <v>0</v>
      </c>
      <c r="K39" s="60">
        <v>0</v>
      </c>
      <c r="L39" s="355">
        <v>0</v>
      </c>
      <c r="M39" s="355">
        <v>0</v>
      </c>
      <c r="N39" s="379">
        <v>0</v>
      </c>
      <c r="Q39" s="259"/>
    </row>
    <row r="40" spans="1:17" ht="14.4" x14ac:dyDescent="0.3">
      <c r="A40" s="361">
        <v>23001101</v>
      </c>
      <c r="B40" s="362" t="s">
        <v>690</v>
      </c>
      <c r="C40" s="363" t="s">
        <v>216</v>
      </c>
      <c r="D40" s="60">
        <v>0</v>
      </c>
      <c r="E40" s="60">
        <v>5625</v>
      </c>
      <c r="F40" s="60">
        <v>35000</v>
      </c>
      <c r="G40" s="62">
        <v>34375</v>
      </c>
      <c r="H40" s="60">
        <v>19167</v>
      </c>
      <c r="I40" s="60">
        <v>0</v>
      </c>
      <c r="J40" s="355">
        <v>0</v>
      </c>
      <c r="K40" s="60">
        <v>0</v>
      </c>
      <c r="L40" s="355">
        <v>0</v>
      </c>
      <c r="M40" s="355">
        <v>0</v>
      </c>
      <c r="N40" s="379">
        <v>0</v>
      </c>
      <c r="Q40" s="259"/>
    </row>
    <row r="41" spans="1:17" ht="14.4" x14ac:dyDescent="0.3">
      <c r="A41" s="361">
        <v>23001013</v>
      </c>
      <c r="B41" s="209" t="s">
        <v>689</v>
      </c>
      <c r="C41" s="363" t="s">
        <v>216</v>
      </c>
      <c r="D41" s="60">
        <v>-5380.9074000000001</v>
      </c>
      <c r="E41" s="60">
        <v>-54656.844000000005</v>
      </c>
      <c r="F41" s="60">
        <v>-18091.3851</v>
      </c>
      <c r="G41" s="62">
        <v>-3294.2024999999999</v>
      </c>
      <c r="H41" s="209"/>
      <c r="I41" s="60">
        <v>0</v>
      </c>
      <c r="J41" s="209"/>
      <c r="K41" s="60">
        <v>0</v>
      </c>
      <c r="L41" s="209"/>
      <c r="M41" s="209"/>
      <c r="N41" s="379"/>
      <c r="O41" s="359" t="s">
        <v>260</v>
      </c>
      <c r="Q41" s="259"/>
    </row>
    <row r="42" spans="1:17" ht="14.4" x14ac:dyDescent="0.3">
      <c r="A42" s="361">
        <v>23001121</v>
      </c>
      <c r="B42" s="362" t="s">
        <v>688</v>
      </c>
      <c r="C42" s="363" t="s">
        <v>214</v>
      </c>
      <c r="D42" s="60">
        <v>0</v>
      </c>
      <c r="E42" s="60">
        <v>0</v>
      </c>
      <c r="F42" s="60">
        <v>0</v>
      </c>
      <c r="G42" s="62">
        <v>-14583</v>
      </c>
      <c r="H42" s="60">
        <v>-102083</v>
      </c>
      <c r="I42" s="60">
        <v>0</v>
      </c>
      <c r="J42" s="355">
        <v>0</v>
      </c>
      <c r="K42" s="60">
        <v>0</v>
      </c>
      <c r="L42" s="355">
        <v>0</v>
      </c>
      <c r="M42" s="209"/>
      <c r="N42" s="379">
        <v>0</v>
      </c>
      <c r="Q42" s="259"/>
    </row>
    <row r="43" spans="1:17" ht="14.4" x14ac:dyDescent="0.3">
      <c r="A43" s="361">
        <v>23001131</v>
      </c>
      <c r="B43" s="362" t="s">
        <v>687</v>
      </c>
      <c r="C43" s="363" t="s">
        <v>291</v>
      </c>
      <c r="D43" s="60">
        <v>0</v>
      </c>
      <c r="E43" s="60">
        <v>0</v>
      </c>
      <c r="F43" s="60">
        <v>0</v>
      </c>
      <c r="G43" s="62">
        <v>0</v>
      </c>
      <c r="H43" s="60">
        <v>-4645371</v>
      </c>
      <c r="I43" s="60">
        <v>-5559989</v>
      </c>
      <c r="J43" s="355">
        <v>-5876340</v>
      </c>
      <c r="K43" s="60">
        <v>-6815687</v>
      </c>
      <c r="L43" s="355">
        <v>-14857406</v>
      </c>
      <c r="M43" s="355">
        <v>-19769958</v>
      </c>
      <c r="N43" s="379">
        <v>-19739290</v>
      </c>
      <c r="Q43" s="259"/>
    </row>
    <row r="44" spans="1:17" ht="14.4" x14ac:dyDescent="0.3">
      <c r="A44" s="361">
        <v>23001151</v>
      </c>
      <c r="B44" s="362" t="s">
        <v>686</v>
      </c>
      <c r="C44" s="363" t="s">
        <v>291</v>
      </c>
      <c r="D44" s="60">
        <v>0</v>
      </c>
      <c r="E44" s="60">
        <v>0</v>
      </c>
      <c r="F44" s="60">
        <v>0</v>
      </c>
      <c r="G44" s="62">
        <v>0</v>
      </c>
      <c r="H44" s="60">
        <v>0</v>
      </c>
      <c r="I44" s="60">
        <v>-352320</v>
      </c>
      <c r="J44" s="355">
        <v>-355400</v>
      </c>
      <c r="K44" s="60">
        <v>-266413</v>
      </c>
      <c r="L44" s="355">
        <v>-118312</v>
      </c>
      <c r="M44" s="355">
        <v>-120600</v>
      </c>
      <c r="N44" s="379">
        <v>-122932</v>
      </c>
      <c r="Q44" s="259"/>
    </row>
    <row r="45" spans="1:17" ht="14.4" x14ac:dyDescent="0.3">
      <c r="A45" s="361"/>
      <c r="B45" s="362"/>
      <c r="C45" s="363"/>
      <c r="D45" s="60">
        <v>0</v>
      </c>
      <c r="E45" s="60">
        <v>0</v>
      </c>
      <c r="F45" s="60">
        <v>0</v>
      </c>
      <c r="G45" s="62">
        <v>0</v>
      </c>
      <c r="H45" s="209"/>
      <c r="I45" s="60">
        <v>0</v>
      </c>
      <c r="J45" s="209"/>
      <c r="K45" s="60">
        <v>0</v>
      </c>
      <c r="L45" s="209"/>
      <c r="M45" s="209"/>
      <c r="N45" s="379"/>
      <c r="Q45" s="259"/>
    </row>
    <row r="46" spans="1:17" ht="14.4" x14ac:dyDescent="0.3">
      <c r="A46" s="361">
        <v>23002001</v>
      </c>
      <c r="B46" s="362" t="s">
        <v>684</v>
      </c>
      <c r="C46" s="363" t="s">
        <v>292</v>
      </c>
      <c r="D46" s="60">
        <v>11337</v>
      </c>
      <c r="E46" s="60">
        <v>147381</v>
      </c>
      <c r="F46" s="60">
        <v>0</v>
      </c>
      <c r="G46" s="62">
        <v>0</v>
      </c>
      <c r="H46" s="60">
        <v>0</v>
      </c>
      <c r="I46" s="60">
        <v>0</v>
      </c>
      <c r="J46" s="355">
        <v>0</v>
      </c>
      <c r="K46" s="60">
        <v>0</v>
      </c>
      <c r="L46" s="355">
        <v>0</v>
      </c>
      <c r="M46" s="355">
        <v>0</v>
      </c>
      <c r="N46" s="379">
        <v>0</v>
      </c>
      <c r="Q46" s="259"/>
    </row>
    <row r="47" spans="1:17" ht="14.4" x14ac:dyDescent="0.3">
      <c r="A47" s="361">
        <v>23002011</v>
      </c>
      <c r="B47" s="362" t="s">
        <v>685</v>
      </c>
      <c r="C47" s="363" t="s">
        <v>216</v>
      </c>
      <c r="D47" s="60">
        <v>-72884</v>
      </c>
      <c r="E47" s="60">
        <v>-603198</v>
      </c>
      <c r="F47" s="60">
        <v>-641018</v>
      </c>
      <c r="G47" s="62">
        <v>-681211</v>
      </c>
      <c r="H47" s="60">
        <v>-723923</v>
      </c>
      <c r="I47" s="60">
        <v>-769313</v>
      </c>
      <c r="J47" s="355">
        <v>-817550</v>
      </c>
      <c r="K47" s="60">
        <v>-868812</v>
      </c>
      <c r="L47" s="355">
        <v>-923287</v>
      </c>
      <c r="M47" s="355">
        <v>-981179</v>
      </c>
      <c r="N47" s="379">
        <v>-1042701</v>
      </c>
      <c r="Q47" s="259"/>
    </row>
    <row r="48" spans="1:17" ht="14.4" x14ac:dyDescent="0.3">
      <c r="A48" s="361">
        <v>23002041</v>
      </c>
      <c r="B48" s="362" t="s">
        <v>684</v>
      </c>
      <c r="C48" s="363" t="s">
        <v>292</v>
      </c>
      <c r="D48" s="60">
        <v>-89366</v>
      </c>
      <c r="E48" s="60">
        <v>-768600</v>
      </c>
      <c r="F48" s="60">
        <v>-1436497</v>
      </c>
      <c r="G48" s="62">
        <v>-1525704</v>
      </c>
      <c r="H48" s="60">
        <v>-1897467</v>
      </c>
      <c r="I48" s="60">
        <v>-8400730</v>
      </c>
      <c r="J48" s="355">
        <v>-8568069</v>
      </c>
      <c r="K48" s="60">
        <v>-7938609</v>
      </c>
      <c r="L48" s="355">
        <v>-7805365</v>
      </c>
      <c r="M48" s="355">
        <v>-22092190</v>
      </c>
      <c r="N48" s="379">
        <v>-24143656</v>
      </c>
      <c r="Q48" s="259"/>
    </row>
    <row r="49" spans="1:17" ht="14.4" x14ac:dyDescent="0.3">
      <c r="A49" s="361">
        <v>23002061</v>
      </c>
      <c r="B49" s="362" t="s">
        <v>683</v>
      </c>
      <c r="C49" s="363" t="s">
        <v>292</v>
      </c>
      <c r="D49" s="60">
        <v>106271</v>
      </c>
      <c r="E49" s="60">
        <v>78579</v>
      </c>
      <c r="F49" s="60">
        <v>137648</v>
      </c>
      <c r="G49" s="62">
        <v>173157</v>
      </c>
      <c r="H49" s="60">
        <v>233361</v>
      </c>
      <c r="I49" s="60">
        <v>117775</v>
      </c>
      <c r="J49" s="355">
        <v>85671</v>
      </c>
      <c r="K49" s="60">
        <v>112917</v>
      </c>
      <c r="L49" s="355">
        <v>81008</v>
      </c>
      <c r="M49" s="355">
        <v>51097</v>
      </c>
      <c r="N49" s="379">
        <v>45856</v>
      </c>
      <c r="Q49" s="259"/>
    </row>
    <row r="50" spans="1:17" ht="14.4" x14ac:dyDescent="0.3">
      <c r="A50" s="361">
        <v>23002071</v>
      </c>
      <c r="B50" s="362" t="s">
        <v>682</v>
      </c>
      <c r="C50" s="363" t="s">
        <v>214</v>
      </c>
      <c r="D50" s="60">
        <v>298803</v>
      </c>
      <c r="E50" s="60">
        <v>152823</v>
      </c>
      <c r="F50" s="60">
        <v>265741</v>
      </c>
      <c r="G50" s="62">
        <v>340049</v>
      </c>
      <c r="H50" s="60">
        <v>427267</v>
      </c>
      <c r="I50" s="60">
        <v>243343</v>
      </c>
      <c r="J50" s="355">
        <v>250746</v>
      </c>
      <c r="K50" s="60">
        <v>266230</v>
      </c>
      <c r="L50" s="355">
        <v>250946</v>
      </c>
      <c r="M50" s="355">
        <v>233934</v>
      </c>
      <c r="N50" s="379">
        <v>280594</v>
      </c>
      <c r="Q50" s="259"/>
    </row>
    <row r="51" spans="1:17" ht="14.4" x14ac:dyDescent="0.3">
      <c r="A51" s="361">
        <v>23002081</v>
      </c>
      <c r="B51" s="362" t="s">
        <v>681</v>
      </c>
      <c r="C51" s="363" t="s">
        <v>216</v>
      </c>
      <c r="D51" s="60">
        <v>159255</v>
      </c>
      <c r="E51" s="60">
        <v>162016</v>
      </c>
      <c r="F51" s="60">
        <v>153229</v>
      </c>
      <c r="G51" s="62">
        <v>153464</v>
      </c>
      <c r="H51" s="60">
        <v>157047</v>
      </c>
      <c r="I51" s="60">
        <v>154034</v>
      </c>
      <c r="J51" s="355">
        <v>0</v>
      </c>
      <c r="K51" s="60">
        <v>0</v>
      </c>
      <c r="L51" s="355">
        <v>0</v>
      </c>
      <c r="M51" s="355">
        <v>0</v>
      </c>
      <c r="N51" s="379">
        <v>0</v>
      </c>
      <c r="P51" s="204"/>
      <c r="Q51" s="259"/>
    </row>
    <row r="52" spans="1:17" ht="14.4" x14ac:dyDescent="0.3">
      <c r="A52" s="361">
        <v>23002091</v>
      </c>
      <c r="B52" s="362" t="s">
        <v>657</v>
      </c>
      <c r="C52" s="363" t="s">
        <v>216</v>
      </c>
      <c r="D52" s="60">
        <v>0</v>
      </c>
      <c r="E52" s="60">
        <v>0</v>
      </c>
      <c r="F52" s="60">
        <v>0</v>
      </c>
      <c r="G52" s="60">
        <v>0</v>
      </c>
      <c r="H52" s="60">
        <v>0</v>
      </c>
      <c r="I52" s="60">
        <v>0</v>
      </c>
      <c r="J52" s="355">
        <v>0</v>
      </c>
      <c r="K52" s="355">
        <v>0</v>
      </c>
      <c r="L52" s="355">
        <v>0</v>
      </c>
      <c r="M52" s="355">
        <v>0</v>
      </c>
      <c r="N52" s="63">
        <v>0</v>
      </c>
      <c r="O52" s="359" t="s">
        <v>680</v>
      </c>
      <c r="P52" s="204"/>
      <c r="Q52" s="259"/>
    </row>
    <row r="53" spans="1:17" ht="14.4" x14ac:dyDescent="0.3">
      <c r="A53" s="361">
        <v>23002093</v>
      </c>
      <c r="B53" s="362" t="s">
        <v>679</v>
      </c>
      <c r="C53" s="363" t="s">
        <v>216</v>
      </c>
      <c r="D53" s="60">
        <v>0</v>
      </c>
      <c r="E53" s="60">
        <v>0</v>
      </c>
      <c r="F53" s="60">
        <v>0</v>
      </c>
      <c r="G53" s="62">
        <v>0</v>
      </c>
      <c r="H53" s="60">
        <v>0</v>
      </c>
      <c r="I53" s="60">
        <v>0</v>
      </c>
      <c r="J53" s="355">
        <v>0</v>
      </c>
      <c r="K53" s="60">
        <v>0</v>
      </c>
      <c r="L53" s="209"/>
      <c r="M53" s="355">
        <v>0</v>
      </c>
      <c r="N53" s="379">
        <v>-13822</v>
      </c>
      <c r="P53" s="204"/>
      <c r="Q53" s="259"/>
    </row>
    <row r="54" spans="1:17" ht="14.4" x14ac:dyDescent="0.3">
      <c r="A54" s="361">
        <v>23003011</v>
      </c>
      <c r="B54" s="362" t="s">
        <v>678</v>
      </c>
      <c r="C54" s="363" t="s">
        <v>216</v>
      </c>
      <c r="D54" s="60">
        <v>208</v>
      </c>
      <c r="E54" s="60">
        <v>625</v>
      </c>
      <c r="F54" s="60">
        <v>0</v>
      </c>
      <c r="G54" s="62">
        <v>0</v>
      </c>
      <c r="H54" s="60">
        <v>0</v>
      </c>
      <c r="I54" s="60">
        <v>0</v>
      </c>
      <c r="J54" s="355">
        <v>0</v>
      </c>
      <c r="K54" s="60">
        <v>0</v>
      </c>
      <c r="L54" s="355">
        <v>0</v>
      </c>
      <c r="M54" s="355">
        <v>0</v>
      </c>
      <c r="N54" s="379">
        <v>0</v>
      </c>
      <c r="P54" s="204"/>
      <c r="Q54" s="259"/>
    </row>
    <row r="55" spans="1:17" ht="14.4" x14ac:dyDescent="0.3">
      <c r="A55" s="361">
        <v>23003021</v>
      </c>
      <c r="B55" s="362" t="s">
        <v>677</v>
      </c>
      <c r="C55" s="363" t="s">
        <v>291</v>
      </c>
      <c r="D55" s="60">
        <v>0</v>
      </c>
      <c r="E55" s="60">
        <v>0</v>
      </c>
      <c r="F55" s="60">
        <v>0</v>
      </c>
      <c r="G55" s="62">
        <v>0</v>
      </c>
      <c r="H55" s="60">
        <v>0</v>
      </c>
      <c r="I55" s="60">
        <v>0</v>
      </c>
      <c r="J55" s="355">
        <v>0</v>
      </c>
      <c r="K55" s="60">
        <v>0</v>
      </c>
      <c r="L55" s="355">
        <v>0</v>
      </c>
      <c r="M55" s="355">
        <v>209349</v>
      </c>
      <c r="N55" s="379">
        <v>434324</v>
      </c>
    </row>
    <row r="56" spans="1:17" ht="14.4" x14ac:dyDescent="0.3">
      <c r="A56" s="361">
        <v>23003031</v>
      </c>
      <c r="B56" s="362" t="s">
        <v>676</v>
      </c>
      <c r="C56" s="363" t="s">
        <v>291</v>
      </c>
      <c r="D56" s="60">
        <v>0</v>
      </c>
      <c r="E56" s="60">
        <v>0</v>
      </c>
      <c r="F56" s="60">
        <v>0</v>
      </c>
      <c r="G56" s="62">
        <v>0</v>
      </c>
      <c r="H56" s="60">
        <v>0</v>
      </c>
      <c r="I56" s="60">
        <v>0</v>
      </c>
      <c r="J56" s="355">
        <v>0</v>
      </c>
      <c r="K56" s="60">
        <v>0</v>
      </c>
      <c r="L56" s="355">
        <v>0</v>
      </c>
      <c r="M56" s="355">
        <v>3111261</v>
      </c>
      <c r="N56" s="379">
        <v>5342862</v>
      </c>
    </row>
    <row r="57" spans="1:17" ht="14.4" x14ac:dyDescent="0.3">
      <c r="A57" s="361" t="s">
        <v>675</v>
      </c>
      <c r="B57" s="362" t="s">
        <v>674</v>
      </c>
      <c r="C57" s="363" t="s">
        <v>291</v>
      </c>
      <c r="D57" s="60">
        <v>0</v>
      </c>
      <c r="E57" s="60">
        <v>0</v>
      </c>
      <c r="F57" s="60">
        <v>0</v>
      </c>
      <c r="G57" s="62">
        <v>0</v>
      </c>
      <c r="H57" s="60">
        <v>-23335</v>
      </c>
      <c r="I57" s="60">
        <v>-565591</v>
      </c>
      <c r="J57" s="355">
        <v>-576829</v>
      </c>
      <c r="K57" s="60">
        <v>-570293</v>
      </c>
      <c r="L57" s="355">
        <v>-560650</v>
      </c>
      <c r="M57" s="355">
        <v>-571789</v>
      </c>
      <c r="N57" s="379">
        <v>-583150</v>
      </c>
    </row>
    <row r="58" spans="1:17" ht="14.4" x14ac:dyDescent="0.3">
      <c r="A58" s="361" t="s">
        <v>673</v>
      </c>
      <c r="B58" s="362" t="s">
        <v>672</v>
      </c>
      <c r="C58" s="363" t="s">
        <v>291</v>
      </c>
      <c r="D58" s="60">
        <v>0</v>
      </c>
      <c r="E58" s="60">
        <v>0</v>
      </c>
      <c r="F58" s="60">
        <v>0</v>
      </c>
      <c r="G58" s="62">
        <v>0</v>
      </c>
      <c r="H58" s="60">
        <v>-751589</v>
      </c>
      <c r="I58" s="60">
        <v>-728415</v>
      </c>
      <c r="J58" s="355">
        <v>0</v>
      </c>
      <c r="K58" s="60">
        <v>0</v>
      </c>
      <c r="L58" s="355">
        <v>0</v>
      </c>
      <c r="M58" s="355">
        <v>0</v>
      </c>
      <c r="N58" s="379">
        <v>0</v>
      </c>
      <c r="P58" s="60">
        <v>59094520</v>
      </c>
    </row>
    <row r="59" spans="1:17" ht="14.4" x14ac:dyDescent="0.3">
      <c r="A59" s="361" t="s">
        <v>671</v>
      </c>
      <c r="B59" s="362" t="s">
        <v>670</v>
      </c>
      <c r="C59" s="363" t="s">
        <v>291</v>
      </c>
      <c r="D59" s="60">
        <v>0</v>
      </c>
      <c r="E59" s="60">
        <v>0</v>
      </c>
      <c r="F59" s="60">
        <v>0</v>
      </c>
      <c r="G59" s="62">
        <v>0</v>
      </c>
      <c r="H59" s="60">
        <v>-955000</v>
      </c>
      <c r="I59" s="60">
        <v>-925553</v>
      </c>
      <c r="J59" s="355">
        <v>0</v>
      </c>
      <c r="K59" s="60">
        <v>0</v>
      </c>
      <c r="L59" s="355">
        <v>0</v>
      </c>
      <c r="M59" s="355">
        <v>0</v>
      </c>
      <c r="N59" s="379">
        <v>0</v>
      </c>
      <c r="P59" s="60">
        <v>-58927465</v>
      </c>
    </row>
    <row r="60" spans="1:17" ht="14.4" x14ac:dyDescent="0.3">
      <c r="A60" s="481" t="s">
        <v>669</v>
      </c>
      <c r="B60" s="482" t="s">
        <v>668</v>
      </c>
      <c r="C60" s="483" t="s">
        <v>291</v>
      </c>
      <c r="D60" s="61">
        <v>0</v>
      </c>
      <c r="E60" s="61">
        <v>0</v>
      </c>
      <c r="F60" s="61">
        <v>0</v>
      </c>
      <c r="G60" s="61">
        <v>0</v>
      </c>
      <c r="H60" s="61">
        <v>-207042</v>
      </c>
      <c r="I60" s="61">
        <v>-1579924</v>
      </c>
      <c r="J60" s="488">
        <v>-1611444</v>
      </c>
      <c r="K60" s="61">
        <v>-1411907</v>
      </c>
      <c r="L60" s="488">
        <v>-1178073</v>
      </c>
      <c r="M60" s="488">
        <v>-1224038</v>
      </c>
      <c r="N60" s="489">
        <v>-1271877</v>
      </c>
      <c r="P60" s="259">
        <f>SUM(P58:P59)</f>
        <v>167055</v>
      </c>
    </row>
    <row r="61" spans="1:17" ht="14.4" x14ac:dyDescent="0.3">
      <c r="A61" s="344">
        <v>25300353</v>
      </c>
      <c r="B61" s="354" t="s">
        <v>667</v>
      </c>
      <c r="C61" s="200" t="s">
        <v>216</v>
      </c>
      <c r="D61" s="60">
        <v>-5148490.5845999997</v>
      </c>
      <c r="E61" s="60">
        <v>-4433277.1307000006</v>
      </c>
      <c r="F61" s="60">
        <v>-3802864.8834000002</v>
      </c>
      <c r="G61" s="62">
        <v>-3029039.9729999998</v>
      </c>
      <c r="H61" s="60">
        <v>-2327464.7274000002</v>
      </c>
      <c r="I61" s="60">
        <v>-1592998.4531999999</v>
      </c>
      <c r="J61" s="258">
        <v>-835305.05700000003</v>
      </c>
      <c r="K61" s="60">
        <v>-4242233.3949000007</v>
      </c>
      <c r="L61" s="259">
        <v>-3639483.1351999999</v>
      </c>
      <c r="M61" s="258">
        <v>-2750141.4752000002</v>
      </c>
      <c r="N61" s="259">
        <v>-1942729.452</v>
      </c>
      <c r="O61" s="359" t="s">
        <v>260</v>
      </c>
    </row>
    <row r="62" spans="1:17" ht="14.4" x14ac:dyDescent="0.3">
      <c r="A62" s="344">
        <v>25300363</v>
      </c>
      <c r="B62" s="354" t="s">
        <v>666</v>
      </c>
      <c r="C62" s="200" t="s">
        <v>216</v>
      </c>
      <c r="D62" s="60">
        <v>-1843033.4820000001</v>
      </c>
      <c r="E62" s="60">
        <v>-1484364.1681000001</v>
      </c>
      <c r="F62" s="60">
        <v>-1150601.7168000001</v>
      </c>
      <c r="G62" s="62">
        <v>-770888.23100000003</v>
      </c>
      <c r="H62" s="60">
        <v>-407912.6997</v>
      </c>
      <c r="I62" s="60">
        <v>-855129.2574</v>
      </c>
      <c r="J62" s="258">
        <v>-1819630.2734999999</v>
      </c>
      <c r="K62" s="60">
        <v>-1371200.4626</v>
      </c>
      <c r="L62" s="259">
        <v>-904275.45779999997</v>
      </c>
      <c r="M62" s="258">
        <v>-461912.98370000004</v>
      </c>
      <c r="N62" s="259">
        <v>-73207.463799999998</v>
      </c>
      <c r="O62" s="359" t="s">
        <v>260</v>
      </c>
    </row>
    <row r="63" spans="1:17" ht="14.4" x14ac:dyDescent="0.3">
      <c r="A63" s="344">
        <v>25300413</v>
      </c>
      <c r="B63" s="354" t="s">
        <v>665</v>
      </c>
      <c r="C63" s="200" t="s">
        <v>216</v>
      </c>
      <c r="D63" s="60">
        <v>-111413.2806</v>
      </c>
      <c r="E63" s="60">
        <v>-1201774.8083000001</v>
      </c>
      <c r="F63" s="60">
        <v>-1307332.5318</v>
      </c>
      <c r="G63" s="62">
        <v>-1135954.456</v>
      </c>
      <c r="H63" s="60">
        <v>-992744.13690000004</v>
      </c>
      <c r="I63" s="60">
        <v>-840307.57799999998</v>
      </c>
      <c r="J63" s="258">
        <v>-680661.05550000002</v>
      </c>
      <c r="K63" s="60">
        <v>-512919.02520000003</v>
      </c>
      <c r="L63" s="259">
        <v>-338258.15539999999</v>
      </c>
      <c r="M63" s="258">
        <v>-172785.7047</v>
      </c>
      <c r="N63" s="259">
        <v>-27384.126800000002</v>
      </c>
      <c r="O63" s="359" t="s">
        <v>260</v>
      </c>
    </row>
    <row r="64" spans="1:17" ht="14.4" x14ac:dyDescent="0.3">
      <c r="A64" s="344">
        <v>25301203</v>
      </c>
      <c r="B64" s="354" t="s">
        <v>664</v>
      </c>
      <c r="C64" s="200" t="s">
        <v>216</v>
      </c>
      <c r="D64" s="60">
        <v>-446598.51299999998</v>
      </c>
      <c r="E64" s="60">
        <v>-445041.21420000005</v>
      </c>
      <c r="F64" s="60">
        <v>-454954.33890000003</v>
      </c>
      <c r="G64" s="62">
        <v>-390298.0355</v>
      </c>
      <c r="H64" s="60">
        <v>-335267.4669</v>
      </c>
      <c r="I64" s="60">
        <v>-276915.85019999999</v>
      </c>
      <c r="J64" s="258">
        <v>-216014.07449999999</v>
      </c>
      <c r="K64" s="60">
        <v>-152478.36490000002</v>
      </c>
      <c r="L64" s="259">
        <v>-87241.682000000001</v>
      </c>
      <c r="M64" s="258">
        <v>-25416.125</v>
      </c>
      <c r="N64" s="258">
        <v>0</v>
      </c>
      <c r="O64" s="359" t="s">
        <v>260</v>
      </c>
    </row>
    <row r="65" spans="1:15" ht="14.4" x14ac:dyDescent="0.3">
      <c r="A65" s="344">
        <v>25300443</v>
      </c>
      <c r="B65" s="197" t="s">
        <v>663</v>
      </c>
      <c r="C65" s="200" t="s">
        <v>216</v>
      </c>
      <c r="D65" s="60">
        <v>0</v>
      </c>
      <c r="E65" s="60">
        <v>0</v>
      </c>
      <c r="F65" s="60">
        <v>0</v>
      </c>
      <c r="G65" s="62">
        <v>-711554.99450000003</v>
      </c>
      <c r="H65" s="60">
        <v>-831910.32420000003</v>
      </c>
      <c r="I65" s="60">
        <v>-749062.78259999992</v>
      </c>
      <c r="J65" s="258">
        <v>-660925.51049999997</v>
      </c>
      <c r="K65" s="60">
        <v>-565350.50150000001</v>
      </c>
      <c r="L65" s="259">
        <v>-459830.96829999995</v>
      </c>
      <c r="M65" s="258">
        <v>-361364.16960000002</v>
      </c>
      <c r="N65" s="258">
        <v>-273502.37520000001</v>
      </c>
      <c r="O65" s="359" t="s">
        <v>260</v>
      </c>
    </row>
    <row r="66" spans="1:15" ht="14.4" x14ac:dyDescent="0.3">
      <c r="A66" s="344">
        <v>25300463</v>
      </c>
      <c r="B66" s="197" t="s">
        <v>662</v>
      </c>
      <c r="C66" s="200" t="s">
        <v>216</v>
      </c>
      <c r="D66" s="60">
        <v>0</v>
      </c>
      <c r="E66" s="60">
        <v>0</v>
      </c>
      <c r="F66" s="60">
        <v>0</v>
      </c>
      <c r="G66" s="62">
        <v>0</v>
      </c>
      <c r="H66" s="60">
        <v>0</v>
      </c>
      <c r="I66" s="60">
        <v>0</v>
      </c>
      <c r="J66" s="258">
        <v>0</v>
      </c>
      <c r="K66" s="60">
        <v>0</v>
      </c>
      <c r="L66" s="258">
        <v>0</v>
      </c>
      <c r="M66" s="258">
        <v>0</v>
      </c>
      <c r="N66" s="258">
        <v>-39940.3698</v>
      </c>
      <c r="O66" s="359" t="s">
        <v>260</v>
      </c>
    </row>
    <row r="67" spans="1:15" ht="14.4" x14ac:dyDescent="0.3">
      <c r="A67" s="344" t="s">
        <v>661</v>
      </c>
      <c r="B67" s="197" t="s">
        <v>660</v>
      </c>
      <c r="C67" s="200" t="s">
        <v>216</v>
      </c>
      <c r="D67" s="60">
        <v>0</v>
      </c>
      <c r="E67" s="60">
        <v>0</v>
      </c>
      <c r="F67" s="60">
        <v>0</v>
      </c>
      <c r="G67" s="62">
        <v>0</v>
      </c>
      <c r="H67" s="60">
        <v>-31014.215400000001</v>
      </c>
      <c r="I67" s="60">
        <v>-132762.90059999999</v>
      </c>
      <c r="J67" s="258">
        <v>-103564.6545</v>
      </c>
      <c r="K67" s="60">
        <v>-73102.926000000007</v>
      </c>
      <c r="L67" s="258">
        <v>-41826.063399999999</v>
      </c>
      <c r="M67" s="258">
        <v>-12185.3102</v>
      </c>
      <c r="N67" s="258">
        <v>0</v>
      </c>
      <c r="O67" s="359" t="s">
        <v>260</v>
      </c>
    </row>
    <row r="68" spans="1:15" ht="14.4" x14ac:dyDescent="0.3">
      <c r="A68" s="344">
        <v>25301213</v>
      </c>
      <c r="B68" s="197" t="s">
        <v>659</v>
      </c>
      <c r="C68" s="200" t="s">
        <v>216</v>
      </c>
      <c r="D68" s="60">
        <v>0</v>
      </c>
      <c r="E68" s="60">
        <v>0</v>
      </c>
      <c r="F68" s="60">
        <v>0</v>
      </c>
      <c r="G68" s="61">
        <v>0</v>
      </c>
      <c r="H68" s="60">
        <v>0</v>
      </c>
      <c r="I68" s="60">
        <v>0</v>
      </c>
      <c r="J68" s="197">
        <v>0</v>
      </c>
      <c r="K68" s="60">
        <v>0</v>
      </c>
      <c r="L68" s="372">
        <v>-451248.35249999998</v>
      </c>
      <c r="M68" s="258">
        <v>-443273.61750000005</v>
      </c>
      <c r="N68" s="258">
        <v>-376545.6434</v>
      </c>
      <c r="O68" s="359" t="s">
        <v>260</v>
      </c>
    </row>
    <row r="69" spans="1:15" x14ac:dyDescent="0.25">
      <c r="A69" s="344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</row>
    <row r="70" spans="1:15" ht="13.8" thickBot="1" x14ac:dyDescent="0.3">
      <c r="A70" s="344" t="str">
        <f>TEXT(A68,"##")</f>
        <v>25301213</v>
      </c>
      <c r="D70" s="387">
        <f t="shared" ref="D70:N70" si="1">SUM(D12:D69)</f>
        <v>6183573985.4207335</v>
      </c>
      <c r="E70" s="387">
        <f t="shared" si="1"/>
        <v>6826578357.9429998</v>
      </c>
      <c r="F70" s="387">
        <f t="shared" si="1"/>
        <v>7157671291.0355015</v>
      </c>
      <c r="G70" s="387">
        <f t="shared" si="1"/>
        <v>7368096541.3695002</v>
      </c>
      <c r="H70" s="387">
        <f t="shared" si="1"/>
        <v>8287097940.9453993</v>
      </c>
      <c r="I70" s="387">
        <f t="shared" si="1"/>
        <v>9004679007.7049999</v>
      </c>
      <c r="J70" s="387">
        <f t="shared" si="1"/>
        <v>9452709058.1535015</v>
      </c>
      <c r="K70" s="387">
        <f t="shared" si="1"/>
        <v>9610573082.5385513</v>
      </c>
      <c r="L70" s="387">
        <f t="shared" si="1"/>
        <v>9831771037.8853989</v>
      </c>
      <c r="M70" s="387">
        <f t="shared" si="1"/>
        <v>10163171006.2773</v>
      </c>
      <c r="N70" s="387">
        <f t="shared" si="1"/>
        <v>10572466950.787598</v>
      </c>
    </row>
    <row r="71" spans="1:15" ht="13.8" thickTop="1" x14ac:dyDescent="0.25">
      <c r="A71" s="490"/>
      <c r="C71" s="388" t="s">
        <v>295</v>
      </c>
      <c r="D71" s="381">
        <v>2.3004837036132813</v>
      </c>
      <c r="E71" s="381">
        <v>1.3943281173706055</v>
      </c>
      <c r="F71" s="381">
        <v>-0.28669452667236328</v>
      </c>
      <c r="G71" s="381">
        <v>5.6113243103027344E-2</v>
      </c>
      <c r="H71" s="381">
        <v>0.41969966888427734</v>
      </c>
      <c r="I71" s="381">
        <v>0.61123847961425781</v>
      </c>
      <c r="J71" s="381">
        <v>2.6155166625976563</v>
      </c>
      <c r="K71" s="381">
        <v>0.2055816650390625</v>
      </c>
      <c r="L71" s="381">
        <v>0.11502456665039063</v>
      </c>
      <c r="M71" s="381">
        <v>0</v>
      </c>
      <c r="N71" s="381">
        <v>0</v>
      </c>
    </row>
    <row r="72" spans="1:15" ht="13.8" thickBot="1" x14ac:dyDescent="0.3">
      <c r="A72" s="344"/>
      <c r="N72" s="258"/>
    </row>
    <row r="73" spans="1:15" x14ac:dyDescent="0.25">
      <c r="A73" s="389"/>
      <c r="B73" s="390" t="s">
        <v>658</v>
      </c>
      <c r="C73" s="391"/>
      <c r="D73" s="392"/>
      <c r="E73" s="392"/>
      <c r="F73" s="392"/>
      <c r="G73" s="392"/>
      <c r="H73" s="392"/>
      <c r="I73" s="392"/>
      <c r="J73" s="392"/>
      <c r="K73" s="392"/>
      <c r="L73" s="392"/>
      <c r="M73" s="392"/>
      <c r="N73" s="393"/>
    </row>
    <row r="74" spans="1:15" x14ac:dyDescent="0.25">
      <c r="A74" s="394"/>
      <c r="B74" s="362" t="s">
        <v>185</v>
      </c>
      <c r="C74" s="363"/>
      <c r="D74" s="355">
        <f>SUMIF($C$31:$C$60,"P",$D$31:$D$60)</f>
        <v>-2176179</v>
      </c>
      <c r="E74" s="355">
        <f>SUMIF($C$31:$C$60,"P",$E$31:$E$60)</f>
        <v>-3249986</v>
      </c>
      <c r="F74" s="355">
        <f>SUMIF($C$31:$C$60,"P",$F$31:$F$60)</f>
        <v>-3448803</v>
      </c>
      <c r="G74" s="355">
        <f>SUMIF($C$31:$C$60,"P",$G$31:$G$60)</f>
        <v>-3672004</v>
      </c>
      <c r="H74" s="355">
        <f>SUMIF($C$31:$C$60,"P",$H$31:$H$60)</f>
        <v>-10761770</v>
      </c>
      <c r="I74" s="355">
        <f>SUMIF($C$31:$C$60,"P",$I$31:$I$60)</f>
        <v>-14135255</v>
      </c>
      <c r="J74" s="355">
        <f>SUMIF($C$31:$C$60,"P",$J$31:$J$60)</f>
        <v>-13144285</v>
      </c>
      <c r="K74" s="355">
        <f>SUMIF($C$31:$C$60,"P",$K$31:$K$60)</f>
        <v>-33380494</v>
      </c>
      <c r="L74" s="355">
        <f>SUMIF($C$31:$C$60,"P",$L$31:$L$60)</f>
        <v>-69459348</v>
      </c>
      <c r="M74" s="355">
        <f>SUMIF($C$31:$C$60,"P",$M$31:$M$60)</f>
        <v>-137895819</v>
      </c>
      <c r="N74" s="395">
        <f>SUMIF($C$31:$C$60,"P",$N$31:$N$60)</f>
        <v>-133023645</v>
      </c>
    </row>
    <row r="75" spans="1:15" x14ac:dyDescent="0.25">
      <c r="A75" s="394"/>
      <c r="B75" s="362" t="s">
        <v>65</v>
      </c>
      <c r="C75" s="363"/>
      <c r="D75" s="355">
        <f>SUMIF($C$31:$C$60,"T",$D$31:$D$60)</f>
        <v>-4597049</v>
      </c>
      <c r="E75" s="355">
        <f>SUMIF($C$31:$C$60,"T",$E$31:$E$60)</f>
        <v>-4597942</v>
      </c>
      <c r="F75" s="355">
        <f>SUMIF($C$31:$C$60,"T",$F$31:$F$60)</f>
        <v>-5685381</v>
      </c>
      <c r="G75" s="355">
        <f>SUMIF($C$31:$C$60,"T",$G$31:$G$60)</f>
        <v>-6508996</v>
      </c>
      <c r="H75" s="355">
        <f>SUMIF($C$31:$C$60,"T",$H$31:$H$60)</f>
        <v>-7400823</v>
      </c>
      <c r="I75" s="355">
        <f>SUMIF($C$31:$C$60,"T",$I$31:$I$60)</f>
        <v>-14714758</v>
      </c>
      <c r="J75" s="355">
        <f>SUMIF($C$31:$C$60,"T",$J$31:$J$60)</f>
        <v>-15368171</v>
      </c>
      <c r="K75" s="355">
        <f>SUMIF($C$31:$C$60,"T",$K$31:$K$60)</f>
        <v>-15640704</v>
      </c>
      <c r="L75" s="355">
        <f>SUMIF($C$31:$C$60,"T",$L$31:$L$60)</f>
        <v>-13233035</v>
      </c>
      <c r="M75" s="355">
        <f>SUMIF($C$31:$C$60,"T",$M$31:$M$60)</f>
        <v>-27284389</v>
      </c>
      <c r="N75" s="395">
        <f>SUMIF($C$31:$C$60,"T",$N$31:$N$60)</f>
        <v>-27965696</v>
      </c>
    </row>
    <row r="76" spans="1:15" x14ac:dyDescent="0.25">
      <c r="A76" s="394"/>
      <c r="B76" s="362" t="s">
        <v>66</v>
      </c>
      <c r="C76" s="363"/>
      <c r="D76" s="355">
        <f>SUMIF($C$31:$C$60,"D",$D$31:$D$60)</f>
        <v>-9401471</v>
      </c>
      <c r="E76" s="355">
        <f>SUMIF($C$31:$C$60,"D",$E$31:$E$60)</f>
        <v>-9602002</v>
      </c>
      <c r="F76" s="355">
        <f>SUMIF($C$31:$C$60,"D",$F$31:$F$60)</f>
        <v>-9745165</v>
      </c>
      <c r="G76" s="355">
        <f>SUMIF($C$31:$C$60,"D",$G$31:$G$60)</f>
        <v>-10141879</v>
      </c>
      <c r="H76" s="355">
        <f>SUMIF($C$31:$C$60,"D",$H$31:$H$60)</f>
        <v>-10632735</v>
      </c>
      <c r="I76" s="355">
        <f>SUMIF($C$31:$C$60,"D",$I$31:$I$60)</f>
        <v>-10408252</v>
      </c>
      <c r="J76" s="355">
        <f>SUMIF($C$31:$C$60,"D",$J$31:$J$60)</f>
        <v>-9171738</v>
      </c>
      <c r="K76" s="355">
        <f>SUMIF($C$31:$C$60,"D",$K$31:$K$60)</f>
        <v>-8658309</v>
      </c>
      <c r="L76" s="355">
        <f>SUMIF($C$31:$C$60,"D",$L$31:$L$60)</f>
        <v>-8891283</v>
      </c>
      <c r="M76" s="355">
        <f>SUMIF($C$31:$C$60,"D",$M$31:$M$60)</f>
        <v>-9301368</v>
      </c>
      <c r="N76" s="395">
        <f>SUMIF($C$31:$C$60,"D",$N$31:$N$60)</f>
        <v>-9580286</v>
      </c>
    </row>
    <row r="77" spans="1:15" ht="15" x14ac:dyDescent="0.4">
      <c r="A77" s="394"/>
      <c r="B77" s="362" t="s">
        <v>68</v>
      </c>
      <c r="C77" s="363"/>
      <c r="D77" s="396">
        <f>SUMIF($C$31:$C$60,"G",$D$31:$D$60)</f>
        <v>-3230277.9073999999</v>
      </c>
      <c r="E77" s="396">
        <f>SUMIF($C$31:$C$60,"G",$E$31:$E$60)</f>
        <v>-1504386.844</v>
      </c>
      <c r="F77" s="396">
        <f>SUMIF($C$31:$C$60,"G",$F$31:$F$60)</f>
        <v>-1008021.3851000001</v>
      </c>
      <c r="G77" s="396">
        <f>SUMIF($C$31:$C$60,"G",$G$31:$G$60)</f>
        <v>-871465.20250000001</v>
      </c>
      <c r="H77" s="396">
        <f>SUMIF($C$31:$C$60,"G",$H$31:$H$60)</f>
        <v>-863061</v>
      </c>
      <c r="I77" s="396">
        <f>SUMIF($C$31:$C$60,"G",$I$31:$I$60)</f>
        <v>-1063945.8193999999</v>
      </c>
      <c r="J77" s="396">
        <f>SUMIF($C$31:$C$60,"G",$J$31:$J$60)</f>
        <v>-1104570.2209999999</v>
      </c>
      <c r="K77" s="396">
        <f>SUMIF($C$31:$C$60,"G",$K$31:$K$60)</f>
        <v>-1415013.1743000001</v>
      </c>
      <c r="L77" s="396">
        <f>SUMIF($C$31:$C$60,"G",$L$31:$L$60)</f>
        <v>-1308083.1776999999</v>
      </c>
      <c r="M77" s="396">
        <f>SUMIF($C$31:$C$60,"G",$M$31:$M$60)</f>
        <v>-981179</v>
      </c>
      <c r="N77" s="397">
        <f>SUMIF($C$31:$C$60,"G",$N$31:$N$60)</f>
        <v>-1056523</v>
      </c>
    </row>
    <row r="78" spans="1:15" x14ac:dyDescent="0.25">
      <c r="A78" s="394"/>
      <c r="B78" s="362" t="s">
        <v>0</v>
      </c>
      <c r="C78" s="363"/>
      <c r="D78" s="355">
        <f t="shared" ref="D78:N78" si="2">SUM(D74:D77)</f>
        <v>-19404976.907400001</v>
      </c>
      <c r="E78" s="355">
        <f t="shared" si="2"/>
        <v>-18954316.844000001</v>
      </c>
      <c r="F78" s="355">
        <f t="shared" si="2"/>
        <v>-19887370.3851</v>
      </c>
      <c r="G78" s="355">
        <f t="shared" si="2"/>
        <v>-21194344.202500001</v>
      </c>
      <c r="H78" s="355">
        <f t="shared" si="2"/>
        <v>-29658389</v>
      </c>
      <c r="I78" s="355">
        <f t="shared" si="2"/>
        <v>-40322210.819399998</v>
      </c>
      <c r="J78" s="355">
        <f t="shared" si="2"/>
        <v>-38788764.221000001</v>
      </c>
      <c r="K78" s="355">
        <f t="shared" si="2"/>
        <v>-59094520.1743</v>
      </c>
      <c r="L78" s="355">
        <f t="shared" si="2"/>
        <v>-92891749.177699998</v>
      </c>
      <c r="M78" s="355">
        <f t="shared" si="2"/>
        <v>-175462755</v>
      </c>
      <c r="N78" s="395">
        <f t="shared" si="2"/>
        <v>-171626150</v>
      </c>
    </row>
    <row r="79" spans="1:15" x14ac:dyDescent="0.25">
      <c r="A79" s="394"/>
      <c r="B79" s="209"/>
      <c r="C79" s="363"/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398"/>
    </row>
    <row r="80" spans="1:15" ht="14.4" x14ac:dyDescent="0.3">
      <c r="A80" s="394"/>
      <c r="B80" s="362" t="s">
        <v>185</v>
      </c>
      <c r="C80" s="363"/>
      <c r="D80" s="59">
        <f>D74/$D$78</f>
        <v>0.11214540529394415</v>
      </c>
      <c r="E80" s="59">
        <f>E74/$E$78</f>
        <v>0.17146415915426594</v>
      </c>
      <c r="F80" s="59">
        <f>F74/$F$78</f>
        <v>0.17341674304934299</v>
      </c>
      <c r="G80" s="59">
        <f>G74/$G$78</f>
        <v>0.17325395704231628</v>
      </c>
      <c r="H80" s="59">
        <f>H74/$H$78</f>
        <v>0.36285753754190764</v>
      </c>
      <c r="I80" s="59">
        <f>I74/$I$78</f>
        <v>0.35055753920117855</v>
      </c>
      <c r="J80" s="59">
        <f>J74/$J$78</f>
        <v>0.33886836211409294</v>
      </c>
      <c r="K80" s="59">
        <f>K74/$K$78</f>
        <v>0.56486614835933735</v>
      </c>
      <c r="L80" s="59">
        <f>L74/$L$78</f>
        <v>0.74774507547624813</v>
      </c>
      <c r="M80" s="59">
        <f>M74/$M$78</f>
        <v>0.78589794740199992</v>
      </c>
      <c r="N80" s="58">
        <f>N74/$N$78</f>
        <v>0.77507795286440906</v>
      </c>
    </row>
    <row r="81" spans="1:14" ht="14.4" x14ac:dyDescent="0.3">
      <c r="A81" s="394"/>
      <c r="B81" s="362" t="s">
        <v>65</v>
      </c>
      <c r="C81" s="363"/>
      <c r="D81" s="59">
        <f>D75/$D$78</f>
        <v>0.23690051381854188</v>
      </c>
      <c r="E81" s="401">
        <f>E75/$E$78</f>
        <v>0.24258020153627857</v>
      </c>
      <c r="F81" s="59">
        <f>F75/$F$78</f>
        <v>0.28587897192580053</v>
      </c>
      <c r="G81" s="59">
        <f>G75/$G$78</f>
        <v>0.30711004491623878</v>
      </c>
      <c r="H81" s="59">
        <f>H75/$H$78</f>
        <v>0.24953556985175426</v>
      </c>
      <c r="I81" s="59">
        <f>I75/$I$78</f>
        <v>0.36492934541477007</v>
      </c>
      <c r="J81" s="59">
        <f>J75/$J$78</f>
        <v>0.39620161427261363</v>
      </c>
      <c r="K81" s="59">
        <f>K75/$K$78</f>
        <v>0.26467266260674516</v>
      </c>
      <c r="L81" s="59">
        <f>L75/$L$78</f>
        <v>0.14245651650595445</v>
      </c>
      <c r="M81" s="59">
        <f>M75/$M$78</f>
        <v>0.15549960446021721</v>
      </c>
      <c r="N81" s="58">
        <f>N75/$N$78</f>
        <v>0.16294542527464492</v>
      </c>
    </row>
    <row r="82" spans="1:14" ht="14.4" x14ac:dyDescent="0.3">
      <c r="A82" s="394"/>
      <c r="B82" s="362" t="s">
        <v>66</v>
      </c>
      <c r="C82" s="363"/>
      <c r="D82" s="59">
        <f>D76/$D$78</f>
        <v>0.48448761597932083</v>
      </c>
      <c r="E82" s="401">
        <f>E76/$E$78</f>
        <v>0.50658655118132201</v>
      </c>
      <c r="F82" s="59">
        <f>F76/$F$78</f>
        <v>0.49001777566838423</v>
      </c>
      <c r="G82" s="59">
        <f>G76/$G$78</f>
        <v>0.47851817933596191</v>
      </c>
      <c r="H82" s="59">
        <f>H76/$H$78</f>
        <v>0.35850682921449306</v>
      </c>
      <c r="I82" s="59">
        <f>I76/$I$78</f>
        <v>0.2581270170581107</v>
      </c>
      <c r="J82" s="59">
        <f>J76/$J$78</f>
        <v>0.23645347265367317</v>
      </c>
      <c r="K82" s="59">
        <f>K76/$K$78</f>
        <v>0.14651627552710833</v>
      </c>
      <c r="L82" s="59">
        <f>L76/$L$78</f>
        <v>9.571660646621219E-2</v>
      </c>
      <c r="M82" s="59">
        <f>M76/$M$78</f>
        <v>5.3010497868906707E-2</v>
      </c>
      <c r="N82" s="58">
        <f>N76/$N$78</f>
        <v>5.5820666023213832E-2</v>
      </c>
    </row>
    <row r="83" spans="1:14" x14ac:dyDescent="0.25">
      <c r="A83" s="394"/>
      <c r="B83" s="362" t="s">
        <v>68</v>
      </c>
      <c r="C83" s="363"/>
      <c r="D83" s="399">
        <f>D77/$D$78</f>
        <v>0.16646646490819311</v>
      </c>
      <c r="E83" s="399">
        <f>E77/$E$78</f>
        <v>7.9369088128133439E-2</v>
      </c>
      <c r="F83" s="399">
        <f>F77/$F$78</f>
        <v>5.0686509356472238E-2</v>
      </c>
      <c r="G83" s="399">
        <f>G77/$G$78</f>
        <v>4.1117818705483013E-2</v>
      </c>
      <c r="H83" s="399">
        <f>H77/$H$78</f>
        <v>2.9100063391845052E-2</v>
      </c>
      <c r="I83" s="399">
        <f>I77/$I$78</f>
        <v>2.638609832594074E-2</v>
      </c>
      <c r="J83" s="399">
        <f>J77/$J$78</f>
        <v>2.8476550959620216E-2</v>
      </c>
      <c r="K83" s="399">
        <f>K77/$K$78</f>
        <v>2.3944913506809121E-2</v>
      </c>
      <c r="L83" s="399">
        <f>L77/$L$78</f>
        <v>1.4081801551585209E-2</v>
      </c>
      <c r="M83" s="399">
        <f>M77/$M$78</f>
        <v>5.5919502688761497E-3</v>
      </c>
      <c r="N83" s="400">
        <f>N77/$N$78</f>
        <v>6.1559558377321869E-3</v>
      </c>
    </row>
    <row r="84" spans="1:14" x14ac:dyDescent="0.25">
      <c r="A84" s="394"/>
      <c r="B84" s="362" t="s">
        <v>0</v>
      </c>
      <c r="C84" s="363"/>
      <c r="D84" s="401">
        <f t="shared" ref="D84:N84" si="3">SUM(D80:D83)</f>
        <v>1</v>
      </c>
      <c r="E84" s="401">
        <f t="shared" si="3"/>
        <v>1</v>
      </c>
      <c r="F84" s="401">
        <f t="shared" si="3"/>
        <v>1</v>
      </c>
      <c r="G84" s="401">
        <f t="shared" si="3"/>
        <v>1</v>
      </c>
      <c r="H84" s="401">
        <f t="shared" si="3"/>
        <v>1</v>
      </c>
      <c r="I84" s="401">
        <f t="shared" si="3"/>
        <v>1</v>
      </c>
      <c r="J84" s="401">
        <f t="shared" si="3"/>
        <v>0.99999999999999989</v>
      </c>
      <c r="K84" s="401">
        <f t="shared" si="3"/>
        <v>1</v>
      </c>
      <c r="L84" s="401">
        <f t="shared" si="3"/>
        <v>1</v>
      </c>
      <c r="M84" s="401">
        <f t="shared" si="3"/>
        <v>0.99999999999999989</v>
      </c>
      <c r="N84" s="402">
        <f t="shared" si="3"/>
        <v>1</v>
      </c>
    </row>
    <row r="85" spans="1:14" x14ac:dyDescent="0.25">
      <c r="A85" s="394"/>
      <c r="B85" s="209"/>
      <c r="C85" s="363"/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398"/>
    </row>
    <row r="86" spans="1:14" x14ac:dyDescent="0.25">
      <c r="A86" s="403">
        <v>23002091</v>
      </c>
      <c r="B86" s="404" t="s">
        <v>657</v>
      </c>
      <c r="C86" s="405"/>
      <c r="D86" s="407">
        <v>-575875</v>
      </c>
      <c r="E86" s="407">
        <v>-547050</v>
      </c>
      <c r="F86" s="407">
        <v>-591617</v>
      </c>
      <c r="G86" s="407">
        <v>-701045</v>
      </c>
      <c r="H86" s="407">
        <v>-836841</v>
      </c>
      <c r="I86" s="407">
        <v>-515152</v>
      </c>
      <c r="J86" s="407">
        <v>-336417</v>
      </c>
      <c r="K86" s="407">
        <v>-379146</v>
      </c>
      <c r="L86" s="407">
        <v>-331955</v>
      </c>
      <c r="M86" s="407">
        <v>-3605642</v>
      </c>
      <c r="N86" s="408">
        <v>-6103636</v>
      </c>
    </row>
    <row r="87" spans="1:14" x14ac:dyDescent="0.25">
      <c r="A87" s="394"/>
      <c r="B87" s="362" t="s">
        <v>185</v>
      </c>
      <c r="C87" s="363"/>
      <c r="D87" s="364">
        <f>$D$86*D80</f>
        <v>-64581.735273650091</v>
      </c>
      <c r="E87" s="364">
        <f>$E$86*E80</f>
        <v>-93799.468265341187</v>
      </c>
      <c r="F87" s="364">
        <f>$F$86*F80</f>
        <v>-102596.29327262315</v>
      </c>
      <c r="G87" s="364">
        <f>$G$86*G80</f>
        <v>-121458.82031473062</v>
      </c>
      <c r="H87" s="364">
        <f>$H$86*H80</f>
        <v>-303654.06457410753</v>
      </c>
      <c r="I87" s="364">
        <f>$I$86*I80</f>
        <v>-180590.41743456552</v>
      </c>
      <c r="J87" s="364">
        <f>$J$86*J80</f>
        <v>-114001.0777773368</v>
      </c>
      <c r="K87" s="364">
        <f>$K$86*K80</f>
        <v>-214166.74068584931</v>
      </c>
      <c r="L87" s="364">
        <f>$L$86*L80</f>
        <v>-248217.71652971796</v>
      </c>
      <c r="M87" s="364">
        <f>M86*M80</f>
        <v>-2833666.6468664417</v>
      </c>
      <c r="N87" s="409">
        <f>N86*$N$80</f>
        <v>-4730793.6959095104</v>
      </c>
    </row>
    <row r="88" spans="1:14" x14ac:dyDescent="0.25">
      <c r="A88" s="394"/>
      <c r="B88" s="362" t="s">
        <v>65</v>
      </c>
      <c r="C88" s="363"/>
      <c r="D88" s="364">
        <f>$D$86*D81</f>
        <v>-136425.08339525282</v>
      </c>
      <c r="E88" s="364">
        <f>$E$86*E81</f>
        <v>-132703.49925042118</v>
      </c>
      <c r="F88" s="364">
        <f>$F$86*F81</f>
        <v>-169130.85973382634</v>
      </c>
      <c r="G88" s="364">
        <f>$G$86*G81</f>
        <v>-215297.96143830463</v>
      </c>
      <c r="H88" s="364">
        <f>$H$86*H81</f>
        <v>-208821.59581031188</v>
      </c>
      <c r="I88" s="364">
        <f>$I$86*I81</f>
        <v>-187994.08214910963</v>
      </c>
      <c r="J88" s="364">
        <f>$J$86*J81</f>
        <v>-133288.95846874986</v>
      </c>
      <c r="K88" s="364">
        <f>$K$86*K81</f>
        <v>-100349.581336697</v>
      </c>
      <c r="L88" s="364">
        <f>$L$86*L81</f>
        <v>-47289.152936734106</v>
      </c>
      <c r="M88" s="364">
        <f>M86*M81</f>
        <v>-560675.90482514654</v>
      </c>
      <c r="N88" s="409">
        <f>N81*N86</f>
        <v>-994559.56374163262</v>
      </c>
    </row>
    <row r="89" spans="1:14" x14ac:dyDescent="0.25">
      <c r="A89" s="394"/>
      <c r="B89" s="362" t="s">
        <v>66</v>
      </c>
      <c r="C89" s="363"/>
      <c r="D89" s="364">
        <f>$D$86*D82</f>
        <v>-279004.30585209141</v>
      </c>
      <c r="E89" s="364">
        <f>$E$86*E82</f>
        <v>-277128.17282374221</v>
      </c>
      <c r="F89" s="364">
        <f>$F$86*F82</f>
        <v>-289902.84638760245</v>
      </c>
      <c r="G89" s="364">
        <f>$G$86*G82</f>
        <v>-335462.77703257941</v>
      </c>
      <c r="H89" s="364">
        <f>$H$86*H82</f>
        <v>-300013.21346668561</v>
      </c>
      <c r="I89" s="364">
        <f>$I$86*I82</f>
        <v>-132974.64909151985</v>
      </c>
      <c r="J89" s="364">
        <f>$J$86*J82</f>
        <v>-79546.967909730767</v>
      </c>
      <c r="K89" s="364">
        <f>$K$86*K82</f>
        <v>-55551.059801001014</v>
      </c>
      <c r="L89" s="364">
        <f>$L$86*L82</f>
        <v>-31773.606099491466</v>
      </c>
      <c r="M89" s="364">
        <f>M86*M82</f>
        <v>-191136.87755704051</v>
      </c>
      <c r="N89" s="409">
        <f>N82*N86</f>
        <v>-340709.02668326476</v>
      </c>
    </row>
    <row r="90" spans="1:14" ht="15" x14ac:dyDescent="0.4">
      <c r="A90" s="394"/>
      <c r="B90" s="362" t="s">
        <v>68</v>
      </c>
      <c r="C90" s="363"/>
      <c r="D90" s="410">
        <f>$D$86*D83</f>
        <v>-95863.875479005714</v>
      </c>
      <c r="E90" s="410">
        <f>$E$86*E83</f>
        <v>-43418.8596604954</v>
      </c>
      <c r="F90" s="410">
        <f>$F$86*F83</f>
        <v>-29987.000605948037</v>
      </c>
      <c r="G90" s="410">
        <f>$G$86*G83</f>
        <v>-28825.441214385337</v>
      </c>
      <c r="H90" s="410">
        <f>$H$86*H83</f>
        <v>-24352.126148895004</v>
      </c>
      <c r="I90" s="410">
        <f>$I$86*I83</f>
        <v>-13592.851324805024</v>
      </c>
      <c r="J90" s="410">
        <f>$J$86*J83</f>
        <v>-9579.9958441825547</v>
      </c>
      <c r="K90" s="410">
        <f>$K$86*K83</f>
        <v>-9078.61817645265</v>
      </c>
      <c r="L90" s="410">
        <f>$L$86*L83</f>
        <v>-4674.5244340564686</v>
      </c>
      <c r="M90" s="410">
        <f>M83*M86</f>
        <v>-20162.570751371139</v>
      </c>
      <c r="N90" s="411">
        <f>N86*N83</f>
        <v>-37573.713665592331</v>
      </c>
    </row>
    <row r="91" spans="1:14" s="335" customFormat="1" ht="13.8" thickBot="1" x14ac:dyDescent="0.3">
      <c r="A91" s="412"/>
      <c r="B91" s="413" t="s">
        <v>0</v>
      </c>
      <c r="C91" s="414"/>
      <c r="D91" s="416">
        <f t="shared" ref="D91:N91" si="4">SUM(D87:D90)</f>
        <v>-575875</v>
      </c>
      <c r="E91" s="416">
        <f t="shared" si="4"/>
        <v>-547050</v>
      </c>
      <c r="F91" s="416">
        <f t="shared" si="4"/>
        <v>-591617</v>
      </c>
      <c r="G91" s="416">
        <f t="shared" si="4"/>
        <v>-701045</v>
      </c>
      <c r="H91" s="416">
        <f t="shared" si="4"/>
        <v>-836841</v>
      </c>
      <c r="I91" s="416">
        <f t="shared" si="4"/>
        <v>-515152.00000000006</v>
      </c>
      <c r="J91" s="416">
        <f t="shared" si="4"/>
        <v>-336417</v>
      </c>
      <c r="K91" s="416">
        <f t="shared" si="4"/>
        <v>-379145.99999999994</v>
      </c>
      <c r="L91" s="416">
        <f t="shared" si="4"/>
        <v>-331955</v>
      </c>
      <c r="M91" s="416">
        <f t="shared" si="4"/>
        <v>-3605642</v>
      </c>
      <c r="N91" s="417">
        <f t="shared" si="4"/>
        <v>-6103636</v>
      </c>
    </row>
    <row r="92" spans="1:14" x14ac:dyDescent="0.25">
      <c r="A92" s="344"/>
    </row>
    <row r="93" spans="1:14" x14ac:dyDescent="0.25">
      <c r="A93" s="344"/>
    </row>
    <row r="94" spans="1:14" x14ac:dyDescent="0.25">
      <c r="A94" s="344"/>
    </row>
    <row r="95" spans="1:14" x14ac:dyDescent="0.25">
      <c r="A95" s="344"/>
    </row>
    <row r="96" spans="1:14" x14ac:dyDescent="0.25">
      <c r="A96" s="344"/>
    </row>
    <row r="97" spans="1:1" x14ac:dyDescent="0.25">
      <c r="A97" s="344"/>
    </row>
    <row r="98" spans="1:1" x14ac:dyDescent="0.25">
      <c r="A98" s="344"/>
    </row>
    <row r="99" spans="1:1" x14ac:dyDescent="0.25">
      <c r="A99" s="344"/>
    </row>
    <row r="100" spans="1:1" x14ac:dyDescent="0.25">
      <c r="A100" s="344"/>
    </row>
    <row r="101" spans="1:1" x14ac:dyDescent="0.25">
      <c r="A101" s="344"/>
    </row>
    <row r="102" spans="1:1" x14ac:dyDescent="0.25">
      <c r="A102" s="344"/>
    </row>
    <row r="103" spans="1:1" x14ac:dyDescent="0.25">
      <c r="A103" s="344"/>
    </row>
    <row r="104" spans="1:1" x14ac:dyDescent="0.25">
      <c r="A104" s="344"/>
    </row>
    <row r="105" spans="1:1" x14ac:dyDescent="0.25">
      <c r="A105" s="344"/>
    </row>
    <row r="106" spans="1:1" x14ac:dyDescent="0.25">
      <c r="A106" s="344"/>
    </row>
    <row r="107" spans="1:1" x14ac:dyDescent="0.25">
      <c r="A107" s="344"/>
    </row>
    <row r="108" spans="1:1" x14ac:dyDescent="0.25">
      <c r="A108" s="344"/>
    </row>
    <row r="109" spans="1:1" x14ac:dyDescent="0.25">
      <c r="A109" s="344"/>
    </row>
    <row r="110" spans="1:1" x14ac:dyDescent="0.25">
      <c r="A110" s="344"/>
    </row>
    <row r="111" spans="1:1" x14ac:dyDescent="0.25">
      <c r="A111" s="344"/>
    </row>
    <row r="112" spans="1:1" x14ac:dyDescent="0.25">
      <c r="A112" s="344"/>
    </row>
    <row r="113" spans="1:1" x14ac:dyDescent="0.25">
      <c r="A113" s="344"/>
    </row>
    <row r="114" spans="1:1" x14ac:dyDescent="0.25">
      <c r="A114" s="344"/>
    </row>
    <row r="115" spans="1:1" x14ac:dyDescent="0.25">
      <c r="A115" s="344"/>
    </row>
    <row r="116" spans="1:1" x14ac:dyDescent="0.25">
      <c r="A116" s="344"/>
    </row>
    <row r="117" spans="1:1" x14ac:dyDescent="0.25">
      <c r="A117" s="344"/>
    </row>
    <row r="118" spans="1:1" x14ac:dyDescent="0.25">
      <c r="A118" s="344"/>
    </row>
    <row r="119" spans="1:1" x14ac:dyDescent="0.25">
      <c r="A119" s="344"/>
    </row>
    <row r="120" spans="1:1" x14ac:dyDescent="0.25">
      <c r="A120" s="344"/>
    </row>
    <row r="121" spans="1:1" x14ac:dyDescent="0.25">
      <c r="A121" s="344"/>
    </row>
    <row r="122" spans="1:1" x14ac:dyDescent="0.25">
      <c r="A122" s="344"/>
    </row>
    <row r="123" spans="1:1" x14ac:dyDescent="0.25">
      <c r="A123" s="344"/>
    </row>
    <row r="124" spans="1:1" x14ac:dyDescent="0.25">
      <c r="A124" s="344"/>
    </row>
    <row r="125" spans="1:1" x14ac:dyDescent="0.25">
      <c r="A125" s="344"/>
    </row>
    <row r="126" spans="1:1" x14ac:dyDescent="0.25">
      <c r="A126" s="344"/>
    </row>
    <row r="127" spans="1:1" x14ac:dyDescent="0.25">
      <c r="A127" s="344"/>
    </row>
    <row r="128" spans="1:1" x14ac:dyDescent="0.25">
      <c r="A128" s="344"/>
    </row>
    <row r="129" spans="1:1" x14ac:dyDescent="0.25">
      <c r="A129" s="344"/>
    </row>
    <row r="130" spans="1:1" x14ac:dyDescent="0.25">
      <c r="A130" s="344"/>
    </row>
    <row r="131" spans="1:1" x14ac:dyDescent="0.25">
      <c r="A131" s="344"/>
    </row>
    <row r="132" spans="1:1" x14ac:dyDescent="0.25">
      <c r="A132" s="344"/>
    </row>
    <row r="133" spans="1:1" x14ac:dyDescent="0.25">
      <c r="A133" s="344"/>
    </row>
    <row r="134" spans="1:1" x14ac:dyDescent="0.25">
      <c r="A134" s="344"/>
    </row>
    <row r="135" spans="1:1" x14ac:dyDescent="0.25">
      <c r="A135" s="344"/>
    </row>
    <row r="136" spans="1:1" x14ac:dyDescent="0.25">
      <c r="A136" s="344"/>
    </row>
    <row r="137" spans="1:1" x14ac:dyDescent="0.25">
      <c r="A137" s="344"/>
    </row>
    <row r="138" spans="1:1" x14ac:dyDescent="0.25">
      <c r="A138" s="344"/>
    </row>
    <row r="139" spans="1:1" x14ac:dyDescent="0.25">
      <c r="A139" s="344"/>
    </row>
    <row r="140" spans="1:1" x14ac:dyDescent="0.25">
      <c r="A140" s="344"/>
    </row>
    <row r="141" spans="1:1" x14ac:dyDescent="0.25">
      <c r="A141" s="344"/>
    </row>
    <row r="142" spans="1:1" x14ac:dyDescent="0.25">
      <c r="A142" s="344"/>
    </row>
    <row r="143" spans="1:1" x14ac:dyDescent="0.25">
      <c r="A143" s="344"/>
    </row>
    <row r="144" spans="1:1" x14ac:dyDescent="0.25">
      <c r="A144" s="344"/>
    </row>
    <row r="145" spans="1:1" x14ac:dyDescent="0.25">
      <c r="A145" s="344"/>
    </row>
    <row r="146" spans="1:1" x14ac:dyDescent="0.25">
      <c r="A146" s="344"/>
    </row>
    <row r="147" spans="1:1" x14ac:dyDescent="0.25">
      <c r="A147" s="344"/>
    </row>
    <row r="148" spans="1:1" x14ac:dyDescent="0.25">
      <c r="A148" s="344"/>
    </row>
    <row r="149" spans="1:1" x14ac:dyDescent="0.25">
      <c r="A149" s="344"/>
    </row>
    <row r="150" spans="1:1" x14ac:dyDescent="0.25">
      <c r="A150" s="344"/>
    </row>
    <row r="151" spans="1:1" x14ac:dyDescent="0.25">
      <c r="A151" s="344"/>
    </row>
    <row r="152" spans="1:1" x14ac:dyDescent="0.25">
      <c r="A152" s="344"/>
    </row>
    <row r="153" spans="1:1" x14ac:dyDescent="0.25">
      <c r="A153" s="344"/>
    </row>
    <row r="154" spans="1:1" x14ac:dyDescent="0.25">
      <c r="A154" s="344"/>
    </row>
    <row r="155" spans="1:1" x14ac:dyDescent="0.25">
      <c r="A155" s="344"/>
    </row>
    <row r="156" spans="1:1" x14ac:dyDescent="0.25">
      <c r="A156" s="344"/>
    </row>
    <row r="157" spans="1:1" x14ac:dyDescent="0.25">
      <c r="A157" s="344"/>
    </row>
    <row r="158" spans="1:1" x14ac:dyDescent="0.25">
      <c r="A158" s="344"/>
    </row>
    <row r="159" spans="1:1" x14ac:dyDescent="0.25">
      <c r="A159" s="344"/>
    </row>
    <row r="160" spans="1:1" x14ac:dyDescent="0.25">
      <c r="A160" s="344"/>
    </row>
    <row r="161" spans="1:1" x14ac:dyDescent="0.25">
      <c r="A161" s="344"/>
    </row>
    <row r="162" spans="1:1" x14ac:dyDescent="0.25">
      <c r="A162" s="344"/>
    </row>
    <row r="163" spans="1:1" x14ac:dyDescent="0.25">
      <c r="A163" s="344"/>
    </row>
    <row r="164" spans="1:1" x14ac:dyDescent="0.25">
      <c r="A164" s="344"/>
    </row>
    <row r="165" spans="1:1" x14ac:dyDescent="0.25">
      <c r="A165" s="344"/>
    </row>
    <row r="166" spans="1:1" x14ac:dyDescent="0.25">
      <c r="A166" s="344"/>
    </row>
    <row r="167" spans="1:1" x14ac:dyDescent="0.25">
      <c r="A167" s="344"/>
    </row>
    <row r="168" spans="1:1" x14ac:dyDescent="0.25">
      <c r="A168" s="344"/>
    </row>
    <row r="169" spans="1:1" x14ac:dyDescent="0.25">
      <c r="A169" s="344"/>
    </row>
    <row r="170" spans="1:1" x14ac:dyDescent="0.25">
      <c r="A170" s="344"/>
    </row>
    <row r="171" spans="1:1" x14ac:dyDescent="0.25">
      <c r="A171" s="344"/>
    </row>
    <row r="172" spans="1:1" x14ac:dyDescent="0.25">
      <c r="A172" s="344"/>
    </row>
    <row r="173" spans="1:1" x14ac:dyDescent="0.25">
      <c r="A173" s="344"/>
    </row>
    <row r="174" spans="1:1" x14ac:dyDescent="0.25">
      <c r="A174" s="344"/>
    </row>
    <row r="175" spans="1:1" x14ac:dyDescent="0.25">
      <c r="A175" s="344"/>
    </row>
    <row r="176" spans="1:1" x14ac:dyDescent="0.25">
      <c r="A176" s="344"/>
    </row>
    <row r="177" spans="1:1" x14ac:dyDescent="0.25">
      <c r="A177" s="344"/>
    </row>
    <row r="178" spans="1:1" x14ac:dyDescent="0.25">
      <c r="A178" s="344"/>
    </row>
    <row r="179" spans="1:1" x14ac:dyDescent="0.25">
      <c r="A179" s="344"/>
    </row>
    <row r="180" spans="1:1" x14ac:dyDescent="0.25">
      <c r="A180" s="344"/>
    </row>
    <row r="181" spans="1:1" x14ac:dyDescent="0.25">
      <c r="A181" s="344"/>
    </row>
    <row r="182" spans="1:1" x14ac:dyDescent="0.25">
      <c r="A182" s="344"/>
    </row>
    <row r="183" spans="1:1" x14ac:dyDescent="0.25">
      <c r="A183" s="344"/>
    </row>
    <row r="184" spans="1:1" x14ac:dyDescent="0.25">
      <c r="A184" s="344"/>
    </row>
    <row r="185" spans="1:1" x14ac:dyDescent="0.25">
      <c r="A185" s="344"/>
    </row>
    <row r="186" spans="1:1" x14ac:dyDescent="0.25">
      <c r="A186" s="344"/>
    </row>
    <row r="187" spans="1:1" x14ac:dyDescent="0.25">
      <c r="A187" s="344"/>
    </row>
    <row r="188" spans="1:1" x14ac:dyDescent="0.25">
      <c r="A188" s="344"/>
    </row>
    <row r="189" spans="1:1" x14ac:dyDescent="0.25">
      <c r="A189" s="344"/>
    </row>
    <row r="190" spans="1:1" x14ac:dyDescent="0.25">
      <c r="A190" s="344"/>
    </row>
    <row r="191" spans="1:1" x14ac:dyDescent="0.25">
      <c r="A191" s="344"/>
    </row>
    <row r="192" spans="1:1" x14ac:dyDescent="0.25">
      <c r="A192" s="344"/>
    </row>
    <row r="193" spans="1:1" x14ac:dyDescent="0.25">
      <c r="A193" s="344"/>
    </row>
    <row r="194" spans="1:1" x14ac:dyDescent="0.25">
      <c r="A194" s="344"/>
    </row>
    <row r="195" spans="1:1" x14ac:dyDescent="0.25">
      <c r="A195" s="344"/>
    </row>
    <row r="196" spans="1:1" x14ac:dyDescent="0.25">
      <c r="A196" s="344"/>
    </row>
    <row r="197" spans="1:1" x14ac:dyDescent="0.25">
      <c r="A197" s="344"/>
    </row>
    <row r="198" spans="1:1" x14ac:dyDescent="0.25">
      <c r="A198" s="344"/>
    </row>
    <row r="199" spans="1:1" x14ac:dyDescent="0.25">
      <c r="A199" s="344"/>
    </row>
    <row r="200" spans="1:1" x14ac:dyDescent="0.25">
      <c r="A200" s="344"/>
    </row>
    <row r="201" spans="1:1" x14ac:dyDescent="0.25">
      <c r="A201" s="344"/>
    </row>
    <row r="202" spans="1:1" x14ac:dyDescent="0.25">
      <c r="A202" s="344"/>
    </row>
    <row r="203" spans="1:1" x14ac:dyDescent="0.25">
      <c r="A203" s="344"/>
    </row>
    <row r="204" spans="1:1" x14ac:dyDescent="0.25">
      <c r="A204" s="344"/>
    </row>
    <row r="205" spans="1:1" x14ac:dyDescent="0.25">
      <c r="A205" s="344"/>
    </row>
    <row r="206" spans="1:1" x14ac:dyDescent="0.25">
      <c r="A206" s="344"/>
    </row>
    <row r="207" spans="1:1" x14ac:dyDescent="0.25">
      <c r="A207" s="344"/>
    </row>
    <row r="208" spans="1:1" x14ac:dyDescent="0.25">
      <c r="A208" s="344"/>
    </row>
    <row r="209" spans="1:1" x14ac:dyDescent="0.25">
      <c r="A209" s="344"/>
    </row>
    <row r="210" spans="1:1" x14ac:dyDescent="0.25">
      <c r="A210" s="344"/>
    </row>
    <row r="211" spans="1:1" x14ac:dyDescent="0.25">
      <c r="A211" s="344"/>
    </row>
    <row r="212" spans="1:1" x14ac:dyDescent="0.25">
      <c r="A212" s="344"/>
    </row>
    <row r="213" spans="1:1" x14ac:dyDescent="0.25">
      <c r="A213" s="344"/>
    </row>
    <row r="214" spans="1:1" x14ac:dyDescent="0.25">
      <c r="A214" s="344"/>
    </row>
    <row r="215" spans="1:1" x14ac:dyDescent="0.25">
      <c r="A215" s="344"/>
    </row>
    <row r="216" spans="1:1" x14ac:dyDescent="0.25">
      <c r="A216" s="344"/>
    </row>
    <row r="217" spans="1:1" x14ac:dyDescent="0.25">
      <c r="A217" s="344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85"/>
  <sheetViews>
    <sheetView workbookViewId="0">
      <pane xSplit="3" ySplit="7" topLeftCell="D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3.2" outlineLevelCol="1" x14ac:dyDescent="0.25"/>
  <cols>
    <col min="1" max="1" width="11.5546875" style="197" customWidth="1"/>
    <col min="2" max="2" width="49.5546875" style="197" customWidth="1"/>
    <col min="3" max="3" width="8.44140625" style="200" bestFit="1" customWidth="1"/>
    <col min="4" max="4" width="16" style="197" customWidth="1" outlineLevel="1"/>
    <col min="5" max="9" width="15.5546875" style="197" customWidth="1" outlineLevel="1"/>
    <col min="10" max="12" width="15.5546875" style="197" customWidth="1"/>
    <col min="13" max="14" width="15.5546875" style="197" bestFit="1" customWidth="1"/>
    <col min="15" max="16384" width="9.109375" style="197"/>
  </cols>
  <sheetData>
    <row r="3" spans="1:14" x14ac:dyDescent="0.25">
      <c r="A3" s="335" t="s">
        <v>740</v>
      </c>
    </row>
    <row r="6" spans="1:14" x14ac:dyDescent="0.25">
      <c r="C6" s="337" t="s">
        <v>718</v>
      </c>
      <c r="D6" s="340">
        <v>0.6462</v>
      </c>
      <c r="E6" s="340">
        <v>0.64790000000000003</v>
      </c>
      <c r="F6" s="340">
        <v>0.66510000000000002</v>
      </c>
      <c r="G6" s="340">
        <f>'El Gross Plant Data'!G6</f>
        <v>0.65949999999999998</v>
      </c>
      <c r="H6" s="340">
        <v>0.67110000000000003</v>
      </c>
      <c r="I6" s="340">
        <f>'El Gross Plant Data'!I6</f>
        <v>0.67979999999999996</v>
      </c>
      <c r="J6" s="340">
        <f>'El Gross Plant Data'!J6</f>
        <v>0.6855</v>
      </c>
      <c r="K6" s="340">
        <f>'El Gross Plant Data'!K6</f>
        <v>0.68410000000000004</v>
      </c>
      <c r="L6" s="340">
        <v>0.66769999999999996</v>
      </c>
      <c r="M6" s="340">
        <f>'El Gross Plant Data'!M6</f>
        <v>0.65590000000000004</v>
      </c>
      <c r="N6" s="340">
        <f>'El Gross Plant Data'!N6</f>
        <v>0.66190000000000004</v>
      </c>
    </row>
    <row r="7" spans="1:14" x14ac:dyDescent="0.25">
      <c r="A7" s="421" t="s">
        <v>407</v>
      </c>
      <c r="B7" s="421" t="s">
        <v>289</v>
      </c>
      <c r="C7" s="421" t="s">
        <v>717</v>
      </c>
      <c r="D7" s="421">
        <v>2008</v>
      </c>
      <c r="E7" s="421">
        <v>2009</v>
      </c>
      <c r="F7" s="421">
        <v>2010</v>
      </c>
      <c r="G7" s="421">
        <v>2011</v>
      </c>
      <c r="H7" s="421">
        <v>2012</v>
      </c>
      <c r="I7" s="421">
        <v>2013</v>
      </c>
      <c r="J7" s="421">
        <v>2014</v>
      </c>
      <c r="K7" s="421">
        <v>2015</v>
      </c>
      <c r="L7" s="421">
        <v>2016</v>
      </c>
      <c r="M7" s="421">
        <v>2017</v>
      </c>
      <c r="N7" s="421">
        <v>2018</v>
      </c>
    </row>
    <row r="9" spans="1:14" x14ac:dyDescent="0.25">
      <c r="A9" s="344" t="s">
        <v>738</v>
      </c>
      <c r="B9" s="354" t="s">
        <v>716</v>
      </c>
      <c r="C9" s="345"/>
      <c r="D9" s="352">
        <v>-605727435</v>
      </c>
      <c r="E9" s="352">
        <v>-643592260</v>
      </c>
      <c r="F9" s="352">
        <v>-658912476</v>
      </c>
      <c r="G9" s="352">
        <v>-672754327</v>
      </c>
      <c r="H9" s="352">
        <v>-687413869</v>
      </c>
      <c r="I9" s="352">
        <v>-685872383.25</v>
      </c>
      <c r="J9" s="352">
        <v>-749682896</v>
      </c>
      <c r="K9" s="352">
        <v>-753768635</v>
      </c>
      <c r="L9" s="352">
        <v>-767242776</v>
      </c>
      <c r="M9" s="352">
        <v>-787241308</v>
      </c>
      <c r="N9" s="352">
        <v>-911232338</v>
      </c>
    </row>
    <row r="10" spans="1:14" x14ac:dyDescent="0.25">
      <c r="A10" s="344" t="s">
        <v>738</v>
      </c>
      <c r="B10" s="354" t="s">
        <v>715</v>
      </c>
      <c r="C10" s="345"/>
      <c r="D10" s="258">
        <v>-139688543</v>
      </c>
      <c r="E10" s="258">
        <v>-148798389</v>
      </c>
      <c r="F10" s="258">
        <v>-147630525</v>
      </c>
      <c r="G10" s="258">
        <v>-142049773</v>
      </c>
      <c r="H10" s="258">
        <v>-146496652</v>
      </c>
      <c r="I10" s="258">
        <v>-153208472</v>
      </c>
      <c r="J10" s="258">
        <v>-163542139</v>
      </c>
      <c r="K10" s="258">
        <v>-134867556</v>
      </c>
      <c r="L10" s="258">
        <v>-146756294</v>
      </c>
      <c r="M10" s="258">
        <v>-158855735</v>
      </c>
      <c r="N10" s="258">
        <v>-174124890</v>
      </c>
    </row>
    <row r="11" spans="1:14" x14ac:dyDescent="0.25">
      <c r="A11" s="344" t="s">
        <v>738</v>
      </c>
      <c r="B11" s="354" t="s">
        <v>714</v>
      </c>
      <c r="C11" s="348"/>
      <c r="D11" s="258">
        <v>-253525351</v>
      </c>
      <c r="E11" s="258">
        <v>-322694871</v>
      </c>
      <c r="F11" s="258">
        <v>-366907946</v>
      </c>
      <c r="G11" s="258">
        <v>-391474556</v>
      </c>
      <c r="H11" s="258">
        <v>-435788041</v>
      </c>
      <c r="I11" s="258">
        <v>-582111841</v>
      </c>
      <c r="J11" s="258">
        <v>-592890932</v>
      </c>
      <c r="K11" s="258">
        <v>-657111575</v>
      </c>
      <c r="L11" s="258">
        <v>-711194692</v>
      </c>
      <c r="M11" s="258">
        <v>-726560792</v>
      </c>
      <c r="N11" s="258">
        <v>-757162517</v>
      </c>
    </row>
    <row r="12" spans="1:14" x14ac:dyDescent="0.25">
      <c r="A12" s="344" t="s">
        <v>738</v>
      </c>
      <c r="B12" s="458" t="s">
        <v>64</v>
      </c>
      <c r="C12" s="348" t="s">
        <v>291</v>
      </c>
      <c r="D12" s="368">
        <f>SUM(D9:D11)+D45</f>
        <v>-999091264.68096519</v>
      </c>
      <c r="E12" s="368">
        <f>SUM(E9:E11)+E45</f>
        <v>-1113317791.436832</v>
      </c>
      <c r="F12" s="368">
        <f>SUM(F9:F11)+F45</f>
        <v>-1170195014.8882952</v>
      </c>
      <c r="G12" s="368">
        <f>SUM(G9:G11)+G45</f>
        <v>-1204821094.4418714</v>
      </c>
      <c r="H12" s="368">
        <v>-1275379462.3968384</v>
      </c>
      <c r="I12" s="368">
        <f t="shared" ref="I12:N12" si="0">SUM(I9:I11)+I45</f>
        <v>-1419407455.5965569</v>
      </c>
      <c r="J12" s="368">
        <f t="shared" si="0"/>
        <v>-1504782897.2270181</v>
      </c>
      <c r="K12" s="368">
        <f t="shared" si="0"/>
        <v>-1543083658.4994764</v>
      </c>
      <c r="L12" s="368">
        <f t="shared" si="0"/>
        <v>-1620589261.544507</v>
      </c>
      <c r="M12" s="368">
        <f t="shared" si="0"/>
        <v>-1667142884.6891887</v>
      </c>
      <c r="N12" s="368">
        <f t="shared" si="0"/>
        <v>-1836519624.695049</v>
      </c>
    </row>
    <row r="13" spans="1:14" x14ac:dyDescent="0.25">
      <c r="A13" s="344" t="s">
        <v>738</v>
      </c>
      <c r="B13" s="354" t="s">
        <v>65</v>
      </c>
      <c r="C13" s="348" t="s">
        <v>292</v>
      </c>
      <c r="D13" s="258">
        <v>-130519731.3645315</v>
      </c>
      <c r="E13" s="258">
        <v>-137974039.50109237</v>
      </c>
      <c r="F13" s="258">
        <v>-149867861.03248185</v>
      </c>
      <c r="G13" s="258">
        <v>-163045905.25924298</v>
      </c>
      <c r="H13" s="258">
        <v>-348239884.73031729</v>
      </c>
      <c r="I13" s="258">
        <v>-361703071.32256812</v>
      </c>
      <c r="J13" s="258">
        <v>-389918990.27407849</v>
      </c>
      <c r="K13" s="258">
        <v>-408365690.63118446</v>
      </c>
      <c r="L13" s="258">
        <v>-442846745.35244435</v>
      </c>
      <c r="M13" s="258">
        <v>-476822351.74852687</v>
      </c>
      <c r="N13" s="258">
        <f>-504158870+N46</f>
        <v>-502517089.01989543</v>
      </c>
    </row>
    <row r="14" spans="1:14" x14ac:dyDescent="0.25">
      <c r="A14" s="344" t="s">
        <v>738</v>
      </c>
      <c r="B14" s="354" t="s">
        <v>66</v>
      </c>
      <c r="C14" s="348" t="s">
        <v>214</v>
      </c>
      <c r="D14" s="258">
        <v>-1126451240.8545363</v>
      </c>
      <c r="E14" s="258">
        <v>-1170934912.8382633</v>
      </c>
      <c r="F14" s="258">
        <v>-1211512274.3985515</v>
      </c>
      <c r="G14" s="258">
        <v>-1245640993.5782559</v>
      </c>
      <c r="H14" s="258">
        <v>-1127993916.4244936</v>
      </c>
      <c r="I14" s="258">
        <v>-1185442910.4983323</v>
      </c>
      <c r="J14" s="258">
        <v>-1241566761.3589385</v>
      </c>
      <c r="K14" s="258">
        <v>-1303124886.2088988</v>
      </c>
      <c r="L14" s="258">
        <v>-1341964000.7757533</v>
      </c>
      <c r="M14" s="258">
        <v>-1389919942.1087778</v>
      </c>
      <c r="N14" s="258">
        <f>-1465787791+N47</f>
        <v>-1461014489.0522759</v>
      </c>
    </row>
    <row r="15" spans="1:14" x14ac:dyDescent="0.25">
      <c r="A15" s="344" t="s">
        <v>738</v>
      </c>
      <c r="B15" s="354" t="s">
        <v>67</v>
      </c>
      <c r="C15" s="348" t="s">
        <v>217</v>
      </c>
      <c r="D15" s="258">
        <v>-8921976.9394295197</v>
      </c>
      <c r="E15" s="258">
        <v>-11377178.290007764</v>
      </c>
      <c r="F15" s="258">
        <v>-12382618.797195476</v>
      </c>
      <c r="G15" s="258">
        <v>-16590837.831299845</v>
      </c>
      <c r="H15" s="258">
        <v>-18477474.465999864</v>
      </c>
      <c r="I15" s="258">
        <v>-14086903.469792385</v>
      </c>
      <c r="J15" s="258">
        <v>-25631766.114708688</v>
      </c>
      <c r="K15" s="258">
        <v>-27910133.632435787</v>
      </c>
      <c r="L15" s="258">
        <v>-32773833.321481057</v>
      </c>
      <c r="M15" s="258">
        <v>-43398523.599758007</v>
      </c>
      <c r="N15" s="258">
        <f>-58246135+N48</f>
        <v>-58056457.891655952</v>
      </c>
    </row>
    <row r="16" spans="1:14" x14ac:dyDescent="0.25">
      <c r="A16" s="344" t="s">
        <v>738</v>
      </c>
      <c r="B16" s="354" t="s">
        <v>68</v>
      </c>
      <c r="C16" s="348" t="s">
        <v>216</v>
      </c>
      <c r="D16" s="258">
        <v>-51294108.160537355</v>
      </c>
      <c r="E16" s="258">
        <v>-43485103.933804691</v>
      </c>
      <c r="F16" s="258">
        <v>-27075940.883475993</v>
      </c>
      <c r="G16" s="258">
        <v>-37661209.889329858</v>
      </c>
      <c r="H16" s="258">
        <v>-47442032.436517268</v>
      </c>
      <c r="I16" s="258">
        <v>-58511986.505250342</v>
      </c>
      <c r="J16" s="258">
        <v>-69751837.025256246</v>
      </c>
      <c r="K16" s="258">
        <v>-81037285.028004572</v>
      </c>
      <c r="L16" s="258">
        <v>-95716851.005814299</v>
      </c>
      <c r="M16" s="258">
        <v>-108102915.85374849</v>
      </c>
      <c r="N16" s="258">
        <f>-87103436+N49</f>
        <v>-86820938.34112367</v>
      </c>
    </row>
    <row r="17" spans="1:15" x14ac:dyDescent="0.25">
      <c r="A17" s="344" t="s">
        <v>738</v>
      </c>
      <c r="B17" s="354" t="s">
        <v>713</v>
      </c>
      <c r="C17" s="348" t="s">
        <v>216</v>
      </c>
      <c r="D17" s="258">
        <v>-1341677</v>
      </c>
      <c r="E17" s="258">
        <v>116943</v>
      </c>
      <c r="F17" s="258">
        <v>-151829</v>
      </c>
      <c r="G17" s="258">
        <v>-453</v>
      </c>
      <c r="H17" s="459" t="s">
        <v>739</v>
      </c>
      <c r="I17" s="459" t="s">
        <v>739</v>
      </c>
      <c r="J17" s="258">
        <v>596431</v>
      </c>
      <c r="K17" s="258">
        <v>22886</v>
      </c>
      <c r="L17" s="258">
        <v>-487609</v>
      </c>
      <c r="M17" s="355">
        <v>0</v>
      </c>
      <c r="N17" s="355">
        <v>353923</v>
      </c>
    </row>
    <row r="18" spans="1:15" x14ac:dyDescent="0.25">
      <c r="A18" s="344" t="s">
        <v>738</v>
      </c>
      <c r="B18" s="197" t="s">
        <v>711</v>
      </c>
      <c r="C18" s="200" t="s">
        <v>217</v>
      </c>
      <c r="D18" s="258">
        <v>-25613448.503931042</v>
      </c>
      <c r="E18" s="258">
        <v>-42715829.193386577</v>
      </c>
      <c r="F18" s="258">
        <v>-41178969.250912383</v>
      </c>
      <c r="G18" s="258">
        <v>-32542678.763104342</v>
      </c>
      <c r="H18" s="258">
        <v>-36035621.437774926</v>
      </c>
      <c r="I18" s="258">
        <v>-26979641.54783437</v>
      </c>
      <c r="J18" s="258">
        <v>-33763392.619828358</v>
      </c>
      <c r="K18" s="258">
        <v>-31470318.018895771</v>
      </c>
      <c r="L18" s="258">
        <v>-34735085.772925258</v>
      </c>
      <c r="M18" s="258">
        <v>-43605824.157308154</v>
      </c>
      <c r="N18" s="258">
        <v>-70607029.470200002</v>
      </c>
    </row>
    <row r="19" spans="1:15" x14ac:dyDescent="0.25">
      <c r="A19" s="344" t="s">
        <v>738</v>
      </c>
      <c r="B19" s="354" t="s">
        <v>710</v>
      </c>
      <c r="C19" s="200" t="s">
        <v>216</v>
      </c>
      <c r="D19" s="258">
        <v>-151108210.86246896</v>
      </c>
      <c r="E19" s="258">
        <v>-162826573.30831343</v>
      </c>
      <c r="F19" s="258">
        <v>-90547203.072787628</v>
      </c>
      <c r="G19" s="258">
        <v>-73872785.060895652</v>
      </c>
      <c r="H19" s="258">
        <v>-92523635.969125077</v>
      </c>
      <c r="I19" s="258">
        <v>-112063834.72056562</v>
      </c>
      <c r="J19" s="258">
        <v>-91094820.19167164</v>
      </c>
      <c r="K19" s="258">
        <v>-91348502.128204226</v>
      </c>
      <c r="L19" s="258">
        <v>-101961529.40857473</v>
      </c>
      <c r="M19" s="258">
        <v>-108619288.13719186</v>
      </c>
      <c r="N19" s="258">
        <v>-95917875.823800012</v>
      </c>
    </row>
    <row r="20" spans="1:15" ht="13.2" customHeight="1" x14ac:dyDescent="0.25">
      <c r="A20" s="460" t="s">
        <v>737</v>
      </c>
      <c r="B20" s="209" t="s">
        <v>736</v>
      </c>
      <c r="C20" s="200" t="s">
        <v>216</v>
      </c>
      <c r="D20" s="258">
        <v>115789</v>
      </c>
      <c r="E20" s="258"/>
      <c r="F20" s="258"/>
      <c r="G20" s="258"/>
      <c r="J20" s="258"/>
      <c r="L20" s="258"/>
      <c r="M20" s="258"/>
      <c r="N20" s="258"/>
    </row>
    <row r="21" spans="1:15" ht="15" customHeight="1" x14ac:dyDescent="0.25">
      <c r="A21" s="460" t="s">
        <v>735</v>
      </c>
      <c r="B21" s="209" t="s">
        <v>734</v>
      </c>
      <c r="C21" s="200" t="s">
        <v>216</v>
      </c>
      <c r="D21" s="258">
        <v>7116.6005999999998</v>
      </c>
      <c r="E21" s="258"/>
      <c r="F21" s="258"/>
      <c r="G21" s="258"/>
      <c r="J21" s="258"/>
      <c r="L21" s="258"/>
      <c r="M21" s="258"/>
      <c r="N21" s="258"/>
    </row>
    <row r="22" spans="1:15" ht="14.4" x14ac:dyDescent="0.3">
      <c r="A22" s="357">
        <v>10800061</v>
      </c>
      <c r="B22" s="209" t="s">
        <v>733</v>
      </c>
      <c r="C22" s="348" t="s">
        <v>291</v>
      </c>
      <c r="D22" s="60">
        <v>-34194581</v>
      </c>
      <c r="E22" s="60">
        <v>-43322621</v>
      </c>
      <c r="F22" s="60">
        <v>-44268915</v>
      </c>
      <c r="G22" s="60">
        <v>-43363347</v>
      </c>
      <c r="H22" s="60">
        <v>-48245551</v>
      </c>
      <c r="I22" s="60">
        <v>-48136469</v>
      </c>
      <c r="J22" s="258">
        <v>-60107767</v>
      </c>
      <c r="K22" s="60">
        <v>-74670834</v>
      </c>
      <c r="L22" s="258">
        <v>-78977744</v>
      </c>
      <c r="M22" s="258">
        <v>-73839551</v>
      </c>
      <c r="N22" s="258">
        <v>0</v>
      </c>
    </row>
    <row r="23" spans="1:15" ht="14.4" x14ac:dyDescent="0.3">
      <c r="A23" s="357">
        <v>10800071</v>
      </c>
      <c r="B23" s="209" t="s">
        <v>732</v>
      </c>
      <c r="C23" s="348" t="s">
        <v>291</v>
      </c>
      <c r="D23" s="60">
        <v>34194581</v>
      </c>
      <c r="E23" s="60">
        <v>43322621</v>
      </c>
      <c r="F23" s="60">
        <v>44268915</v>
      </c>
      <c r="G23" s="60">
        <v>43363347</v>
      </c>
      <c r="H23" s="60">
        <v>48245551</v>
      </c>
      <c r="I23" s="60">
        <v>48136469</v>
      </c>
      <c r="J23" s="258">
        <v>60107767</v>
      </c>
      <c r="K23" s="60">
        <v>74670834</v>
      </c>
      <c r="L23" s="258">
        <v>80818215</v>
      </c>
      <c r="M23" s="258">
        <v>79360963</v>
      </c>
      <c r="N23" s="258">
        <v>0</v>
      </c>
    </row>
    <row r="24" spans="1:15" ht="14.4" x14ac:dyDescent="0.3">
      <c r="A24" s="344">
        <v>10800541</v>
      </c>
      <c r="B24" s="197" t="s">
        <v>720</v>
      </c>
      <c r="C24" s="200" t="s">
        <v>292</v>
      </c>
      <c r="D24" s="60">
        <v>0</v>
      </c>
      <c r="E24" s="60">
        <v>0</v>
      </c>
      <c r="F24" s="258">
        <v>0</v>
      </c>
      <c r="G24" s="258">
        <v>0</v>
      </c>
      <c r="H24" s="60">
        <v>0</v>
      </c>
      <c r="I24" s="60">
        <v>0</v>
      </c>
      <c r="J24" s="258">
        <v>0</v>
      </c>
      <c r="K24" s="258">
        <v>0</v>
      </c>
      <c r="L24" s="258">
        <v>0</v>
      </c>
      <c r="M24" s="258">
        <v>0</v>
      </c>
      <c r="N24" s="258">
        <v>0</v>
      </c>
      <c r="O24" s="359" t="s">
        <v>731</v>
      </c>
    </row>
    <row r="25" spans="1:15" ht="14.4" x14ac:dyDescent="0.3">
      <c r="A25" s="344">
        <v>10800543</v>
      </c>
      <c r="B25" s="197" t="s">
        <v>730</v>
      </c>
      <c r="C25" s="200" t="s">
        <v>292</v>
      </c>
      <c r="D25" s="60">
        <v>7945.0289999999995</v>
      </c>
      <c r="E25" s="60">
        <v>25846.6747</v>
      </c>
      <c r="F25" s="60">
        <v>56582.052300000003</v>
      </c>
      <c r="G25" s="60">
        <v>34970.646999999997</v>
      </c>
      <c r="H25" s="60">
        <v>10498.017300000001</v>
      </c>
      <c r="I25" s="60">
        <v>-148484.63519999999</v>
      </c>
      <c r="J25" s="258">
        <v>155208.8535</v>
      </c>
      <c r="K25" s="60">
        <v>177467.85380000001</v>
      </c>
      <c r="L25" s="258">
        <v>57281.983</v>
      </c>
      <c r="M25" s="259">
        <v>24166.6355</v>
      </c>
      <c r="N25" s="258">
        <v>40144.8969</v>
      </c>
      <c r="O25" s="359" t="s">
        <v>729</v>
      </c>
    </row>
    <row r="26" spans="1:15" ht="14.4" x14ac:dyDescent="0.3">
      <c r="A26" s="344">
        <v>11500001</v>
      </c>
      <c r="B26" s="197" t="s">
        <v>728</v>
      </c>
      <c r="C26" s="200" t="s">
        <v>292</v>
      </c>
      <c r="D26" s="60">
        <v>-680289</v>
      </c>
      <c r="E26" s="60">
        <v>-706089</v>
      </c>
      <c r="F26" s="60">
        <v>-731889</v>
      </c>
      <c r="G26" s="60">
        <v>-757689</v>
      </c>
      <c r="H26" s="60">
        <v>-783489</v>
      </c>
      <c r="I26" s="60">
        <v>-809289</v>
      </c>
      <c r="J26" s="258">
        <v>-835089</v>
      </c>
      <c r="K26" s="60">
        <v>-860889</v>
      </c>
      <c r="L26" s="258">
        <v>-886689</v>
      </c>
      <c r="M26" s="258">
        <v>-912489</v>
      </c>
      <c r="N26" s="258">
        <v>-938289</v>
      </c>
    </row>
    <row r="27" spans="1:15" ht="14.4" x14ac:dyDescent="0.3">
      <c r="A27" s="344">
        <v>11500011</v>
      </c>
      <c r="B27" s="197" t="s">
        <v>727</v>
      </c>
      <c r="C27" s="200" t="s">
        <v>292</v>
      </c>
      <c r="D27" s="60">
        <v>-265999</v>
      </c>
      <c r="E27" s="60">
        <v>-277199</v>
      </c>
      <c r="F27" s="60">
        <v>-288399</v>
      </c>
      <c r="G27" s="60">
        <v>-299920</v>
      </c>
      <c r="H27" s="60">
        <v>-302358</v>
      </c>
      <c r="I27" s="60">
        <v>-302358</v>
      </c>
      <c r="J27" s="258">
        <v>-302358</v>
      </c>
      <c r="K27" s="60">
        <v>-302358</v>
      </c>
      <c r="L27" s="258">
        <v>-302358</v>
      </c>
      <c r="M27" s="258">
        <v>-302358</v>
      </c>
      <c r="N27" s="258">
        <v>-302358</v>
      </c>
    </row>
    <row r="28" spans="1:15" ht="14.4" x14ac:dyDescent="0.3">
      <c r="A28" s="344">
        <v>11500031</v>
      </c>
      <c r="B28" s="197" t="s">
        <v>726</v>
      </c>
      <c r="C28" s="200" t="s">
        <v>291</v>
      </c>
      <c r="D28" s="60">
        <v>-38597689</v>
      </c>
      <c r="E28" s="60">
        <v>-41250589</v>
      </c>
      <c r="F28" s="60">
        <v>-43903489</v>
      </c>
      <c r="G28" s="60">
        <v>-46556389</v>
      </c>
      <c r="H28" s="60">
        <v>-49209289</v>
      </c>
      <c r="I28" s="60">
        <v>-51862189</v>
      </c>
      <c r="J28" s="258">
        <v>-54515089</v>
      </c>
      <c r="K28" s="60">
        <v>-57167989</v>
      </c>
      <c r="L28" s="258">
        <v>-59820889</v>
      </c>
      <c r="M28" s="258">
        <v>-62473789</v>
      </c>
      <c r="N28" s="258">
        <v>-65126689</v>
      </c>
    </row>
    <row r="29" spans="1:15" ht="14.4" x14ac:dyDescent="0.3">
      <c r="A29" s="344">
        <v>11591001</v>
      </c>
      <c r="B29" s="197" t="s">
        <v>725</v>
      </c>
      <c r="C29" s="200" t="s">
        <v>291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258">
        <v>0</v>
      </c>
      <c r="K29" s="60">
        <v>0</v>
      </c>
      <c r="L29" s="258">
        <v>0</v>
      </c>
      <c r="M29" s="258">
        <v>0</v>
      </c>
      <c r="N29" s="258">
        <v>0</v>
      </c>
    </row>
    <row r="30" spans="1:15" ht="14.4" x14ac:dyDescent="0.3">
      <c r="A30" s="344" t="s">
        <v>724</v>
      </c>
      <c r="B30" s="197" t="s">
        <v>723</v>
      </c>
      <c r="C30" s="200" t="s">
        <v>291</v>
      </c>
      <c r="D30" s="60">
        <v>-15410</v>
      </c>
      <c r="E30" s="60">
        <v>-2596952</v>
      </c>
      <c r="F30" s="60">
        <v>-7176402</v>
      </c>
      <c r="G30" s="60">
        <v>-11792893</v>
      </c>
      <c r="H30" s="60">
        <v>-16409392</v>
      </c>
      <c r="I30" s="60">
        <v>-21025891</v>
      </c>
      <c r="J30" s="258">
        <v>-25642391</v>
      </c>
      <c r="K30" s="60">
        <v>-30258890</v>
      </c>
      <c r="L30" s="258">
        <v>-34875389</v>
      </c>
      <c r="M30" s="258">
        <v>-39491889</v>
      </c>
      <c r="N30" s="258">
        <v>-44108388</v>
      </c>
    </row>
    <row r="31" spans="1:15" ht="14.4" x14ac:dyDescent="0.3">
      <c r="A31" s="344">
        <v>11500051</v>
      </c>
      <c r="B31" s="197" t="s">
        <v>722</v>
      </c>
      <c r="C31" s="200" t="s">
        <v>291</v>
      </c>
      <c r="D31" s="60">
        <v>0</v>
      </c>
      <c r="E31" s="60">
        <v>-945782</v>
      </c>
      <c r="F31" s="60">
        <v>-3226721</v>
      </c>
      <c r="G31" s="60">
        <v>-5511626</v>
      </c>
      <c r="H31" s="60">
        <v>-7796531</v>
      </c>
      <c r="I31" s="60">
        <v>-10081436</v>
      </c>
      <c r="J31" s="258">
        <v>-12366341</v>
      </c>
      <c r="K31" s="60">
        <v>-14651245</v>
      </c>
      <c r="L31" s="258">
        <v>-16655217</v>
      </c>
      <c r="M31" s="258">
        <v>-16950333</v>
      </c>
      <c r="N31" s="258">
        <v>-16950333</v>
      </c>
    </row>
    <row r="32" spans="1:15" ht="14.4" x14ac:dyDescent="0.3">
      <c r="A32" s="344">
        <v>11500061</v>
      </c>
      <c r="B32" s="197" t="s">
        <v>721</v>
      </c>
      <c r="C32" s="200" t="s">
        <v>291</v>
      </c>
      <c r="D32" s="60">
        <v>0</v>
      </c>
      <c r="E32" s="60">
        <v>0</v>
      </c>
      <c r="F32" s="60">
        <v>0</v>
      </c>
      <c r="G32" s="60">
        <v>0</v>
      </c>
      <c r="H32" s="60">
        <v>-10525</v>
      </c>
      <c r="I32" s="60">
        <v>-715255</v>
      </c>
      <c r="J32" s="258">
        <v>-1859790</v>
      </c>
      <c r="K32" s="60">
        <v>-3004784</v>
      </c>
      <c r="L32" s="258">
        <v>-4149777</v>
      </c>
      <c r="M32" s="258">
        <v>-5294771</v>
      </c>
      <c r="N32" s="258">
        <v>-6439765</v>
      </c>
    </row>
    <row r="33" spans="1:14" x14ac:dyDescent="0.25">
      <c r="A33" s="344"/>
      <c r="D33" s="368"/>
      <c r="E33" s="368"/>
      <c r="F33" s="368"/>
      <c r="G33" s="368"/>
      <c r="H33" s="368"/>
      <c r="I33" s="368"/>
      <c r="J33" s="368"/>
      <c r="K33" s="368"/>
      <c r="L33" s="368"/>
      <c r="M33" s="368"/>
      <c r="N33" s="368"/>
    </row>
    <row r="34" spans="1:14" ht="13.8" thickBot="1" x14ac:dyDescent="0.3">
      <c r="A34" s="344"/>
      <c r="D34" s="387">
        <f t="shared" ref="D34:N34" si="1">SUM(D12:D33)</f>
        <v>-2533770194.7368002</v>
      </c>
      <c r="E34" s="387">
        <f t="shared" si="1"/>
        <v>-2728265249.8270001</v>
      </c>
      <c r="F34" s="387">
        <f t="shared" si="1"/>
        <v>-2758182029.2713995</v>
      </c>
      <c r="G34" s="387">
        <f t="shared" si="1"/>
        <v>-2839059504.177</v>
      </c>
      <c r="H34" s="387">
        <f t="shared" si="1"/>
        <v>-3020593113.8437667</v>
      </c>
      <c r="I34" s="387">
        <f t="shared" si="1"/>
        <v>-3263140706.2961006</v>
      </c>
      <c r="J34" s="387">
        <f t="shared" si="1"/>
        <v>-3451279882.9580002</v>
      </c>
      <c r="K34" s="387">
        <f t="shared" si="1"/>
        <v>-3592386275.2933002</v>
      </c>
      <c r="L34" s="387">
        <f t="shared" si="1"/>
        <v>-3785867482.1985002</v>
      </c>
      <c r="M34" s="387">
        <f t="shared" si="1"/>
        <v>-3957491780.6589999</v>
      </c>
      <c r="N34" s="387">
        <f t="shared" si="1"/>
        <v>-4244925258.3971</v>
      </c>
    </row>
    <row r="35" spans="1:14" ht="13.8" thickTop="1" x14ac:dyDescent="0.25">
      <c r="A35" s="344"/>
      <c r="C35" s="388" t="s">
        <v>295</v>
      </c>
      <c r="D35" s="381">
        <v>-0.12340164184570313</v>
      </c>
      <c r="E35" s="381">
        <v>-0.8551487922668457</v>
      </c>
      <c r="F35" s="381">
        <v>-0.20935297012329102</v>
      </c>
      <c r="G35" s="381">
        <v>0.979522705078125</v>
      </c>
      <c r="H35" s="381">
        <v>2.69830322265625</v>
      </c>
      <c r="I35" s="381">
        <v>0.59249305725097656</v>
      </c>
      <c r="J35" s="381">
        <v>0.86686611175537109</v>
      </c>
      <c r="K35" s="381">
        <v>-0.55536651611328125</v>
      </c>
      <c r="L35" s="381">
        <v>-0.30123281478881836</v>
      </c>
      <c r="M35" s="381">
        <v>0.38170289993286133</v>
      </c>
      <c r="N35" s="381">
        <v>0</v>
      </c>
    </row>
    <row r="36" spans="1:14" ht="13.8" thickBot="1" x14ac:dyDescent="0.3">
      <c r="A36" s="344"/>
      <c r="N36" s="258"/>
    </row>
    <row r="37" spans="1:14" ht="13.8" thickBot="1" x14ac:dyDescent="0.3">
      <c r="A37" s="461">
        <f>A24</f>
        <v>10800541</v>
      </c>
      <c r="B37" s="462" t="s">
        <v>720</v>
      </c>
      <c r="C37" s="463"/>
      <c r="D37" s="464">
        <v>-347810</v>
      </c>
      <c r="E37" s="464">
        <v>3932942</v>
      </c>
      <c r="F37" s="464">
        <v>7154026</v>
      </c>
      <c r="G37" s="464">
        <v>3227388</v>
      </c>
      <c r="H37" s="464">
        <v>3380363</v>
      </c>
      <c r="I37" s="464">
        <v>3822453</v>
      </c>
      <c r="J37" s="464">
        <v>2862355</v>
      </c>
      <c r="K37" s="464">
        <v>5807023</v>
      </c>
      <c r="L37" s="464">
        <v>10042055</v>
      </c>
      <c r="M37" s="464">
        <v>12191351</v>
      </c>
      <c r="N37" s="465">
        <v>12887378</v>
      </c>
    </row>
    <row r="38" spans="1:14" x14ac:dyDescent="0.25">
      <c r="A38" s="389"/>
      <c r="B38" s="466" t="s">
        <v>185</v>
      </c>
      <c r="C38" s="391"/>
      <c r="D38" s="467">
        <v>0.43108502045721481</v>
      </c>
      <c r="E38" s="467">
        <v>0.44946723424045626</v>
      </c>
      <c r="F38" s="467">
        <v>0.45511885359444498</v>
      </c>
      <c r="G38" s="467">
        <v>0.45162266146140456</v>
      </c>
      <c r="H38" s="467">
        <v>0.45265825326718606</v>
      </c>
      <c r="I38" s="467">
        <v>0.46704057667763071</v>
      </c>
      <c r="J38" s="467">
        <v>0.46572482203705579</v>
      </c>
      <c r="K38" s="467">
        <v>0.4587733681308952</v>
      </c>
      <c r="L38" s="467">
        <v>0.45852173240368332</v>
      </c>
      <c r="M38" s="467">
        <v>0.45236580513604852</v>
      </c>
      <c r="N38" s="468">
        <v>0.46558115273339773</v>
      </c>
    </row>
    <row r="39" spans="1:14" x14ac:dyDescent="0.25">
      <c r="A39" s="469"/>
      <c r="B39" s="362" t="s">
        <v>65</v>
      </c>
      <c r="C39" s="363"/>
      <c r="D39" s="470">
        <v>5.6316277655891721E-2</v>
      </c>
      <c r="E39" s="470">
        <v>5.5702702686089324E-2</v>
      </c>
      <c r="F39" s="470">
        <v>5.828745485662979E-2</v>
      </c>
      <c r="G39" s="470">
        <v>6.1117145120765472E-2</v>
      </c>
      <c r="H39" s="470">
        <v>0.12359745674730289</v>
      </c>
      <c r="I39" s="470">
        <v>0.11901445941437831</v>
      </c>
      <c r="J39" s="470">
        <v>0.12067850630739026</v>
      </c>
      <c r="K39" s="470">
        <v>0.12141098266969381</v>
      </c>
      <c r="L39" s="470">
        <v>0.12529692852266194</v>
      </c>
      <c r="M39" s="470">
        <v>0.12938190783557213</v>
      </c>
      <c r="N39" s="471">
        <v>0.12739449251078025</v>
      </c>
    </row>
    <row r="40" spans="1:14" x14ac:dyDescent="0.25">
      <c r="A40" s="469"/>
      <c r="B40" s="362" t="s">
        <v>66</v>
      </c>
      <c r="C40" s="363"/>
      <c r="D40" s="470">
        <v>0.48603793604670925</v>
      </c>
      <c r="E40" s="470">
        <v>0.47272834477007036</v>
      </c>
      <c r="F40" s="470">
        <v>0.47118819549278412</v>
      </c>
      <c r="G40" s="470">
        <v>0.46692384731680336</v>
      </c>
      <c r="H40" s="470">
        <v>0.40034810890333278</v>
      </c>
      <c r="I40" s="470">
        <v>0.39005708921323001</v>
      </c>
      <c r="J40" s="470">
        <v>0.38426038735990581</v>
      </c>
      <c r="K40" s="470">
        <v>0.38743135529190675</v>
      </c>
      <c r="L40" s="470">
        <v>0.37968884100382366</v>
      </c>
      <c r="M40" s="470">
        <v>0.37714359066703967</v>
      </c>
      <c r="N40" s="471">
        <v>0.37038581065318282</v>
      </c>
    </row>
    <row r="41" spans="1:14" x14ac:dyDescent="0.25">
      <c r="A41" s="469"/>
      <c r="B41" s="362" t="s">
        <v>67</v>
      </c>
      <c r="C41" s="363"/>
      <c r="D41" s="470">
        <v>3.8496289052041095E-3</v>
      </c>
      <c r="E41" s="470">
        <v>4.5931798618530344E-3</v>
      </c>
      <c r="F41" s="470">
        <v>4.8159180305639843E-3</v>
      </c>
      <c r="G41" s="470">
        <v>6.2190132392371525E-3</v>
      </c>
      <c r="H41" s="470">
        <v>6.5580335603413146E-3</v>
      </c>
      <c r="I41" s="470">
        <v>4.6351422871516662E-3</v>
      </c>
      <c r="J41" s="470">
        <v>7.9329381894664239E-3</v>
      </c>
      <c r="K41" s="470">
        <v>8.2979467386669146E-3</v>
      </c>
      <c r="L41" s="470">
        <v>9.2728707937710531E-3</v>
      </c>
      <c r="M41" s="470">
        <v>1.1775840121574458E-2</v>
      </c>
      <c r="N41" s="471">
        <v>1.4718052682558961E-2</v>
      </c>
    </row>
    <row r="42" spans="1:14" x14ac:dyDescent="0.25">
      <c r="A42" s="469"/>
      <c r="B42" s="362" t="s">
        <v>68</v>
      </c>
      <c r="C42" s="363"/>
      <c r="D42" s="472">
        <v>2.2711136934980062E-2</v>
      </c>
      <c r="E42" s="472">
        <v>1.7508538441531031E-2</v>
      </c>
      <c r="F42" s="472">
        <v>1.0589578025577093E-2</v>
      </c>
      <c r="G42" s="472">
        <v>1.4117332861789449E-2</v>
      </c>
      <c r="H42" s="472">
        <v>1.6838147521836967E-2</v>
      </c>
      <c r="I42" s="472">
        <v>1.9252732407609142E-2</v>
      </c>
      <c r="J42" s="472">
        <v>2.1403346106181755E-2</v>
      </c>
      <c r="K42" s="472">
        <v>2.408634716883731E-2</v>
      </c>
      <c r="L42" s="472">
        <v>2.7219627276060029E-2</v>
      </c>
      <c r="M42" s="472">
        <v>2.9332856239765205E-2</v>
      </c>
      <c r="N42" s="473">
        <v>2.192049142008021E-2</v>
      </c>
    </row>
    <row r="43" spans="1:14" x14ac:dyDescent="0.25">
      <c r="A43" s="469"/>
      <c r="B43" s="362" t="s">
        <v>0</v>
      </c>
      <c r="C43" s="363"/>
      <c r="D43" s="470">
        <f t="shared" ref="D43:L43" si="2">SUM(D38:D42)</f>
        <v>0.99999999999999989</v>
      </c>
      <c r="E43" s="470">
        <f t="shared" si="2"/>
        <v>1</v>
      </c>
      <c r="F43" s="470">
        <f t="shared" si="2"/>
        <v>1</v>
      </c>
      <c r="G43" s="470">
        <f t="shared" si="2"/>
        <v>0.99999999999999989</v>
      </c>
      <c r="H43" s="470">
        <f t="shared" si="2"/>
        <v>1</v>
      </c>
      <c r="I43" s="470">
        <f t="shared" si="2"/>
        <v>0.99999999999999989</v>
      </c>
      <c r="J43" s="470">
        <f t="shared" si="2"/>
        <v>1</v>
      </c>
      <c r="K43" s="470">
        <f t="shared" si="2"/>
        <v>1</v>
      </c>
      <c r="L43" s="470">
        <f t="shared" si="2"/>
        <v>0.99999999999999989</v>
      </c>
      <c r="M43" s="470">
        <v>1</v>
      </c>
      <c r="N43" s="471">
        <f>SUM(N38:N42)</f>
        <v>1</v>
      </c>
    </row>
    <row r="44" spans="1:14" ht="6.6" customHeight="1" x14ac:dyDescent="0.25">
      <c r="A44" s="394"/>
      <c r="B44" s="209"/>
      <c r="C44" s="363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398"/>
    </row>
    <row r="45" spans="1:14" x14ac:dyDescent="0.25">
      <c r="A45" s="474"/>
      <c r="B45" s="475" t="s">
        <v>185</v>
      </c>
      <c r="C45" s="476"/>
      <c r="D45" s="477">
        <f>$D$37*D38</f>
        <v>-149935.68096522387</v>
      </c>
      <c r="E45" s="477">
        <f>$E$37*E38</f>
        <v>1767728.5631681285</v>
      </c>
      <c r="F45" s="477">
        <f>$F$37*F38</f>
        <v>3255932.1117048529</v>
      </c>
      <c r="G45" s="477">
        <f>$G$37*G38</f>
        <v>1457561.5581285995</v>
      </c>
      <c r="H45" s="477">
        <f>$H$37*H38</f>
        <v>1530149.210989025</v>
      </c>
      <c r="I45" s="477">
        <f>$I$37*I38</f>
        <v>1785240.6534431395</v>
      </c>
      <c r="J45" s="477">
        <f>$J$37*J38</f>
        <v>1333069.7729818767</v>
      </c>
      <c r="K45" s="477">
        <f>$K$37*K38</f>
        <v>2664107.5005235756</v>
      </c>
      <c r="L45" s="477">
        <f>$L$37*L38</f>
        <v>4604500.4554930702</v>
      </c>
      <c r="M45" s="477">
        <f>$M$37*M38</f>
        <v>5514950.3108111704</v>
      </c>
      <c r="N45" s="478">
        <f>$N$37*N38</f>
        <v>6000120.3049510298</v>
      </c>
    </row>
    <row r="46" spans="1:14" x14ac:dyDescent="0.25">
      <c r="A46" s="361"/>
      <c r="B46" s="362" t="s">
        <v>65</v>
      </c>
      <c r="C46" s="363"/>
      <c r="D46" s="364">
        <f>$D$37*D39</f>
        <v>-19587.364531495699</v>
      </c>
      <c r="E46" s="364">
        <f>$E$37*E39</f>
        <v>219075.4989076335</v>
      </c>
      <c r="F46" s="364">
        <f>$F$37*F39</f>
        <v>416989.96751815581</v>
      </c>
      <c r="G46" s="364">
        <f>$G$37*G39</f>
        <v>197248.74075701705</v>
      </c>
      <c r="H46" s="364">
        <f>$H$37*H39</f>
        <v>417804.26968268305</v>
      </c>
      <c r="I46" s="364">
        <f>$I$37*I39</f>
        <v>454927.17743186862</v>
      </c>
      <c r="J46" s="364">
        <f>$J$37*J39</f>
        <v>345424.72592149006</v>
      </c>
      <c r="K46" s="364">
        <f>$K$37*K39</f>
        <v>705036.36881551344</v>
      </c>
      <c r="L46" s="364">
        <f>$L$37*L39</f>
        <v>1258238.64755564</v>
      </c>
      <c r="M46" s="364">
        <f>$M$37*M39</f>
        <v>1577340.2514731102</v>
      </c>
      <c r="N46" s="479">
        <f>$N$37*N39</f>
        <v>1641780.9801045943</v>
      </c>
    </row>
    <row r="47" spans="1:14" x14ac:dyDescent="0.25">
      <c r="A47" s="361"/>
      <c r="B47" s="362" t="s">
        <v>66</v>
      </c>
      <c r="C47" s="363"/>
      <c r="D47" s="364">
        <f>$D$37*D40</f>
        <v>-169048.85453640594</v>
      </c>
      <c r="E47" s="364">
        <f>$E$37*E40</f>
        <v>1859213.16173669</v>
      </c>
      <c r="F47" s="364">
        <f>$F$37*F40</f>
        <v>3370892.6014484605</v>
      </c>
      <c r="G47" s="364">
        <f>$G$37*G40</f>
        <v>1506944.4217440833</v>
      </c>
      <c r="H47" s="364">
        <f>$H$37*H40</f>
        <v>1353321.9344567966</v>
      </c>
      <c r="I47" s="364">
        <f>$I$37*I40</f>
        <v>1490974.8908343788</v>
      </c>
      <c r="J47" s="364">
        <f>$J$37*J40</f>
        <v>1099889.6410615633</v>
      </c>
      <c r="K47" s="364">
        <f>$K$37*K40</f>
        <v>2249822.7911012741</v>
      </c>
      <c r="L47" s="364">
        <f>$L$37*L40</f>
        <v>3812856.2242466523</v>
      </c>
      <c r="M47" s="364">
        <f>$M$37*M40</f>
        <v>4597889.891222205</v>
      </c>
      <c r="N47" s="479">
        <f>$N$37*N40</f>
        <v>4773301.947723994</v>
      </c>
    </row>
    <row r="48" spans="1:14" x14ac:dyDescent="0.25">
      <c r="A48" s="361"/>
      <c r="B48" s="362" t="s">
        <v>67</v>
      </c>
      <c r="C48" s="363"/>
      <c r="D48" s="364">
        <f>$D$37*D41</f>
        <v>-1338.9394295190414</v>
      </c>
      <c r="E48" s="364">
        <f>$E$37*E41</f>
        <v>18064.709992235996</v>
      </c>
      <c r="F48" s="364">
        <f>$F$37*F41</f>
        <v>34453.202804523535</v>
      </c>
      <c r="G48" s="364">
        <f>$G$37*G41</f>
        <v>20071.168700155114</v>
      </c>
      <c r="H48" s="364">
        <f>$H$37*H41</f>
        <v>22168.534000136046</v>
      </c>
      <c r="I48" s="364">
        <f>$I$37*I41</f>
        <v>17717.613540949747</v>
      </c>
      <c r="J48" s="364">
        <f>$J$37*J41</f>
        <v>22706.885291310165</v>
      </c>
      <c r="K48" s="364">
        <f>$K$37*K41</f>
        <v>48186.36756421376</v>
      </c>
      <c r="L48" s="364">
        <f>$L$37*L41</f>
        <v>93118.678518942572</v>
      </c>
      <c r="M48" s="364">
        <f>$M$37*M41</f>
        <v>143563.40024199689</v>
      </c>
      <c r="N48" s="479">
        <f>$N$37*N41</f>
        <v>189677.10834405135</v>
      </c>
    </row>
    <row r="49" spans="1:14" ht="15" x14ac:dyDescent="0.4">
      <c r="A49" s="361"/>
      <c r="B49" s="362" t="s">
        <v>68</v>
      </c>
      <c r="C49" s="363"/>
      <c r="D49" s="410">
        <f>$D$37*D42</f>
        <v>-7899.1605373554157</v>
      </c>
      <c r="E49" s="410">
        <f>$E$37*E42</f>
        <v>68860.066195311942</v>
      </c>
      <c r="F49" s="410">
        <f>$F$37*F42</f>
        <v>75758.116524007186</v>
      </c>
      <c r="G49" s="410">
        <f>$G$37*G42</f>
        <v>45562.110670144924</v>
      </c>
      <c r="H49" s="410">
        <f>$H$37*H42</f>
        <v>56919.050871359374</v>
      </c>
      <c r="I49" s="410">
        <f>$I$37*I42</f>
        <v>73592.664749662785</v>
      </c>
      <c r="J49" s="410">
        <f>$J$37*J42</f>
        <v>61263.974743759878</v>
      </c>
      <c r="K49" s="410">
        <f>$K$37*K42</f>
        <v>139869.97199542314</v>
      </c>
      <c r="L49" s="410">
        <f>$L$37*L42</f>
        <v>273340.99418569502</v>
      </c>
      <c r="M49" s="410">
        <f>$M$37*M42</f>
        <v>357607.14625151776</v>
      </c>
      <c r="N49" s="480">
        <f>$N$37*N42</f>
        <v>282497.65887633048</v>
      </c>
    </row>
    <row r="50" spans="1:14" x14ac:dyDescent="0.25">
      <c r="A50" s="481"/>
      <c r="B50" s="482" t="s">
        <v>0</v>
      </c>
      <c r="C50" s="483"/>
      <c r="D50" s="484">
        <f t="shared" ref="D50:N50" si="3">SUM(D45:D49)</f>
        <v>-347810</v>
      </c>
      <c r="E50" s="484">
        <f t="shared" si="3"/>
        <v>3932942</v>
      </c>
      <c r="F50" s="484">
        <f t="shared" si="3"/>
        <v>7154026</v>
      </c>
      <c r="G50" s="484">
        <f t="shared" si="3"/>
        <v>3227388</v>
      </c>
      <c r="H50" s="484">
        <f t="shared" si="3"/>
        <v>3380363</v>
      </c>
      <c r="I50" s="484">
        <f t="shared" si="3"/>
        <v>3822453</v>
      </c>
      <c r="J50" s="484">
        <f t="shared" si="3"/>
        <v>2862354.9999999995</v>
      </c>
      <c r="K50" s="484">
        <f t="shared" si="3"/>
        <v>5807023</v>
      </c>
      <c r="L50" s="484">
        <f t="shared" si="3"/>
        <v>10042055.000000002</v>
      </c>
      <c r="M50" s="484">
        <f t="shared" si="3"/>
        <v>12191351</v>
      </c>
      <c r="N50" s="485">
        <f t="shared" si="3"/>
        <v>12887378</v>
      </c>
    </row>
    <row r="51" spans="1:14" x14ac:dyDescent="0.25">
      <c r="A51" s="344"/>
      <c r="D51" s="381">
        <f t="shared" ref="D51:N51" si="4">D37-D50</f>
        <v>0</v>
      </c>
      <c r="E51" s="381">
        <f t="shared" si="4"/>
        <v>0</v>
      </c>
      <c r="F51" s="381">
        <f t="shared" si="4"/>
        <v>0</v>
      </c>
      <c r="G51" s="381">
        <f t="shared" si="4"/>
        <v>0</v>
      </c>
      <c r="H51" s="381">
        <f t="shared" si="4"/>
        <v>0</v>
      </c>
      <c r="I51" s="381">
        <f t="shared" si="4"/>
        <v>0</v>
      </c>
      <c r="J51" s="381">
        <f t="shared" si="4"/>
        <v>0</v>
      </c>
      <c r="K51" s="381">
        <f t="shared" si="4"/>
        <v>0</v>
      </c>
      <c r="L51" s="381">
        <f t="shared" si="4"/>
        <v>0</v>
      </c>
      <c r="M51" s="381">
        <f t="shared" si="4"/>
        <v>0</v>
      </c>
      <c r="N51" s="381">
        <f t="shared" si="4"/>
        <v>0</v>
      </c>
    </row>
    <row r="52" spans="1:14" x14ac:dyDescent="0.25">
      <c r="A52" s="344"/>
    </row>
    <row r="53" spans="1:14" x14ac:dyDescent="0.25">
      <c r="A53" s="344"/>
    </row>
    <row r="54" spans="1:14" x14ac:dyDescent="0.25">
      <c r="A54" s="344"/>
    </row>
    <row r="55" spans="1:14" x14ac:dyDescent="0.25">
      <c r="A55" s="344"/>
    </row>
    <row r="56" spans="1:14" x14ac:dyDescent="0.25">
      <c r="A56" s="344"/>
    </row>
    <row r="57" spans="1:14" x14ac:dyDescent="0.25">
      <c r="A57" s="344"/>
    </row>
    <row r="58" spans="1:14" x14ac:dyDescent="0.25">
      <c r="A58" s="344"/>
    </row>
    <row r="59" spans="1:14" x14ac:dyDescent="0.25">
      <c r="A59" s="344"/>
    </row>
    <row r="60" spans="1:14" x14ac:dyDescent="0.25">
      <c r="A60" s="344"/>
    </row>
    <row r="61" spans="1:14" x14ac:dyDescent="0.25">
      <c r="A61" s="344"/>
    </row>
    <row r="62" spans="1:14" x14ac:dyDescent="0.25">
      <c r="A62" s="344"/>
    </row>
    <row r="63" spans="1:14" x14ac:dyDescent="0.25">
      <c r="A63" s="344"/>
    </row>
    <row r="64" spans="1:14" x14ac:dyDescent="0.25">
      <c r="A64" s="344"/>
    </row>
    <row r="65" spans="1:1" x14ac:dyDescent="0.25">
      <c r="A65" s="344"/>
    </row>
    <row r="66" spans="1:1" x14ac:dyDescent="0.25">
      <c r="A66" s="344"/>
    </row>
    <row r="67" spans="1:1" x14ac:dyDescent="0.25">
      <c r="A67" s="344"/>
    </row>
    <row r="68" spans="1:1" x14ac:dyDescent="0.25">
      <c r="A68" s="344"/>
    </row>
    <row r="69" spans="1:1" x14ac:dyDescent="0.25">
      <c r="A69" s="344"/>
    </row>
    <row r="70" spans="1:1" x14ac:dyDescent="0.25">
      <c r="A70" s="344"/>
    </row>
    <row r="71" spans="1:1" x14ac:dyDescent="0.25">
      <c r="A71" s="344"/>
    </row>
    <row r="72" spans="1:1" x14ac:dyDescent="0.25">
      <c r="A72" s="344"/>
    </row>
    <row r="73" spans="1:1" x14ac:dyDescent="0.25">
      <c r="A73" s="344"/>
    </row>
    <row r="74" spans="1:1" x14ac:dyDescent="0.25">
      <c r="A74" s="344"/>
    </row>
    <row r="75" spans="1:1" x14ac:dyDescent="0.25">
      <c r="A75" s="344"/>
    </row>
    <row r="76" spans="1:1" x14ac:dyDescent="0.25">
      <c r="A76" s="344"/>
    </row>
    <row r="77" spans="1:1" x14ac:dyDescent="0.25">
      <c r="A77" s="344"/>
    </row>
    <row r="78" spans="1:1" x14ac:dyDescent="0.25">
      <c r="A78" s="344"/>
    </row>
    <row r="79" spans="1:1" x14ac:dyDescent="0.25">
      <c r="A79" s="344"/>
    </row>
    <row r="80" spans="1:1" x14ac:dyDescent="0.25">
      <c r="A80" s="344"/>
    </row>
    <row r="81" spans="1:1" x14ac:dyDescent="0.25">
      <c r="A81" s="344"/>
    </row>
    <row r="82" spans="1:1" x14ac:dyDescent="0.25">
      <c r="A82" s="344"/>
    </row>
    <row r="83" spans="1:1" x14ac:dyDescent="0.25">
      <c r="A83" s="344"/>
    </row>
    <row r="84" spans="1:1" x14ac:dyDescent="0.25">
      <c r="A84" s="344"/>
    </row>
    <row r="85" spans="1:1" x14ac:dyDescent="0.25">
      <c r="A85" s="344"/>
    </row>
    <row r="86" spans="1:1" x14ac:dyDescent="0.25">
      <c r="A86" s="344"/>
    </row>
    <row r="87" spans="1:1" x14ac:dyDescent="0.25">
      <c r="A87" s="344"/>
    </row>
    <row r="88" spans="1:1" x14ac:dyDescent="0.25">
      <c r="A88" s="344"/>
    </row>
    <row r="89" spans="1:1" x14ac:dyDescent="0.25">
      <c r="A89" s="344"/>
    </row>
    <row r="90" spans="1:1" x14ac:dyDescent="0.25">
      <c r="A90" s="344"/>
    </row>
    <row r="91" spans="1:1" x14ac:dyDescent="0.25">
      <c r="A91" s="344"/>
    </row>
    <row r="92" spans="1:1" x14ac:dyDescent="0.25">
      <c r="A92" s="344"/>
    </row>
    <row r="93" spans="1:1" x14ac:dyDescent="0.25">
      <c r="A93" s="344"/>
    </row>
    <row r="94" spans="1:1" x14ac:dyDescent="0.25">
      <c r="A94" s="344"/>
    </row>
    <row r="95" spans="1:1" x14ac:dyDescent="0.25">
      <c r="A95" s="344"/>
    </row>
    <row r="96" spans="1:1" x14ac:dyDescent="0.25">
      <c r="A96" s="344"/>
    </row>
    <row r="97" spans="1:1" x14ac:dyDescent="0.25">
      <c r="A97" s="344"/>
    </row>
    <row r="98" spans="1:1" x14ac:dyDescent="0.25">
      <c r="A98" s="344"/>
    </row>
    <row r="99" spans="1:1" x14ac:dyDescent="0.25">
      <c r="A99" s="344"/>
    </row>
    <row r="100" spans="1:1" x14ac:dyDescent="0.25">
      <c r="A100" s="344"/>
    </row>
    <row r="101" spans="1:1" x14ac:dyDescent="0.25">
      <c r="A101" s="344"/>
    </row>
    <row r="102" spans="1:1" x14ac:dyDescent="0.25">
      <c r="A102" s="344"/>
    </row>
    <row r="103" spans="1:1" x14ac:dyDescent="0.25">
      <c r="A103" s="344"/>
    </row>
    <row r="104" spans="1:1" x14ac:dyDescent="0.25">
      <c r="A104" s="344"/>
    </row>
    <row r="105" spans="1:1" x14ac:dyDescent="0.25">
      <c r="A105" s="344"/>
    </row>
    <row r="106" spans="1:1" x14ac:dyDescent="0.25">
      <c r="A106" s="344"/>
    </row>
    <row r="107" spans="1:1" x14ac:dyDescent="0.25">
      <c r="A107" s="344"/>
    </row>
    <row r="108" spans="1:1" x14ac:dyDescent="0.25">
      <c r="A108" s="344"/>
    </row>
    <row r="109" spans="1:1" x14ac:dyDescent="0.25">
      <c r="A109" s="344"/>
    </row>
    <row r="110" spans="1:1" x14ac:dyDescent="0.25">
      <c r="A110" s="344"/>
    </row>
    <row r="111" spans="1:1" x14ac:dyDescent="0.25">
      <c r="A111" s="344"/>
    </row>
    <row r="112" spans="1:1" x14ac:dyDescent="0.25">
      <c r="A112" s="344"/>
    </row>
    <row r="113" spans="1:1" x14ac:dyDescent="0.25">
      <c r="A113" s="344"/>
    </row>
    <row r="114" spans="1:1" x14ac:dyDescent="0.25">
      <c r="A114" s="344"/>
    </row>
    <row r="115" spans="1:1" x14ac:dyDescent="0.25">
      <c r="A115" s="344"/>
    </row>
    <row r="116" spans="1:1" x14ac:dyDescent="0.25">
      <c r="A116" s="344"/>
    </row>
    <row r="117" spans="1:1" x14ac:dyDescent="0.25">
      <c r="A117" s="344"/>
    </row>
    <row r="118" spans="1:1" x14ac:dyDescent="0.25">
      <c r="A118" s="344"/>
    </row>
    <row r="119" spans="1:1" x14ac:dyDescent="0.25">
      <c r="A119" s="344"/>
    </row>
    <row r="120" spans="1:1" x14ac:dyDescent="0.25">
      <c r="A120" s="344"/>
    </row>
    <row r="121" spans="1:1" x14ac:dyDescent="0.25">
      <c r="A121" s="344"/>
    </row>
    <row r="122" spans="1:1" x14ac:dyDescent="0.25">
      <c r="A122" s="344"/>
    </row>
    <row r="123" spans="1:1" x14ac:dyDescent="0.25">
      <c r="A123" s="344"/>
    </row>
    <row r="124" spans="1:1" x14ac:dyDescent="0.25">
      <c r="A124" s="344"/>
    </row>
    <row r="125" spans="1:1" x14ac:dyDescent="0.25">
      <c r="A125" s="344"/>
    </row>
    <row r="126" spans="1:1" x14ac:dyDescent="0.25">
      <c r="A126" s="344"/>
    </row>
    <row r="127" spans="1:1" x14ac:dyDescent="0.25">
      <c r="A127" s="344"/>
    </row>
    <row r="128" spans="1:1" x14ac:dyDescent="0.25">
      <c r="A128" s="344"/>
    </row>
    <row r="129" spans="1:1" x14ac:dyDescent="0.25">
      <c r="A129" s="344"/>
    </row>
    <row r="130" spans="1:1" x14ac:dyDescent="0.25">
      <c r="A130" s="344"/>
    </row>
    <row r="131" spans="1:1" x14ac:dyDescent="0.25">
      <c r="A131" s="344"/>
    </row>
    <row r="132" spans="1:1" x14ac:dyDescent="0.25">
      <c r="A132" s="344"/>
    </row>
    <row r="133" spans="1:1" x14ac:dyDescent="0.25">
      <c r="A133" s="344"/>
    </row>
    <row r="134" spans="1:1" x14ac:dyDescent="0.25">
      <c r="A134" s="344"/>
    </row>
    <row r="135" spans="1:1" x14ac:dyDescent="0.25">
      <c r="A135" s="344"/>
    </row>
    <row r="136" spans="1:1" x14ac:dyDescent="0.25">
      <c r="A136" s="344"/>
    </row>
    <row r="137" spans="1:1" x14ac:dyDescent="0.25">
      <c r="A137" s="344"/>
    </row>
    <row r="138" spans="1:1" x14ac:dyDescent="0.25">
      <c r="A138" s="344"/>
    </row>
    <row r="139" spans="1:1" x14ac:dyDescent="0.25">
      <c r="A139" s="344"/>
    </row>
    <row r="140" spans="1:1" x14ac:dyDescent="0.25">
      <c r="A140" s="344"/>
    </row>
    <row r="141" spans="1:1" x14ac:dyDescent="0.25">
      <c r="A141" s="344"/>
    </row>
    <row r="142" spans="1:1" x14ac:dyDescent="0.25">
      <c r="A142" s="344"/>
    </row>
    <row r="143" spans="1:1" x14ac:dyDescent="0.25">
      <c r="A143" s="344"/>
    </row>
    <row r="144" spans="1:1" x14ac:dyDescent="0.25">
      <c r="A144" s="344"/>
    </row>
    <row r="145" spans="1:1" x14ac:dyDescent="0.25">
      <c r="A145" s="344"/>
    </row>
    <row r="146" spans="1:1" x14ac:dyDescent="0.25">
      <c r="A146" s="344"/>
    </row>
    <row r="147" spans="1:1" x14ac:dyDescent="0.25">
      <c r="A147" s="344"/>
    </row>
    <row r="148" spans="1:1" x14ac:dyDescent="0.25">
      <c r="A148" s="344"/>
    </row>
    <row r="149" spans="1:1" x14ac:dyDescent="0.25">
      <c r="A149" s="344"/>
    </row>
    <row r="150" spans="1:1" x14ac:dyDescent="0.25">
      <c r="A150" s="344"/>
    </row>
    <row r="151" spans="1:1" x14ac:dyDescent="0.25">
      <c r="A151" s="344"/>
    </row>
    <row r="152" spans="1:1" x14ac:dyDescent="0.25">
      <c r="A152" s="344"/>
    </row>
    <row r="153" spans="1:1" x14ac:dyDescent="0.25">
      <c r="A153" s="344"/>
    </row>
    <row r="154" spans="1:1" x14ac:dyDescent="0.25">
      <c r="A154" s="344"/>
    </row>
    <row r="155" spans="1:1" x14ac:dyDescent="0.25">
      <c r="A155" s="344"/>
    </row>
    <row r="156" spans="1:1" x14ac:dyDescent="0.25">
      <c r="A156" s="344"/>
    </row>
    <row r="157" spans="1:1" x14ac:dyDescent="0.25">
      <c r="A157" s="344"/>
    </row>
    <row r="158" spans="1:1" x14ac:dyDescent="0.25">
      <c r="A158" s="344"/>
    </row>
    <row r="159" spans="1:1" x14ac:dyDescent="0.25">
      <c r="A159" s="344"/>
    </row>
    <row r="160" spans="1:1" x14ac:dyDescent="0.25">
      <c r="A160" s="344"/>
    </row>
    <row r="161" spans="1:1" x14ac:dyDescent="0.25">
      <c r="A161" s="344"/>
    </row>
    <row r="162" spans="1:1" x14ac:dyDescent="0.25">
      <c r="A162" s="344"/>
    </row>
    <row r="163" spans="1:1" x14ac:dyDescent="0.25">
      <c r="A163" s="344"/>
    </row>
    <row r="164" spans="1:1" x14ac:dyDescent="0.25">
      <c r="A164" s="344"/>
    </row>
    <row r="165" spans="1:1" x14ac:dyDescent="0.25">
      <c r="A165" s="344"/>
    </row>
    <row r="166" spans="1:1" x14ac:dyDescent="0.25">
      <c r="A166" s="344"/>
    </row>
    <row r="167" spans="1:1" x14ac:dyDescent="0.25">
      <c r="A167" s="344"/>
    </row>
    <row r="168" spans="1:1" x14ac:dyDescent="0.25">
      <c r="A168" s="344"/>
    </row>
    <row r="169" spans="1:1" x14ac:dyDescent="0.25">
      <c r="A169" s="344"/>
    </row>
    <row r="170" spans="1:1" x14ac:dyDescent="0.25">
      <c r="A170" s="344"/>
    </row>
    <row r="171" spans="1:1" x14ac:dyDescent="0.25">
      <c r="A171" s="344"/>
    </row>
    <row r="172" spans="1:1" x14ac:dyDescent="0.25">
      <c r="A172" s="344"/>
    </row>
    <row r="173" spans="1:1" x14ac:dyDescent="0.25">
      <c r="A173" s="344"/>
    </row>
    <row r="174" spans="1:1" x14ac:dyDescent="0.25">
      <c r="A174" s="344"/>
    </row>
    <row r="175" spans="1:1" x14ac:dyDescent="0.25">
      <c r="A175" s="344"/>
    </row>
    <row r="176" spans="1:1" x14ac:dyDescent="0.25">
      <c r="A176" s="344"/>
    </row>
    <row r="177" spans="1:1" x14ac:dyDescent="0.25">
      <c r="A177" s="344"/>
    </row>
    <row r="178" spans="1:1" x14ac:dyDescent="0.25">
      <c r="A178" s="344"/>
    </row>
    <row r="179" spans="1:1" x14ac:dyDescent="0.25">
      <c r="A179" s="344"/>
    </row>
    <row r="180" spans="1:1" x14ac:dyDescent="0.25">
      <c r="A180" s="344"/>
    </row>
    <row r="181" spans="1:1" x14ac:dyDescent="0.25">
      <c r="A181" s="344"/>
    </row>
    <row r="182" spans="1:1" x14ac:dyDescent="0.25">
      <c r="A182" s="344"/>
    </row>
    <row r="183" spans="1:1" x14ac:dyDescent="0.25">
      <c r="A183" s="344"/>
    </row>
    <row r="184" spans="1:1" x14ac:dyDescent="0.25">
      <c r="A184" s="344"/>
    </row>
    <row r="185" spans="1:1" x14ac:dyDescent="0.25">
      <c r="A185" s="344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4"/>
  <sheetViews>
    <sheetView zoomScale="70" zoomScaleNormal="70" workbookViewId="0">
      <pane xSplit="2" ySplit="7" topLeftCell="C6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4.4" x14ac:dyDescent="0.3"/>
  <cols>
    <col min="1" max="1" width="9.44140625" style="15" bestFit="1" customWidth="1"/>
    <col min="2" max="2" width="41" style="15" customWidth="1"/>
    <col min="3" max="3" width="17.6640625" style="15" bestFit="1" customWidth="1"/>
    <col min="4" max="4" width="18.109375" style="15" bestFit="1" customWidth="1"/>
    <col min="5" max="5" width="17.6640625" style="15" bestFit="1" customWidth="1"/>
    <col min="6" max="7" width="18.109375" style="15" bestFit="1" customWidth="1"/>
    <col min="8" max="8" width="17.6640625" style="15" bestFit="1" customWidth="1"/>
    <col min="9" max="9" width="18.109375" style="15" bestFit="1" customWidth="1"/>
    <col min="10" max="11" width="17.6640625" style="15" bestFit="1" customWidth="1"/>
    <col min="12" max="12" width="18.109375" style="15" bestFit="1" customWidth="1"/>
    <col min="13" max="13" width="17.6640625" style="15" bestFit="1" customWidth="1"/>
    <col min="14" max="16384" width="9.109375" style="15"/>
  </cols>
  <sheetData>
    <row r="1" spans="1:16" x14ac:dyDescent="0.3">
      <c r="A1" s="66" t="s">
        <v>175</v>
      </c>
      <c r="M1" s="35"/>
    </row>
    <row r="2" spans="1:16" x14ac:dyDescent="0.3">
      <c r="A2" s="66" t="s">
        <v>86</v>
      </c>
      <c r="M2" s="16"/>
    </row>
    <row r="3" spans="1:16" x14ac:dyDescent="0.3">
      <c r="A3" s="66" t="s">
        <v>87</v>
      </c>
    </row>
    <row r="4" spans="1:16" x14ac:dyDescent="0.3">
      <c r="A4" s="66" t="s">
        <v>88</v>
      </c>
      <c r="C4" s="64" t="s">
        <v>613</v>
      </c>
      <c r="D4" s="64" t="s">
        <v>614</v>
      </c>
      <c r="E4" s="64" t="s">
        <v>615</v>
      </c>
      <c r="F4" s="64" t="s">
        <v>616</v>
      </c>
      <c r="G4" s="64" t="s">
        <v>617</v>
      </c>
      <c r="H4" s="64" t="s">
        <v>618</v>
      </c>
      <c r="I4" s="64" t="s">
        <v>619</v>
      </c>
      <c r="J4" s="64" t="s">
        <v>620</v>
      </c>
      <c r="K4" s="64" t="s">
        <v>621</v>
      </c>
      <c r="L4" s="64" t="s">
        <v>622</v>
      </c>
      <c r="M4" s="64" t="s">
        <v>623</v>
      </c>
    </row>
    <row r="6" spans="1:16" x14ac:dyDescent="0.3">
      <c r="A6" s="431" t="s">
        <v>11</v>
      </c>
      <c r="B6" s="155"/>
      <c r="D6" s="15">
        <v>0</v>
      </c>
      <c r="E6" s="15">
        <v>1</v>
      </c>
      <c r="F6" s="15">
        <v>2</v>
      </c>
      <c r="G6" s="15">
        <v>3</v>
      </c>
      <c r="H6" s="15">
        <v>4</v>
      </c>
      <c r="I6" s="15">
        <v>5</v>
      </c>
      <c r="J6" s="15">
        <v>6</v>
      </c>
      <c r="K6" s="15">
        <v>7</v>
      </c>
      <c r="L6" s="15">
        <v>8</v>
      </c>
      <c r="M6" s="15">
        <v>9</v>
      </c>
    </row>
    <row r="7" spans="1:16" x14ac:dyDescent="0.3">
      <c r="A7" s="432" t="s">
        <v>14</v>
      </c>
      <c r="B7" s="433"/>
      <c r="C7" s="432">
        <v>2008</v>
      </c>
      <c r="D7" s="432">
        <v>2009</v>
      </c>
      <c r="E7" s="432">
        <f t="shared" ref="E7:M7" si="0">D7+1</f>
        <v>2010</v>
      </c>
      <c r="F7" s="432">
        <f t="shared" si="0"/>
        <v>2011</v>
      </c>
      <c r="G7" s="432">
        <f t="shared" si="0"/>
        <v>2012</v>
      </c>
      <c r="H7" s="432">
        <f t="shared" si="0"/>
        <v>2013</v>
      </c>
      <c r="I7" s="432">
        <f t="shared" si="0"/>
        <v>2014</v>
      </c>
      <c r="J7" s="432">
        <f t="shared" si="0"/>
        <v>2015</v>
      </c>
      <c r="K7" s="432">
        <f t="shared" si="0"/>
        <v>2016</v>
      </c>
      <c r="L7" s="432">
        <f t="shared" si="0"/>
        <v>2017</v>
      </c>
      <c r="M7" s="432">
        <f t="shared" si="0"/>
        <v>2018</v>
      </c>
    </row>
    <row r="8" spans="1:16" x14ac:dyDescent="0.3">
      <c r="A8" s="76"/>
      <c r="B8" s="76"/>
    </row>
    <row r="9" spans="1:16" x14ac:dyDescent="0.3">
      <c r="A9" s="158">
        <f>IF(ISBLANK(B9),"",MAX(A$8:A8)+1)</f>
        <v>1</v>
      </c>
      <c r="B9" s="159" t="s">
        <v>23</v>
      </c>
    </row>
    <row r="10" spans="1:16" x14ac:dyDescent="0.3">
      <c r="A10" s="158">
        <f>IF(ISBLANK(B10),"",MAX(A$8:A9)+1)</f>
        <v>2</v>
      </c>
      <c r="B10" s="15" t="s">
        <v>24</v>
      </c>
      <c r="C10" s="434">
        <v>1134158560</v>
      </c>
      <c r="D10" s="434">
        <v>1125957736</v>
      </c>
      <c r="E10" s="434">
        <v>1032280696</v>
      </c>
      <c r="F10" s="434">
        <v>1045804236.8412029</v>
      </c>
      <c r="G10" s="434">
        <v>1016696449.0476853</v>
      </c>
      <c r="H10" s="434">
        <v>985953219.72814536</v>
      </c>
      <c r="I10" s="434">
        <v>892624288.86399794</v>
      </c>
      <c r="J10" s="434">
        <v>814662187.60117078</v>
      </c>
      <c r="K10" s="434">
        <v>778749507.35284412</v>
      </c>
      <c r="L10" s="434">
        <v>887019168.1757127</v>
      </c>
      <c r="M10" s="434">
        <v>773551480.56350398</v>
      </c>
      <c r="O10" s="52"/>
      <c r="P10" s="95"/>
    </row>
    <row r="11" spans="1:16" x14ac:dyDescent="0.3">
      <c r="A11" s="158">
        <f>IF(ISBLANK(B11),"",MAX(A$8:A10)+1)</f>
        <v>3</v>
      </c>
      <c r="B11" s="15" t="s">
        <v>176</v>
      </c>
      <c r="C11" s="435">
        <v>-27</v>
      </c>
      <c r="D11" s="435">
        <v>-1</v>
      </c>
      <c r="E11" s="435">
        <v>0</v>
      </c>
      <c r="F11" s="435">
        <v>-0.21000000089406967</v>
      </c>
      <c r="G11" s="435">
        <v>-91102.059999994934</v>
      </c>
      <c r="H11" s="435">
        <v>-383698.84000000358</v>
      </c>
      <c r="I11" s="435">
        <v>0</v>
      </c>
      <c r="J11" s="435">
        <v>0</v>
      </c>
      <c r="K11" s="435">
        <v>0</v>
      </c>
      <c r="L11" s="435">
        <v>0</v>
      </c>
      <c r="M11" s="435">
        <v>0</v>
      </c>
      <c r="O11" s="52"/>
      <c r="P11" s="95"/>
    </row>
    <row r="12" spans="1:16" x14ac:dyDescent="0.3">
      <c r="A12" s="158">
        <f>IF(ISBLANK(B12),"",MAX(A$8:A11)+1)</f>
        <v>4</v>
      </c>
      <c r="B12" s="15" t="s">
        <v>27</v>
      </c>
      <c r="C12" s="436">
        <v>18334229</v>
      </c>
      <c r="D12" s="436">
        <v>18937648</v>
      </c>
      <c r="E12" s="436">
        <v>14322994</v>
      </c>
      <c r="F12" s="436">
        <v>13800168</v>
      </c>
      <c r="G12" s="436">
        <v>14419741.91001194</v>
      </c>
      <c r="H12" s="436">
        <v>8870653.2399999984</v>
      </c>
      <c r="I12" s="436">
        <v>42200668.078089997</v>
      </c>
      <c r="J12" s="436">
        <v>58809893.18</v>
      </c>
      <c r="K12" s="436">
        <v>58522375.939999901</v>
      </c>
      <c r="L12" s="436">
        <v>35733896.030000009</v>
      </c>
      <c r="M12" s="436">
        <v>10905149.689999998</v>
      </c>
      <c r="O12" s="52"/>
      <c r="P12" s="95"/>
    </row>
    <row r="13" spans="1:16" x14ac:dyDescent="0.3">
      <c r="A13" s="158">
        <f>IF(ISBLANK(B13),"",MAX(A$8:A12)+1)</f>
        <v>5</v>
      </c>
      <c r="B13" s="292" t="s">
        <v>28</v>
      </c>
      <c r="C13" s="437">
        <f t="shared" ref="C13:M13" si="1">SUM(C10:C12)</f>
        <v>1152492762</v>
      </c>
      <c r="D13" s="437">
        <f t="shared" si="1"/>
        <v>1144895383</v>
      </c>
      <c r="E13" s="437">
        <f t="shared" si="1"/>
        <v>1046603690</v>
      </c>
      <c r="F13" s="437">
        <f t="shared" si="1"/>
        <v>1059604404.6312028</v>
      </c>
      <c r="G13" s="437">
        <f t="shared" si="1"/>
        <v>1031025088.8976972</v>
      </c>
      <c r="H13" s="437">
        <f t="shared" si="1"/>
        <v>994440174.12814534</v>
      </c>
      <c r="I13" s="437">
        <f t="shared" si="1"/>
        <v>934824956.94208789</v>
      </c>
      <c r="J13" s="437">
        <f t="shared" si="1"/>
        <v>873472080.78117073</v>
      </c>
      <c r="K13" s="437">
        <f t="shared" si="1"/>
        <v>837271883.29284406</v>
      </c>
      <c r="L13" s="437">
        <f t="shared" si="1"/>
        <v>922753064.20571268</v>
      </c>
      <c r="M13" s="437">
        <f t="shared" si="1"/>
        <v>784456630.25350404</v>
      </c>
      <c r="O13" s="52"/>
      <c r="P13" s="95"/>
    </row>
    <row r="14" spans="1:16" x14ac:dyDescent="0.3">
      <c r="A14" s="158" t="str">
        <f>IF(ISBLANK(B14),"",MAX(A$8:A13)+1)</f>
        <v/>
      </c>
      <c r="C14" s="438">
        <f t="shared" ref="C14:M14" si="2">C13-C22</f>
        <v>403859148</v>
      </c>
      <c r="D14" s="438">
        <f t="shared" si="2"/>
        <v>425871281</v>
      </c>
      <c r="E14" s="438">
        <f t="shared" si="2"/>
        <v>429496208</v>
      </c>
      <c r="F14" s="438">
        <f t="shared" si="2"/>
        <v>453888603.54626286</v>
      </c>
      <c r="G14" s="438">
        <f t="shared" si="2"/>
        <v>470211219.60729635</v>
      </c>
      <c r="H14" s="438">
        <f t="shared" si="2"/>
        <v>470567520.80932534</v>
      </c>
      <c r="I14" s="438">
        <f t="shared" si="2"/>
        <v>475189710.20160079</v>
      </c>
      <c r="J14" s="438">
        <f t="shared" si="2"/>
        <v>479989467.35117173</v>
      </c>
      <c r="K14" s="438">
        <f t="shared" si="2"/>
        <v>498259484.76284409</v>
      </c>
      <c r="L14" s="438">
        <f t="shared" si="2"/>
        <v>546590509.4357127</v>
      </c>
      <c r="M14" s="438">
        <f t="shared" si="2"/>
        <v>464255282.23350519</v>
      </c>
      <c r="O14" s="52"/>
      <c r="P14" s="95"/>
    </row>
    <row r="15" spans="1:16" x14ac:dyDescent="0.3">
      <c r="A15" s="158" t="str">
        <f>IF(ISBLANK(B15),"",MAX(A$8:A14)+1)</f>
        <v/>
      </c>
      <c r="C15" s="439"/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P15" s="95"/>
    </row>
    <row r="16" spans="1:16" x14ac:dyDescent="0.3">
      <c r="A16" s="158">
        <f>IF(ISBLANK(B16),"",MAX(A$8:A15)+1)</f>
        <v>6</v>
      </c>
      <c r="B16" s="15" t="s">
        <v>29</v>
      </c>
      <c r="C16" s="439"/>
      <c r="D16" s="439"/>
      <c r="E16" s="439"/>
      <c r="F16" s="439"/>
      <c r="G16" s="439"/>
      <c r="H16" s="439"/>
      <c r="I16" s="439"/>
      <c r="J16" s="439"/>
      <c r="K16" s="439"/>
      <c r="L16" s="439"/>
      <c r="M16" s="439"/>
      <c r="P16" s="95"/>
    </row>
    <row r="17" spans="1:16" x14ac:dyDescent="0.3">
      <c r="A17" s="158" t="str">
        <f>IF(ISBLANK(B17),"",MAX(A$8:A16)+1)</f>
        <v/>
      </c>
      <c r="C17" s="439"/>
      <c r="D17" s="439"/>
      <c r="E17" s="439"/>
      <c r="F17" s="439"/>
      <c r="G17" s="439"/>
      <c r="H17" s="439"/>
      <c r="I17" s="439"/>
      <c r="J17" s="439"/>
      <c r="K17" s="439"/>
      <c r="L17" s="439"/>
      <c r="M17" s="439"/>
      <c r="P17" s="95"/>
    </row>
    <row r="18" spans="1:16" x14ac:dyDescent="0.3">
      <c r="A18" s="158">
        <f>IF(ISBLANK(B18),"",MAX(A$8:A17)+1)</f>
        <v>7</v>
      </c>
      <c r="B18" s="15" t="s">
        <v>177</v>
      </c>
      <c r="C18" s="439"/>
      <c r="D18" s="439"/>
      <c r="E18" s="439"/>
      <c r="F18" s="439"/>
      <c r="G18" s="439"/>
      <c r="H18" s="439"/>
      <c r="I18" s="439"/>
      <c r="J18" s="439"/>
      <c r="K18" s="439"/>
      <c r="L18" s="439"/>
      <c r="M18" s="439"/>
      <c r="P18" s="95"/>
    </row>
    <row r="19" spans="1:16" x14ac:dyDescent="0.3">
      <c r="A19" s="158" t="str">
        <f>IF(ISBLANK(B19),"",MAX(A$8:A18)+1)</f>
        <v/>
      </c>
      <c r="C19" s="435"/>
      <c r="D19" s="435"/>
      <c r="E19" s="435"/>
      <c r="F19" s="435"/>
      <c r="G19" s="435"/>
      <c r="H19" s="435"/>
      <c r="I19" s="435"/>
      <c r="J19" s="435"/>
      <c r="K19" s="435"/>
      <c r="L19" s="435"/>
      <c r="M19" s="435"/>
      <c r="P19" s="95"/>
    </row>
    <row r="20" spans="1:16" x14ac:dyDescent="0.3">
      <c r="A20" s="158">
        <f>IF(ISBLANK(B20),"",MAX(A$8:A19)+1)</f>
        <v>8</v>
      </c>
      <c r="B20" s="15" t="s">
        <v>178</v>
      </c>
      <c r="C20" s="434">
        <v>748633614</v>
      </c>
      <c r="D20" s="434">
        <v>719024102</v>
      </c>
      <c r="E20" s="434">
        <v>617107482</v>
      </c>
      <c r="F20" s="434">
        <v>605715801.08493996</v>
      </c>
      <c r="G20" s="434">
        <v>560813869.29040086</v>
      </c>
      <c r="H20" s="434">
        <v>523872653.31882</v>
      </c>
      <c r="I20" s="434">
        <v>459635246.7404871</v>
      </c>
      <c r="J20" s="434">
        <v>393482613.42999899</v>
      </c>
      <c r="K20" s="434">
        <v>339012398.52999997</v>
      </c>
      <c r="L20" s="434">
        <v>376162554.76999998</v>
      </c>
      <c r="M20" s="434">
        <v>320201348.01999885</v>
      </c>
      <c r="O20" s="52"/>
      <c r="P20" s="95"/>
    </row>
    <row r="21" spans="1:16" x14ac:dyDescent="0.3">
      <c r="A21" s="158" t="str">
        <f>IF(ISBLANK(B21),"",MAX(A$8:A20)+1)</f>
        <v/>
      </c>
      <c r="C21" s="435"/>
      <c r="D21" s="435"/>
      <c r="E21" s="435"/>
      <c r="F21" s="435"/>
      <c r="G21" s="435"/>
      <c r="H21" s="435"/>
      <c r="I21" s="435"/>
      <c r="J21" s="435"/>
      <c r="K21" s="435"/>
      <c r="L21" s="435"/>
      <c r="M21" s="435"/>
      <c r="P21" s="95"/>
    </row>
    <row r="22" spans="1:16" x14ac:dyDescent="0.3">
      <c r="A22" s="158">
        <f>IF(ISBLANK(B22),"",MAX(A$8:A21)+1)</f>
        <v>9</v>
      </c>
      <c r="B22" s="292" t="s">
        <v>35</v>
      </c>
      <c r="C22" s="440">
        <f t="shared" ref="C22:M22" si="3">C20</f>
        <v>748633614</v>
      </c>
      <c r="D22" s="440">
        <f t="shared" si="3"/>
        <v>719024102</v>
      </c>
      <c r="E22" s="440">
        <f t="shared" si="3"/>
        <v>617107482</v>
      </c>
      <c r="F22" s="440">
        <f t="shared" si="3"/>
        <v>605715801.08493996</v>
      </c>
      <c r="G22" s="440">
        <f t="shared" si="3"/>
        <v>560813869.29040086</v>
      </c>
      <c r="H22" s="440">
        <f t="shared" si="3"/>
        <v>523872653.31882</v>
      </c>
      <c r="I22" s="440">
        <f t="shared" si="3"/>
        <v>459635246.7404871</v>
      </c>
      <c r="J22" s="440">
        <f t="shared" si="3"/>
        <v>393482613.42999899</v>
      </c>
      <c r="K22" s="440">
        <f t="shared" si="3"/>
        <v>339012398.52999997</v>
      </c>
      <c r="L22" s="440">
        <f t="shared" si="3"/>
        <v>376162554.76999998</v>
      </c>
      <c r="M22" s="440">
        <f t="shared" si="3"/>
        <v>320201348.01999885</v>
      </c>
      <c r="P22" s="95"/>
    </row>
    <row r="23" spans="1:16" x14ac:dyDescent="0.3">
      <c r="A23" s="158" t="str">
        <f>IF(ISBLANK(B23),"",MAX(A$8:A22)+1)</f>
        <v/>
      </c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7"/>
      <c r="P23" s="95"/>
    </row>
    <row r="24" spans="1:16" x14ac:dyDescent="0.3">
      <c r="A24" s="158">
        <f>IF(ISBLANK(B24),"",MAX(A$8:A23)+1)</f>
        <v>10</v>
      </c>
      <c r="B24" s="15" t="s">
        <v>36</v>
      </c>
      <c r="C24" s="434">
        <v>1873117</v>
      </c>
      <c r="D24" s="434">
        <v>1892293</v>
      </c>
      <c r="E24" s="434">
        <v>1937122</v>
      </c>
      <c r="F24" s="434">
        <v>1575816</v>
      </c>
      <c r="G24" s="434">
        <v>1692833.95</v>
      </c>
      <c r="H24" s="434">
        <v>1806137.98999999</v>
      </c>
      <c r="I24" s="434">
        <v>1887106.65</v>
      </c>
      <c r="J24" s="434">
        <v>2044530.2899999998</v>
      </c>
      <c r="K24" s="434">
        <v>2485003.6</v>
      </c>
      <c r="L24" s="434">
        <v>4258218.4099999899</v>
      </c>
      <c r="M24" s="434">
        <v>6015083.4699999988</v>
      </c>
      <c r="O24" s="52"/>
      <c r="P24" s="95"/>
    </row>
    <row r="25" spans="1:16" x14ac:dyDescent="0.3">
      <c r="A25" s="158">
        <f>IF(ISBLANK(B25),"",MAX(A$8:A24)+1)</f>
        <v>11</v>
      </c>
      <c r="B25" s="15" t="s">
        <v>37</v>
      </c>
      <c r="C25" s="435">
        <v>394280</v>
      </c>
      <c r="D25" s="435">
        <v>764237</v>
      </c>
      <c r="E25" s="435">
        <v>226853</v>
      </c>
      <c r="F25" s="435">
        <v>49692</v>
      </c>
      <c r="G25" s="435">
        <v>15004.7299999999</v>
      </c>
      <c r="H25" s="435">
        <v>27893.159999999902</v>
      </c>
      <c r="I25" s="435">
        <v>334.94</v>
      </c>
      <c r="J25" s="435">
        <v>0</v>
      </c>
      <c r="K25" s="435">
        <v>0</v>
      </c>
      <c r="L25" s="435">
        <v>0</v>
      </c>
      <c r="M25" s="435">
        <v>2110.77</v>
      </c>
      <c r="O25" s="52"/>
      <c r="P25" s="95"/>
    </row>
    <row r="26" spans="1:16" x14ac:dyDescent="0.3">
      <c r="A26" s="158">
        <f>IF(ISBLANK(B26),"",MAX(A$8:A25)+1)</f>
        <v>12</v>
      </c>
      <c r="B26" s="15" t="s">
        <v>38</v>
      </c>
      <c r="C26" s="435">
        <v>51612729</v>
      </c>
      <c r="D26" s="435">
        <v>53931603</v>
      </c>
      <c r="E26" s="435">
        <v>50238405</v>
      </c>
      <c r="F26" s="435">
        <v>52286164</v>
      </c>
      <c r="G26" s="435">
        <v>51578669.069999903</v>
      </c>
      <c r="H26" s="435">
        <v>50241924.590000004</v>
      </c>
      <c r="I26" s="435">
        <v>51905731.789999999</v>
      </c>
      <c r="J26" s="435">
        <v>49550744.18</v>
      </c>
      <c r="K26" s="435">
        <v>59765033.689999998</v>
      </c>
      <c r="L26" s="435">
        <v>59084501.780000001</v>
      </c>
      <c r="M26" s="435">
        <v>60174168.099999979</v>
      </c>
      <c r="O26" s="52"/>
      <c r="P26" s="95"/>
    </row>
    <row r="27" spans="1:16" x14ac:dyDescent="0.3">
      <c r="A27" s="158">
        <f>IF(ISBLANK(B27),"",MAX(A$8:A26)+1)</f>
        <v>13</v>
      </c>
      <c r="B27" s="15" t="s">
        <v>39</v>
      </c>
      <c r="C27" s="435">
        <v>27502193</v>
      </c>
      <c r="D27" s="435">
        <v>29814128</v>
      </c>
      <c r="E27" s="435">
        <v>30338662</v>
      </c>
      <c r="F27" s="435">
        <v>30371781.553854682</v>
      </c>
      <c r="G27" s="435">
        <v>30792302.218545437</v>
      </c>
      <c r="H27" s="435">
        <v>31660511.002574448</v>
      </c>
      <c r="I27" s="435">
        <v>31631336.912505738</v>
      </c>
      <c r="J27" s="435">
        <v>28464952.678000219</v>
      </c>
      <c r="K27" s="435">
        <v>26126571.956570297</v>
      </c>
      <c r="L27" s="435">
        <v>28760695.616511144</v>
      </c>
      <c r="M27" s="435">
        <v>29734325.023543347</v>
      </c>
      <c r="O27" s="52"/>
      <c r="P27" s="95"/>
    </row>
    <row r="28" spans="1:16" x14ac:dyDescent="0.3">
      <c r="A28" s="158">
        <f>IF(ISBLANK(B28),"",MAX(A$8:A27)+1)</f>
        <v>14</v>
      </c>
      <c r="B28" s="15" t="s">
        <v>40</v>
      </c>
      <c r="C28" s="435">
        <v>1412015</v>
      </c>
      <c r="D28" s="435">
        <v>1378996</v>
      </c>
      <c r="E28" s="435">
        <v>1116902</v>
      </c>
      <c r="F28" s="435">
        <v>1080045</v>
      </c>
      <c r="G28" s="435">
        <v>1216995.1655560001</v>
      </c>
      <c r="H28" s="435">
        <v>1823917.7472270001</v>
      </c>
      <c r="I28" s="435">
        <v>3027682.0502300002</v>
      </c>
      <c r="J28" s="435">
        <v>1664689.8482449995</v>
      </c>
      <c r="K28" s="435">
        <v>2243672.16536</v>
      </c>
      <c r="L28" s="435">
        <v>1692256.5791999996</v>
      </c>
      <c r="M28" s="435">
        <v>1775196.2199999988</v>
      </c>
      <c r="O28" s="52"/>
      <c r="P28" s="95"/>
    </row>
    <row r="29" spans="1:16" x14ac:dyDescent="0.3">
      <c r="A29" s="158">
        <f>IF(ISBLANK(B29),"",MAX(A$8:A28)+1)</f>
        <v>15</v>
      </c>
      <c r="B29" s="15" t="s">
        <v>41</v>
      </c>
      <c r="C29" s="435">
        <v>0</v>
      </c>
      <c r="D29" s="435">
        <v>0</v>
      </c>
      <c r="E29" s="435">
        <v>0</v>
      </c>
      <c r="F29" s="435">
        <v>0.37000000104308128</v>
      </c>
      <c r="G29" s="435">
        <v>0</v>
      </c>
      <c r="H29" s="435">
        <v>0</v>
      </c>
      <c r="I29" s="435">
        <v>0</v>
      </c>
      <c r="J29" s="435">
        <v>0</v>
      </c>
      <c r="K29" s="435">
        <v>0</v>
      </c>
      <c r="L29" s="435">
        <v>0</v>
      </c>
      <c r="M29" s="435">
        <v>0</v>
      </c>
      <c r="O29" s="52"/>
      <c r="P29" s="95"/>
    </row>
    <row r="30" spans="1:16" x14ac:dyDescent="0.3">
      <c r="A30" s="158">
        <f>IF(ISBLANK(B30),"",MAX(A$8:A29)+1)</f>
        <v>16</v>
      </c>
      <c r="B30" s="15" t="s">
        <v>42</v>
      </c>
      <c r="C30" s="435">
        <v>45804926</v>
      </c>
      <c r="D30" s="435">
        <v>47738387</v>
      </c>
      <c r="E30" s="435">
        <v>43671399</v>
      </c>
      <c r="F30" s="435">
        <v>46383523.277082354</v>
      </c>
      <c r="G30" s="435">
        <v>45907620.182091698</v>
      </c>
      <c r="H30" s="435">
        <v>48006092.965356037</v>
      </c>
      <c r="I30" s="435">
        <v>48861723.036314279</v>
      </c>
      <c r="J30" s="435">
        <v>47159453.191689149</v>
      </c>
      <c r="K30" s="435">
        <v>52634913.079035677</v>
      </c>
      <c r="L30" s="435">
        <v>63712641.98739361</v>
      </c>
      <c r="M30" s="435">
        <v>60504456.637451023</v>
      </c>
      <c r="O30" s="52"/>
      <c r="P30" s="95"/>
    </row>
    <row r="31" spans="1:16" x14ac:dyDescent="0.3">
      <c r="A31" s="158">
        <f>IF(ISBLANK(B31),"",MAX(A$8:A30)+1)</f>
        <v>17</v>
      </c>
      <c r="B31" s="15" t="s">
        <v>1</v>
      </c>
      <c r="C31" s="435">
        <v>82190938</v>
      </c>
      <c r="D31" s="435">
        <v>93816649</v>
      </c>
      <c r="E31" s="435">
        <v>102386843</v>
      </c>
      <c r="F31" s="435">
        <v>102889642</v>
      </c>
      <c r="G31" s="435">
        <v>106110894.61497299</v>
      </c>
      <c r="H31" s="435">
        <v>111068604.664087</v>
      </c>
      <c r="I31" s="435">
        <v>112188311.09626999</v>
      </c>
      <c r="J31" s="435">
        <v>117082009.46159101</v>
      </c>
      <c r="K31" s="435">
        <v>124027465.78486399</v>
      </c>
      <c r="L31" s="435">
        <v>130682950.311012</v>
      </c>
      <c r="M31" s="435">
        <v>116957730.5099999</v>
      </c>
      <c r="O31" s="52"/>
      <c r="P31" s="95"/>
    </row>
    <row r="32" spans="1:16" x14ac:dyDescent="0.3">
      <c r="A32" s="158">
        <f>IF(ISBLANK(B32),"",MAX(A$8:A31)+1)</f>
        <v>18</v>
      </c>
      <c r="B32" s="15" t="s">
        <v>43</v>
      </c>
      <c r="C32" s="435">
        <v>15618788</v>
      </c>
      <c r="D32" s="435">
        <v>16493016</v>
      </c>
      <c r="E32" s="435">
        <v>12778120</v>
      </c>
      <c r="F32" s="435">
        <v>12487218</v>
      </c>
      <c r="G32" s="435">
        <v>11340567.025946001</v>
      </c>
      <c r="H32" s="435">
        <v>12058227.209931999</v>
      </c>
      <c r="I32" s="435">
        <v>11788164.304105001</v>
      </c>
      <c r="J32" s="435">
        <v>11211688.963727999</v>
      </c>
      <c r="K32" s="435">
        <v>11987329.286844</v>
      </c>
      <c r="L32" s="435">
        <v>17346426.279853001</v>
      </c>
      <c r="M32" s="435">
        <v>26117569.960000001</v>
      </c>
      <c r="O32" s="52"/>
      <c r="P32" s="95"/>
    </row>
    <row r="33" spans="1:16" x14ac:dyDescent="0.3">
      <c r="A33" s="158">
        <f>IF(ISBLANK(B33),"",MAX(A$8:A32)+1)</f>
        <v>19</v>
      </c>
      <c r="B33" s="15" t="s">
        <v>179</v>
      </c>
      <c r="C33" s="435">
        <v>0</v>
      </c>
      <c r="D33" s="435">
        <v>0</v>
      </c>
      <c r="E33" s="435">
        <v>0</v>
      </c>
      <c r="F33" s="435">
        <v>0</v>
      </c>
      <c r="G33" s="435">
        <v>0</v>
      </c>
      <c r="H33" s="435">
        <v>0</v>
      </c>
      <c r="I33" s="435">
        <v>0</v>
      </c>
      <c r="J33" s="435">
        <v>0</v>
      </c>
      <c r="K33" s="435">
        <v>0</v>
      </c>
      <c r="L33" s="435">
        <v>0</v>
      </c>
      <c r="M33" s="435">
        <v>0</v>
      </c>
      <c r="O33" s="52"/>
      <c r="P33" s="95"/>
    </row>
    <row r="34" spans="1:16" x14ac:dyDescent="0.3">
      <c r="A34" s="158">
        <f>IF(ISBLANK(B34),"",MAX(A$8:A33)+1)</f>
        <v>20</v>
      </c>
      <c r="B34" s="15" t="s">
        <v>45</v>
      </c>
      <c r="C34" s="435">
        <v>781404</v>
      </c>
      <c r="D34" s="435">
        <v>-286700</v>
      </c>
      <c r="E34" s="435">
        <v>-211528</v>
      </c>
      <c r="F34" s="435">
        <v>-151356</v>
      </c>
      <c r="G34" s="435">
        <v>-45370.200000000004</v>
      </c>
      <c r="H34" s="435">
        <v>3137491.8000000003</v>
      </c>
      <c r="I34" s="435">
        <v>-45370.199999999903</v>
      </c>
      <c r="J34" s="435">
        <v>-45370.199999999903</v>
      </c>
      <c r="K34" s="435">
        <v>-193738.820354</v>
      </c>
      <c r="L34" s="435">
        <v>281807.82</v>
      </c>
      <c r="M34" s="435">
        <v>8769360.9199999981</v>
      </c>
      <c r="O34" s="52"/>
      <c r="P34" s="95"/>
    </row>
    <row r="35" spans="1:16" x14ac:dyDescent="0.3">
      <c r="A35" s="158">
        <f>IF(ISBLANK(B35),"",MAX(A$8:A34)+1)</f>
        <v>21</v>
      </c>
      <c r="B35" s="15" t="s">
        <v>47</v>
      </c>
      <c r="C35" s="435">
        <v>57878840</v>
      </c>
      <c r="D35" s="435">
        <v>59834599</v>
      </c>
      <c r="E35" s="435">
        <v>58086350</v>
      </c>
      <c r="F35" s="435">
        <v>62325674.35853453</v>
      </c>
      <c r="G35" s="435">
        <v>62324534.192295589</v>
      </c>
      <c r="H35" s="435">
        <v>48460112.856745608</v>
      </c>
      <c r="I35" s="435">
        <v>38423559.598946169</v>
      </c>
      <c r="J35" s="435">
        <v>36435059.664413847</v>
      </c>
      <c r="K35" s="435">
        <v>35198609.673254773</v>
      </c>
      <c r="L35" s="435">
        <v>40797968.789201349</v>
      </c>
      <c r="M35" s="435">
        <v>36975583.824290976</v>
      </c>
      <c r="O35" s="52"/>
      <c r="P35" s="95"/>
    </row>
    <row r="36" spans="1:16" x14ac:dyDescent="0.3">
      <c r="A36" s="158">
        <f>IF(ISBLANK(B36),"",MAX(A$8:A35)+1)</f>
        <v>22</v>
      </c>
      <c r="B36" s="15" t="s">
        <v>48</v>
      </c>
      <c r="C36" s="435">
        <v>-19271776</v>
      </c>
      <c r="D36" s="435">
        <v>-15948783</v>
      </c>
      <c r="E36" s="435">
        <v>-10948148</v>
      </c>
      <c r="F36" s="435">
        <v>2217702.63185339</v>
      </c>
      <c r="G36" s="435">
        <v>9879733.7316543516</v>
      </c>
      <c r="H36" s="435">
        <v>3237968.7877660068</v>
      </c>
      <c r="I36" s="435">
        <v>4484681.9556958992</v>
      </c>
      <c r="J36" s="435">
        <v>13060712.374987252</v>
      </c>
      <c r="K36" s="435">
        <v>9477221.2772979736</v>
      </c>
      <c r="L36" s="435">
        <v>210231.48043787852</v>
      </c>
      <c r="M36" s="435">
        <v>6727558.805277586</v>
      </c>
      <c r="O36" s="52"/>
      <c r="P36" s="95"/>
    </row>
    <row r="37" spans="1:16" x14ac:dyDescent="0.3">
      <c r="A37" s="158">
        <f>IF(ISBLANK(B37),"",MAX(A$8:A36)+1)</f>
        <v>23</v>
      </c>
      <c r="B37" s="15" t="s">
        <v>49</v>
      </c>
      <c r="C37" s="436">
        <v>41924649</v>
      </c>
      <c r="D37" s="436">
        <v>40498698</v>
      </c>
      <c r="E37" s="436">
        <v>37485152</v>
      </c>
      <c r="F37" s="436">
        <v>30824248.648499995</v>
      </c>
      <c r="G37" s="436">
        <v>28966734.072344877</v>
      </c>
      <c r="H37" s="436">
        <v>37753913.859999999</v>
      </c>
      <c r="I37" s="436">
        <v>39237324.88000007</v>
      </c>
      <c r="J37" s="436">
        <v>33963036.840000011</v>
      </c>
      <c r="K37" s="436">
        <v>37113153.880000018</v>
      </c>
      <c r="L37" s="436">
        <v>52627883.350532025</v>
      </c>
      <c r="M37" s="436">
        <v>523319.51868812554</v>
      </c>
      <c r="O37" s="52"/>
      <c r="P37" s="95"/>
    </row>
    <row r="38" spans="1:16" x14ac:dyDescent="0.3">
      <c r="A38" s="158">
        <f>IF(ISBLANK(B38),"",MAX(A$8:A37)+1)</f>
        <v>24</v>
      </c>
      <c r="B38" s="292" t="s">
        <v>50</v>
      </c>
      <c r="C38" s="440">
        <f t="shared" ref="C38:M38" si="4">SUM(C22:C37)</f>
        <v>1056355717</v>
      </c>
      <c r="D38" s="440">
        <f t="shared" si="4"/>
        <v>1048951225</v>
      </c>
      <c r="E38" s="440">
        <f t="shared" si="4"/>
        <v>944213614</v>
      </c>
      <c r="F38" s="440">
        <f t="shared" si="4"/>
        <v>948055952.92476487</v>
      </c>
      <c r="G38" s="440">
        <f t="shared" si="4"/>
        <v>910594388.04380774</v>
      </c>
      <c r="H38" s="440">
        <f t="shared" si="4"/>
        <v>873155449.95250785</v>
      </c>
      <c r="I38" s="440">
        <f t="shared" si="4"/>
        <v>803025833.75455427</v>
      </c>
      <c r="J38" s="440">
        <f t="shared" si="4"/>
        <v>734074120.72265339</v>
      </c>
      <c r="K38" s="440">
        <f t="shared" si="4"/>
        <v>699877634.10287273</v>
      </c>
      <c r="L38" s="440">
        <f t="shared" si="4"/>
        <v>775618137.17414105</v>
      </c>
      <c r="M38" s="440">
        <f t="shared" si="4"/>
        <v>674477811.77924967</v>
      </c>
    </row>
    <row r="39" spans="1:16" x14ac:dyDescent="0.3">
      <c r="A39" s="158" t="str">
        <f>IF(ISBLANK(B39),"",MAX(A$8:A38)+1)</f>
        <v/>
      </c>
      <c r="C39" s="438"/>
      <c r="D39" s="438"/>
      <c r="E39" s="438"/>
      <c r="F39" s="438"/>
      <c r="G39" s="438"/>
      <c r="H39" s="438"/>
      <c r="I39" s="438"/>
      <c r="J39" s="438"/>
      <c r="K39" s="438"/>
      <c r="L39" s="438"/>
      <c r="M39" s="438"/>
    </row>
    <row r="40" spans="1:16" x14ac:dyDescent="0.3">
      <c r="A40" s="158">
        <f>IF(ISBLANK(B40),"",MAX(A$8:A39)+1)</f>
        <v>25</v>
      </c>
      <c r="B40" s="15" t="s">
        <v>51</v>
      </c>
      <c r="C40" s="441">
        <f t="shared" ref="C40:M40" si="5">C13-C38</f>
        <v>96137045</v>
      </c>
      <c r="D40" s="441">
        <f t="shared" si="5"/>
        <v>95944158</v>
      </c>
      <c r="E40" s="441">
        <f t="shared" si="5"/>
        <v>102390076</v>
      </c>
      <c r="F40" s="441">
        <f t="shared" si="5"/>
        <v>111548451.70643795</v>
      </c>
      <c r="G40" s="441">
        <f t="shared" si="5"/>
        <v>120430700.85388947</v>
      </c>
      <c r="H40" s="441">
        <f t="shared" si="5"/>
        <v>121284724.17563748</v>
      </c>
      <c r="I40" s="441">
        <f t="shared" si="5"/>
        <v>131799123.18753362</v>
      </c>
      <c r="J40" s="441">
        <f t="shared" si="5"/>
        <v>139397960.05851734</v>
      </c>
      <c r="K40" s="441">
        <f t="shared" si="5"/>
        <v>137394249.18997133</v>
      </c>
      <c r="L40" s="441">
        <f t="shared" si="5"/>
        <v>147134927.03157163</v>
      </c>
      <c r="M40" s="441">
        <f t="shared" si="5"/>
        <v>109978818.47425437</v>
      </c>
    </row>
    <row r="41" spans="1:16" x14ac:dyDescent="0.3">
      <c r="A41" s="158" t="str">
        <f>IF(ISBLANK(B41),"",MAX(A$8:A40)+1)</f>
        <v/>
      </c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</row>
    <row r="42" spans="1:16" x14ac:dyDescent="0.3">
      <c r="A42" s="158">
        <f>IF(ISBLANK(B42),"",MAX(A$8:A41)+1)</f>
        <v>26</v>
      </c>
      <c r="B42" s="15" t="s">
        <v>52</v>
      </c>
      <c r="C42" s="438">
        <f>C53</f>
        <v>1474337487</v>
      </c>
      <c r="D42" s="438">
        <f t="shared" ref="D42:M42" si="6">D53</f>
        <v>1572071993</v>
      </c>
      <c r="E42" s="438">
        <f t="shared" si="6"/>
        <v>1641247346</v>
      </c>
      <c r="F42" s="438">
        <f t="shared" si="6"/>
        <v>1644558987</v>
      </c>
      <c r="G42" s="438">
        <f t="shared" si="6"/>
        <v>1613676825.1365116</v>
      </c>
      <c r="H42" s="438">
        <f t="shared" si="6"/>
        <v>1651590189.5077469</v>
      </c>
      <c r="I42" s="438">
        <f t="shared" si="6"/>
        <v>1675371022.5149949</v>
      </c>
      <c r="J42" s="438">
        <f t="shared" si="6"/>
        <v>1706005751.3643975</v>
      </c>
      <c r="K42" s="438">
        <f t="shared" si="6"/>
        <v>1733271497.0263641</v>
      </c>
      <c r="L42" s="438">
        <f t="shared" si="6"/>
        <v>1802850989.0121779</v>
      </c>
      <c r="M42" s="438">
        <f t="shared" si="6"/>
        <v>1951252143.2469792</v>
      </c>
    </row>
    <row r="43" spans="1:16" x14ac:dyDescent="0.3">
      <c r="A43" s="158" t="str">
        <f>IF(ISBLANK(B43),"",MAX(A$8:A42)+1)</f>
        <v/>
      </c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</row>
    <row r="44" spans="1:16" x14ac:dyDescent="0.3">
      <c r="A44" s="158">
        <f>IF(ISBLANK(B44),"",MAX(A$8:A43)+1)</f>
        <v>27</v>
      </c>
      <c r="B44" s="15" t="s">
        <v>53</v>
      </c>
      <c r="C44" s="442">
        <v>6.5199999999999994E-2</v>
      </c>
      <c r="D44" s="442">
        <v>6.0999999999999999E-2</v>
      </c>
      <c r="E44" s="442">
        <v>6.2399999999999997E-2</v>
      </c>
      <c r="F44" s="442">
        <v>6.7828793365402068E-2</v>
      </c>
      <c r="G44" s="442">
        <v>7.4631239029972082E-2</v>
      </c>
      <c r="H44" s="442">
        <v>7.3435120253279002E-2</v>
      </c>
      <c r="I44" s="442">
        <v>7.8668618124767636E-2</v>
      </c>
      <c r="J44" s="442">
        <v>8.1710134884968658E-2</v>
      </c>
      <c r="K44" s="442">
        <v>7.9268740890095807E-2</v>
      </c>
      <c r="L44" s="442">
        <v>8.1612361713926357E-2</v>
      </c>
      <c r="M44" s="442">
        <v>5.6363201882891338E-2</v>
      </c>
    </row>
    <row r="45" spans="1:16" x14ac:dyDescent="0.3">
      <c r="A45" s="158" t="str">
        <f>IF(ISBLANK(B45),"",MAX(A$8:A44)+1)</f>
        <v/>
      </c>
      <c r="C45" s="443"/>
      <c r="D45" s="443"/>
      <c r="E45" s="443"/>
      <c r="F45" s="443"/>
      <c r="G45" s="443"/>
      <c r="H45" s="443"/>
      <c r="I45" s="443"/>
      <c r="J45" s="443"/>
      <c r="K45" s="443"/>
      <c r="L45" s="443"/>
      <c r="M45" s="443"/>
    </row>
    <row r="46" spans="1:16" x14ac:dyDescent="0.3">
      <c r="A46" s="158">
        <f>IF(ISBLANK(B46),"",MAX(A$8:A45)+1)</f>
        <v>28</v>
      </c>
      <c r="B46" s="159" t="s">
        <v>54</v>
      </c>
      <c r="C46" s="444"/>
      <c r="D46" s="444"/>
      <c r="E46" s="444"/>
      <c r="F46" s="444"/>
      <c r="G46" s="444"/>
      <c r="H46" s="444"/>
      <c r="I46" s="444"/>
      <c r="J46" s="444"/>
      <c r="K46" s="444"/>
      <c r="L46" s="444"/>
      <c r="M46" s="444"/>
    </row>
    <row r="47" spans="1:16" x14ac:dyDescent="0.3">
      <c r="A47" s="158">
        <f>IF(ISBLANK(B47),"",MAX(A$8:A46)+1)</f>
        <v>29</v>
      </c>
      <c r="B47" s="15" t="s">
        <v>180</v>
      </c>
      <c r="C47" s="441">
        <v>2496529564</v>
      </c>
      <c r="D47" s="441">
        <v>2704456221</v>
      </c>
      <c r="E47" s="441">
        <v>2795726902</v>
      </c>
      <c r="F47" s="441">
        <v>2877011061</v>
      </c>
      <c r="G47" s="441">
        <v>2987268617</v>
      </c>
      <c r="H47" s="441">
        <v>3152000388</v>
      </c>
      <c r="I47" s="441">
        <v>3292737688</v>
      </c>
      <c r="J47" s="441">
        <v>3428724871</v>
      </c>
      <c r="K47" s="441">
        <v>3594449432</v>
      </c>
      <c r="L47" s="441">
        <v>3832859767.1337414</v>
      </c>
      <c r="M47" s="441">
        <v>4100600279.3772311</v>
      </c>
      <c r="O47" s="52"/>
      <c r="P47" s="52"/>
    </row>
    <row r="48" spans="1:16" x14ac:dyDescent="0.3">
      <c r="A48" s="158">
        <f>IF(ISBLANK(B48),"",MAX(A$8:A47)+1)</f>
        <v>30</v>
      </c>
      <c r="B48" s="15" t="s">
        <v>181</v>
      </c>
      <c r="C48" s="445">
        <v>-837320044</v>
      </c>
      <c r="D48" s="445">
        <v>-918462455</v>
      </c>
      <c r="E48" s="445">
        <v>-924038095</v>
      </c>
      <c r="F48" s="445">
        <v>-975934226</v>
      </c>
      <c r="G48" s="445">
        <v>-1061251690</v>
      </c>
      <c r="H48" s="445">
        <v>-1143008342</v>
      </c>
      <c r="I48" s="445">
        <v>-1217779480</v>
      </c>
      <c r="J48" s="445">
        <v>-1294648679</v>
      </c>
      <c r="K48" s="445">
        <v>-1388752078</v>
      </c>
      <c r="L48" s="445">
        <v>-1493439089.036036</v>
      </c>
      <c r="M48" s="445">
        <v>-1569795173.3202429</v>
      </c>
      <c r="O48" s="52"/>
      <c r="P48" s="52"/>
    </row>
    <row r="49" spans="1:16" x14ac:dyDescent="0.3">
      <c r="A49" s="158">
        <f>IF(ISBLANK(B49),"",MAX(A$8:A48)+1)</f>
        <v>31</v>
      </c>
      <c r="B49" s="15" t="s">
        <v>182</v>
      </c>
      <c r="C49" s="446">
        <v>-212422716</v>
      </c>
      <c r="D49" s="446">
        <v>-257320007</v>
      </c>
      <c r="E49" s="446">
        <v>-259429844</v>
      </c>
      <c r="F49" s="446">
        <v>-298016915</v>
      </c>
      <c r="G49" s="446">
        <v>-340520078.06199217</v>
      </c>
      <c r="H49" s="446">
        <v>-394996925.6848346</v>
      </c>
      <c r="I49" s="446">
        <v>-461380912</v>
      </c>
      <c r="J49" s="446">
        <v>-489892743</v>
      </c>
      <c r="K49" s="446">
        <v>-529361105</v>
      </c>
      <c r="L49" s="446">
        <v>-581762112.8468318</v>
      </c>
      <c r="M49" s="446">
        <v>-604032300.68879509</v>
      </c>
      <c r="O49" s="52"/>
      <c r="P49" s="52"/>
    </row>
    <row r="50" spans="1:16" x14ac:dyDescent="0.3">
      <c r="A50" s="158">
        <f>IF(ISBLANK(B50),"",MAX(A$8:A49)+1)</f>
        <v>32</v>
      </c>
      <c r="B50" s="15" t="s">
        <v>183</v>
      </c>
      <c r="C50" s="447">
        <v>-23552194</v>
      </c>
      <c r="D50" s="447">
        <v>-33816278</v>
      </c>
      <c r="E50" s="447">
        <v>-34944568</v>
      </c>
      <c r="F50" s="447">
        <v>-28225299</v>
      </c>
      <c r="G50" s="447">
        <v>-33308796</v>
      </c>
      <c r="H50" s="447">
        <v>-30103192</v>
      </c>
      <c r="I50" s="447">
        <v>1351968.8265220076</v>
      </c>
      <c r="J50" s="447">
        <v>-2690326.6825212911</v>
      </c>
      <c r="K50" s="447">
        <v>-19573354.599600285</v>
      </c>
      <c r="L50" s="447">
        <v>-32315096.333012477</v>
      </c>
      <c r="M50" s="447">
        <v>-29952462.162250079</v>
      </c>
      <c r="O50" s="52"/>
      <c r="P50" s="52"/>
    </row>
    <row r="51" spans="1:16" x14ac:dyDescent="0.3">
      <c r="A51" s="158">
        <f>IF(ISBLANK(B51),"",MAX(A$8:A50)+1)</f>
        <v>33</v>
      </c>
      <c r="B51" s="292" t="s">
        <v>184</v>
      </c>
      <c r="C51" s="448">
        <f>SUM(C47:C50)</f>
        <v>1423234610</v>
      </c>
      <c r="D51" s="448">
        <f t="shared" ref="D51:M51" si="7">SUM(D47:D50)</f>
        <v>1494857481</v>
      </c>
      <c r="E51" s="448">
        <f t="shared" si="7"/>
        <v>1577314395</v>
      </c>
      <c r="F51" s="448">
        <f t="shared" si="7"/>
        <v>1574834621</v>
      </c>
      <c r="G51" s="448">
        <f t="shared" si="7"/>
        <v>1552188052.9380078</v>
      </c>
      <c r="H51" s="448">
        <f t="shared" si="7"/>
        <v>1583891928.3151655</v>
      </c>
      <c r="I51" s="448">
        <f t="shared" si="7"/>
        <v>1614929264.8265221</v>
      </c>
      <c r="J51" s="448">
        <f t="shared" si="7"/>
        <v>1641493122.3174787</v>
      </c>
      <c r="K51" s="448">
        <f t="shared" si="7"/>
        <v>1656762894.4003997</v>
      </c>
      <c r="L51" s="448">
        <f t="shared" si="7"/>
        <v>1725343468.917861</v>
      </c>
      <c r="M51" s="448">
        <f t="shared" si="7"/>
        <v>1896820343.2059431</v>
      </c>
    </row>
    <row r="52" spans="1:16" x14ac:dyDescent="0.3">
      <c r="A52" s="158">
        <f>IF(ISBLANK(B52),"",MAX(A$8:A51)+1)</f>
        <v>34</v>
      </c>
      <c r="B52" s="15" t="s">
        <v>60</v>
      </c>
      <c r="C52" s="447">
        <v>51102877</v>
      </c>
      <c r="D52" s="447">
        <v>77214512</v>
      </c>
      <c r="E52" s="447">
        <v>63932951</v>
      </c>
      <c r="F52" s="447">
        <v>69724366</v>
      </c>
      <c r="G52" s="447">
        <v>61488772.198503688</v>
      </c>
      <c r="H52" s="447">
        <v>67698261.192581519</v>
      </c>
      <c r="I52" s="447">
        <v>60441757.688472785</v>
      </c>
      <c r="J52" s="447">
        <v>64512629.046918951</v>
      </c>
      <c r="K52" s="447">
        <v>76508602.625964388</v>
      </c>
      <c r="L52" s="447">
        <v>77507520.09431687</v>
      </c>
      <c r="M52" s="447">
        <v>54431800.041036151</v>
      </c>
    </row>
    <row r="53" spans="1:16" ht="15" thickBot="1" x14ac:dyDescent="0.35">
      <c r="A53" s="158">
        <f>IF(ISBLANK(B53),"",MAX(A$8:A52)+1)</f>
        <v>35</v>
      </c>
      <c r="B53" s="449" t="s">
        <v>62</v>
      </c>
      <c r="C53" s="450">
        <f>SUM(C51:C52)</f>
        <v>1474337487</v>
      </c>
      <c r="D53" s="450">
        <f t="shared" ref="D53:M53" si="8">SUM(D51:D52)</f>
        <v>1572071993</v>
      </c>
      <c r="E53" s="450">
        <f t="shared" si="8"/>
        <v>1641247346</v>
      </c>
      <c r="F53" s="450">
        <f t="shared" si="8"/>
        <v>1644558987</v>
      </c>
      <c r="G53" s="450">
        <f t="shared" si="8"/>
        <v>1613676825.1365116</v>
      </c>
      <c r="H53" s="450">
        <f t="shared" si="8"/>
        <v>1651590189.5077469</v>
      </c>
      <c r="I53" s="450">
        <f t="shared" si="8"/>
        <v>1675371022.5149949</v>
      </c>
      <c r="J53" s="450">
        <f t="shared" si="8"/>
        <v>1706005751.3643975</v>
      </c>
      <c r="K53" s="450">
        <f t="shared" si="8"/>
        <v>1733271497.0263641</v>
      </c>
      <c r="L53" s="450">
        <f t="shared" si="8"/>
        <v>1802850989.0121779</v>
      </c>
      <c r="M53" s="450">
        <f t="shared" si="8"/>
        <v>1951252143.2469792</v>
      </c>
    </row>
    <row r="54" spans="1:16" ht="15" thickTop="1" x14ac:dyDescent="0.3">
      <c r="A54" s="158" t="str">
        <f>IF(ISBLANK(B54),"",MAX(A$8:A53)+1)</f>
        <v/>
      </c>
      <c r="C54" s="451"/>
      <c r="D54" s="451"/>
      <c r="E54" s="451"/>
      <c r="F54" s="451"/>
      <c r="G54" s="451"/>
      <c r="H54" s="451"/>
      <c r="I54" s="451"/>
      <c r="J54" s="451"/>
      <c r="K54" s="451"/>
      <c r="L54" s="451"/>
      <c r="M54" s="451"/>
    </row>
    <row r="55" spans="1:16" x14ac:dyDescent="0.3">
      <c r="A55" s="158">
        <f>IF(ISBLANK(B55),"",MAX(A$8:A54)+1)</f>
        <v>36</v>
      </c>
      <c r="B55" s="15" t="s">
        <v>63</v>
      </c>
      <c r="C55" s="451"/>
      <c r="D55" s="451"/>
      <c r="E55" s="451"/>
      <c r="F55" s="451"/>
      <c r="G55" s="451"/>
      <c r="H55" s="451"/>
      <c r="I55" s="451"/>
      <c r="J55" s="451"/>
      <c r="K55" s="451"/>
      <c r="L55" s="451"/>
      <c r="M55" s="451"/>
    </row>
    <row r="56" spans="1:16" x14ac:dyDescent="0.3">
      <c r="A56" s="158">
        <f>IF(ISBLANK(B56),"",MAX(A$8:A55)+1)</f>
        <v>37</v>
      </c>
      <c r="B56" s="21" t="s">
        <v>185</v>
      </c>
      <c r="C56" s="451">
        <f ca="1">OFFSET(Gas_Func_Plant!$C6,0,(C$7-2008)*5)+OFFSET(Gas_Func_Plant!$C28,0,(C$7-2008)*5)</f>
        <v>52923042</v>
      </c>
      <c r="D56" s="451">
        <f ca="1">OFFSET(Gas_Func_Plant!$C6,0,(D$7-2008)*5)+OFFSET(Gas_Func_Plant!$C28,0,(D$7-2008)*5)</f>
        <v>68780518</v>
      </c>
      <c r="E56" s="451">
        <f ca="1">OFFSET(Gas_Func_Plant!$C6,0,(E$7-2008)*5)+OFFSET(Gas_Func_Plant!$C28,0,(E$7-2008)*5)</f>
        <v>69202564</v>
      </c>
      <c r="F56" s="451">
        <f ca="1">OFFSET(Gas_Func_Plant!$C6,0,(F$7-2008)*5)+OFFSET(Gas_Func_Plant!$C28,0,(F$7-2008)*5)</f>
        <v>61918608</v>
      </c>
      <c r="G56" s="451">
        <f ca="1">OFFSET(Gas_Func_Plant!$C6,0,(G$7-2008)*5)+OFFSET(Gas_Func_Plant!$C28,0,(G$7-2008)*5)</f>
        <v>62168166</v>
      </c>
      <c r="H56" s="451">
        <f ca="1">OFFSET(Gas_Func_Plant!$C6,0,(H$7-2008)*5)+OFFSET(Gas_Func_Plant!$C28,0,(H$7-2008)*5)</f>
        <v>62548742</v>
      </c>
      <c r="I56" s="451">
        <f ca="1">OFFSET(Gas_Func_Plant!$C6,0,(I$7-2008)*5)+OFFSET(Gas_Func_Plant!$C28,0,(I$7-2008)*5)</f>
        <v>71882732</v>
      </c>
      <c r="J56" s="451">
        <f ca="1">OFFSET(Gas_Func_Plant!$C6,0,(J$7-2008)*5)+OFFSET(Gas_Func_Plant!$C28,0,(J$7-2008)*5)</f>
        <v>72417102</v>
      </c>
      <c r="K56" s="451">
        <f ca="1">OFFSET(Gas_Func_Plant!$C6,0,(K$7-2008)*5)+OFFSET(Gas_Func_Plant!$C28,0,(K$7-2008)*5)</f>
        <v>73372924</v>
      </c>
      <c r="L56" s="451">
        <f ca="1">OFFSET(Gas_Func_Plant!$C6,0,(L$7-2008)*5)+OFFSET(Gas_Func_Plant!$C28,0,(L$7-2008)*5)</f>
        <v>74312146.469999999</v>
      </c>
      <c r="M56" s="451">
        <f ca="1">OFFSET(Gas_Func_Plant!$C6,0,(M$7-2008)*5)+OFFSET(Gas_Func_Plant!$C28,0,(M$7-2008)*5)</f>
        <v>76474409.469999999</v>
      </c>
    </row>
    <row r="57" spans="1:16" x14ac:dyDescent="0.3">
      <c r="A57" s="158">
        <f>IF(ISBLANK(B57),"",MAX(A$8:A56)+1)</f>
        <v>38</v>
      </c>
      <c r="B57" s="21" t="s">
        <v>65</v>
      </c>
      <c r="C57" s="445">
        <f ca="1">OFFSET(Gas_Func_Plant!$C7,0,(C$7-2008)*5)</f>
        <v>-3358</v>
      </c>
      <c r="D57" s="445">
        <f ca="1">OFFSET(Gas_Func_Plant!$C7,0,(D$7-2008)*5)</f>
        <v>0</v>
      </c>
      <c r="E57" s="445">
        <f ca="1">OFFSET(Gas_Func_Plant!$C7,0,(E$7-2008)*5)</f>
        <v>0.33489999999999998</v>
      </c>
      <c r="F57" s="445">
        <f ca="1">OFFSET(Gas_Func_Plant!$C7,0,(F$7-2008)*5)</f>
        <v>0</v>
      </c>
      <c r="G57" s="445">
        <f ca="1">OFFSET(Gas_Func_Plant!$C7,0,(G$7-2008)*5)</f>
        <v>0.32890000000000003</v>
      </c>
      <c r="H57" s="445">
        <f ca="1">OFFSET(Gas_Func_Plant!$C7,0,(H$7-2008)*5)</f>
        <v>0.32019999999999998</v>
      </c>
      <c r="I57" s="445">
        <f ca="1">OFFSET(Gas_Func_Plant!$C7,0,(I$7-2008)*5)</f>
        <v>0.3145</v>
      </c>
      <c r="J57" s="445">
        <f ca="1">OFFSET(Gas_Func_Plant!$C7,0,(J$7-2008)*5)</f>
        <v>0</v>
      </c>
      <c r="K57" s="445">
        <f ca="1">OFFSET(Gas_Func_Plant!$C7,0,(K$7-2008)*5)</f>
        <v>0</v>
      </c>
      <c r="L57" s="445">
        <f ca="1">OFFSET(Gas_Func_Plant!$C7,0,(L$7-2008)*5)</f>
        <v>0</v>
      </c>
      <c r="M57" s="445">
        <f ca="1">OFFSET(Gas_Func_Plant!$C7,0,(M$7-2008)*5)</f>
        <v>0</v>
      </c>
    </row>
    <row r="58" spans="1:16" x14ac:dyDescent="0.3">
      <c r="A58" s="158">
        <f>IF(ISBLANK(B58),"",MAX(A$8:A57)+1)</f>
        <v>39</v>
      </c>
      <c r="B58" s="21" t="s">
        <v>66</v>
      </c>
      <c r="C58" s="445">
        <f ca="1">OFFSET(Gas_Func_Plant!$C8,0,(C$7-2008)*5)</f>
        <v>2210764633</v>
      </c>
      <c r="D58" s="445">
        <f ca="1">OFFSET(Gas_Func_Plant!$C8,0,(D$7-2008)*5)</f>
        <v>2385288050</v>
      </c>
      <c r="E58" s="445">
        <f ca="1">OFFSET(Gas_Func_Plant!$C8,0,(E$7-2008)*5)</f>
        <v>2530004412</v>
      </c>
      <c r="F58" s="445">
        <f ca="1">OFFSET(Gas_Func_Plant!$C8,0,(F$7-2008)*5)</f>
        <v>2635752747</v>
      </c>
      <c r="G58" s="445">
        <f ca="1">OFFSET(Gas_Func_Plant!$C8,0,(G$7-2008)*5)</f>
        <v>2746234653</v>
      </c>
      <c r="H58" s="445">
        <f ca="1">OFFSET(Gas_Func_Plant!$C8,0,(H$7-2008)*5)</f>
        <v>2879940210</v>
      </c>
      <c r="I58" s="445">
        <f ca="1">OFFSET(Gas_Func_Plant!$C8,0,(I$7-2008)*5)</f>
        <v>3022548886</v>
      </c>
      <c r="J58" s="445">
        <f ca="1">OFFSET(Gas_Func_Plant!$C8,0,(J$7-2008)*5)</f>
        <v>3162774259.7674999</v>
      </c>
      <c r="K58" s="445">
        <f ca="1">OFFSET(Gas_Func_Plant!$C8,0,(K$7-2008)*5)</f>
        <v>3310238970</v>
      </c>
      <c r="L58" s="445">
        <f ca="1">OFFSET(Gas_Func_Plant!$C8,0,(L$7-2008)*5)</f>
        <v>3497293008</v>
      </c>
      <c r="M58" s="445">
        <f ca="1">OFFSET(Gas_Func_Plant!$C8,0,(M$7-2008)*5)</f>
        <v>3710993361</v>
      </c>
    </row>
    <row r="59" spans="1:16" x14ac:dyDescent="0.3">
      <c r="A59" s="158">
        <f>IF(ISBLANK(B59),"",MAX(A$8:A58)+1)</f>
        <v>40</v>
      </c>
      <c r="B59" s="21" t="s">
        <v>67</v>
      </c>
      <c r="C59" s="445">
        <f ca="1">OFFSET(Gas_Func_Plant!$C9,0,(C$7-2008)*5)</f>
        <v>114148670.88149999</v>
      </c>
      <c r="D59" s="445">
        <f ca="1">OFFSET(Gas_Func_Plant!$C9,0,(D$7-2008)*5)</f>
        <v>121231461.78160001</v>
      </c>
      <c r="E59" s="445">
        <f ca="1">OFFSET(Gas_Func_Plant!$C9,0,(E$7-2008)*5)</f>
        <v>70084907.687299997</v>
      </c>
      <c r="F59" s="445">
        <f ca="1">OFFSET(Gas_Func_Plant!$C9,0,(F$7-2008)*5)</f>
        <v>41706701.205000006</v>
      </c>
      <c r="G59" s="445">
        <f ca="1">OFFSET(Gas_Func_Plant!$C9,0,(G$7-2008)*5)</f>
        <v>43400851.394299999</v>
      </c>
      <c r="H59" s="445">
        <f ca="1">OFFSET(Gas_Func_Plant!$C9,0,(H$7-2008)*5)</f>
        <v>65902921.046799995</v>
      </c>
      <c r="I59" s="445">
        <f ca="1">OFFSET(Gas_Func_Plant!$C9,0,(I$7-2008)*5)</f>
        <v>68391619.282000005</v>
      </c>
      <c r="J59" s="445">
        <f ca="1">OFFSET(Gas_Func_Plant!$C9,0,(J$7-2008)*5)</f>
        <v>67129385.447400004</v>
      </c>
      <c r="K59" s="445">
        <f ca="1">OFFSET(Gas_Func_Plant!$C9,0,(K$7-2008)*5)</f>
        <v>69120516.147399992</v>
      </c>
      <c r="L59" s="445">
        <f ca="1">OFFSET(Gas_Func_Plant!$C9,0,(L$7-2008)*5)</f>
        <v>101394126.5713</v>
      </c>
      <c r="M59" s="445">
        <f ca="1">OFFSET(Gas_Func_Plant!$C9,0,(M$7-2008)*5)</f>
        <v>139531979.72830001</v>
      </c>
    </row>
    <row r="60" spans="1:16" x14ac:dyDescent="0.3">
      <c r="A60" s="158">
        <f>IF(ISBLANK(B60),"",MAX(A$8:A59)+1)</f>
        <v>41</v>
      </c>
      <c r="B60" s="21" t="s">
        <v>68</v>
      </c>
      <c r="C60" s="445">
        <f ca="1">OFFSET(Gas_Func_Plant!$C10,0,(C$7-2008)*5)</f>
        <v>118696576.11549999</v>
      </c>
      <c r="D60" s="445">
        <f ca="1">OFFSET(Gas_Func_Plant!$C10,0,(D$7-2008)*5)</f>
        <v>129156192.27540001</v>
      </c>
      <c r="E60" s="445">
        <f ca="1">OFFSET(Gas_Func_Plant!$C10,0,(E$7-2008)*5)</f>
        <v>126435015.6074</v>
      </c>
      <c r="F60" s="445">
        <f ca="1">OFFSET(Gas_Func_Plant!$C10,0,(F$7-2008)*5)</f>
        <v>137632999.74449998</v>
      </c>
      <c r="G60" s="445">
        <f ca="1">OFFSET(Gas_Func_Plant!$C10,0,(G$7-2008)*5)</f>
        <v>135464946.27630004</v>
      </c>
      <c r="H60" s="445">
        <f ca="1">OFFSET(Gas_Func_Plant!$C10,0,(H$7-2008)*5)</f>
        <v>143608515.2482</v>
      </c>
      <c r="I60" s="445">
        <f ca="1">OFFSET(Gas_Func_Plant!$C10,0,(I$7-2008)*5)</f>
        <v>129914450.40399997</v>
      </c>
      <c r="J60" s="445">
        <f ca="1">OFFSET(Gas_Func_Plant!$C10,0,(J$7-2008)*5)</f>
        <v>126404124.12360011</v>
      </c>
      <c r="K60" s="445">
        <f ca="1">OFFSET(Gas_Func_Plant!$C10,0,(K$7-2008)*5)</f>
        <v>141717024.96720004</v>
      </c>
      <c r="L60" s="445">
        <f ca="1">OFFSET(Gas_Func_Plant!$C10,0,(L$7-2008)*5)</f>
        <v>159860485.64300001</v>
      </c>
      <c r="M60" s="445">
        <f ca="1">OFFSET(Gas_Func_Plant!$C10,0,(M$7-2008)*5)</f>
        <v>173600529.71380004</v>
      </c>
    </row>
    <row r="61" spans="1:16" x14ac:dyDescent="0.3">
      <c r="A61" s="158">
        <f>IF(ISBLANK(B61),"",MAX(A$8:A60)+1)</f>
        <v>42</v>
      </c>
      <c r="B61" s="452" t="s">
        <v>0</v>
      </c>
      <c r="C61" s="453">
        <f t="shared" ref="C61:M61" ca="1" si="9">SUM(C56:C60)</f>
        <v>2496529563.9969997</v>
      </c>
      <c r="D61" s="453">
        <f t="shared" ca="1" si="9"/>
        <v>2704456222.0570002</v>
      </c>
      <c r="E61" s="453">
        <f t="shared" ca="1" si="9"/>
        <v>2795726899.6296</v>
      </c>
      <c r="F61" s="453">
        <f t="shared" ca="1" si="9"/>
        <v>2877011055.9495001</v>
      </c>
      <c r="G61" s="453">
        <f t="shared" ca="1" si="9"/>
        <v>2987268616.9994998</v>
      </c>
      <c r="H61" s="453">
        <f t="shared" ca="1" si="9"/>
        <v>3152000388.6152</v>
      </c>
      <c r="I61" s="453">
        <f t="shared" ca="1" si="9"/>
        <v>3292737688.0004997</v>
      </c>
      <c r="J61" s="453">
        <f t="shared" ca="1" si="9"/>
        <v>3428724871.3385</v>
      </c>
      <c r="K61" s="453">
        <f t="shared" ca="1" si="9"/>
        <v>3594449435.1146002</v>
      </c>
      <c r="L61" s="453">
        <f t="shared" ca="1" si="9"/>
        <v>3832859766.6842999</v>
      </c>
      <c r="M61" s="453">
        <f t="shared" ca="1" si="9"/>
        <v>4100600279.9120998</v>
      </c>
    </row>
    <row r="62" spans="1:16" x14ac:dyDescent="0.3">
      <c r="A62" s="158" t="str">
        <f>IF(ISBLANK(B62),"",MAX(A$8:A61)+1)</f>
        <v/>
      </c>
      <c r="C62" s="451"/>
      <c r="D62" s="451"/>
      <c r="E62" s="451"/>
      <c r="F62" s="451"/>
      <c r="G62" s="451"/>
      <c r="H62" s="451"/>
      <c r="I62" s="451"/>
      <c r="J62" s="451"/>
      <c r="K62" s="451"/>
      <c r="L62" s="451"/>
      <c r="M62" s="451"/>
    </row>
    <row r="63" spans="1:16" x14ac:dyDescent="0.3">
      <c r="A63" s="158">
        <f>IF(ISBLANK(B63),"",MAX(A$8:A62)+1)</f>
        <v>43</v>
      </c>
      <c r="B63" s="281" t="s">
        <v>186</v>
      </c>
      <c r="C63" s="451"/>
      <c r="D63" s="451"/>
      <c r="E63" s="451"/>
      <c r="F63" s="451"/>
      <c r="G63" s="451"/>
      <c r="H63" s="451"/>
      <c r="I63" s="451"/>
      <c r="J63" s="451"/>
      <c r="K63" s="451"/>
      <c r="L63" s="451"/>
      <c r="M63" s="451"/>
    </row>
    <row r="64" spans="1:16" x14ac:dyDescent="0.3">
      <c r="A64" s="158">
        <f>IF(ISBLANK(B64),"",MAX(A$8:A63)+1)</f>
        <v>44</v>
      </c>
      <c r="B64" s="21" t="s">
        <v>185</v>
      </c>
      <c r="C64" s="451">
        <f ca="1">OFFSET(Gas_Func_Plant!$D6,0,(C$7-2008)*5)</f>
        <v>-18663396.192499999</v>
      </c>
      <c r="D64" s="451">
        <f ca="1">OFFSET(Gas_Func_Plant!$D6,0,(D$7-2008)*5)</f>
        <v>-21313700.674699999</v>
      </c>
      <c r="E64" s="451">
        <f ca="1">OFFSET(Gas_Func_Plant!$D6,0,(E$7-2008)*5)</f>
        <v>-22928967.052299999</v>
      </c>
      <c r="F64" s="451">
        <f ca="1">OFFSET(Gas_Func_Plant!$D6,0,(F$7-2008)*5)</f>
        <v>-23527712.647</v>
      </c>
      <c r="G64" s="451">
        <f ca="1">OFFSET(Gas_Func_Plant!$D6,0,(G$7-2008)*5)</f>
        <v>-23212129.017299999</v>
      </c>
      <c r="H64" s="451">
        <f ca="1">OFFSET(Gas_Func_Plant!$D6,0,(H$7-2008)*5)</f>
        <v>-24585272.364799999</v>
      </c>
      <c r="I64" s="451">
        <f ca="1">OFFSET(Gas_Func_Plant!$D6,0,(I$7-2008)*5)</f>
        <v>-25326197.853500001</v>
      </c>
      <c r="J64" s="451">
        <f ca="1">OFFSET(Gas_Func_Plant!$D6,0,(J$7-2008)*5)</f>
        <v>-27211533.853799999</v>
      </c>
      <c r="K64" s="451">
        <f ca="1">OFFSET(Gas_Func_Plant!$D6,0,(K$7-2008)*5)</f>
        <v>-26398328.982999999</v>
      </c>
      <c r="L64" s="451">
        <f ca="1">OFFSET(Gas_Func_Plant!$D6,0,(L$7-2008)*5)</f>
        <v>-25920054.635499999</v>
      </c>
      <c r="M64" s="451">
        <f ca="1">OFFSET(Gas_Func_Plant!$D6,0,(M$7-2008)*5)</f>
        <v>-33125037.959271803</v>
      </c>
    </row>
    <row r="65" spans="1:13" x14ac:dyDescent="0.3">
      <c r="A65" s="158">
        <f>IF(ISBLANK(B65),"",MAX(A$8:A64)+1)</f>
        <v>45</v>
      </c>
      <c r="B65" s="21" t="s">
        <v>65</v>
      </c>
      <c r="C65" s="445">
        <f ca="1">OFFSET(Gas_Func_Plant!$D7,0,(C$7-2008)*5)</f>
        <v>-48</v>
      </c>
      <c r="D65" s="445">
        <f ca="1">OFFSET(Gas_Func_Plant!$D7,0,(D$7-2008)*5)</f>
        <v>-2</v>
      </c>
      <c r="E65" s="445">
        <f ca="1">OFFSET(Gas_Func_Plant!$D7,0,(E$7-2008)*5)</f>
        <v>0</v>
      </c>
      <c r="F65" s="445">
        <f ca="1">OFFSET(Gas_Func_Plant!$D7,0,(F$7-2008)*5)</f>
        <v>0</v>
      </c>
      <c r="G65" s="445">
        <f ca="1">OFFSET(Gas_Func_Plant!$D7,0,(G$7-2008)*5)</f>
        <v>0</v>
      </c>
      <c r="H65" s="445">
        <f ca="1">OFFSET(Gas_Func_Plant!$D7,0,(H$7-2008)*5)</f>
        <v>0</v>
      </c>
      <c r="I65" s="445">
        <f ca="1">OFFSET(Gas_Func_Plant!$D7,0,(I$7-2008)*5)</f>
        <v>0</v>
      </c>
      <c r="J65" s="445">
        <f ca="1">OFFSET(Gas_Func_Plant!$D7,0,(J$7-2008)*5)</f>
        <v>0</v>
      </c>
      <c r="K65" s="445">
        <f ca="1">OFFSET(Gas_Func_Plant!$D7,0,(K$7-2008)*5)</f>
        <v>0</v>
      </c>
      <c r="L65" s="445">
        <f ca="1">OFFSET(Gas_Func_Plant!$D7,0,(L$7-2008)*5)</f>
        <v>0</v>
      </c>
      <c r="M65" s="445">
        <f ca="1">OFFSET(Gas_Func_Plant!$D7,0,(M$7-2008)*5)</f>
        <v>0</v>
      </c>
    </row>
    <row r="66" spans="1:13" x14ac:dyDescent="0.3">
      <c r="A66" s="158">
        <f>IF(ISBLANK(B66),"",MAX(A$8:A65)+1)</f>
        <v>46</v>
      </c>
      <c r="B66" s="21" t="s">
        <v>66</v>
      </c>
      <c r="C66" s="445">
        <f ca="1">OFFSET(Gas_Func_Plant!$D8,0,(C$7-2008)*5)</f>
        <v>-687515984</v>
      </c>
      <c r="D66" s="445">
        <f ca="1">OFFSET(Gas_Func_Plant!$D8,0,(D$7-2008)*5)</f>
        <v>-753186569</v>
      </c>
      <c r="E66" s="445">
        <f ca="1">OFFSET(Gas_Func_Plant!$D8,0,(E$7-2008)*5)</f>
        <v>-823796903</v>
      </c>
      <c r="F66" s="445">
        <f ca="1">OFFSET(Gas_Func_Plant!$D8,0,(F$7-2008)*5)</f>
        <v>-887774436</v>
      </c>
      <c r="G66" s="445">
        <f ca="1">OFFSET(Gas_Func_Plant!$D8,0,(G$7-2008)*5)</f>
        <v>-961781988</v>
      </c>
      <c r="H66" s="445">
        <f ca="1">OFFSET(Gas_Func_Plant!$D8,0,(H$7-2008)*5)</f>
        <v>-1034510627</v>
      </c>
      <c r="I66" s="445">
        <f ca="1">OFFSET(Gas_Func_Plant!$D8,0,(I$7-2008)*5)</f>
        <v>-1115183940.3789999</v>
      </c>
      <c r="J66" s="445">
        <f ca="1">OFFSET(Gas_Func_Plant!$D8,0,(J$7-2008)*5)</f>
        <v>-1188656313</v>
      </c>
      <c r="K66" s="445">
        <f ca="1">OFFSET(Gas_Func_Plant!$D8,0,(K$7-2008)*5)</f>
        <v>-1271567693</v>
      </c>
      <c r="L66" s="445">
        <f ca="1">OFFSET(Gas_Func_Plant!$D8,0,(L$7-2008)*5)</f>
        <v>-1361667453</v>
      </c>
      <c r="M66" s="445">
        <f ca="1">OFFSET(Gas_Func_Plant!$D8,0,(M$7-2008)*5)</f>
        <v>-1433137826.69191</v>
      </c>
    </row>
    <row r="67" spans="1:13" x14ac:dyDescent="0.3">
      <c r="A67" s="158">
        <f>IF(ISBLANK(B67),"",MAX(A$8:A66)+1)</f>
        <v>47</v>
      </c>
      <c r="B67" s="21" t="s">
        <v>67</v>
      </c>
      <c r="C67" s="445">
        <f ca="1">OFFSET(Gas_Func_Plant!$D9,0,(C$7-2008)*5)</f>
        <v>-83160038.114500001</v>
      </c>
      <c r="D67" s="445">
        <f ca="1">OFFSET(Gas_Func_Plant!$D9,0,(D$7-2008)*5)</f>
        <v>-97084868.988900006</v>
      </c>
      <c r="E67" s="445">
        <f ca="1">OFFSET(Gas_Func_Plant!$D9,0,(E$7-2008)*5)</f>
        <v>-50080267.300899997</v>
      </c>
      <c r="F67" s="445">
        <f ca="1">OFFSET(Gas_Func_Plant!$D9,0,(F$7-2008)*5)</f>
        <v>-23190663.291000001</v>
      </c>
      <c r="G67" s="445">
        <f ca="1">OFFSET(Gas_Func_Plant!$D9,0,(G$7-2008)*5)</f>
        <v>-23118598.882900003</v>
      </c>
      <c r="H67" s="445">
        <f ca="1">OFFSET(Gas_Func_Plant!$D9,0,(H$7-2008)*5)</f>
        <v>-19139586.0176</v>
      </c>
      <c r="I67" s="445">
        <f ca="1">OFFSET(Gas_Func_Plant!$D9,0,(I$7-2008)*5)</f>
        <v>-21566544.754000001</v>
      </c>
      <c r="J67" s="445">
        <f ca="1">OFFSET(Gas_Func_Plant!$D9,0,(J$7-2008)*5)</f>
        <v>-23612206.0264</v>
      </c>
      <c r="K67" s="445">
        <f ca="1">OFFSET(Gas_Func_Plant!$D9,0,(K$7-2008)*5)</f>
        <v>-25347121.292599998</v>
      </c>
      <c r="L67" s="445">
        <f ca="1">OFFSET(Gas_Func_Plant!$D9,0,(L$7-2008)*5)</f>
        <v>-34803383.951900005</v>
      </c>
      <c r="M67" s="445">
        <f ca="1">OFFSET(Gas_Func_Plant!$D9,0,(M$7-2008)*5)</f>
        <v>-47274087.95805271</v>
      </c>
    </row>
    <row r="68" spans="1:13" x14ac:dyDescent="0.3">
      <c r="A68" s="158">
        <f>IF(ISBLANK(B68),"",MAX(A$8:A67)+1)</f>
        <v>48</v>
      </c>
      <c r="B68" s="21" t="s">
        <v>68</v>
      </c>
      <c r="C68" s="445">
        <f ca="1">OFFSET(Gas_Func_Plant!$D10,0,(C$7-2008)*5)</f>
        <v>-47980577.646999992</v>
      </c>
      <c r="D68" s="445">
        <f ca="1">OFFSET(Gas_Func_Plant!$D10,0,(D$7-2008)*5)</f>
        <v>-46877315.157300003</v>
      </c>
      <c r="E68" s="445">
        <f ca="1">OFFSET(Gas_Func_Plant!$D10,0,(E$7-2008)*5)</f>
        <v>-27231957.375399996</v>
      </c>
      <c r="F68" s="445">
        <f ca="1">OFFSET(Gas_Func_Plant!$D10,0,(F$7-2008)*5)</f>
        <v>-41441414.330499999</v>
      </c>
      <c r="G68" s="445">
        <f ca="1">OFFSET(Gas_Func_Plant!$D10,0,(G$7-2008)*5)</f>
        <v>-53138974.0524</v>
      </c>
      <c r="H68" s="445">
        <f ca="1">OFFSET(Gas_Func_Plant!$D10,0,(H$7-2008)*5)</f>
        <v>-64772857.713999994</v>
      </c>
      <c r="I68" s="445">
        <f ca="1">OFFSET(Gas_Func_Plant!$D10,0,(I$7-2008)*5)</f>
        <v>-55702796.055500001</v>
      </c>
      <c r="J68" s="445">
        <f ca="1">OFFSET(Gas_Func_Plant!$D10,0,(J$7-2008)*5)</f>
        <v>-55168625.826500006</v>
      </c>
      <c r="K68" s="445">
        <f ca="1">OFFSET(Gas_Func_Plant!$D10,0,(K$7-2008)*5)</f>
        <v>-65438933.525899999</v>
      </c>
      <c r="L68" s="445">
        <f ca="1">OFFSET(Gas_Func_Plant!$D10,0,(L$7-2008)*5)</f>
        <v>-71048197.753600001</v>
      </c>
      <c r="M68" s="445">
        <f ca="1">OFFSET(Gas_Func_Plant!$D10,0,(M$7-2008)*5)</f>
        <v>-56258222.169565432</v>
      </c>
    </row>
    <row r="69" spans="1:13" x14ac:dyDescent="0.3">
      <c r="A69" s="158">
        <f>IF(ISBLANK(B69),"",MAX(A$8:A68)+1)</f>
        <v>49</v>
      </c>
      <c r="B69" s="452" t="s">
        <v>0</v>
      </c>
      <c r="C69" s="453">
        <f t="shared" ref="C69:M69" ca="1" si="10">SUM(C64:C68)</f>
        <v>-837320043.954</v>
      </c>
      <c r="D69" s="453">
        <f t="shared" ca="1" si="10"/>
        <v>-918462455.82089996</v>
      </c>
      <c r="E69" s="453">
        <f t="shared" ca="1" si="10"/>
        <v>-924038094.72859991</v>
      </c>
      <c r="F69" s="453">
        <f t="shared" ca="1" si="10"/>
        <v>-975934226.26849997</v>
      </c>
      <c r="G69" s="453">
        <f t="shared" ca="1" si="10"/>
        <v>-1061251689.9526</v>
      </c>
      <c r="H69" s="453">
        <f t="shared" ca="1" si="10"/>
        <v>-1143008343.0964</v>
      </c>
      <c r="I69" s="453">
        <f t="shared" ca="1" si="10"/>
        <v>-1217779479.0419998</v>
      </c>
      <c r="J69" s="453">
        <f t="shared" ca="1" si="10"/>
        <v>-1294648678.7067001</v>
      </c>
      <c r="K69" s="453">
        <f t="shared" ca="1" si="10"/>
        <v>-1388752076.8014998</v>
      </c>
      <c r="L69" s="453">
        <f t="shared" ca="1" si="10"/>
        <v>-1493439089.3410001</v>
      </c>
      <c r="M69" s="453">
        <f t="shared" ca="1" si="10"/>
        <v>-1569795174.7788</v>
      </c>
    </row>
    <row r="70" spans="1:13" x14ac:dyDescent="0.3">
      <c r="A70" s="158" t="str">
        <f>IF(ISBLANK(B70),"",MAX(A$8:A69)+1)</f>
        <v/>
      </c>
      <c r="C70" s="451">
        <f t="shared" ref="C70:M70" ca="1" si="11">C48-C69</f>
        <v>-4.6000003814697266E-2</v>
      </c>
      <c r="D70" s="451">
        <f t="shared" ca="1" si="11"/>
        <v>0.82089996337890625</v>
      </c>
      <c r="E70" s="451">
        <f t="shared" ca="1" si="11"/>
        <v>-0.2714000940322876</v>
      </c>
      <c r="F70" s="451">
        <f t="shared" ca="1" si="11"/>
        <v>0.26849997043609619</v>
      </c>
      <c r="G70" s="451">
        <f t="shared" ca="1" si="11"/>
        <v>-4.7399997711181641E-2</v>
      </c>
      <c r="H70" s="451">
        <f t="shared" ca="1" si="11"/>
        <v>1.0964000225067139</v>
      </c>
      <c r="I70" s="451">
        <f t="shared" ca="1" si="11"/>
        <v>-0.95800018310546875</v>
      </c>
      <c r="J70" s="451">
        <f t="shared" ca="1" si="11"/>
        <v>-0.29329991340637207</v>
      </c>
      <c r="K70" s="451">
        <f t="shared" ca="1" si="11"/>
        <v>-1.1985001564025879</v>
      </c>
      <c r="L70" s="451">
        <f t="shared" ca="1" si="11"/>
        <v>0.30496406555175781</v>
      </c>
      <c r="M70" s="451">
        <f t="shared" ca="1" si="11"/>
        <v>1.45855712890625</v>
      </c>
    </row>
    <row r="71" spans="1:13" x14ac:dyDescent="0.3">
      <c r="A71" s="158">
        <f>IF(ISBLANK(B71),"",MAX(A$8:A70)+1)</f>
        <v>50</v>
      </c>
      <c r="B71" s="281" t="s">
        <v>771</v>
      </c>
      <c r="C71" s="451"/>
      <c r="D71" s="451"/>
      <c r="E71" s="451"/>
      <c r="F71" s="451"/>
      <c r="G71" s="451"/>
      <c r="H71" s="451"/>
      <c r="I71" s="451"/>
      <c r="J71" s="451"/>
      <c r="K71" s="451"/>
      <c r="L71" s="451"/>
      <c r="M71" s="451"/>
    </row>
    <row r="72" spans="1:13" x14ac:dyDescent="0.3">
      <c r="A72" s="158">
        <f>IF(ISBLANK(B72),"",MAX(A$8:A71)+1)</f>
        <v>51</v>
      </c>
      <c r="B72" s="21" t="s">
        <v>185</v>
      </c>
      <c r="C72" s="451">
        <f ca="1">OFFSET(Gas_Func_Plant!$E18,0,(C$7-2008)*5)</f>
        <v>0</v>
      </c>
      <c r="D72" s="451">
        <f ca="1">OFFSET(Gas_Func_Plant!$E18,0,(D$7-2008)*5)</f>
        <v>0</v>
      </c>
      <c r="E72" s="451">
        <f ca="1">OFFSET(Gas_Func_Plant!$E18,0,(E$7-2008)*5)</f>
        <v>0</v>
      </c>
      <c r="F72" s="451">
        <f ca="1">OFFSET(Gas_Func_Plant!$E18,0,(F$7-2008)*5)</f>
        <v>0</v>
      </c>
      <c r="G72" s="451">
        <f ca="1">OFFSET(Gas_Func_Plant!$E18,0,(G$7-2008)*5)</f>
        <v>0</v>
      </c>
      <c r="H72" s="451">
        <f ca="1">OFFSET(Gas_Func_Plant!$E18,0,(H$7-2008)*5)</f>
        <v>0</v>
      </c>
      <c r="I72" s="451">
        <f ca="1">OFFSET(Gas_Func_Plant!$E18,0,(I$7-2008)*5)</f>
        <v>0</v>
      </c>
      <c r="J72" s="451">
        <f ca="1">OFFSET(Gas_Func_Plant!$E18,0,(J$7-2008)*5)</f>
        <v>0</v>
      </c>
      <c r="K72" s="451">
        <f ca="1">OFFSET(Gas_Func_Plant!$E18,0,(K$7-2008)*5)</f>
        <v>0</v>
      </c>
      <c r="L72" s="451">
        <f ca="1">OFFSET(Gas_Func_Plant!$E18,0,(L$7-2008)*5)</f>
        <v>0</v>
      </c>
      <c r="M72" s="451">
        <f ca="1">OFFSET(Gas_Func_Plant!$E18,0,(M$7-2008)*5)</f>
        <v>0</v>
      </c>
    </row>
    <row r="73" spans="1:13" x14ac:dyDescent="0.3">
      <c r="A73" s="158">
        <f>IF(ISBLANK(B73),"",MAX(A$8:A72)+1)</f>
        <v>52</v>
      </c>
      <c r="B73" s="21" t="s">
        <v>65</v>
      </c>
      <c r="C73" s="445">
        <f ca="1">OFFSET(Gas_Func_Plant!$E19,0,(C$7-2008)*5)</f>
        <v>0</v>
      </c>
      <c r="D73" s="445">
        <f ca="1">OFFSET(Gas_Func_Plant!$E19,0,(D$7-2008)*5)</f>
        <v>0</v>
      </c>
      <c r="E73" s="445">
        <f ca="1">OFFSET(Gas_Func_Plant!$E19,0,(E$7-2008)*5)</f>
        <v>0</v>
      </c>
      <c r="F73" s="445">
        <f ca="1">OFFSET(Gas_Func_Plant!$E19,0,(F$7-2008)*5)</f>
        <v>0</v>
      </c>
      <c r="G73" s="445">
        <f ca="1">OFFSET(Gas_Func_Plant!$E19,0,(G$7-2008)*5)</f>
        <v>0</v>
      </c>
      <c r="H73" s="445">
        <f ca="1">OFFSET(Gas_Func_Plant!$E19,0,(H$7-2008)*5)</f>
        <v>0</v>
      </c>
      <c r="I73" s="445">
        <f ca="1">OFFSET(Gas_Func_Plant!$E19,0,(I$7-2008)*5)</f>
        <v>0</v>
      </c>
      <c r="J73" s="445">
        <f ca="1">OFFSET(Gas_Func_Plant!$E19,0,(J$7-2008)*5)</f>
        <v>0</v>
      </c>
      <c r="K73" s="445">
        <f ca="1">OFFSET(Gas_Func_Plant!$E19,0,(K$7-2008)*5)</f>
        <v>0</v>
      </c>
      <c r="L73" s="445">
        <f ca="1">OFFSET(Gas_Func_Plant!$E19,0,(L$7-2008)*5)</f>
        <v>0</v>
      </c>
      <c r="M73" s="445">
        <f ca="1">OFFSET(Gas_Func_Plant!$E19,0,(M$7-2008)*5)</f>
        <v>0</v>
      </c>
    </row>
    <row r="74" spans="1:13" x14ac:dyDescent="0.3">
      <c r="A74" s="158">
        <f>IF(ISBLANK(B74),"",MAX(A$8:A73)+1)</f>
        <v>53</v>
      </c>
      <c r="B74" s="21" t="s">
        <v>66</v>
      </c>
      <c r="C74" s="445">
        <f ca="1">OFFSET(Gas_Func_Plant!$E20,0,(C$7-2008)*5)</f>
        <v>-113387644.88128516</v>
      </c>
      <c r="D74" s="445">
        <f ca="1">OFFSET(Gas_Func_Plant!$E20,0,(D$7-2008)*5)</f>
        <v>-150203841.0813269</v>
      </c>
      <c r="E74" s="445">
        <f ca="1">OFFSET(Gas_Func_Plant!$E20,0,(E$7-2008)*5)</f>
        <v>-139263101.69928172</v>
      </c>
      <c r="F74" s="445">
        <f ca="1">OFFSET(Gas_Func_Plant!$E20,0,(F$7-2008)*5)</f>
        <v>-166563311.0188151</v>
      </c>
      <c r="G74" s="445">
        <f ca="1">OFFSET(Gas_Func_Plant!$E20,0,(G$7-2008)*5)</f>
        <v>-197100439.25508639</v>
      </c>
      <c r="H74" s="445">
        <f ca="1">OFFSET(Gas_Func_Plant!$E20,0,(H$7-2008)*5)</f>
        <v>-210463453.40057045</v>
      </c>
      <c r="I74" s="445">
        <f ca="1">OFFSET(Gas_Func_Plant!$E20,0,(I$7-2008)*5)</f>
        <v>-227627125.59399733</v>
      </c>
      <c r="J74" s="445">
        <f ca="1">OFFSET(Gas_Func_Plant!$E20,0,(J$7-2008)*5)</f>
        <v>-242300735.49897844</v>
      </c>
      <c r="K74" s="445">
        <f ca="1">OFFSET(Gas_Func_Plant!$E20,0,(K$7-2008)*5)</f>
        <v>-261680156.1878852</v>
      </c>
      <c r="L74" s="445">
        <f ca="1">OFFSET(Gas_Func_Plant!$E20,0,(L$7-2008)*5)</f>
        <v>-269792646.81823689</v>
      </c>
      <c r="M74" s="445">
        <f ca="1">OFFSET(Gas_Func_Plant!$E20,0,(M$7-2008)*5)</f>
        <v>-271846932.69267762</v>
      </c>
    </row>
    <row r="75" spans="1:13" x14ac:dyDescent="0.3">
      <c r="A75" s="158">
        <f>IF(ISBLANK(B75),"",MAX(A$8:A74)+1)</f>
        <v>54</v>
      </c>
      <c r="B75" s="21" t="s">
        <v>67</v>
      </c>
      <c r="C75" s="445">
        <f ca="1">OFFSET(Gas_Func_Plant!$E21,0,(C$7-2008)*5)</f>
        <v>-10585856.494629253</v>
      </c>
      <c r="D75" s="445">
        <f ca="1">OFFSET(Gas_Func_Plant!$E21,0,(D$7-2008)*5)</f>
        <v>-12927147.815243447</v>
      </c>
      <c r="E75" s="445">
        <f ca="1">OFFSET(Gas_Func_Plant!$E21,0,(E$7-2008)*5)</f>
        <v>-8663616.6694345865</v>
      </c>
      <c r="F75" s="445">
        <f ca="1">OFFSET(Gas_Func_Plant!$E21,0,(F$7-2008)*5)</f>
        <v>-6899608.6888004486</v>
      </c>
      <c r="G75" s="445">
        <f ca="1">OFFSET(Gas_Func_Plant!$E21,0,(G$7-2008)*5)</f>
        <v>-8104767.0246372726</v>
      </c>
      <c r="H75" s="445">
        <f ca="1">OFFSET(Gas_Func_Plant!$E21,0,(H$7-2008)*5)</f>
        <v>-11159139.20564702</v>
      </c>
      <c r="I75" s="445">
        <f ca="1">OFFSET(Gas_Func_Plant!$E21,0,(I$7-2008)*5)</f>
        <v>-12030884.043074146</v>
      </c>
      <c r="J75" s="445">
        <f ca="1">OFFSET(Gas_Func_Plant!$E21,0,(J$7-2008)*5)</f>
        <v>-11407228.296690917</v>
      </c>
      <c r="K75" s="445">
        <f ca="1">OFFSET(Gas_Func_Plant!$E21,0,(K$7-2008)*5)</f>
        <v>-11623688.386057302</v>
      </c>
      <c r="L75" s="445">
        <f ca="1">OFFSET(Gas_Func_Plant!$E21,0,(L$7-2008)*5)</f>
        <v>-14524815.053693803</v>
      </c>
      <c r="M75" s="445">
        <f ca="1">OFFSET(Gas_Func_Plant!$E21,0,(M$7-2008)*5)</f>
        <v>-16932625.893549934</v>
      </c>
    </row>
    <row r="76" spans="1:13" x14ac:dyDescent="0.3">
      <c r="A76" s="158">
        <f>IF(ISBLANK(B76),"",MAX(A$8:A75)+1)</f>
        <v>55</v>
      </c>
      <c r="B76" s="21" t="s">
        <v>68</v>
      </c>
      <c r="C76" s="445">
        <f ca="1">OFFSET(Gas_Func_Plant!$E22,0,(C$7-2008)*5)</f>
        <v>-11007617.622345544</v>
      </c>
      <c r="D76" s="445">
        <f ca="1">OFFSET(Gas_Func_Plant!$E22,0,(D$7-2008)*5)</f>
        <v>-13772177.323127089</v>
      </c>
      <c r="E76" s="445">
        <f ca="1">OFFSET(Gas_Func_Plant!$E22,0,(E$7-2008)*5)</f>
        <v>-15629392.189596703</v>
      </c>
      <c r="F76" s="445">
        <f ca="1">OFFSET(Gas_Func_Plant!$E22,0,(F$7-2008)*5)</f>
        <v>-22768855.20710944</v>
      </c>
      <c r="G76" s="445">
        <f ca="1">OFFSET(Gas_Func_Plant!$E22,0,(G$7-2008)*5)</f>
        <v>-25297011.33279172</v>
      </c>
      <c r="H76" s="445">
        <f ca="1">OFFSET(Gas_Func_Plant!$E22,0,(H$7-2008)*5)</f>
        <v>-24316788.805657353</v>
      </c>
      <c r="I76" s="445">
        <f ca="1">OFFSET(Gas_Func_Plant!$E22,0,(I$7-2008)*5)</f>
        <v>-22853468.081893962</v>
      </c>
      <c r="J76" s="445">
        <f ca="1">OFFSET(Gas_Func_Plant!$E22,0,(J$7-2008)*5)</f>
        <v>-21479724.444237549</v>
      </c>
      <c r="K76" s="445">
        <f ca="1">OFFSET(Gas_Func_Plant!$E22,0,(K$7-2008)*5)</f>
        <v>-23831918.929902248</v>
      </c>
      <c r="L76" s="445">
        <f ca="1">OFFSET(Gas_Func_Plant!$E22,0,(L$7-2008)*5)</f>
        <v>-22900182.356474716</v>
      </c>
      <c r="M76" s="445">
        <f ca="1">OFFSET(Gas_Func_Plant!$E22,0,(M$7-2008)*5)</f>
        <v>-21066947.020244144</v>
      </c>
    </row>
    <row r="77" spans="1:13" x14ac:dyDescent="0.3">
      <c r="A77" s="158">
        <f>IF(ISBLANK(B77),"",MAX(A$8:A76)+1)</f>
        <v>56</v>
      </c>
      <c r="B77" s="452" t="s">
        <v>0</v>
      </c>
      <c r="C77" s="453">
        <f t="shared" ref="C77:M77" ca="1" si="12">SUM(C72:C76)</f>
        <v>-134981118.99825996</v>
      </c>
      <c r="D77" s="453">
        <f t="shared" ca="1" si="12"/>
        <v>-176903166.21969745</v>
      </c>
      <c r="E77" s="453">
        <f t="shared" ca="1" si="12"/>
        <v>-163556110.55831301</v>
      </c>
      <c r="F77" s="453">
        <f t="shared" ca="1" si="12"/>
        <v>-196231774.91472501</v>
      </c>
      <c r="G77" s="453">
        <f t="shared" ca="1" si="12"/>
        <v>-230502217.61251539</v>
      </c>
      <c r="H77" s="453">
        <f t="shared" ca="1" si="12"/>
        <v>-245939381.41187483</v>
      </c>
      <c r="I77" s="453">
        <f t="shared" ca="1" si="12"/>
        <v>-262511477.71896544</v>
      </c>
      <c r="J77" s="453">
        <f t="shared" ca="1" si="12"/>
        <v>-275187688.23990691</v>
      </c>
      <c r="K77" s="453">
        <f t="shared" ca="1" si="12"/>
        <v>-297135763.50384474</v>
      </c>
      <c r="L77" s="453">
        <f t="shared" ca="1" si="12"/>
        <v>-307217644.22840542</v>
      </c>
      <c r="M77" s="453">
        <f t="shared" ca="1" si="12"/>
        <v>-309846505.60647166</v>
      </c>
    </row>
    <row r="78" spans="1:13" x14ac:dyDescent="0.3">
      <c r="A78" s="158" t="str">
        <f>IF(ISBLANK(B78),"",MAX(A$8:A77)+1)</f>
        <v/>
      </c>
      <c r="B78" s="281"/>
      <c r="C78" s="451"/>
      <c r="D78" s="451"/>
      <c r="E78" s="451"/>
      <c r="F78" s="451"/>
      <c r="G78" s="451"/>
      <c r="H78" s="451"/>
      <c r="I78" s="451"/>
      <c r="J78" s="451"/>
      <c r="K78" s="451"/>
      <c r="L78" s="451"/>
      <c r="M78" s="451"/>
    </row>
    <row r="79" spans="1:13" x14ac:dyDescent="0.3">
      <c r="A79" s="158">
        <f>IF(ISBLANK(B79),"",MAX(A$8:A78)+1)</f>
        <v>57</v>
      </c>
      <c r="B79" s="281" t="s">
        <v>772</v>
      </c>
      <c r="C79" s="451"/>
      <c r="D79" s="451"/>
      <c r="E79" s="451"/>
      <c r="F79" s="451"/>
      <c r="G79" s="451"/>
      <c r="H79" s="451"/>
      <c r="I79" s="451"/>
      <c r="J79" s="451"/>
      <c r="K79" s="451"/>
      <c r="L79" s="451"/>
      <c r="M79" s="451"/>
    </row>
    <row r="80" spans="1:13" x14ac:dyDescent="0.3">
      <c r="A80" s="158">
        <f>IF(ISBLANK(B80),"",MAX(A$8:A79)+1)</f>
        <v>58</v>
      </c>
      <c r="B80" s="21" t="s">
        <v>185</v>
      </c>
      <c r="C80" s="451">
        <f t="shared" ref="C80:M80" ca="1" si="13">C88-C72</f>
        <v>0</v>
      </c>
      <c r="D80" s="451">
        <f t="shared" ca="1" si="13"/>
        <v>0</v>
      </c>
      <c r="E80" s="451">
        <f t="shared" ca="1" si="13"/>
        <v>0</v>
      </c>
      <c r="F80" s="451">
        <f t="shared" ca="1" si="13"/>
        <v>0</v>
      </c>
      <c r="G80" s="451">
        <f t="shared" ca="1" si="13"/>
        <v>0</v>
      </c>
      <c r="H80" s="451">
        <f t="shared" ca="1" si="13"/>
        <v>0</v>
      </c>
      <c r="I80" s="451">
        <f t="shared" ca="1" si="13"/>
        <v>0</v>
      </c>
      <c r="J80" s="451">
        <f t="shared" ca="1" si="13"/>
        <v>0</v>
      </c>
      <c r="K80" s="451">
        <f t="shared" ca="1" si="13"/>
        <v>0</v>
      </c>
      <c r="L80" s="451">
        <f t="shared" ca="1" si="13"/>
        <v>0</v>
      </c>
      <c r="M80" s="451">
        <f t="shared" ca="1" si="13"/>
        <v>0</v>
      </c>
    </row>
    <row r="81" spans="1:13" x14ac:dyDescent="0.3">
      <c r="A81" s="158">
        <f>IF(ISBLANK(B81),"",MAX(A$8:A80)+1)</f>
        <v>59</v>
      </c>
      <c r="B81" s="21" t="s">
        <v>65</v>
      </c>
      <c r="C81" s="445">
        <f t="shared" ref="C81:M81" ca="1" si="14">C89-C73</f>
        <v>0</v>
      </c>
      <c r="D81" s="445">
        <f t="shared" ca="1" si="14"/>
        <v>0</v>
      </c>
      <c r="E81" s="445">
        <f t="shared" ca="1" si="14"/>
        <v>0</v>
      </c>
      <c r="F81" s="445">
        <f t="shared" ca="1" si="14"/>
        <v>0</v>
      </c>
      <c r="G81" s="445">
        <f t="shared" ca="1" si="14"/>
        <v>0</v>
      </c>
      <c r="H81" s="445">
        <f t="shared" ca="1" si="14"/>
        <v>0</v>
      </c>
      <c r="I81" s="445">
        <f t="shared" ca="1" si="14"/>
        <v>0</v>
      </c>
      <c r="J81" s="445">
        <f t="shared" ca="1" si="14"/>
        <v>0</v>
      </c>
      <c r="K81" s="445">
        <f t="shared" ca="1" si="14"/>
        <v>0</v>
      </c>
      <c r="L81" s="445">
        <f t="shared" ca="1" si="14"/>
        <v>0</v>
      </c>
      <c r="M81" s="445">
        <f t="shared" ca="1" si="14"/>
        <v>0</v>
      </c>
    </row>
    <row r="82" spans="1:13" x14ac:dyDescent="0.3">
      <c r="A82" s="158">
        <f>IF(ISBLANK(B82),"",MAX(A$8:A81)+1)</f>
        <v>60</v>
      </c>
      <c r="B82" s="21" t="s">
        <v>66</v>
      </c>
      <c r="C82" s="445">
        <f t="shared" ref="C82:M82" ca="1" si="15">C90-C74</f>
        <v>-59611641.341699481</v>
      </c>
      <c r="D82" s="445">
        <f t="shared" ca="1" si="15"/>
        <v>-71737219.532546639</v>
      </c>
      <c r="E82" s="445">
        <f t="shared" ca="1" si="15"/>
        <v>-96104240.325159848</v>
      </c>
      <c r="F82" s="445">
        <f t="shared" ca="1" si="15"/>
        <v>-121170312.67377245</v>
      </c>
      <c r="G82" s="445">
        <f t="shared" ca="1" si="15"/>
        <v>-141683538.96630952</v>
      </c>
      <c r="H82" s="445">
        <f t="shared" ca="1" si="15"/>
        <v>-156730037.14471811</v>
      </c>
      <c r="I82" s="445">
        <f t="shared" ca="1" si="15"/>
        <v>-176268010.41694728</v>
      </c>
      <c r="J82" s="445">
        <f t="shared" ca="1" si="15"/>
        <v>-192912689.97000039</v>
      </c>
      <c r="K82" s="445">
        <f t="shared" ca="1" si="15"/>
        <v>-208044447.93448201</v>
      </c>
      <c r="L82" s="445">
        <f t="shared" ca="1" si="15"/>
        <v>-236993756.57281178</v>
      </c>
      <c r="M82" s="445">
        <f t="shared" ca="1" si="15"/>
        <v>-254860649.77501619</v>
      </c>
    </row>
    <row r="83" spans="1:13" x14ac:dyDescent="0.3">
      <c r="A83" s="158">
        <f>IF(ISBLANK(B83),"",MAX(A$8:A82)+1)</f>
        <v>61</v>
      </c>
      <c r="B83" s="21" t="s">
        <v>67</v>
      </c>
      <c r="C83" s="445">
        <f t="shared" ref="C83:M83" ca="1" si="16">C91-C75</f>
        <v>-5565335.45884322</v>
      </c>
      <c r="D83" s="445">
        <f t="shared" ca="1" si="16"/>
        <v>-6173994.1806793604</v>
      </c>
      <c r="E83" s="445">
        <f t="shared" ca="1" si="16"/>
        <v>-5978685.5837973692</v>
      </c>
      <c r="F83" s="445">
        <f t="shared" ca="1" si="16"/>
        <v>-5019279.0779368524</v>
      </c>
      <c r="G83" s="445">
        <f t="shared" ca="1" si="16"/>
        <v>-5826024.9387973994</v>
      </c>
      <c r="H83" s="445">
        <f t="shared" ca="1" si="16"/>
        <v>-8310099.8009158242</v>
      </c>
      <c r="I83" s="445">
        <f t="shared" ca="1" si="16"/>
        <v>-9316376.4568733908</v>
      </c>
      <c r="J83" s="445">
        <f t="shared" ca="1" si="16"/>
        <v>-9082098.2911371645</v>
      </c>
      <c r="K83" s="445">
        <f t="shared" ca="1" si="16"/>
        <v>-9241219.7717562206</v>
      </c>
      <c r="L83" s="445">
        <f t="shared" ca="1" si="16"/>
        <v>-12759022.618653284</v>
      </c>
      <c r="M83" s="445">
        <f t="shared" ca="1" si="16"/>
        <v>-15874595.291115604</v>
      </c>
    </row>
    <row r="84" spans="1:13" x14ac:dyDescent="0.3">
      <c r="A84" s="158">
        <f>IF(ISBLANK(B84),"",MAX(A$8:A83)+1)</f>
        <v>62</v>
      </c>
      <c r="B84" s="21" t="s">
        <v>68</v>
      </c>
      <c r="C84" s="445">
        <f t="shared" ref="C84:M84" ca="1" si="17">C92-C76</f>
        <v>-5787069.2562390231</v>
      </c>
      <c r="D84" s="445">
        <f t="shared" ca="1" si="17"/>
        <v>-6577579.5143307578</v>
      </c>
      <c r="E84" s="445">
        <f t="shared" ca="1" si="17"/>
        <v>-10785705.939313611</v>
      </c>
      <c r="F84" s="445">
        <f t="shared" ca="1" si="17"/>
        <v>-16563727.556770619</v>
      </c>
      <c r="G84" s="445">
        <f t="shared" ca="1" si="17"/>
        <v>-18184485.556940611</v>
      </c>
      <c r="H84" s="445">
        <f t="shared" ca="1" si="17"/>
        <v>-18108470.383678559</v>
      </c>
      <c r="I84" s="445">
        <f t="shared" ca="1" si="17"/>
        <v>-17697079.552406769</v>
      </c>
      <c r="J84" s="445">
        <f t="shared" ca="1" si="17"/>
        <v>-17101522.26248486</v>
      </c>
      <c r="K84" s="445">
        <f t="shared" ca="1" si="17"/>
        <v>-18947170.046134293</v>
      </c>
      <c r="L84" s="445">
        <f t="shared" ca="1" si="17"/>
        <v>-20116190.366447423</v>
      </c>
      <c r="M84" s="445">
        <f t="shared" ca="1" si="17"/>
        <v>-19750584.467418134</v>
      </c>
    </row>
    <row r="85" spans="1:13" x14ac:dyDescent="0.3">
      <c r="A85" s="158">
        <f>IF(ISBLANK(B85),"",MAX(A$8:A84)+1)</f>
        <v>63</v>
      </c>
      <c r="B85" s="452" t="s">
        <v>0</v>
      </c>
      <c r="C85" s="453">
        <f t="shared" ref="C85:M85" ca="1" si="18">SUM(C80:C84)</f>
        <v>-70964046.056781724</v>
      </c>
      <c r="D85" s="453">
        <f t="shared" ca="1" si="18"/>
        <v>-84488793.227556765</v>
      </c>
      <c r="E85" s="453">
        <f t="shared" ca="1" si="18"/>
        <v>-112868631.84827082</v>
      </c>
      <c r="F85" s="453">
        <f t="shared" ca="1" si="18"/>
        <v>-142753319.30847993</v>
      </c>
      <c r="G85" s="453">
        <f t="shared" ca="1" si="18"/>
        <v>-165694049.46204752</v>
      </c>
      <c r="H85" s="453">
        <f t="shared" ca="1" si="18"/>
        <v>-183148607.3293125</v>
      </c>
      <c r="I85" s="453">
        <f t="shared" ca="1" si="18"/>
        <v>-203281466.42622742</v>
      </c>
      <c r="J85" s="453">
        <f t="shared" ca="1" si="18"/>
        <v>-219096310.52362239</v>
      </c>
      <c r="K85" s="453">
        <f t="shared" ca="1" si="18"/>
        <v>-236232837.75237253</v>
      </c>
      <c r="L85" s="453">
        <f t="shared" ca="1" si="18"/>
        <v>-269868969.55791253</v>
      </c>
      <c r="M85" s="453">
        <f t="shared" ca="1" si="18"/>
        <v>-290485829.5335499</v>
      </c>
    </row>
    <row r="86" spans="1:13" x14ac:dyDescent="0.3">
      <c r="A86" s="158" t="str">
        <f>IF(ISBLANK(B86),"",MAX(A$8:A85)+1)</f>
        <v/>
      </c>
      <c r="B86" s="281"/>
      <c r="C86" s="451"/>
      <c r="D86" s="451"/>
      <c r="E86" s="451"/>
      <c r="F86" s="451"/>
      <c r="G86" s="451"/>
      <c r="H86" s="451"/>
      <c r="I86" s="451"/>
      <c r="J86" s="451"/>
      <c r="K86" s="451"/>
      <c r="L86" s="451"/>
      <c r="M86" s="451"/>
    </row>
    <row r="87" spans="1:13" x14ac:dyDescent="0.3">
      <c r="A87" s="158">
        <f>IF(ISBLANK(B87),"",MAX(A$8:A86)+1)</f>
        <v>64</v>
      </c>
      <c r="B87" s="281" t="s">
        <v>770</v>
      </c>
      <c r="C87" s="451"/>
      <c r="D87" s="451"/>
      <c r="E87" s="451"/>
      <c r="F87" s="451"/>
      <c r="G87" s="451"/>
      <c r="H87" s="451"/>
      <c r="I87" s="451"/>
      <c r="J87" s="451"/>
      <c r="K87" s="451"/>
      <c r="L87" s="451"/>
      <c r="M87" s="451"/>
    </row>
    <row r="88" spans="1:13" x14ac:dyDescent="0.3">
      <c r="A88" s="158">
        <f>IF(ISBLANK(B88),"",MAX(A$8:A87)+1)</f>
        <v>65</v>
      </c>
      <c r="B88" s="21" t="s">
        <v>185</v>
      </c>
      <c r="C88" s="451">
        <f ca="1">OFFSET(Gas_Func_Plant!$E6,0,(C$7-2008)*5)</f>
        <v>0</v>
      </c>
      <c r="D88" s="451">
        <f ca="1">OFFSET(Gas_Func_Plant!$E6,0,(D$7-2008)*5)</f>
        <v>0</v>
      </c>
      <c r="E88" s="451">
        <f ca="1">OFFSET(Gas_Func_Plant!$E6,0,(E$7-2008)*5)</f>
        <v>0</v>
      </c>
      <c r="F88" s="451">
        <f ca="1">OFFSET(Gas_Func_Plant!$E6,0,(F$7-2008)*5)</f>
        <v>0</v>
      </c>
      <c r="G88" s="451">
        <f ca="1">OFFSET(Gas_Func_Plant!$E6,0,(G$7-2008)*5)</f>
        <v>0</v>
      </c>
      <c r="H88" s="451">
        <f ca="1">OFFSET(Gas_Func_Plant!$E6,0,(H$7-2008)*5)</f>
        <v>0</v>
      </c>
      <c r="I88" s="451">
        <f ca="1">OFFSET(Gas_Func_Plant!$E6,0,(I$7-2008)*5)</f>
        <v>0</v>
      </c>
      <c r="J88" s="451">
        <f ca="1">OFFSET(Gas_Func_Plant!$E6,0,(J$7-2008)*5)</f>
        <v>0</v>
      </c>
      <c r="K88" s="451">
        <f ca="1">OFFSET(Gas_Func_Plant!$E6,0,(K$7-2008)*5)</f>
        <v>0</v>
      </c>
      <c r="L88" s="451">
        <f ca="1">OFFSET(Gas_Func_Plant!$E6,0,(L$7-2008)*5)</f>
        <v>0</v>
      </c>
      <c r="M88" s="451">
        <f ca="1">OFFSET(Gas_Func_Plant!$E6,0,(M$7-2008)*5)</f>
        <v>0</v>
      </c>
    </row>
    <row r="89" spans="1:13" x14ac:dyDescent="0.3">
      <c r="A89" s="158">
        <f>IF(ISBLANK(B89),"",MAX(A$8:A88)+1)</f>
        <v>66</v>
      </c>
      <c r="B89" s="21" t="s">
        <v>65</v>
      </c>
      <c r="C89" s="445">
        <f ca="1">OFFSET(Gas_Func_Plant!$E7,0,(C$7-2008)*5)</f>
        <v>0</v>
      </c>
      <c r="D89" s="445">
        <f ca="1">OFFSET(Gas_Func_Plant!$E7,0,(D$7-2008)*5)</f>
        <v>0</v>
      </c>
      <c r="E89" s="445">
        <f ca="1">OFFSET(Gas_Func_Plant!$E7,0,(E$7-2008)*5)</f>
        <v>0</v>
      </c>
      <c r="F89" s="445">
        <f ca="1">OFFSET(Gas_Func_Plant!$E7,0,(F$7-2008)*5)</f>
        <v>0</v>
      </c>
      <c r="G89" s="445">
        <f ca="1">OFFSET(Gas_Func_Plant!$E7,0,(G$7-2008)*5)</f>
        <v>0</v>
      </c>
      <c r="H89" s="445">
        <f ca="1">OFFSET(Gas_Func_Plant!$E7,0,(H$7-2008)*5)</f>
        <v>0</v>
      </c>
      <c r="I89" s="445">
        <f ca="1">OFFSET(Gas_Func_Plant!$E7,0,(I$7-2008)*5)</f>
        <v>0</v>
      </c>
      <c r="J89" s="445">
        <f ca="1">OFFSET(Gas_Func_Plant!$E7,0,(J$7-2008)*5)</f>
        <v>0</v>
      </c>
      <c r="K89" s="445">
        <f ca="1">OFFSET(Gas_Func_Plant!$E7,0,(K$7-2008)*5)</f>
        <v>0</v>
      </c>
      <c r="L89" s="445">
        <f ca="1">OFFSET(Gas_Func_Plant!$E7,0,(L$7-2008)*5)</f>
        <v>0</v>
      </c>
      <c r="M89" s="445">
        <f ca="1">OFFSET(Gas_Func_Plant!$E7,0,(M$7-2008)*5)</f>
        <v>0</v>
      </c>
    </row>
    <row r="90" spans="1:13" x14ac:dyDescent="0.3">
      <c r="A90" s="158">
        <f>IF(ISBLANK(B90),"",MAX(A$8:A89)+1)</f>
        <v>67</v>
      </c>
      <c r="B90" s="21" t="s">
        <v>66</v>
      </c>
      <c r="C90" s="445">
        <f ca="1">OFFSET(Gas_Func_Plant!$E8,0,(C$7-2008)*5)</f>
        <v>-172999286.22298464</v>
      </c>
      <c r="D90" s="445">
        <f ca="1">OFFSET(Gas_Func_Plant!$E8,0,(D$7-2008)*5)</f>
        <v>-221941060.61387354</v>
      </c>
      <c r="E90" s="445">
        <f ca="1">OFFSET(Gas_Func_Plant!$E8,0,(E$7-2008)*5)</f>
        <v>-235367342.02444157</v>
      </c>
      <c r="F90" s="445">
        <f ca="1">OFFSET(Gas_Func_Plant!$E8,0,(F$7-2008)*5)</f>
        <v>-287733623.69258755</v>
      </c>
      <c r="G90" s="445">
        <f ca="1">OFFSET(Gas_Func_Plant!$E8,0,(G$7-2008)*5)</f>
        <v>-338783978.22139591</v>
      </c>
      <c r="H90" s="445">
        <f ca="1">OFFSET(Gas_Func_Plant!$E8,0,(H$7-2008)*5)</f>
        <v>-367193490.54528856</v>
      </c>
      <c r="I90" s="445">
        <f ca="1">OFFSET(Gas_Func_Plant!$E8,0,(I$7-2008)*5)</f>
        <v>-403895136.0109446</v>
      </c>
      <c r="J90" s="445">
        <f ca="1">OFFSET(Gas_Func_Plant!$E8,0,(J$7-2008)*5)</f>
        <v>-435213425.46897882</v>
      </c>
      <c r="K90" s="445">
        <f ca="1">OFFSET(Gas_Func_Plant!$E8,0,(K$7-2008)*5)</f>
        <v>-469724604.1223672</v>
      </c>
      <c r="L90" s="445">
        <f ca="1">OFFSET(Gas_Func_Plant!$E8,0,(L$7-2008)*5)</f>
        <v>-506786403.39104867</v>
      </c>
      <c r="M90" s="445">
        <f ca="1">OFFSET(Gas_Func_Plant!$E8,0,(M$7-2008)*5)</f>
        <v>-526707582.46769381</v>
      </c>
    </row>
    <row r="91" spans="1:13" x14ac:dyDescent="0.3">
      <c r="A91" s="158">
        <f>IF(ISBLANK(B91),"",MAX(A$8:A90)+1)</f>
        <v>68</v>
      </c>
      <c r="B91" s="21" t="s">
        <v>67</v>
      </c>
      <c r="C91" s="445">
        <f ca="1">OFFSET(Gas_Func_Plant!$E9,0,(C$7-2008)*5)</f>
        <v>-16151191.953472473</v>
      </c>
      <c r="D91" s="445">
        <f ca="1">OFFSET(Gas_Func_Plant!$E9,0,(D$7-2008)*5)</f>
        <v>-19101141.995922808</v>
      </c>
      <c r="E91" s="445">
        <f ca="1">OFFSET(Gas_Func_Plant!$E9,0,(E$7-2008)*5)</f>
        <v>-14642302.253231956</v>
      </c>
      <c r="F91" s="445">
        <f ca="1">OFFSET(Gas_Func_Plant!$E9,0,(F$7-2008)*5)</f>
        <v>-11918887.766737301</v>
      </c>
      <c r="G91" s="445">
        <f ca="1">OFFSET(Gas_Func_Plant!$E9,0,(G$7-2008)*5)</f>
        <v>-13930791.963434672</v>
      </c>
      <c r="H91" s="445">
        <f ca="1">OFFSET(Gas_Func_Plant!$E9,0,(H$7-2008)*5)</f>
        <v>-19469239.006562844</v>
      </c>
      <c r="I91" s="445">
        <f ca="1">OFFSET(Gas_Func_Plant!$E9,0,(I$7-2008)*5)</f>
        <v>-21347260.499947537</v>
      </c>
      <c r="J91" s="445">
        <f ca="1">OFFSET(Gas_Func_Plant!$E9,0,(J$7-2008)*5)</f>
        <v>-20489326.587828081</v>
      </c>
      <c r="K91" s="445">
        <f ca="1">OFFSET(Gas_Func_Plant!$E9,0,(K$7-2008)*5)</f>
        <v>-20864908.157813523</v>
      </c>
      <c r="L91" s="445">
        <f ca="1">OFFSET(Gas_Func_Plant!$E9,0,(L$7-2008)*5)</f>
        <v>-27283837.672347087</v>
      </c>
      <c r="M91" s="445">
        <f ca="1">OFFSET(Gas_Func_Plant!$E9,0,(M$7-2008)*5)</f>
        <v>-32807221.184665538</v>
      </c>
    </row>
    <row r="92" spans="1:13" x14ac:dyDescent="0.3">
      <c r="A92" s="158">
        <f>IF(ISBLANK(B92),"",MAX(A$8:A91)+1)</f>
        <v>69</v>
      </c>
      <c r="B92" s="21" t="s">
        <v>68</v>
      </c>
      <c r="C92" s="445">
        <f ca="1">OFFSET(Gas_Func_Plant!$E10,0,(C$7-2008)*5)</f>
        <v>-16794686.878584567</v>
      </c>
      <c r="D92" s="445">
        <f ca="1">OFFSET(Gas_Func_Plant!$E10,0,(D$7-2008)*5)</f>
        <v>-20349756.837457847</v>
      </c>
      <c r="E92" s="445">
        <f ca="1">OFFSET(Gas_Func_Plant!$E10,0,(E$7-2008)*5)</f>
        <v>-26415098.128910314</v>
      </c>
      <c r="F92" s="445">
        <f ca="1">OFFSET(Gas_Func_Plant!$E10,0,(F$7-2008)*5)</f>
        <v>-39332582.763880059</v>
      </c>
      <c r="G92" s="445">
        <f ca="1">OFFSET(Gas_Func_Plant!$E10,0,(G$7-2008)*5)</f>
        <v>-43481496.889732331</v>
      </c>
      <c r="H92" s="445">
        <f ca="1">OFFSET(Gas_Func_Plant!$E10,0,(H$7-2008)*5)</f>
        <v>-42425259.189335912</v>
      </c>
      <c r="I92" s="445">
        <f ca="1">OFFSET(Gas_Func_Plant!$E10,0,(I$7-2008)*5)</f>
        <v>-40550547.634300731</v>
      </c>
      <c r="J92" s="445">
        <f ca="1">OFFSET(Gas_Func_Plant!$E10,0,(J$7-2008)*5)</f>
        <v>-38581246.706722409</v>
      </c>
      <c r="K92" s="445">
        <f ca="1">OFFSET(Gas_Func_Plant!$E10,0,(K$7-2008)*5)</f>
        <v>-42779088.976036541</v>
      </c>
      <c r="L92" s="445">
        <f ca="1">OFFSET(Gas_Func_Plant!$E10,0,(L$7-2008)*5)</f>
        <v>-43016372.722922139</v>
      </c>
      <c r="M92" s="445">
        <f ca="1">OFFSET(Gas_Func_Plant!$E10,0,(M$7-2008)*5)</f>
        <v>-40817531.487662278</v>
      </c>
    </row>
    <row r="93" spans="1:13" x14ac:dyDescent="0.3">
      <c r="A93" s="158">
        <f>IF(ISBLANK(B93),"",MAX(A$8:A92)+1)</f>
        <v>70</v>
      </c>
      <c r="B93" s="452" t="s">
        <v>0</v>
      </c>
      <c r="C93" s="453">
        <f t="shared" ref="C93:M93" ca="1" si="19">SUM(C88:C92)</f>
        <v>-205945165.05504167</v>
      </c>
      <c r="D93" s="453">
        <f t="shared" ca="1" si="19"/>
        <v>-261391959.44725418</v>
      </c>
      <c r="E93" s="453">
        <f t="shared" ca="1" si="19"/>
        <v>-276424742.40658385</v>
      </c>
      <c r="F93" s="453">
        <f t="shared" ca="1" si="19"/>
        <v>-338985094.22320491</v>
      </c>
      <c r="G93" s="453">
        <f t="shared" ca="1" si="19"/>
        <v>-396196267.07456291</v>
      </c>
      <c r="H93" s="453">
        <f t="shared" ca="1" si="19"/>
        <v>-429087988.74118733</v>
      </c>
      <c r="I93" s="453">
        <f t="shared" ca="1" si="19"/>
        <v>-465792944.14519286</v>
      </c>
      <c r="J93" s="453">
        <f t="shared" ca="1" si="19"/>
        <v>-494283998.7635293</v>
      </c>
      <c r="K93" s="453">
        <f t="shared" ca="1" si="19"/>
        <v>-533368601.2562173</v>
      </c>
      <c r="L93" s="453">
        <f t="shared" ca="1" si="19"/>
        <v>-577086613.78631783</v>
      </c>
      <c r="M93" s="453">
        <f t="shared" ca="1" si="19"/>
        <v>-600332335.14002168</v>
      </c>
    </row>
    <row r="94" spans="1:13" x14ac:dyDescent="0.3">
      <c r="A94" s="158" t="str">
        <f>IF(ISBLANK(B94),"",MAX(A$8:A93)+1)</f>
        <v/>
      </c>
      <c r="C94" s="451"/>
      <c r="D94" s="451"/>
      <c r="E94" s="451"/>
      <c r="F94" s="451"/>
      <c r="G94" s="451"/>
      <c r="H94" s="451"/>
      <c r="I94" s="451"/>
      <c r="J94" s="451"/>
      <c r="K94" s="451"/>
      <c r="L94" s="451"/>
      <c r="M94" s="451"/>
    </row>
    <row r="95" spans="1:13" x14ac:dyDescent="0.3">
      <c r="A95" s="158">
        <f>IF(ISBLANK(B95),"",MAX(A$8:A94)+1)</f>
        <v>71</v>
      </c>
      <c r="B95" s="281" t="s">
        <v>773</v>
      </c>
      <c r="C95" s="451"/>
      <c r="D95" s="451"/>
      <c r="E95" s="451"/>
      <c r="F95" s="451"/>
      <c r="G95" s="451"/>
      <c r="H95" s="451"/>
      <c r="I95" s="451"/>
      <c r="J95" s="451"/>
      <c r="K95" s="451"/>
      <c r="L95" s="451"/>
      <c r="M95" s="451"/>
    </row>
    <row r="96" spans="1:13" x14ac:dyDescent="0.3">
      <c r="A96" s="158">
        <f>IF(ISBLANK(B96),"",MAX(A$8:A95)+1)</f>
        <v>72</v>
      </c>
      <c r="B96" s="21" t="s">
        <v>185</v>
      </c>
      <c r="C96" s="451">
        <f t="shared" ref="C96:M96" ca="1" si="20">C56+C64+C88</f>
        <v>34259645.807500005</v>
      </c>
      <c r="D96" s="451">
        <f t="shared" ca="1" si="20"/>
        <v>47466817.325300001</v>
      </c>
      <c r="E96" s="451">
        <f t="shared" ca="1" si="20"/>
        <v>46273596.947700001</v>
      </c>
      <c r="F96" s="451">
        <f t="shared" ca="1" si="20"/>
        <v>38390895.353</v>
      </c>
      <c r="G96" s="451">
        <f t="shared" ca="1" si="20"/>
        <v>38956036.982700005</v>
      </c>
      <c r="H96" s="451">
        <f t="shared" ca="1" si="20"/>
        <v>37963469.635200001</v>
      </c>
      <c r="I96" s="451">
        <f t="shared" ca="1" si="20"/>
        <v>46556534.146499999</v>
      </c>
      <c r="J96" s="451">
        <f t="shared" ca="1" si="20"/>
        <v>45205568.146200001</v>
      </c>
      <c r="K96" s="451">
        <f t="shared" ca="1" si="20"/>
        <v>46974595.017000005</v>
      </c>
      <c r="L96" s="451">
        <f t="shared" ca="1" si="20"/>
        <v>48392091.8345</v>
      </c>
      <c r="M96" s="451">
        <f t="shared" ca="1" si="20"/>
        <v>43349371.510728195</v>
      </c>
    </row>
    <row r="97" spans="1:13" x14ac:dyDescent="0.3">
      <c r="A97" s="158">
        <f>IF(ISBLANK(B97),"",MAX(A$8:A96)+1)</f>
        <v>73</v>
      </c>
      <c r="B97" s="21" t="s">
        <v>65</v>
      </c>
      <c r="C97" s="451">
        <f t="shared" ref="C97:M97" ca="1" si="21">C57+C65+C89</f>
        <v>-3406</v>
      </c>
      <c r="D97" s="451">
        <f t="shared" ca="1" si="21"/>
        <v>-2</v>
      </c>
      <c r="E97" s="451">
        <f t="shared" ca="1" si="21"/>
        <v>0.33489999999999998</v>
      </c>
      <c r="F97" s="451">
        <f t="shared" ca="1" si="21"/>
        <v>0</v>
      </c>
      <c r="G97" s="451">
        <f t="shared" ca="1" si="21"/>
        <v>0.32890000000000003</v>
      </c>
      <c r="H97" s="451">
        <f t="shared" ca="1" si="21"/>
        <v>0.32019999999999998</v>
      </c>
      <c r="I97" s="451">
        <f t="shared" ca="1" si="21"/>
        <v>0.3145</v>
      </c>
      <c r="J97" s="451">
        <f t="shared" ca="1" si="21"/>
        <v>0</v>
      </c>
      <c r="K97" s="451">
        <f t="shared" ca="1" si="21"/>
        <v>0</v>
      </c>
      <c r="L97" s="451">
        <f t="shared" ca="1" si="21"/>
        <v>0</v>
      </c>
      <c r="M97" s="451">
        <f t="shared" ca="1" si="21"/>
        <v>0</v>
      </c>
    </row>
    <row r="98" spans="1:13" x14ac:dyDescent="0.3">
      <c r="A98" s="158">
        <f>IF(ISBLANK(B98),"",MAX(A$8:A97)+1)</f>
        <v>74</v>
      </c>
      <c r="B98" s="21" t="s">
        <v>66</v>
      </c>
      <c r="C98" s="451">
        <f t="shared" ref="C98:M98" ca="1" si="22">C58+C66+C90</f>
        <v>1350249362.7770154</v>
      </c>
      <c r="D98" s="451">
        <f t="shared" ca="1" si="22"/>
        <v>1410160420.3861265</v>
      </c>
      <c r="E98" s="451">
        <f t="shared" ca="1" si="22"/>
        <v>1470840166.9755585</v>
      </c>
      <c r="F98" s="451">
        <f t="shared" ca="1" si="22"/>
        <v>1460244687.3074124</v>
      </c>
      <c r="G98" s="451">
        <f t="shared" ca="1" si="22"/>
        <v>1445668686.778604</v>
      </c>
      <c r="H98" s="451">
        <f t="shared" ca="1" si="22"/>
        <v>1478236092.4547114</v>
      </c>
      <c r="I98" s="451">
        <f t="shared" ca="1" si="22"/>
        <v>1503469809.6100554</v>
      </c>
      <c r="J98" s="451">
        <f t="shared" ca="1" si="22"/>
        <v>1538904521.298521</v>
      </c>
      <c r="K98" s="451">
        <f t="shared" ca="1" si="22"/>
        <v>1568946672.8776329</v>
      </c>
      <c r="L98" s="451">
        <f t="shared" ca="1" si="22"/>
        <v>1628839151.6089513</v>
      </c>
      <c r="M98" s="451">
        <f t="shared" ca="1" si="22"/>
        <v>1751147951.8403964</v>
      </c>
    </row>
    <row r="99" spans="1:13" x14ac:dyDescent="0.3">
      <c r="A99" s="158">
        <f>IF(ISBLANK(B99),"",MAX(A$8:A98)+1)</f>
        <v>75</v>
      </c>
      <c r="B99" s="21" t="s">
        <v>67</v>
      </c>
      <c r="C99" s="451">
        <f t="shared" ref="C99:M99" ca="1" si="23">C59+C67+C91</f>
        <v>14837440.813527517</v>
      </c>
      <c r="D99" s="451">
        <f t="shared" ca="1" si="23"/>
        <v>5045450.7967772</v>
      </c>
      <c r="E99" s="451">
        <f t="shared" ca="1" si="23"/>
        <v>5362338.1331680436</v>
      </c>
      <c r="F99" s="451">
        <f t="shared" ca="1" si="23"/>
        <v>6597150.1472627036</v>
      </c>
      <c r="G99" s="451">
        <f t="shared" ca="1" si="23"/>
        <v>6351460.5479653236</v>
      </c>
      <c r="H99" s="451">
        <f t="shared" ca="1" si="23"/>
        <v>27294096.022637151</v>
      </c>
      <c r="I99" s="451">
        <f t="shared" ca="1" si="23"/>
        <v>25477814.028052468</v>
      </c>
      <c r="J99" s="451">
        <f t="shared" ca="1" si="23"/>
        <v>23027852.833171923</v>
      </c>
      <c r="K99" s="451">
        <f t="shared" ca="1" si="23"/>
        <v>22908486.69698647</v>
      </c>
      <c r="L99" s="451">
        <f t="shared" ca="1" si="23"/>
        <v>39306904.947052911</v>
      </c>
      <c r="M99" s="451">
        <f t="shared" ca="1" si="23"/>
        <v>59450670.585581757</v>
      </c>
    </row>
    <row r="100" spans="1:13" x14ac:dyDescent="0.3">
      <c r="A100" s="158">
        <f>IF(ISBLANK(B100),"",MAX(A$8:A99)+1)</f>
        <v>76</v>
      </c>
      <c r="B100" s="21" t="s">
        <v>68</v>
      </c>
      <c r="C100" s="451">
        <f t="shared" ref="C100:M100" ca="1" si="24">C60+C68+C92</f>
        <v>53921311.589915425</v>
      </c>
      <c r="D100" s="451">
        <f t="shared" ca="1" si="24"/>
        <v>61929120.280642167</v>
      </c>
      <c r="E100" s="451">
        <f t="shared" ca="1" si="24"/>
        <v>72787960.10308969</v>
      </c>
      <c r="F100" s="451">
        <f t="shared" ca="1" si="24"/>
        <v>56859002.650119916</v>
      </c>
      <c r="G100" s="451">
        <f t="shared" ca="1" si="24"/>
        <v>38844475.334167719</v>
      </c>
      <c r="H100" s="451">
        <f t="shared" ca="1" si="24"/>
        <v>36410398.3448641</v>
      </c>
      <c r="I100" s="451">
        <f t="shared" ca="1" si="24"/>
        <v>33661106.714199238</v>
      </c>
      <c r="J100" s="451">
        <f t="shared" ca="1" si="24"/>
        <v>32654251.590377688</v>
      </c>
      <c r="K100" s="451">
        <f t="shared" ca="1" si="24"/>
        <v>33499002.465263493</v>
      </c>
      <c r="L100" s="451">
        <f t="shared" ca="1" si="24"/>
        <v>45795915.166477866</v>
      </c>
      <c r="M100" s="451">
        <f t="shared" ca="1" si="24"/>
        <v>76524776.056572318</v>
      </c>
    </row>
    <row r="101" spans="1:13" x14ac:dyDescent="0.3">
      <c r="A101" s="158">
        <f>IF(ISBLANK(B101),"",MAX(A$8:A100)+1)</f>
        <v>77</v>
      </c>
      <c r="B101" s="452" t="s">
        <v>0</v>
      </c>
      <c r="C101" s="453">
        <f t="shared" ref="C101:M101" ca="1" si="25">SUM(C96:C100)</f>
        <v>1453264354.9879587</v>
      </c>
      <c r="D101" s="453">
        <f t="shared" ca="1" si="25"/>
        <v>1524601806.788846</v>
      </c>
      <c r="E101" s="453">
        <f t="shared" ca="1" si="25"/>
        <v>1595264062.4944162</v>
      </c>
      <c r="F101" s="453">
        <f t="shared" ca="1" si="25"/>
        <v>1562091735.4577951</v>
      </c>
      <c r="G101" s="453">
        <f t="shared" ca="1" si="25"/>
        <v>1529820659.972337</v>
      </c>
      <c r="H101" s="453">
        <f t="shared" ca="1" si="25"/>
        <v>1579904056.7776127</v>
      </c>
      <c r="I101" s="453">
        <f t="shared" ca="1" si="25"/>
        <v>1609165264.8133073</v>
      </c>
      <c r="J101" s="453">
        <f t="shared" ca="1" si="25"/>
        <v>1639792193.8682704</v>
      </c>
      <c r="K101" s="453">
        <f t="shared" ca="1" si="25"/>
        <v>1672328757.0568829</v>
      </c>
      <c r="L101" s="453">
        <f t="shared" ca="1" si="25"/>
        <v>1762334063.5569823</v>
      </c>
      <c r="M101" s="453">
        <f t="shared" ca="1" si="25"/>
        <v>1930472769.9932785</v>
      </c>
    </row>
    <row r="102" spans="1:13" x14ac:dyDescent="0.3">
      <c r="A102" s="158" t="str">
        <f>IF(ISBLANK(B102),"",MAX(A$8:A101)+1)</f>
        <v/>
      </c>
      <c r="C102" s="451"/>
      <c r="D102" s="451"/>
      <c r="E102" s="451"/>
      <c r="F102" s="451"/>
      <c r="G102" s="451"/>
      <c r="H102" s="451"/>
      <c r="I102" s="451"/>
      <c r="J102" s="451"/>
      <c r="K102" s="451"/>
      <c r="L102" s="451"/>
      <c r="M102" s="451"/>
    </row>
    <row r="103" spans="1:13" x14ac:dyDescent="0.3">
      <c r="A103" s="158">
        <f>IF(ISBLANK(B103),"",MAX(A$8:A102)+1)</f>
        <v>78</v>
      </c>
      <c r="B103" s="21" t="s">
        <v>187</v>
      </c>
      <c r="C103" s="451">
        <f t="shared" ref="C103:M103" ca="1" si="26">C49-C93</f>
        <v>-6477550.9449583292</v>
      </c>
      <c r="D103" s="451">
        <f t="shared" ca="1" si="26"/>
        <v>4071952.4472541809</v>
      </c>
      <c r="E103" s="451">
        <f t="shared" ca="1" si="26"/>
        <v>16994898.406583846</v>
      </c>
      <c r="F103" s="451">
        <f t="shared" ca="1" si="26"/>
        <v>40968179.223204911</v>
      </c>
      <c r="G103" s="451">
        <f t="shared" ca="1" si="26"/>
        <v>55676189.012570739</v>
      </c>
      <c r="H103" s="451">
        <f t="shared" ca="1" si="26"/>
        <v>34091063.056352735</v>
      </c>
      <c r="I103" s="451">
        <f t="shared" ca="1" si="26"/>
        <v>4412032.1451928616</v>
      </c>
      <c r="J103" s="451">
        <f t="shared" ca="1" si="26"/>
        <v>4391255.7635293007</v>
      </c>
      <c r="K103" s="451">
        <f t="shared" ca="1" si="26"/>
        <v>4007496.2562173009</v>
      </c>
      <c r="L103" s="451">
        <f t="shared" ca="1" si="26"/>
        <v>-4675499.0605139732</v>
      </c>
      <c r="M103" s="451">
        <f t="shared" ca="1" si="26"/>
        <v>-3699965.5487734079</v>
      </c>
    </row>
    <row r="104" spans="1:13" x14ac:dyDescent="0.3">
      <c r="A104" s="158">
        <f>IF(ISBLANK(B104),"",MAX(A$8:A103)+1)</f>
        <v>79</v>
      </c>
      <c r="B104" s="21" t="s">
        <v>188</v>
      </c>
      <c r="C104" s="451">
        <f>C50</f>
        <v>-23552194</v>
      </c>
      <c r="D104" s="451">
        <f t="shared" ref="D104:M104" si="27">D50</f>
        <v>-33816278</v>
      </c>
      <c r="E104" s="451">
        <f t="shared" si="27"/>
        <v>-34944568</v>
      </c>
      <c r="F104" s="451">
        <f t="shared" si="27"/>
        <v>-28225299</v>
      </c>
      <c r="G104" s="451">
        <f t="shared" si="27"/>
        <v>-33308796</v>
      </c>
      <c r="H104" s="451">
        <f t="shared" si="27"/>
        <v>-30103192</v>
      </c>
      <c r="I104" s="451">
        <f t="shared" si="27"/>
        <v>1351968.8265220076</v>
      </c>
      <c r="J104" s="451">
        <f t="shared" si="27"/>
        <v>-2690326.6825212911</v>
      </c>
      <c r="K104" s="451">
        <f t="shared" si="27"/>
        <v>-19573354.599600285</v>
      </c>
      <c r="L104" s="451">
        <f t="shared" si="27"/>
        <v>-32315096.333012477</v>
      </c>
      <c r="M104" s="451">
        <f t="shared" si="27"/>
        <v>-29952462.162250079</v>
      </c>
    </row>
    <row r="105" spans="1:13" x14ac:dyDescent="0.3">
      <c r="A105" s="158">
        <f>IF(ISBLANK(B105),"",MAX(A$8:A104)+1)</f>
        <v>80</v>
      </c>
      <c r="B105" s="21" t="s">
        <v>76</v>
      </c>
      <c r="C105" s="451">
        <f>C52</f>
        <v>51102877</v>
      </c>
      <c r="D105" s="451">
        <f t="shared" ref="D105:M105" si="28">D52</f>
        <v>77214512</v>
      </c>
      <c r="E105" s="451">
        <f t="shared" si="28"/>
        <v>63932951</v>
      </c>
      <c r="F105" s="451">
        <f t="shared" si="28"/>
        <v>69724366</v>
      </c>
      <c r="G105" s="451">
        <f t="shared" si="28"/>
        <v>61488772.198503688</v>
      </c>
      <c r="H105" s="451">
        <f t="shared" si="28"/>
        <v>67698261.192581519</v>
      </c>
      <c r="I105" s="451">
        <f t="shared" si="28"/>
        <v>60441757.688472785</v>
      </c>
      <c r="J105" s="451">
        <f t="shared" si="28"/>
        <v>64512629.046918951</v>
      </c>
      <c r="K105" s="451">
        <f t="shared" si="28"/>
        <v>76508602.625964388</v>
      </c>
      <c r="L105" s="451">
        <f t="shared" si="28"/>
        <v>77507520.09431687</v>
      </c>
      <c r="M105" s="451">
        <f t="shared" si="28"/>
        <v>54431800.041036151</v>
      </c>
    </row>
    <row r="106" spans="1:13" ht="15" thickBot="1" x14ac:dyDescent="0.35">
      <c r="A106" s="158">
        <f>IF(ISBLANK(B106),"",MAX(A$8:A105)+1)</f>
        <v>81</v>
      </c>
      <c r="B106" s="454" t="s">
        <v>189</v>
      </c>
      <c r="C106" s="455">
        <f t="shared" ref="C106:M106" ca="1" si="29">SUM(C101:C105)</f>
        <v>1474337487.0430002</v>
      </c>
      <c r="D106" s="455">
        <f t="shared" ca="1" si="29"/>
        <v>1572071993.2361002</v>
      </c>
      <c r="E106" s="455">
        <f t="shared" ca="1" si="29"/>
        <v>1641247343.901</v>
      </c>
      <c r="F106" s="455">
        <f t="shared" ca="1" si="29"/>
        <v>1644558981.681</v>
      </c>
      <c r="G106" s="455">
        <f t="shared" ca="1" si="29"/>
        <v>1613676825.1834114</v>
      </c>
      <c r="H106" s="455">
        <f t="shared" ca="1" si="29"/>
        <v>1651590189.0265467</v>
      </c>
      <c r="I106" s="455">
        <f t="shared" ca="1" si="29"/>
        <v>1675371023.473495</v>
      </c>
      <c r="J106" s="455">
        <f t="shared" ca="1" si="29"/>
        <v>1706005751.9961972</v>
      </c>
      <c r="K106" s="455">
        <f t="shared" ca="1" si="29"/>
        <v>1733271501.3394642</v>
      </c>
      <c r="L106" s="455">
        <f t="shared" ca="1" si="29"/>
        <v>1802850988.2577727</v>
      </c>
      <c r="M106" s="455">
        <f t="shared" ca="1" si="29"/>
        <v>1951252142.3232913</v>
      </c>
    </row>
    <row r="107" spans="1:13" ht="15" thickTop="1" x14ac:dyDescent="0.3">
      <c r="A107" s="158" t="str">
        <f>IF(ISBLANK(B107),"",MAX(A$8:A106)+1)</f>
        <v/>
      </c>
      <c r="B107" s="323"/>
      <c r="C107" s="451"/>
      <c r="D107" s="451"/>
      <c r="E107" s="451"/>
      <c r="F107" s="451"/>
      <c r="G107" s="451"/>
      <c r="H107" s="451"/>
      <c r="I107" s="451"/>
      <c r="J107" s="451"/>
      <c r="K107" s="451"/>
      <c r="L107" s="451"/>
      <c r="M107" s="451"/>
    </row>
    <row r="108" spans="1:13" x14ac:dyDescent="0.3">
      <c r="A108" s="158">
        <f>IF(ISBLANK(B108),"",MAX(A$8:A107)+1)</f>
        <v>82</v>
      </c>
      <c r="B108" s="456" t="s">
        <v>93</v>
      </c>
      <c r="C108" s="16">
        <f t="shared" ref="C108:M108" si="30">SUM(C24:C28,C30)</f>
        <v>128599260</v>
      </c>
      <c r="D108" s="16">
        <f t="shared" si="30"/>
        <v>135519644</v>
      </c>
      <c r="E108" s="16">
        <f t="shared" si="30"/>
        <v>127529343</v>
      </c>
      <c r="F108" s="16">
        <f t="shared" si="30"/>
        <v>131747021.83093703</v>
      </c>
      <c r="G108" s="16">
        <f t="shared" si="30"/>
        <v>131203425.31619304</v>
      </c>
      <c r="H108" s="16">
        <f t="shared" si="30"/>
        <v>133566477.45515747</v>
      </c>
      <c r="I108" s="16">
        <f t="shared" si="30"/>
        <v>137313915.37905002</v>
      </c>
      <c r="J108" s="16">
        <f t="shared" si="30"/>
        <v>128884370.18793435</v>
      </c>
      <c r="K108" s="16">
        <f t="shared" si="30"/>
        <v>143255194.49096596</v>
      </c>
      <c r="L108" s="16">
        <f t="shared" si="30"/>
        <v>157508314.37310475</v>
      </c>
      <c r="M108" s="16">
        <f t="shared" si="30"/>
        <v>158205340.22099435</v>
      </c>
    </row>
    <row r="109" spans="1:13" x14ac:dyDescent="0.3">
      <c r="A109" s="158" t="str">
        <f>IF(ISBLANK(B109),"",MAX(A$8:A108)+1)</f>
        <v/>
      </c>
      <c r="B109" s="456"/>
    </row>
    <row r="110" spans="1:13" x14ac:dyDescent="0.3">
      <c r="A110" s="158">
        <f>IF(ISBLANK(B110),"",MAX(A$8:A109)+1)</f>
        <v>83</v>
      </c>
      <c r="B110" s="456" t="s">
        <v>191</v>
      </c>
      <c r="C110" s="35">
        <f t="shared" ref="C110:M110" si="31">C35</f>
        <v>57878840</v>
      </c>
      <c r="D110" s="35">
        <f t="shared" si="31"/>
        <v>59834599</v>
      </c>
      <c r="E110" s="35">
        <f t="shared" si="31"/>
        <v>58086350</v>
      </c>
      <c r="F110" s="35">
        <f t="shared" si="31"/>
        <v>62325674.35853453</v>
      </c>
      <c r="G110" s="35">
        <f t="shared" si="31"/>
        <v>62324534.192295589</v>
      </c>
      <c r="H110" s="35">
        <f t="shared" si="31"/>
        <v>48460112.856745608</v>
      </c>
      <c r="I110" s="35">
        <f t="shared" si="31"/>
        <v>38423559.598946169</v>
      </c>
      <c r="J110" s="35">
        <f t="shared" si="31"/>
        <v>36435059.664413847</v>
      </c>
      <c r="K110" s="35">
        <f t="shared" si="31"/>
        <v>35198609.673254773</v>
      </c>
      <c r="L110" s="35">
        <f t="shared" si="31"/>
        <v>40797968.789201349</v>
      </c>
      <c r="M110" s="35">
        <f t="shared" si="31"/>
        <v>36975583.824290976</v>
      </c>
    </row>
    <row r="111" spans="1:13" x14ac:dyDescent="0.3">
      <c r="A111" s="158">
        <f>IF(ISBLANK(B111),"",MAX(A$8:A110)+1)</f>
        <v>84</v>
      </c>
      <c r="B111" s="456" t="s">
        <v>192</v>
      </c>
      <c r="C111" s="35">
        <f>('Sum PropTX 1-2008 Thru 6-2013'!C32)*-1</f>
        <v>-10163417.16</v>
      </c>
      <c r="D111" s="35">
        <f>('Sum PropTX 1-2008 Thru 6-2013'!D32)*-1</f>
        <v>-10961264</v>
      </c>
      <c r="E111" s="35">
        <f>('Sum PropTX 1-2008 Thru 6-2013'!E32)*-1</f>
        <v>-14229174.24</v>
      </c>
      <c r="F111" s="35">
        <f>('Sum PropTX 1-2008 Thru 6-2013'!F32)*-1</f>
        <v>-17974985.989999998</v>
      </c>
      <c r="G111" s="35">
        <f>('Sum PropTX 1-2008 Thru 6-2013'!G32)*-1</f>
        <v>-19573829.420000002</v>
      </c>
      <c r="H111" s="35">
        <f>('Sum PropTX 1-2008 Thru 6-2013'!H32)*-1</f>
        <v>-6415220.2300000004</v>
      </c>
      <c r="I111" s="35"/>
      <c r="J111" s="35"/>
      <c r="K111" s="35"/>
      <c r="L111" s="35"/>
      <c r="M111" s="35"/>
    </row>
    <row r="112" spans="1:13" x14ac:dyDescent="0.3">
      <c r="A112" s="158">
        <f>IF(ISBLANK(B112),"",MAX(A$8:A111)+1)</f>
        <v>85</v>
      </c>
      <c r="B112" s="456" t="s">
        <v>193</v>
      </c>
      <c r="C112" s="35">
        <f>-'#3a PGA Rev Taxes'!J8</f>
        <v>-30055485.147053167</v>
      </c>
      <c r="D112" s="35">
        <f>-'#3a PGA Rev Taxes'!J9</f>
        <v>-28866273.971399512</v>
      </c>
      <c r="E112" s="35">
        <f>-'#3a PGA Rev Taxes'!J10</f>
        <v>-24774941.513788272</v>
      </c>
      <c r="F112" s="35">
        <f>-'#3a PGA Rev Taxes'!J10</f>
        <v>-24774941.513788272</v>
      </c>
      <c r="G112" s="35">
        <f>-'#3a PGA Rev Taxes'!J12</f>
        <v>-22515021.011164669</v>
      </c>
      <c r="H112" s="35">
        <f>-'#3a PGA Rev Taxes'!J13</f>
        <v>-21032118.615573943</v>
      </c>
      <c r="I112" s="35">
        <f>-'#3a PGA Rev Taxes'!J14</f>
        <v>-18453256.690031696</v>
      </c>
      <c r="J112" s="35">
        <f>-'#3a PGA Rev Taxes'!J15</f>
        <v>-15797150.23887274</v>
      </c>
      <c r="K112" s="35">
        <f>-'#3a PGA Rev Taxes'!J16</f>
        <v>-13610545.310332194</v>
      </c>
      <c r="L112" s="35">
        <f>-'#3a PGA Rev Taxes'!J17</f>
        <v>-15101807.581572812</v>
      </c>
      <c r="M112" s="35">
        <f>-'#3a PGA Rev Taxes'!J18</f>
        <v>-12855311.606762974</v>
      </c>
    </row>
    <row r="113" spans="1:13" x14ac:dyDescent="0.3">
      <c r="A113" s="158">
        <f>IF(ISBLANK(B113),"",MAX(A$8:A112)+1)</f>
        <v>86</v>
      </c>
      <c r="B113" s="456" t="s">
        <v>96</v>
      </c>
      <c r="C113" s="35">
        <f t="shared" ref="C113:M113" si="32">C110+C111+C112</f>
        <v>17659937.692946836</v>
      </c>
      <c r="D113" s="35">
        <f t="shared" si="32"/>
        <v>20007061.028600488</v>
      </c>
      <c r="E113" s="35">
        <f t="shared" si="32"/>
        <v>19082234.246211726</v>
      </c>
      <c r="F113" s="35">
        <f t="shared" si="32"/>
        <v>19575746.854746263</v>
      </c>
      <c r="G113" s="35">
        <f t="shared" si="32"/>
        <v>20235683.761130918</v>
      </c>
      <c r="H113" s="35">
        <f t="shared" si="32"/>
        <v>21012774.011171669</v>
      </c>
      <c r="I113" s="35">
        <f t="shared" si="32"/>
        <v>19970302.908914473</v>
      </c>
      <c r="J113" s="35">
        <f t="shared" si="32"/>
        <v>20637909.425541107</v>
      </c>
      <c r="K113" s="35">
        <f t="shared" si="32"/>
        <v>21588064.362922579</v>
      </c>
      <c r="L113" s="35">
        <f t="shared" si="32"/>
        <v>25696161.207628537</v>
      </c>
      <c r="M113" s="35">
        <f t="shared" si="32"/>
        <v>24120272.217528</v>
      </c>
    </row>
    <row r="114" spans="1:13" x14ac:dyDescent="0.3">
      <c r="A114" s="158" t="str">
        <f>IF(ISBLANK(B114),"",MAX(A$8:A113)+1)</f>
        <v/>
      </c>
    </row>
    <row r="115" spans="1:13" x14ac:dyDescent="0.3">
      <c r="A115" s="158">
        <f>IF(ISBLANK(B115),"",MAX(A$8:A114)+1)</f>
        <v>87</v>
      </c>
      <c r="B115" s="180" t="s">
        <v>97</v>
      </c>
    </row>
    <row r="116" spans="1:13" x14ac:dyDescent="0.3">
      <c r="A116" s="158">
        <f>IF(ISBLANK(B116),"",MAX(A$8:A115)+1)</f>
        <v>88</v>
      </c>
      <c r="B116" s="457" t="s">
        <v>98</v>
      </c>
      <c r="C116" s="16">
        <f t="shared" ref="C116:M116" ca="1" si="33">C58</f>
        <v>2210764633</v>
      </c>
      <c r="D116" s="16">
        <f t="shared" ca="1" si="33"/>
        <v>2385288050</v>
      </c>
      <c r="E116" s="16">
        <f t="shared" ca="1" si="33"/>
        <v>2530004412</v>
      </c>
      <c r="F116" s="16">
        <f t="shared" ca="1" si="33"/>
        <v>2635752747</v>
      </c>
      <c r="G116" s="16">
        <f t="shared" ca="1" si="33"/>
        <v>2746234653</v>
      </c>
      <c r="H116" s="16">
        <f t="shared" ca="1" si="33"/>
        <v>2879940210</v>
      </c>
      <c r="I116" s="16">
        <f t="shared" ca="1" si="33"/>
        <v>3022548886</v>
      </c>
      <c r="J116" s="16">
        <f t="shared" ca="1" si="33"/>
        <v>3162774259.7674999</v>
      </c>
      <c r="K116" s="16">
        <f t="shared" ca="1" si="33"/>
        <v>3310238970</v>
      </c>
      <c r="L116" s="16">
        <f t="shared" ca="1" si="33"/>
        <v>3497293008</v>
      </c>
      <c r="M116" s="16">
        <f t="shared" ca="1" si="33"/>
        <v>3710993361</v>
      </c>
    </row>
    <row r="117" spans="1:13" x14ac:dyDescent="0.3">
      <c r="A117" s="158">
        <f>IF(ISBLANK(B117),"",MAX(A$8:A116)+1)</f>
        <v>89</v>
      </c>
      <c r="B117" s="457" t="s">
        <v>194</v>
      </c>
      <c r="C117" s="35"/>
      <c r="D117" s="35"/>
      <c r="E117" s="35"/>
      <c r="F117" s="35"/>
      <c r="G117" s="35"/>
      <c r="H117" s="35"/>
      <c r="I117" s="35"/>
      <c r="J117" s="35"/>
      <c r="K117" s="35"/>
      <c r="L117" s="35">
        <f>-AVERAGE(CRM!T13:T24)</f>
        <v>-47060452.17666664</v>
      </c>
      <c r="M117" s="35">
        <f>-AVERAGE(CRM!T25:T36)</f>
        <v>-84751774.307916671</v>
      </c>
    </row>
    <row r="118" spans="1:13" x14ac:dyDescent="0.3">
      <c r="A118" s="158">
        <f>IF(ISBLANK(B118),"",MAX(A$8:A117)+1)</f>
        <v>90</v>
      </c>
      <c r="B118" s="457" t="s">
        <v>99</v>
      </c>
      <c r="C118" s="35"/>
      <c r="D118" s="35"/>
      <c r="E118" s="35"/>
      <c r="F118" s="35"/>
      <c r="G118" s="35"/>
      <c r="H118" s="35"/>
      <c r="I118" s="35"/>
      <c r="J118" s="35"/>
      <c r="K118" s="35">
        <f>-AMI!$C39</f>
        <v>-86617.67079525</v>
      </c>
      <c r="L118" s="35">
        <f>-AMI!$C40</f>
        <v>-2910905.877415834</v>
      </c>
      <c r="M118" s="35">
        <f>-AMI!$C41</f>
        <v>-16228881.069029139</v>
      </c>
    </row>
    <row r="119" spans="1:13" x14ac:dyDescent="0.3">
      <c r="A119" s="158">
        <f>IF(ISBLANK(B119),"",MAX(A$8:A118)+1)</f>
        <v>91</v>
      </c>
      <c r="B119" s="457" t="s">
        <v>195</v>
      </c>
      <c r="C119" s="16">
        <f t="shared" ref="C119:M119" ca="1" si="34">C116+C117+C118</f>
        <v>2210764633</v>
      </c>
      <c r="D119" s="16">
        <f t="shared" ca="1" si="34"/>
        <v>2385288050</v>
      </c>
      <c r="E119" s="16">
        <f t="shared" ca="1" si="34"/>
        <v>2530004412</v>
      </c>
      <c r="F119" s="16">
        <f t="shared" ca="1" si="34"/>
        <v>2635752747</v>
      </c>
      <c r="G119" s="16">
        <f t="shared" ca="1" si="34"/>
        <v>2746234653</v>
      </c>
      <c r="H119" s="16">
        <f t="shared" ca="1" si="34"/>
        <v>2879940210</v>
      </c>
      <c r="I119" s="16">
        <f t="shared" ca="1" si="34"/>
        <v>3022548886</v>
      </c>
      <c r="J119" s="16">
        <f t="shared" ca="1" si="34"/>
        <v>3162774259.7674999</v>
      </c>
      <c r="K119" s="16">
        <f t="shared" ca="1" si="34"/>
        <v>3310152352.3292046</v>
      </c>
      <c r="L119" s="16">
        <f t="shared" ca="1" si="34"/>
        <v>3447321649.9459176</v>
      </c>
      <c r="M119" s="16">
        <f t="shared" ca="1" si="34"/>
        <v>3610012705.623054</v>
      </c>
    </row>
    <row r="120" spans="1:13" x14ac:dyDescent="0.3">
      <c r="A120" s="158" t="str">
        <f>IF(ISBLANK(B120),"",MAX(A$8:A119)+1)</f>
        <v/>
      </c>
      <c r="B120" s="457"/>
    </row>
    <row r="121" spans="1:13" x14ac:dyDescent="0.3">
      <c r="A121" s="158">
        <f>IF(ISBLANK(B121),"",MAX(A$8:A120)+1)</f>
        <v>92</v>
      </c>
      <c r="B121" s="457" t="s">
        <v>196</v>
      </c>
      <c r="C121" s="35">
        <f t="shared" ref="C121:M121" ca="1" si="35">C66</f>
        <v>-687515984</v>
      </c>
      <c r="D121" s="35">
        <f t="shared" ca="1" si="35"/>
        <v>-753186569</v>
      </c>
      <c r="E121" s="35">
        <f t="shared" ca="1" si="35"/>
        <v>-823796903</v>
      </c>
      <c r="F121" s="35">
        <f t="shared" ca="1" si="35"/>
        <v>-887774436</v>
      </c>
      <c r="G121" s="35">
        <f t="shared" ca="1" si="35"/>
        <v>-961781988</v>
      </c>
      <c r="H121" s="35">
        <f t="shared" ca="1" si="35"/>
        <v>-1034510627</v>
      </c>
      <c r="I121" s="35">
        <f t="shared" ca="1" si="35"/>
        <v>-1115183940.3789999</v>
      </c>
      <c r="J121" s="35">
        <f t="shared" ca="1" si="35"/>
        <v>-1188656313</v>
      </c>
      <c r="K121" s="35">
        <f t="shared" ca="1" si="35"/>
        <v>-1271567693</v>
      </c>
      <c r="L121" s="35">
        <f t="shared" ca="1" si="35"/>
        <v>-1361667453</v>
      </c>
      <c r="M121" s="35">
        <f t="shared" ca="1" si="35"/>
        <v>-1433137826.69191</v>
      </c>
    </row>
    <row r="122" spans="1:13" x14ac:dyDescent="0.3">
      <c r="A122" s="158">
        <f>IF(ISBLANK(B122),"",MAX(A$8:A121)+1)</f>
        <v>93</v>
      </c>
      <c r="B122" s="457" t="s">
        <v>197</v>
      </c>
      <c r="C122" s="35"/>
      <c r="D122" s="35"/>
      <c r="E122" s="35"/>
      <c r="F122" s="35"/>
      <c r="G122" s="35"/>
      <c r="H122" s="35"/>
      <c r="I122" s="35"/>
      <c r="J122" s="35"/>
      <c r="K122" s="35"/>
      <c r="L122" s="35">
        <f>-AVERAGE(CRM!U13:U24)</f>
        <v>970234.29101210635</v>
      </c>
      <c r="M122" s="35">
        <f>-AVERAGE(CRM!U25:U36)</f>
        <v>3209723.1798207625</v>
      </c>
    </row>
    <row r="123" spans="1:13" x14ac:dyDescent="0.3">
      <c r="A123" s="158">
        <f>IF(ISBLANK(B123),"",MAX(A$8:A122)+1)</f>
        <v>94</v>
      </c>
      <c r="B123" s="457" t="s">
        <v>102</v>
      </c>
      <c r="C123" s="35"/>
      <c r="D123" s="35"/>
      <c r="E123" s="35"/>
      <c r="F123" s="35"/>
      <c r="G123" s="35"/>
      <c r="H123" s="35"/>
      <c r="I123" s="35"/>
      <c r="J123" s="35"/>
      <c r="K123" s="35">
        <f>-AMI!$F39</f>
        <v>690.86332679846555</v>
      </c>
      <c r="L123" s="35">
        <f>-AMI!$F40</f>
        <v>154694.72417511354</v>
      </c>
      <c r="M123" s="35">
        <f>-AMI!$F41</f>
        <v>1296178.4092875994</v>
      </c>
    </row>
    <row r="124" spans="1:13" x14ac:dyDescent="0.3">
      <c r="A124" s="158">
        <f>IF(ISBLANK(B124),"",MAX(A$8:A123)+1)</f>
        <v>95</v>
      </c>
      <c r="B124" s="457" t="s">
        <v>198</v>
      </c>
      <c r="C124" s="35">
        <f t="shared" ref="C124:M124" ca="1" si="36">C121+C122+C123</f>
        <v>-687515984</v>
      </c>
      <c r="D124" s="35">
        <f t="shared" ca="1" si="36"/>
        <v>-753186569</v>
      </c>
      <c r="E124" s="35">
        <f t="shared" ca="1" si="36"/>
        <v>-823796903</v>
      </c>
      <c r="F124" s="35">
        <f t="shared" ca="1" si="36"/>
        <v>-887774436</v>
      </c>
      <c r="G124" s="35">
        <f t="shared" ca="1" si="36"/>
        <v>-961781988</v>
      </c>
      <c r="H124" s="35">
        <f t="shared" ca="1" si="36"/>
        <v>-1034510627</v>
      </c>
      <c r="I124" s="35">
        <f t="shared" ca="1" si="36"/>
        <v>-1115183940.3789999</v>
      </c>
      <c r="J124" s="35">
        <f t="shared" ca="1" si="36"/>
        <v>-1188656313</v>
      </c>
      <c r="K124" s="35">
        <f t="shared" ca="1" si="36"/>
        <v>-1271567002.1366732</v>
      </c>
      <c r="L124" s="35">
        <f t="shared" ca="1" si="36"/>
        <v>-1360542523.9848127</v>
      </c>
      <c r="M124" s="35">
        <f t="shared" ca="1" si="36"/>
        <v>-1428631925.1028016</v>
      </c>
    </row>
    <row r="125" spans="1:13" x14ac:dyDescent="0.3">
      <c r="A125" s="158" t="str">
        <f>IF(ISBLANK(B125),"",MAX(A$8:A124)+1)</f>
        <v/>
      </c>
      <c r="B125" s="457"/>
    </row>
    <row r="126" spans="1:13" x14ac:dyDescent="0.3">
      <c r="A126" s="158">
        <f>IF(ISBLANK(B126),"",MAX(A$8:A125)+1)</f>
        <v>96</v>
      </c>
      <c r="B126" s="457" t="s">
        <v>199</v>
      </c>
      <c r="C126" s="35">
        <f t="shared" ref="C126:M126" ca="1" si="37">C74</f>
        <v>-113387644.88128516</v>
      </c>
      <c r="D126" s="35">
        <f t="shared" ca="1" si="37"/>
        <v>-150203841.0813269</v>
      </c>
      <c r="E126" s="35">
        <f t="shared" ca="1" si="37"/>
        <v>-139263101.69928172</v>
      </c>
      <c r="F126" s="35">
        <f t="shared" ca="1" si="37"/>
        <v>-166563311.0188151</v>
      </c>
      <c r="G126" s="35">
        <f t="shared" ca="1" si="37"/>
        <v>-197100439.25508639</v>
      </c>
      <c r="H126" s="35">
        <f t="shared" ca="1" si="37"/>
        <v>-210463453.40057045</v>
      </c>
      <c r="I126" s="35">
        <f t="shared" ca="1" si="37"/>
        <v>-227627125.59399733</v>
      </c>
      <c r="J126" s="35">
        <f t="shared" ca="1" si="37"/>
        <v>-242300735.49897844</v>
      </c>
      <c r="K126" s="35">
        <f t="shared" ca="1" si="37"/>
        <v>-261680156.1878852</v>
      </c>
      <c r="L126" s="35">
        <f t="shared" ca="1" si="37"/>
        <v>-269792646.81823689</v>
      </c>
      <c r="M126" s="35">
        <f t="shared" ca="1" si="37"/>
        <v>-271846932.69267762</v>
      </c>
    </row>
    <row r="127" spans="1:13" x14ac:dyDescent="0.3">
      <c r="A127" s="158">
        <f>IF(ISBLANK(B127),"",MAX(A$8:A126)+1)</f>
        <v>97</v>
      </c>
      <c r="B127" s="457" t="s">
        <v>197</v>
      </c>
      <c r="C127" s="35"/>
      <c r="D127" s="35"/>
      <c r="E127" s="35"/>
      <c r="F127" s="35"/>
      <c r="G127" s="35"/>
      <c r="H127" s="35"/>
      <c r="I127" s="35"/>
      <c r="J127" s="35"/>
      <c r="K127" s="35"/>
      <c r="L127" s="35">
        <f>-AVERAGE(CRM!V13:V24)</f>
        <v>5372252.9503154913</v>
      </c>
      <c r="M127" s="35">
        <f>-AVERAGE(CRM!V25:V36)</f>
        <v>8025584.9516680902</v>
      </c>
    </row>
    <row r="128" spans="1:13" x14ac:dyDescent="0.3">
      <c r="A128" s="158">
        <f>IF(ISBLANK(B128),"",MAX(A$8:A127)+1)</f>
        <v>98</v>
      </c>
      <c r="B128" s="457" t="s">
        <v>102</v>
      </c>
      <c r="C128" s="35"/>
      <c r="D128" s="35"/>
      <c r="E128" s="35"/>
      <c r="F128" s="35"/>
      <c r="G128" s="35"/>
      <c r="H128" s="35"/>
      <c r="I128" s="35"/>
      <c r="J128" s="35"/>
      <c r="K128" s="35">
        <f>-AMI!$I39</f>
        <v>12809.91109461447</v>
      </c>
      <c r="L128" s="35">
        <f>-AMI!$I40</f>
        <v>509551.74144340138</v>
      </c>
      <c r="M128" s="35">
        <f>-AMI!$I41</f>
        <v>1289851.786132125</v>
      </c>
    </row>
    <row r="129" spans="1:13" x14ac:dyDescent="0.3">
      <c r="A129" s="158">
        <f>IF(ISBLANK(B129),"",MAX(A$8:A128)+1)</f>
        <v>99</v>
      </c>
      <c r="B129" s="457" t="s">
        <v>200</v>
      </c>
      <c r="C129" s="35">
        <f t="shared" ref="C129:M129" ca="1" si="38">C126+C127+C128</f>
        <v>-113387644.88128516</v>
      </c>
      <c r="D129" s="35">
        <f t="shared" ca="1" si="38"/>
        <v>-150203841.0813269</v>
      </c>
      <c r="E129" s="35">
        <f t="shared" ca="1" si="38"/>
        <v>-139263101.69928172</v>
      </c>
      <c r="F129" s="35">
        <f t="shared" ca="1" si="38"/>
        <v>-166563311.0188151</v>
      </c>
      <c r="G129" s="35">
        <f t="shared" ca="1" si="38"/>
        <v>-197100439.25508639</v>
      </c>
      <c r="H129" s="35">
        <f t="shared" ca="1" si="38"/>
        <v>-210463453.40057045</v>
      </c>
      <c r="I129" s="35">
        <f t="shared" ca="1" si="38"/>
        <v>-227627125.59399733</v>
      </c>
      <c r="J129" s="35">
        <f t="shared" ca="1" si="38"/>
        <v>-242300735.49897844</v>
      </c>
      <c r="K129" s="35">
        <f t="shared" ca="1" si="38"/>
        <v>-261667346.27679059</v>
      </c>
      <c r="L129" s="35">
        <f t="shared" ca="1" si="38"/>
        <v>-263910842.12647799</v>
      </c>
      <c r="M129" s="35">
        <f t="shared" ca="1" si="38"/>
        <v>-262531495.95487741</v>
      </c>
    </row>
    <row r="130" spans="1:13" x14ac:dyDescent="0.3">
      <c r="A130" s="158" t="str">
        <f>IF(ISBLANK(B130),"",MAX(A$8:A129)+1)</f>
        <v/>
      </c>
    </row>
    <row r="131" spans="1:13" x14ac:dyDescent="0.3">
      <c r="A131" s="158">
        <f>IF(ISBLANK(B131),"",MAX(A$8:A130)+1)</f>
        <v>100</v>
      </c>
      <c r="B131" s="180" t="s">
        <v>201</v>
      </c>
    </row>
    <row r="132" spans="1:13" x14ac:dyDescent="0.3">
      <c r="A132" s="158">
        <f>IF(ISBLANK(B132),"",MAX(A$8:A131)+1)</f>
        <v>101</v>
      </c>
      <c r="B132" s="457" t="s">
        <v>107</v>
      </c>
      <c r="C132" s="35">
        <f t="shared" ref="C132:M132" ca="1" si="39">C59</f>
        <v>114148670.88149999</v>
      </c>
      <c r="D132" s="35">
        <f t="shared" ca="1" si="39"/>
        <v>121231461.78160001</v>
      </c>
      <c r="E132" s="35">
        <f t="shared" ca="1" si="39"/>
        <v>70084907.687299997</v>
      </c>
      <c r="F132" s="35">
        <f t="shared" ca="1" si="39"/>
        <v>41706701.205000006</v>
      </c>
      <c r="G132" s="35">
        <f t="shared" ca="1" si="39"/>
        <v>43400851.394299999</v>
      </c>
      <c r="H132" s="35">
        <f t="shared" ca="1" si="39"/>
        <v>65902921.046799995</v>
      </c>
      <c r="I132" s="35">
        <f t="shared" ca="1" si="39"/>
        <v>68391619.282000005</v>
      </c>
      <c r="J132" s="35">
        <f t="shared" ca="1" si="39"/>
        <v>67129385.447400004</v>
      </c>
      <c r="K132" s="35">
        <f t="shared" ca="1" si="39"/>
        <v>69120516.147399992</v>
      </c>
      <c r="L132" s="35">
        <f t="shared" ca="1" si="39"/>
        <v>101394126.5713</v>
      </c>
      <c r="M132" s="35">
        <f t="shared" ca="1" si="39"/>
        <v>139531979.72830001</v>
      </c>
    </row>
    <row r="133" spans="1:13" x14ac:dyDescent="0.3">
      <c r="A133" s="158">
        <f>IF(ISBLANK(B133),"",MAX(A$8:A132)+1)</f>
        <v>102</v>
      </c>
      <c r="B133" s="457" t="s">
        <v>108</v>
      </c>
      <c r="K133" s="35"/>
      <c r="L133" s="35">
        <f>-'GTZ Historical RB'!$C64</f>
        <v>-1176561.6112949997</v>
      </c>
      <c r="M133" s="35">
        <f>-'GTZ Historical RB'!$C65</f>
        <v>-16597798.789668249</v>
      </c>
    </row>
    <row r="134" spans="1:13" x14ac:dyDescent="0.3">
      <c r="A134" s="158">
        <f>IF(ISBLANK(B134),"",MAX(A$8:A133)+1)</f>
        <v>103</v>
      </c>
      <c r="B134" s="457" t="s">
        <v>100</v>
      </c>
      <c r="C134" s="35">
        <f t="shared" ref="C134:M134" ca="1" si="40">C132+C133</f>
        <v>114148670.88149999</v>
      </c>
      <c r="D134" s="35">
        <f t="shared" ca="1" si="40"/>
        <v>121231461.78160001</v>
      </c>
      <c r="E134" s="35">
        <f t="shared" ca="1" si="40"/>
        <v>70084907.687299997</v>
      </c>
      <c r="F134" s="35">
        <f t="shared" ca="1" si="40"/>
        <v>41706701.205000006</v>
      </c>
      <c r="G134" s="35">
        <f t="shared" ca="1" si="40"/>
        <v>43400851.394299999</v>
      </c>
      <c r="H134" s="35">
        <f t="shared" ca="1" si="40"/>
        <v>65902921.046799995</v>
      </c>
      <c r="I134" s="35">
        <f t="shared" ca="1" si="40"/>
        <v>68391619.282000005</v>
      </c>
      <c r="J134" s="35">
        <f t="shared" ca="1" si="40"/>
        <v>67129385.447400004</v>
      </c>
      <c r="K134" s="35">
        <f t="shared" ca="1" si="40"/>
        <v>69120516.147399992</v>
      </c>
      <c r="L134" s="35">
        <f t="shared" ca="1" si="40"/>
        <v>100217564.960005</v>
      </c>
      <c r="M134" s="35">
        <f t="shared" ca="1" si="40"/>
        <v>122934180.93863176</v>
      </c>
    </row>
    <row r="135" spans="1:13" x14ac:dyDescent="0.3">
      <c r="A135" s="158" t="str">
        <f>IF(ISBLANK(B135),"",MAX(A$8:A134)+1)</f>
        <v/>
      </c>
    </row>
    <row r="136" spans="1:13" x14ac:dyDescent="0.3">
      <c r="A136" s="158">
        <f>IF(ISBLANK(B136),"",MAX(A$8:A135)+1)</f>
        <v>104</v>
      </c>
      <c r="B136" s="457" t="s">
        <v>109</v>
      </c>
      <c r="C136" s="35">
        <f t="shared" ref="C136:M136" ca="1" si="41">C67</f>
        <v>-83160038.114500001</v>
      </c>
      <c r="D136" s="35">
        <f t="shared" ca="1" si="41"/>
        <v>-97084868.988900006</v>
      </c>
      <c r="E136" s="35">
        <f t="shared" ca="1" si="41"/>
        <v>-50080267.300899997</v>
      </c>
      <c r="F136" s="35">
        <f t="shared" ca="1" si="41"/>
        <v>-23190663.291000001</v>
      </c>
      <c r="G136" s="35">
        <f t="shared" ca="1" si="41"/>
        <v>-23118598.882900003</v>
      </c>
      <c r="H136" s="35">
        <f t="shared" ca="1" si="41"/>
        <v>-19139586.0176</v>
      </c>
      <c r="I136" s="35">
        <f t="shared" ca="1" si="41"/>
        <v>-21566544.754000001</v>
      </c>
      <c r="J136" s="35">
        <f t="shared" ca="1" si="41"/>
        <v>-23612206.0264</v>
      </c>
      <c r="K136" s="35">
        <f t="shared" ca="1" si="41"/>
        <v>-25347121.292599998</v>
      </c>
      <c r="L136" s="35">
        <f t="shared" ca="1" si="41"/>
        <v>-34803383.951900005</v>
      </c>
      <c r="M136" s="35">
        <f t="shared" ca="1" si="41"/>
        <v>-47274087.95805271</v>
      </c>
    </row>
    <row r="137" spans="1:13" x14ac:dyDescent="0.3">
      <c r="A137" s="158">
        <f>IF(ISBLANK(B137),"",MAX(A$8:A136)+1)</f>
        <v>105</v>
      </c>
      <c r="B137" s="457" t="s">
        <v>110</v>
      </c>
      <c r="K137" s="35"/>
      <c r="L137" s="35">
        <f>-'GTZ Historical RB'!$G64</f>
        <v>125691.99261211981</v>
      </c>
      <c r="M137" s="35">
        <f>-'GTZ Historical RB'!$G65</f>
        <v>1430783.8862761646</v>
      </c>
    </row>
    <row r="138" spans="1:13" x14ac:dyDescent="0.3">
      <c r="A138" s="158">
        <f>IF(ISBLANK(B138),"",MAX(A$8:A137)+1)</f>
        <v>106</v>
      </c>
      <c r="B138" s="457" t="s">
        <v>103</v>
      </c>
      <c r="C138" s="35">
        <f t="shared" ref="C138:M138" ca="1" si="42">C136+C137</f>
        <v>-83160038.114500001</v>
      </c>
      <c r="D138" s="35">
        <f t="shared" ca="1" si="42"/>
        <v>-97084868.988900006</v>
      </c>
      <c r="E138" s="35">
        <f t="shared" ca="1" si="42"/>
        <v>-50080267.300899997</v>
      </c>
      <c r="F138" s="35">
        <f t="shared" ca="1" si="42"/>
        <v>-23190663.291000001</v>
      </c>
      <c r="G138" s="35">
        <f t="shared" ca="1" si="42"/>
        <v>-23118598.882900003</v>
      </c>
      <c r="H138" s="35">
        <f t="shared" ca="1" si="42"/>
        <v>-19139586.0176</v>
      </c>
      <c r="I138" s="35">
        <f t="shared" ca="1" si="42"/>
        <v>-21566544.754000001</v>
      </c>
      <c r="J138" s="35">
        <f t="shared" ca="1" si="42"/>
        <v>-23612206.0264</v>
      </c>
      <c r="K138" s="35">
        <f t="shared" ca="1" si="42"/>
        <v>-25347121.292599998</v>
      </c>
      <c r="L138" s="35">
        <f t="shared" ca="1" si="42"/>
        <v>-34677691.959287882</v>
      </c>
      <c r="M138" s="35">
        <f t="shared" ca="1" si="42"/>
        <v>-45843304.071776547</v>
      </c>
    </row>
    <row r="139" spans="1:13" x14ac:dyDescent="0.3">
      <c r="A139" s="158" t="str">
        <f>IF(ISBLANK(B139),"",MAX(A$8:A138)+1)</f>
        <v/>
      </c>
    </row>
    <row r="140" spans="1:13" x14ac:dyDescent="0.3">
      <c r="A140" s="158">
        <f>IF(ISBLANK(B140),"",MAX(A$8:A139)+1)</f>
        <v>107</v>
      </c>
      <c r="B140" s="457" t="s">
        <v>111</v>
      </c>
      <c r="C140" s="35">
        <f t="shared" ref="C140:M140" ca="1" si="43">C75</f>
        <v>-10585856.494629253</v>
      </c>
      <c r="D140" s="35">
        <f t="shared" ca="1" si="43"/>
        <v>-12927147.815243447</v>
      </c>
      <c r="E140" s="35">
        <f t="shared" ca="1" si="43"/>
        <v>-8663616.6694345865</v>
      </c>
      <c r="F140" s="35">
        <f t="shared" ca="1" si="43"/>
        <v>-6899608.6888004486</v>
      </c>
      <c r="G140" s="35">
        <f t="shared" ca="1" si="43"/>
        <v>-8104767.0246372726</v>
      </c>
      <c r="H140" s="35">
        <f t="shared" ca="1" si="43"/>
        <v>-11159139.20564702</v>
      </c>
      <c r="I140" s="35">
        <f t="shared" ca="1" si="43"/>
        <v>-12030884.043074146</v>
      </c>
      <c r="J140" s="35">
        <f t="shared" ca="1" si="43"/>
        <v>-11407228.296690917</v>
      </c>
      <c r="K140" s="35">
        <f t="shared" ca="1" si="43"/>
        <v>-11623688.386057302</v>
      </c>
      <c r="L140" s="35">
        <f t="shared" ca="1" si="43"/>
        <v>-14524815.053693803</v>
      </c>
      <c r="M140" s="35">
        <f t="shared" ca="1" si="43"/>
        <v>-16932625.893549934</v>
      </c>
    </row>
    <row r="141" spans="1:13" x14ac:dyDescent="0.3">
      <c r="A141" s="158">
        <f>IF(ISBLANK(B141),"",MAX(A$8:A140)+1)</f>
        <v>108</v>
      </c>
      <c r="B141" s="457" t="s">
        <v>18</v>
      </c>
      <c r="K141" s="35"/>
      <c r="L141" s="35">
        <f>-'GTZ Historical RB'!$K64</f>
        <v>64788.816740988565</v>
      </c>
      <c r="M141" s="35">
        <f>-'GTZ Historical RB'!$K65</f>
        <v>927817.70801036642</v>
      </c>
    </row>
    <row r="142" spans="1:13" x14ac:dyDescent="0.3">
      <c r="A142" s="158">
        <f>IF(ISBLANK(B142),"",MAX(A$8:A141)+1)</f>
        <v>109</v>
      </c>
      <c r="B142" s="457" t="s">
        <v>105</v>
      </c>
      <c r="C142" s="35">
        <f t="shared" ref="C142:M142" ca="1" si="44">C140+C141</f>
        <v>-10585856.494629253</v>
      </c>
      <c r="D142" s="35">
        <f t="shared" ca="1" si="44"/>
        <v>-12927147.815243447</v>
      </c>
      <c r="E142" s="35">
        <f t="shared" ca="1" si="44"/>
        <v>-8663616.6694345865</v>
      </c>
      <c r="F142" s="35">
        <f t="shared" ca="1" si="44"/>
        <v>-6899608.6888004486</v>
      </c>
      <c r="G142" s="35">
        <f t="shared" ca="1" si="44"/>
        <v>-8104767.0246372726</v>
      </c>
      <c r="H142" s="35">
        <f t="shared" ca="1" si="44"/>
        <v>-11159139.20564702</v>
      </c>
      <c r="I142" s="35">
        <f t="shared" ca="1" si="44"/>
        <v>-12030884.043074146</v>
      </c>
      <c r="J142" s="35">
        <f t="shared" ca="1" si="44"/>
        <v>-11407228.296690917</v>
      </c>
      <c r="K142" s="35">
        <f t="shared" ca="1" si="44"/>
        <v>-11623688.386057302</v>
      </c>
      <c r="L142" s="35">
        <f t="shared" ca="1" si="44"/>
        <v>-14460026.236952815</v>
      </c>
      <c r="M142" s="35">
        <f t="shared" ca="1" si="44"/>
        <v>-16004808.185539568</v>
      </c>
    </row>
    <row r="143" spans="1:13" x14ac:dyDescent="0.3">
      <c r="A143" s="158" t="str">
        <f>IF(ISBLANK(B143),"",MAX(A$8:A142)+1)</f>
        <v/>
      </c>
    </row>
    <row r="144" spans="1:13" x14ac:dyDescent="0.3">
      <c r="A144" s="158" t="str">
        <f>IF(ISBLANK(B144),"",MAX(A$8:A143)+1)</f>
        <v/>
      </c>
    </row>
  </sheetData>
  <pageMargins left="0.7" right="0.7" top="0.75" bottom="0.75" header="0.3" footer="0.3"/>
  <pageSetup orientation="portrait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2"/>
  <sheetViews>
    <sheetView workbookViewId="0">
      <selection sqref="A1:XFD1048576"/>
    </sheetView>
  </sheetViews>
  <sheetFormatPr defaultColWidth="8.6640625" defaultRowHeight="14.4" x14ac:dyDescent="0.3"/>
  <cols>
    <col min="1" max="1" width="8.6640625" style="15"/>
    <col min="2" max="2" width="18" style="15" bestFit="1" customWidth="1"/>
    <col min="3" max="3" width="14.88671875" style="15" customWidth="1"/>
    <col min="4" max="4" width="17.109375" style="15" bestFit="1" customWidth="1"/>
    <col min="5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8.6640625" style="15"/>
    <col min="13" max="13" width="18" style="15" bestFit="1" customWidth="1"/>
    <col min="14" max="14" width="13.5546875" style="15" bestFit="1" customWidth="1"/>
    <col min="15" max="18" width="12.109375" style="15" customWidth="1"/>
    <col min="19" max="20" width="8.6640625" style="15"/>
    <col min="21" max="21" width="12" style="15" bestFit="1" customWidth="1"/>
    <col min="22" max="22" width="14" style="15" bestFit="1" customWidth="1"/>
    <col min="23" max="23" width="16.44140625" style="15" bestFit="1" customWidth="1"/>
    <col min="24" max="16384" width="8.6640625" style="15"/>
  </cols>
  <sheetData>
    <row r="5" spans="2:23" ht="28.8" x14ac:dyDescent="0.3">
      <c r="B5" s="64" t="s">
        <v>112</v>
      </c>
      <c r="C5" s="119" t="s">
        <v>113</v>
      </c>
      <c r="D5" s="119" t="s">
        <v>204</v>
      </c>
      <c r="E5" s="119" t="str">
        <f>"ln("&amp;D5&amp;")"</f>
        <v>ln(Sales less Gas Cost)</v>
      </c>
      <c r="F5" s="119" t="s">
        <v>114</v>
      </c>
    </row>
    <row r="6" spans="2:23" x14ac:dyDescent="0.3">
      <c r="B6" s="15">
        <v>2008</v>
      </c>
      <c r="D6" s="162">
        <f ca="1">OFFSET(Gas_CBR!$C$13,0,$B6-Gas_CBR!$C$7)-OFFSET(Gas_CBR!$C$22,0,$B6-Gas_CBR!$C$7)</f>
        <v>403859148</v>
      </c>
      <c r="E6" s="162"/>
      <c r="T6" s="15" t="s">
        <v>115</v>
      </c>
      <c r="U6" s="60">
        <f t="array" aca="1" ref="U6:V10" ca="1">LINEST(D7:D16,C7:C16,,TRUE)</f>
        <v>8611681.5748990532</v>
      </c>
      <c r="V6" s="60">
        <f ca="1"/>
        <v>432679361.60772616</v>
      </c>
      <c r="W6" s="15" t="s">
        <v>116</v>
      </c>
    </row>
    <row r="7" spans="2:23" x14ac:dyDescent="0.3">
      <c r="B7" s="15">
        <v>2009</v>
      </c>
      <c r="C7" s="15">
        <v>0</v>
      </c>
      <c r="D7" s="162">
        <f ca="1">OFFSET(Gas_CBR!$C$13,0,$B7-Gas_CBR!$C$7)-OFFSET(Gas_CBR!$C$22,0,$B7-Gas_CBR!$C$7)</f>
        <v>425871281</v>
      </c>
      <c r="E7" s="425">
        <f ca="1">LN(D7/$D$6)</f>
        <v>5.3070969727171048E-2</v>
      </c>
      <c r="F7" s="15">
        <v>1</v>
      </c>
      <c r="T7" s="15" t="s">
        <v>117</v>
      </c>
      <c r="U7" s="60">
        <f ca="1"/>
        <v>2620860.988689811</v>
      </c>
      <c r="V7" s="60">
        <f ca="1"/>
        <v>13991568.931968629</v>
      </c>
      <c r="W7" s="15" t="s">
        <v>118</v>
      </c>
    </row>
    <row r="8" spans="2:23" x14ac:dyDescent="0.3">
      <c r="B8" s="15">
        <f>B7+1</f>
        <v>2010</v>
      </c>
      <c r="C8" s="15">
        <v>1</v>
      </c>
      <c r="D8" s="162">
        <f ca="1">OFFSET(Gas_CBR!$C$13,0,$B8-Gas_CBR!$C$7)-OFFSET(Gas_CBR!$C$22,0,$B8-Gas_CBR!$C$7)</f>
        <v>429496208</v>
      </c>
      <c r="E8" s="425">
        <f t="shared" ref="E8:E16" ca="1" si="0">LN(D8/$D$6)</f>
        <v>6.154673890805909E-2</v>
      </c>
      <c r="F8" s="15">
        <v>2</v>
      </c>
      <c r="T8" s="15" t="s">
        <v>119</v>
      </c>
      <c r="U8" s="95">
        <f ca="1"/>
        <v>0.57439164325678094</v>
      </c>
      <c r="V8" s="60">
        <f ca="1"/>
        <v>23805152.10134102</v>
      </c>
      <c r="W8" s="15" t="s">
        <v>120</v>
      </c>
    </row>
    <row r="9" spans="2:23" x14ac:dyDescent="0.3">
      <c r="B9" s="15">
        <f t="shared" ref="B9:B20" si="1">B8+1</f>
        <v>2011</v>
      </c>
      <c r="C9" s="15">
        <v>2</v>
      </c>
      <c r="D9" s="162">
        <f ca="1">OFFSET(Gas_CBR!$C$13,0,$B9-Gas_CBR!$C$7)-OFFSET(Gas_CBR!$C$22,0,$B9-Gas_CBR!$C$7)</f>
        <v>453888603.54626286</v>
      </c>
      <c r="E9" s="425">
        <f t="shared" ca="1" si="0"/>
        <v>0.11678562768934556</v>
      </c>
      <c r="F9" s="15">
        <v>3</v>
      </c>
      <c r="T9" s="15" t="s">
        <v>121</v>
      </c>
      <c r="U9" s="95">
        <f ca="1"/>
        <v>10.796623405650408</v>
      </c>
      <c r="V9" s="15">
        <f ca="1"/>
        <v>8</v>
      </c>
      <c r="W9" s="15" t="s">
        <v>122</v>
      </c>
    </row>
    <row r="10" spans="2:23" x14ac:dyDescent="0.3">
      <c r="B10" s="15">
        <f t="shared" si="1"/>
        <v>2012</v>
      </c>
      <c r="C10" s="15">
        <v>3</v>
      </c>
      <c r="D10" s="162">
        <f ca="1">OFFSET(Gas_CBR!$C$13,0,$B10-Gas_CBR!$C$7)-OFFSET(Gas_CBR!$C$22,0,$B10-Gas_CBR!$C$7)</f>
        <v>470211219.60729635</v>
      </c>
      <c r="E10" s="425">
        <f t="shared" ca="1" si="0"/>
        <v>0.15211582356591474</v>
      </c>
      <c r="F10" s="15">
        <v>4</v>
      </c>
      <c r="T10" s="15" t="s">
        <v>123</v>
      </c>
      <c r="U10" s="15">
        <f ca="1"/>
        <v>6118287412665103</v>
      </c>
      <c r="V10" s="15">
        <f ca="1"/>
        <v>4533482132543847</v>
      </c>
      <c r="W10" s="15" t="s">
        <v>124</v>
      </c>
    </row>
    <row r="11" spans="2:23" x14ac:dyDescent="0.3">
      <c r="B11" s="15">
        <f t="shared" si="1"/>
        <v>2013</v>
      </c>
      <c r="C11" s="15">
        <v>4</v>
      </c>
      <c r="D11" s="162">
        <f ca="1">OFFSET(Gas_CBR!$C$13,0,$B11-Gas_CBR!$C$7)-OFFSET(Gas_CBR!$C$22,0,$B11-Gas_CBR!$C$7)</f>
        <v>470567520.80932534</v>
      </c>
      <c r="E11" s="425">
        <f t="shared" ca="1" si="0"/>
        <v>0.15287328375024398</v>
      </c>
      <c r="F11" s="15">
        <v>5</v>
      </c>
    </row>
    <row r="12" spans="2:23" x14ac:dyDescent="0.3">
      <c r="B12" s="15">
        <f t="shared" si="1"/>
        <v>2014</v>
      </c>
      <c r="C12" s="15">
        <v>5</v>
      </c>
      <c r="D12" s="162">
        <f ca="1">OFFSET(Gas_CBR!$C$13,0,$B12-Gas_CBR!$C$7)-OFFSET(Gas_CBR!$C$22,0,$B12-Gas_CBR!$C$7)</f>
        <v>475189710.20160079</v>
      </c>
      <c r="E12" s="425">
        <f t="shared" ca="1" si="0"/>
        <v>0.16264794059133589</v>
      </c>
      <c r="F12" s="15">
        <v>6</v>
      </c>
    </row>
    <row r="13" spans="2:23" x14ac:dyDescent="0.3">
      <c r="B13" s="15">
        <f t="shared" si="1"/>
        <v>2015</v>
      </c>
      <c r="C13" s="15">
        <v>6</v>
      </c>
      <c r="D13" s="162">
        <f ca="1">OFFSET(Gas_CBR!$C$13,0,$B13-Gas_CBR!$C$7)-OFFSET(Gas_CBR!$C$22,0,$B13-Gas_CBR!$C$7)</f>
        <v>479989467.35117173</v>
      </c>
      <c r="E13" s="425">
        <f t="shared" ca="1" si="0"/>
        <v>0.1726979870362966</v>
      </c>
      <c r="F13" s="15">
        <v>7</v>
      </c>
      <c r="T13" s="15" t="s">
        <v>115</v>
      </c>
      <c r="U13" s="13">
        <f t="array" aca="1" ref="U13:V17" ca="1">LINEST(E7:E16,F7:F16,FALSE,TRUE)</f>
        <v>2.5667404792514344E-2</v>
      </c>
      <c r="V13" s="13">
        <f ca="1"/>
        <v>0</v>
      </c>
      <c r="W13" s="15" t="s">
        <v>116</v>
      </c>
    </row>
    <row r="14" spans="2:23" x14ac:dyDescent="0.3">
      <c r="B14" s="15">
        <f t="shared" si="1"/>
        <v>2016</v>
      </c>
      <c r="C14" s="15">
        <v>7</v>
      </c>
      <c r="D14" s="162">
        <f ca="1">OFFSET(Gas_CBR!$C$13,0,$B14-Gas_CBR!$C$7)-OFFSET(Gas_CBR!$C$22,0,$B14-Gas_CBR!$C$7)</f>
        <v>498259484.76284409</v>
      </c>
      <c r="E14" s="425">
        <f t="shared" ca="1" si="0"/>
        <v>0.21005482145744347</v>
      </c>
      <c r="F14" s="15">
        <v>8</v>
      </c>
      <c r="T14" s="15" t="s">
        <v>117</v>
      </c>
      <c r="U14" s="13">
        <f ca="1"/>
        <v>2.6602493180349221E-3</v>
      </c>
      <c r="V14" s="13" t="e">
        <f ca="1"/>
        <v>#N/A</v>
      </c>
      <c r="W14" s="15" t="s">
        <v>118</v>
      </c>
    </row>
    <row r="15" spans="2:23" x14ac:dyDescent="0.3">
      <c r="B15" s="15">
        <f t="shared" si="1"/>
        <v>2017</v>
      </c>
      <c r="C15" s="15">
        <v>8</v>
      </c>
      <c r="D15" s="162">
        <f ca="1">OFFSET(Gas_CBR!$C$13,0,$B15-Gas_CBR!$C$7)-OFFSET(Gas_CBR!$C$22,0,$B15-Gas_CBR!$C$7)</f>
        <v>546590509.4357127</v>
      </c>
      <c r="E15" s="425">
        <f t="shared" ca="1" si="0"/>
        <v>0.30263373683097627</v>
      </c>
      <c r="F15" s="15">
        <v>9</v>
      </c>
      <c r="T15" s="15" t="s">
        <v>119</v>
      </c>
      <c r="U15" s="15">
        <f ca="1"/>
        <v>0.91184549192920061</v>
      </c>
      <c r="V15" s="15">
        <f ca="1"/>
        <v>5.2197860848223733E-2</v>
      </c>
      <c r="W15" s="15" t="s">
        <v>120</v>
      </c>
    </row>
    <row r="16" spans="2:23" x14ac:dyDescent="0.3">
      <c r="B16" s="15">
        <f t="shared" si="1"/>
        <v>2018</v>
      </c>
      <c r="C16" s="15">
        <v>9</v>
      </c>
      <c r="D16" s="162">
        <f ca="1">OFFSET(Gas_CBR!$C$13,0,$B16-Gas_CBR!$C$7)-OFFSET(Gas_CBR!$C$22,0,$B16-Gas_CBR!$C$7)</f>
        <v>464255282.23350519</v>
      </c>
      <c r="E16" s="425">
        <f t="shared" ca="1" si="0"/>
        <v>0.13936840455513916</v>
      </c>
      <c r="F16" s="15">
        <v>10</v>
      </c>
      <c r="T16" s="15" t="s">
        <v>121</v>
      </c>
      <c r="U16" s="15">
        <f ca="1"/>
        <v>93.093474252863544</v>
      </c>
      <c r="V16" s="15">
        <f ca="1"/>
        <v>9</v>
      </c>
      <c r="W16" s="15" t="s">
        <v>122</v>
      </c>
    </row>
    <row r="17" spans="2:23" x14ac:dyDescent="0.3">
      <c r="B17" s="15">
        <f t="shared" si="1"/>
        <v>2019</v>
      </c>
      <c r="C17" s="15">
        <v>10</v>
      </c>
      <c r="D17" s="162"/>
      <c r="E17" s="162"/>
      <c r="T17" s="15" t="s">
        <v>123</v>
      </c>
      <c r="U17" s="15">
        <f ca="1"/>
        <v>0.25364403248137346</v>
      </c>
      <c r="V17" s="15">
        <f ca="1"/>
        <v>2.4521550094174754E-2</v>
      </c>
      <c r="W17" s="15" t="s">
        <v>124</v>
      </c>
    </row>
    <row r="18" spans="2:23" x14ac:dyDescent="0.3">
      <c r="B18" s="15">
        <f t="shared" si="1"/>
        <v>2020</v>
      </c>
      <c r="C18" s="15">
        <v>11</v>
      </c>
      <c r="D18" s="162"/>
      <c r="E18" s="162"/>
    </row>
    <row r="19" spans="2:23" x14ac:dyDescent="0.3">
      <c r="B19" s="15">
        <f t="shared" si="1"/>
        <v>2021</v>
      </c>
      <c r="C19" s="15">
        <v>12</v>
      </c>
      <c r="D19" s="162"/>
      <c r="E19" s="162"/>
    </row>
    <row r="20" spans="2:23" x14ac:dyDescent="0.3">
      <c r="B20" s="15">
        <f t="shared" si="1"/>
        <v>2022</v>
      </c>
      <c r="C20" s="15">
        <v>13</v>
      </c>
      <c r="D20" s="162"/>
      <c r="E20" s="162"/>
    </row>
    <row r="22" spans="2:23" x14ac:dyDescent="0.3">
      <c r="C22" s="35">
        <f>AVERAGE(C7:C16)</f>
        <v>4.5</v>
      </c>
      <c r="D22" s="35">
        <f ca="1">AVERAGE(D7:D16)</f>
        <v>471431928.69477189</v>
      </c>
    </row>
    <row r="25" spans="2:23" x14ac:dyDescent="0.3">
      <c r="B25" s="15" t="s">
        <v>2</v>
      </c>
      <c r="D25" s="52">
        <f ca="1">RATE(3,,-D13,D16)</f>
        <v>-1.1048374236398184E-2</v>
      </c>
      <c r="E25" s="52"/>
    </row>
    <row r="26" spans="2:23" x14ac:dyDescent="0.3">
      <c r="B26" s="15" t="s">
        <v>3</v>
      </c>
      <c r="D26" s="52">
        <f ca="1">RATE(5,,-D11,D16)</f>
        <v>-2.6973314856213152E-3</v>
      </c>
      <c r="E26" s="52"/>
    </row>
    <row r="27" spans="2:23" x14ac:dyDescent="0.3">
      <c r="B27" s="15" t="s">
        <v>4</v>
      </c>
      <c r="D27" s="52">
        <f ca="1">RATE(10,,-D6,D16)</f>
        <v>1.4034410964403362E-2</v>
      </c>
      <c r="E27" s="52"/>
    </row>
    <row r="28" spans="2:23" x14ac:dyDescent="0.3">
      <c r="B28" s="15" t="s">
        <v>5</v>
      </c>
      <c r="D28" s="52">
        <f ca="1">C52/D16</f>
        <v>1.8549453079927822E-2</v>
      </c>
      <c r="E28" s="52"/>
    </row>
    <row r="29" spans="2:23" x14ac:dyDescent="0.3">
      <c r="B29" s="15" t="s">
        <v>6</v>
      </c>
      <c r="D29" s="52">
        <f ca="1">C52/AVERAGE(D7:D16)</f>
        <v>1.8267073252212149E-2</v>
      </c>
      <c r="E29" s="52"/>
    </row>
    <row r="30" spans="2:23" x14ac:dyDescent="0.3">
      <c r="B30" s="15" t="s">
        <v>7</v>
      </c>
      <c r="D30" s="52">
        <f ca="1">EXP(N52)-1</f>
        <v>2.5999649153138904E-2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0.75788629968932741</v>
      </c>
      <c r="M38" s="426" t="s">
        <v>127</v>
      </c>
      <c r="N38" s="7">
        <f ca="1">N39^0.5</f>
        <v>0.95490601209187109</v>
      </c>
    </row>
    <row r="39" spans="2:18" x14ac:dyDescent="0.3">
      <c r="B39" s="426" t="s">
        <v>128</v>
      </c>
      <c r="C39" s="7">
        <f ca="1">U8</f>
        <v>0.57439164325678094</v>
      </c>
      <c r="M39" s="426" t="s">
        <v>128</v>
      </c>
      <c r="N39" s="7">
        <f ca="1">U15</f>
        <v>0.91184549192920061</v>
      </c>
    </row>
    <row r="40" spans="2:18" x14ac:dyDescent="0.3">
      <c r="B40" s="426" t="s">
        <v>129</v>
      </c>
      <c r="C40" s="7">
        <f ca="1">1-(1-C39)*(C42-1)/(C42-2)</f>
        <v>0.52119059866387851</v>
      </c>
      <c r="M40" s="426" t="s">
        <v>129</v>
      </c>
      <c r="N40" s="7">
        <f ca="1">1-(1-N39)*(N42-1)/(N42-2)</f>
        <v>0.90082617842035073</v>
      </c>
    </row>
    <row r="41" spans="2:18" x14ac:dyDescent="0.3">
      <c r="B41" s="426" t="s">
        <v>120</v>
      </c>
      <c r="C41" s="8">
        <f ca="1">V8</f>
        <v>23805152.10134102</v>
      </c>
      <c r="M41" s="426" t="s">
        <v>120</v>
      </c>
      <c r="N41" s="6">
        <f ca="1">V15</f>
        <v>5.2197860848223733E-2</v>
      </c>
    </row>
    <row r="42" spans="2:18" ht="15" thickBot="1" x14ac:dyDescent="0.35">
      <c r="B42" s="427" t="s">
        <v>130</v>
      </c>
      <c r="C42" s="9">
        <f ca="1">V9+2</f>
        <v>10</v>
      </c>
      <c r="M42" s="427" t="s">
        <v>130</v>
      </c>
      <c r="N42" s="9">
        <f ca="1">V16+1</f>
        <v>10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6118287412665103</v>
      </c>
      <c r="E46" s="428">
        <f ca="1">D46/C46</f>
        <v>6118287412665103</v>
      </c>
      <c r="F46" s="6">
        <f ca="1">E46/E47</f>
        <v>10.796623405650408</v>
      </c>
      <c r="G46" s="426">
        <f ca="1">FDIST(F46,C46,C47)</f>
        <v>1.1090987882980158E-2</v>
      </c>
      <c r="M46" s="426" t="s">
        <v>137</v>
      </c>
      <c r="N46" s="60">
        <v>1</v>
      </c>
      <c r="O46" s="428">
        <f ca="1">U17</f>
        <v>0.25364403248137346</v>
      </c>
      <c r="P46" s="428">
        <f ca="1">O46/N46</f>
        <v>0.25364403248137346</v>
      </c>
      <c r="Q46" s="6">
        <f ca="1">P46/P47</f>
        <v>93.093474252863544</v>
      </c>
      <c r="R46" s="426">
        <f ca="1">FDIST(Q46,N46,N47)</f>
        <v>4.8158029812236966E-6</v>
      </c>
    </row>
    <row r="47" spans="2:18" x14ac:dyDescent="0.3">
      <c r="B47" s="426" t="s">
        <v>138</v>
      </c>
      <c r="C47" s="8">
        <f ca="1">C42-C46-1</f>
        <v>8</v>
      </c>
      <c r="D47" s="428">
        <f ca="1">V10</f>
        <v>4533482132543847</v>
      </c>
      <c r="E47" s="428">
        <f ca="1">D47/C47</f>
        <v>566685266567980.88</v>
      </c>
      <c r="F47" s="426"/>
      <c r="G47" s="426"/>
      <c r="M47" s="426" t="s">
        <v>138</v>
      </c>
      <c r="N47" s="60">
        <f ca="1">N42-N46</f>
        <v>9</v>
      </c>
      <c r="O47" s="428">
        <f ca="1">V17</f>
        <v>2.4521550094174754E-2</v>
      </c>
      <c r="P47" s="428">
        <f ca="1">O47/N47</f>
        <v>2.7246166771305283E-3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9</v>
      </c>
      <c r="D48" s="429">
        <f ca="1">D46+D47</f>
        <v>1.065176954520895E+16</v>
      </c>
      <c r="E48" s="427"/>
      <c r="F48" s="427"/>
      <c r="G48" s="427"/>
      <c r="M48" s="427" t="s">
        <v>0</v>
      </c>
      <c r="N48" s="60">
        <f ca="1">N46+N47</f>
        <v>10</v>
      </c>
      <c r="O48" s="429">
        <f ca="1">O46+O47</f>
        <v>0.27816558257554824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432679361.60772616</v>
      </c>
      <c r="D51" s="8">
        <f ca="1">V7</f>
        <v>13991568.931968629</v>
      </c>
      <c r="E51" s="6">
        <f ca="1">C51/D51</f>
        <v>30.924291886889034</v>
      </c>
      <c r="F51" s="7">
        <f ca="1">TDIST(ABS(E51),C47,2)</f>
        <v>1.299553992888193E-9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8611681.5748990532</v>
      </c>
      <c r="D52" s="9">
        <f ca="1">U7</f>
        <v>2620860.988689811</v>
      </c>
      <c r="E52" s="427">
        <f ca="1">C52/D52</f>
        <v>3.2858215724001831</v>
      </c>
      <c r="F52" s="11">
        <f ca="1">TDIST(ABS(E52),C47,2)</f>
        <v>1.1090987882980153E-2</v>
      </c>
      <c r="M52" s="427" t="s">
        <v>114</v>
      </c>
      <c r="N52" s="10">
        <f ca="1">U13</f>
        <v>2.5667404792514344E-2</v>
      </c>
      <c r="O52" s="9">
        <f ca="1">U14</f>
        <v>2.6602493180349221E-3</v>
      </c>
      <c r="P52" s="430">
        <f ca="1">N52/O52</f>
        <v>9.6484959580684677</v>
      </c>
      <c r="Q52" s="11">
        <f ca="1">TDIST(ABS(P52),N47,2)</f>
        <v>4.8158029812236796E-6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3"/>
  <sheetViews>
    <sheetView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4.88671875" style="15" customWidth="1"/>
    <col min="4" max="4" width="17.109375" style="15" bestFit="1" customWidth="1"/>
    <col min="5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5546875" style="15" bestFit="1" customWidth="1"/>
    <col min="15" max="18" width="12.109375" style="15" customWidth="1"/>
    <col min="19" max="20" width="9.109375" style="15"/>
    <col min="21" max="21" width="12" style="15" bestFit="1" customWidth="1"/>
    <col min="22" max="22" width="14" style="15" bestFit="1" customWidth="1"/>
    <col min="23" max="23" width="16.44140625" style="15" bestFit="1" customWidth="1"/>
    <col min="24" max="16384" width="9.109375" style="15"/>
  </cols>
  <sheetData>
    <row r="5" spans="2:23" ht="43.2" x14ac:dyDescent="0.3">
      <c r="B5" s="64" t="s">
        <v>112</v>
      </c>
      <c r="C5" s="119" t="s">
        <v>113</v>
      </c>
      <c r="D5" s="119" t="s">
        <v>205</v>
      </c>
      <c r="E5" s="119" t="str">
        <f>"ln("&amp;D5&amp;")"</f>
        <v>ln(Gas Production Plant)</v>
      </c>
      <c r="F5" s="119" t="s">
        <v>114</v>
      </c>
    </row>
    <row r="6" spans="2:23" x14ac:dyDescent="0.3">
      <c r="B6" s="15">
        <v>2008</v>
      </c>
      <c r="D6" s="162">
        <f ca="1">OFFSET(Gas_CBR!$C$56,0,$B6-Gas_CBR!$C$7)</f>
        <v>52923042</v>
      </c>
      <c r="E6" s="162"/>
      <c r="T6" s="15" t="s">
        <v>115</v>
      </c>
      <c r="U6" s="60">
        <f t="array" aca="1" ref="U6:V10" ca="1">LINEST(D12:D16,C12:C16,,TRUE)</f>
        <v>1107839.9409999994</v>
      </c>
      <c r="V6" s="60">
        <f ca="1"/>
        <v>71476182.906000018</v>
      </c>
      <c r="W6" s="15" t="s">
        <v>116</v>
      </c>
    </row>
    <row r="7" spans="2:23" x14ac:dyDescent="0.3">
      <c r="B7" s="15">
        <v>2009</v>
      </c>
      <c r="D7" s="162">
        <f ca="1">OFFSET(Gas_CBR!$C$56,0,$B7-Gas_CBR!$C$7)</f>
        <v>68780518</v>
      </c>
      <c r="E7" s="425"/>
      <c r="T7" s="15" t="s">
        <v>117</v>
      </c>
      <c r="U7" s="60">
        <f ca="1"/>
        <v>168712.35482507315</v>
      </c>
      <c r="V7" s="60">
        <f ca="1"/>
        <v>413259.1826248127</v>
      </c>
      <c r="W7" s="15" t="s">
        <v>118</v>
      </c>
    </row>
    <row r="8" spans="2:23" x14ac:dyDescent="0.3">
      <c r="B8" s="15">
        <f>B7+1</f>
        <v>2010</v>
      </c>
      <c r="D8" s="162">
        <f ca="1">OFFSET(Gas_CBR!$C$56,0,$B8-Gas_CBR!$C$7)</f>
        <v>69202564</v>
      </c>
      <c r="E8" s="425"/>
      <c r="T8" s="15" t="s">
        <v>119</v>
      </c>
      <c r="U8" s="95">
        <f ca="1"/>
        <v>0.93494970918076004</v>
      </c>
      <c r="V8" s="60">
        <f ca="1"/>
        <v>533515.31065772974</v>
      </c>
      <c r="W8" s="15" t="s">
        <v>120</v>
      </c>
    </row>
    <row r="9" spans="2:23" x14ac:dyDescent="0.3">
      <c r="B9" s="15">
        <f t="shared" ref="B9:B20" si="0">B8+1</f>
        <v>2011</v>
      </c>
      <c r="D9" s="162">
        <f ca="1">OFFSET(Gas_CBR!$C$56,0,$B9-Gas_CBR!$C$7)</f>
        <v>61918608</v>
      </c>
      <c r="E9" s="425"/>
      <c r="T9" s="15" t="s">
        <v>121</v>
      </c>
      <c r="U9" s="95">
        <f ca="1"/>
        <v>43.118164303620389</v>
      </c>
      <c r="V9" s="15">
        <f ca="1"/>
        <v>3</v>
      </c>
      <c r="W9" s="15" t="s">
        <v>122</v>
      </c>
    </row>
    <row r="10" spans="2:23" x14ac:dyDescent="0.3">
      <c r="B10" s="15">
        <f t="shared" si="0"/>
        <v>2012</v>
      </c>
      <c r="D10" s="162">
        <f ca="1">OFFSET(Gas_CBR!$C$56,0,$B10-Gas_CBR!$C$7)</f>
        <v>62168166</v>
      </c>
      <c r="E10" s="425"/>
      <c r="T10" s="15" t="s">
        <v>123</v>
      </c>
      <c r="U10" s="15">
        <f ca="1"/>
        <v>12273093348748.828</v>
      </c>
      <c r="V10" s="15">
        <f ca="1"/>
        <v>853915760118.6416</v>
      </c>
      <c r="W10" s="15" t="s">
        <v>124</v>
      </c>
    </row>
    <row r="11" spans="2:23" x14ac:dyDescent="0.3">
      <c r="B11" s="15">
        <f t="shared" si="0"/>
        <v>2013</v>
      </c>
      <c r="D11" s="162">
        <f ca="1">OFFSET(Gas_CBR!$C$56,0,$B11-Gas_CBR!$C$7)</f>
        <v>62548742</v>
      </c>
      <c r="E11" s="425"/>
    </row>
    <row r="12" spans="2:23" x14ac:dyDescent="0.3">
      <c r="B12" s="15">
        <f t="shared" si="0"/>
        <v>2014</v>
      </c>
      <c r="C12" s="15">
        <v>0</v>
      </c>
      <c r="D12" s="162">
        <f ca="1">OFFSET(Gas_CBR!$C$56,0,$B12-Gas_CBR!$C$7)</f>
        <v>71882732</v>
      </c>
      <c r="E12" s="425"/>
    </row>
    <row r="13" spans="2:23" x14ac:dyDescent="0.3">
      <c r="B13" s="15">
        <f t="shared" si="0"/>
        <v>2015</v>
      </c>
      <c r="C13" s="15">
        <v>1</v>
      </c>
      <c r="D13" s="162">
        <f ca="1">OFFSET(Gas_CBR!$C$56,0,$B13-Gas_CBR!$C$7)</f>
        <v>72417102</v>
      </c>
      <c r="E13" s="425">
        <f ca="1">LN(D13/$D$12)</f>
        <v>7.4064179829597633E-3</v>
      </c>
      <c r="F13" s="15">
        <v>1</v>
      </c>
      <c r="T13" s="15" t="s">
        <v>115</v>
      </c>
      <c r="U13" s="13">
        <f t="array" aca="1" ref="U13:V17" ca="1">LINEST(E13:E16,F13:F16,FALSE,TRUE)</f>
        <v>1.3194656347830168E-2</v>
      </c>
      <c r="V13" s="13">
        <f ca="1"/>
        <v>0</v>
      </c>
      <c r="W13" s="15" t="s">
        <v>116</v>
      </c>
    </row>
    <row r="14" spans="2:23" x14ac:dyDescent="0.3">
      <c r="B14" s="15">
        <f t="shared" si="0"/>
        <v>2016</v>
      </c>
      <c r="C14" s="15">
        <v>2</v>
      </c>
      <c r="D14" s="162">
        <f ca="1">OFFSET(Gas_CBR!$C$56,0,$B14-Gas_CBR!$C$7)</f>
        <v>73372924</v>
      </c>
      <c r="E14" s="425">
        <f ca="1">LN(D14/$D$12)</f>
        <v>2.0518915748830614E-2</v>
      </c>
      <c r="F14" s="15">
        <v>2</v>
      </c>
      <c r="T14" s="15" t="s">
        <v>117</v>
      </c>
      <c r="U14" s="13">
        <f ca="1"/>
        <v>1.4598276580613842E-3</v>
      </c>
      <c r="V14" s="13" t="e">
        <f ca="1"/>
        <v>#N/A</v>
      </c>
      <c r="W14" s="15" t="s">
        <v>118</v>
      </c>
    </row>
    <row r="15" spans="2:23" x14ac:dyDescent="0.3">
      <c r="B15" s="15">
        <f t="shared" si="0"/>
        <v>2017</v>
      </c>
      <c r="C15" s="15">
        <v>3</v>
      </c>
      <c r="D15" s="162">
        <f ca="1">OFFSET(Gas_CBR!$C$56,0,$B15-Gas_CBR!$C$7)</f>
        <v>74312146.469999999</v>
      </c>
      <c r="E15" s="425">
        <f ca="1">LN(D15/$D$12)</f>
        <v>3.3238348113536986E-2</v>
      </c>
      <c r="F15" s="15">
        <v>3</v>
      </c>
      <c r="T15" s="15" t="s">
        <v>119</v>
      </c>
      <c r="U15" s="15">
        <f ca="1"/>
        <v>0.96457858718417988</v>
      </c>
      <c r="V15" s="15">
        <f ca="1"/>
        <v>7.9958053839015858E-3</v>
      </c>
      <c r="W15" s="15" t="s">
        <v>120</v>
      </c>
    </row>
    <row r="16" spans="2:23" x14ac:dyDescent="0.3">
      <c r="B16" s="15">
        <f t="shared" si="0"/>
        <v>2018</v>
      </c>
      <c r="C16" s="15">
        <v>4</v>
      </c>
      <c r="D16" s="162">
        <f ca="1">OFFSET(Gas_CBR!$C$56,0,$B16-Gas_CBR!$C$7)</f>
        <v>76474409.469999999</v>
      </c>
      <c r="E16" s="425">
        <f ca="1">LN(D16/$D$12)</f>
        <v>6.1920099153418291E-2</v>
      </c>
      <c r="F16" s="15">
        <v>4</v>
      </c>
      <c r="T16" s="15" t="s">
        <v>121</v>
      </c>
      <c r="U16" s="15">
        <f ca="1"/>
        <v>81.694532530337696</v>
      </c>
      <c r="V16" s="15">
        <f ca="1"/>
        <v>3</v>
      </c>
      <c r="W16" s="15" t="s">
        <v>122</v>
      </c>
    </row>
    <row r="17" spans="2:23" x14ac:dyDescent="0.3">
      <c r="B17" s="15">
        <f t="shared" si="0"/>
        <v>2019</v>
      </c>
      <c r="C17" s="15">
        <v>5</v>
      </c>
      <c r="D17" s="162"/>
      <c r="E17" s="162"/>
      <c r="T17" s="15" t="s">
        <v>123</v>
      </c>
      <c r="U17" s="15">
        <f ca="1"/>
        <v>5.2229686841200502E-3</v>
      </c>
      <c r="V17" s="15">
        <f ca="1"/>
        <v>1.9179871121168874E-4</v>
      </c>
      <c r="W17" s="15" t="s">
        <v>124</v>
      </c>
    </row>
    <row r="18" spans="2:23" x14ac:dyDescent="0.3">
      <c r="B18" s="15">
        <f t="shared" si="0"/>
        <v>2020</v>
      </c>
      <c r="C18" s="15">
        <v>6</v>
      </c>
      <c r="D18" s="162"/>
      <c r="E18" s="162"/>
    </row>
    <row r="19" spans="2:23" x14ac:dyDescent="0.3">
      <c r="B19" s="15">
        <f t="shared" si="0"/>
        <v>2021</v>
      </c>
      <c r="C19" s="15">
        <v>7</v>
      </c>
      <c r="D19" s="162"/>
      <c r="E19" s="162"/>
    </row>
    <row r="20" spans="2:23" x14ac:dyDescent="0.3">
      <c r="B20" s="15">
        <f t="shared" si="0"/>
        <v>2022</v>
      </c>
      <c r="C20" s="15">
        <v>8</v>
      </c>
      <c r="D20" s="162"/>
      <c r="E20" s="162"/>
    </row>
    <row r="22" spans="2:23" x14ac:dyDescent="0.3">
      <c r="C22" s="35">
        <f>AVERAGE(C7:C16)</f>
        <v>2</v>
      </c>
      <c r="D22" s="35">
        <f ca="1">AVERAGE(D7:D16)</f>
        <v>69307791.194000006</v>
      </c>
    </row>
    <row r="25" spans="2:23" x14ac:dyDescent="0.3">
      <c r="B25" s="15" t="s">
        <v>2</v>
      </c>
      <c r="D25" s="52">
        <f ca="1">RATE(3,,-D13,D16)</f>
        <v>1.8337328366065431E-2</v>
      </c>
      <c r="E25" s="52"/>
    </row>
    <row r="26" spans="2:23" x14ac:dyDescent="0.3">
      <c r="B26" s="15" t="s">
        <v>3</v>
      </c>
      <c r="D26" s="52">
        <f ca="1">RATE(5,,-D11,D16)</f>
        <v>4.1021048227784539E-2</v>
      </c>
      <c r="E26" s="52"/>
    </row>
    <row r="27" spans="2:23" x14ac:dyDescent="0.3">
      <c r="B27" s="15" t="s">
        <v>4</v>
      </c>
      <c r="D27" s="52">
        <f ca="1">RATE(10,,-D6,D16)</f>
        <v>3.7497677696030532E-2</v>
      </c>
      <c r="E27" s="52"/>
    </row>
    <row r="28" spans="2:23" x14ac:dyDescent="0.3">
      <c r="B28" s="15" t="s">
        <v>5</v>
      </c>
      <c r="D28" s="52">
        <f ca="1">C52/D16</f>
        <v>1.448641380401364E-2</v>
      </c>
      <c r="E28" s="52"/>
    </row>
    <row r="29" spans="2:23" x14ac:dyDescent="0.3">
      <c r="B29" s="15" t="s">
        <v>6</v>
      </c>
      <c r="D29" s="52">
        <f ca="1">C52/AVERAGE(D12:D16)</f>
        <v>1.5033409376379614E-2</v>
      </c>
      <c r="E29" s="52"/>
    </row>
    <row r="30" spans="2:23" x14ac:dyDescent="0.3">
      <c r="B30" s="15" t="s">
        <v>7</v>
      </c>
      <c r="D30" s="52">
        <f ca="1">EXP(N52)-1</f>
        <v>1.3282089954823606E-2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0.96692797517744833</v>
      </c>
      <c r="M38" s="426" t="s">
        <v>127</v>
      </c>
      <c r="N38" s="7">
        <f ca="1">N39^0.5</f>
        <v>0.98212961832142087</v>
      </c>
    </row>
    <row r="39" spans="2:18" x14ac:dyDescent="0.3">
      <c r="B39" s="426" t="s">
        <v>128</v>
      </c>
      <c r="C39" s="7">
        <f ca="1">U8</f>
        <v>0.93494970918076004</v>
      </c>
      <c r="M39" s="426" t="s">
        <v>128</v>
      </c>
      <c r="N39" s="7">
        <f ca="1">U15</f>
        <v>0.96457858718417988</v>
      </c>
    </row>
    <row r="40" spans="2:18" x14ac:dyDescent="0.3">
      <c r="B40" s="426" t="s">
        <v>129</v>
      </c>
      <c r="C40" s="7">
        <f ca="1">1-(1-C39)*(C42-1)/(C42-2)</f>
        <v>0.91326627890768008</v>
      </c>
      <c r="M40" s="426" t="s">
        <v>129</v>
      </c>
      <c r="N40" s="7">
        <f ca="1">1-(1-N39)*(N42-1)/(N42-2)</f>
        <v>0.94686788077626982</v>
      </c>
    </row>
    <row r="41" spans="2:18" x14ac:dyDescent="0.3">
      <c r="B41" s="426" t="s">
        <v>120</v>
      </c>
      <c r="C41" s="8">
        <f ca="1">V8</f>
        <v>533515.31065772974</v>
      </c>
      <c r="M41" s="426" t="s">
        <v>120</v>
      </c>
      <c r="N41" s="6">
        <f ca="1">V15</f>
        <v>7.9958053839015858E-3</v>
      </c>
    </row>
    <row r="42" spans="2:18" ht="15" thickBot="1" x14ac:dyDescent="0.35">
      <c r="B42" s="427" t="s">
        <v>130</v>
      </c>
      <c r="C42" s="9">
        <f ca="1">V9+2</f>
        <v>5</v>
      </c>
      <c r="M42" s="427" t="s">
        <v>130</v>
      </c>
      <c r="N42" s="9">
        <f ca="1">V16+1</f>
        <v>4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12273093348748.828</v>
      </c>
      <c r="E46" s="428">
        <f ca="1">D46/C46</f>
        <v>12273093348748.828</v>
      </c>
      <c r="F46" s="6">
        <f ca="1">E46/E47</f>
        <v>43.118164303620389</v>
      </c>
      <c r="G46" s="426">
        <f ca="1">FDIST(F46,C46,C47)</f>
        <v>7.1838753634968743E-3</v>
      </c>
      <c r="M46" s="426" t="s">
        <v>137</v>
      </c>
      <c r="N46" s="60">
        <v>1</v>
      </c>
      <c r="O46" s="428">
        <f ca="1">U17</f>
        <v>5.2229686841200502E-3</v>
      </c>
      <c r="P46" s="428">
        <f ca="1">O46/N46</f>
        <v>5.2229686841200502E-3</v>
      </c>
      <c r="Q46" s="6">
        <f ca="1">P46/P47</f>
        <v>81.694532530337696</v>
      </c>
      <c r="R46" s="426">
        <f ca="1">FDIST(Q46,N46,N47)</f>
        <v>2.8600064767572756E-3</v>
      </c>
    </row>
    <row r="47" spans="2:18" x14ac:dyDescent="0.3">
      <c r="B47" s="426" t="s">
        <v>138</v>
      </c>
      <c r="C47" s="8">
        <f ca="1">C42-C46-1</f>
        <v>3</v>
      </c>
      <c r="D47" s="428">
        <f ca="1">V10</f>
        <v>853915760118.6416</v>
      </c>
      <c r="E47" s="428">
        <f ca="1">D47/C47</f>
        <v>284638586706.21387</v>
      </c>
      <c r="F47" s="426"/>
      <c r="G47" s="426"/>
      <c r="M47" s="426" t="s">
        <v>138</v>
      </c>
      <c r="N47" s="60">
        <f ca="1">N42-N46</f>
        <v>3</v>
      </c>
      <c r="O47" s="428">
        <f ca="1">V17</f>
        <v>1.9179871121168874E-4</v>
      </c>
      <c r="P47" s="428">
        <f ca="1">O47/N47</f>
        <v>6.393290373722958E-5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4</v>
      </c>
      <c r="D48" s="429">
        <f ca="1">D46+D47</f>
        <v>13127009108867.469</v>
      </c>
      <c r="E48" s="427"/>
      <c r="F48" s="427"/>
      <c r="G48" s="427"/>
      <c r="M48" s="427" t="s">
        <v>0</v>
      </c>
      <c r="N48" s="60">
        <f ca="1">N46+N47</f>
        <v>4</v>
      </c>
      <c r="O48" s="429">
        <f ca="1">O46+O47</f>
        <v>5.4147673953317387E-3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71476182.906000018</v>
      </c>
      <c r="D51" s="8">
        <f ca="1">V7</f>
        <v>413259.1826248127</v>
      </c>
      <c r="E51" s="6">
        <f ca="1">C51/D51</f>
        <v>172.95727696120281</v>
      </c>
      <c r="F51" s="7">
        <f ca="1">TDIST(ABS(E51),C47,2)</f>
        <v>4.2618873500777248E-7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1107839.9409999994</v>
      </c>
      <c r="D52" s="9">
        <f ca="1">U7</f>
        <v>168712.35482507315</v>
      </c>
      <c r="E52" s="427">
        <f ca="1">C52/D52</f>
        <v>6.5664422866283054</v>
      </c>
      <c r="F52" s="11">
        <f ca="1">TDIST(ABS(E52),C47,2)</f>
        <v>7.1838753634968803E-3</v>
      </c>
      <c r="M52" s="427" t="s">
        <v>114</v>
      </c>
      <c r="N52" s="10">
        <f ca="1">U13</f>
        <v>1.3194656347830168E-2</v>
      </c>
      <c r="O52" s="9">
        <f ca="1">U14</f>
        <v>1.4598276580613842E-3</v>
      </c>
      <c r="P52" s="430">
        <f ca="1">N52/O52</f>
        <v>9.0385027814532251</v>
      </c>
      <c r="Q52" s="11">
        <f ca="1">TDIST(ABS(P52),N47,2)</f>
        <v>2.8600064767572756E-3</v>
      </c>
    </row>
    <row r="53" spans="2:17" x14ac:dyDescent="0.3">
      <c r="D53" s="95"/>
      <c r="E53" s="95"/>
      <c r="N53" s="95"/>
      <c r="O53" s="95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2"/>
  <sheetViews>
    <sheetView topLeftCell="A3"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4.88671875" style="15" customWidth="1"/>
    <col min="4" max="4" width="17.109375" style="15" bestFit="1" customWidth="1"/>
    <col min="5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5546875" style="15" bestFit="1" customWidth="1"/>
    <col min="15" max="18" width="12.109375" style="15" customWidth="1"/>
    <col min="19" max="20" width="9.109375" style="15"/>
    <col min="21" max="21" width="15.6640625" style="15" bestFit="1" customWidth="1"/>
    <col min="22" max="22" width="17.88671875" style="15" bestFit="1" customWidth="1"/>
    <col min="23" max="23" width="16.44140625" style="15" bestFit="1" customWidth="1"/>
    <col min="24" max="16384" width="9.109375" style="15"/>
  </cols>
  <sheetData>
    <row r="5" spans="2:23" ht="28.8" x14ac:dyDescent="0.3">
      <c r="B5" s="64" t="s">
        <v>112</v>
      </c>
      <c r="C5" s="119" t="s">
        <v>113</v>
      </c>
      <c r="D5" s="119" t="s">
        <v>206</v>
      </c>
      <c r="E5" s="119" t="str">
        <f>"ln("&amp;D5&amp;")"</f>
        <v>ln(Gas Dist. Plant)</v>
      </c>
      <c r="F5" s="119" t="s">
        <v>114</v>
      </c>
    </row>
    <row r="6" spans="2:23" x14ac:dyDescent="0.3">
      <c r="B6" s="15">
        <v>2008</v>
      </c>
      <c r="D6" s="162">
        <f ca="1">OFFSET(Gas_CBR!$C$119,0,$B6-Gas_CBR!$C$7)</f>
        <v>2210764633</v>
      </c>
      <c r="E6" s="162"/>
      <c r="T6" s="15" t="s">
        <v>115</v>
      </c>
      <c r="U6" s="60">
        <f t="array" aca="1" ref="U6:V10" ca="1">LINEST(D7:D16,C7:C16,,TRUE)</f>
        <v>134593745.99501479</v>
      </c>
      <c r="V6" s="60">
        <f ca="1"/>
        <v>2367331135.5890017</v>
      </c>
      <c r="W6" s="15" t="s">
        <v>116</v>
      </c>
    </row>
    <row r="7" spans="2:23" x14ac:dyDescent="0.3">
      <c r="B7" s="15">
        <v>2009</v>
      </c>
      <c r="C7" s="15">
        <v>0</v>
      </c>
      <c r="D7" s="162">
        <f ca="1">OFFSET(Gas_CBR!$C$119,0,$B7-Gas_CBR!$C$7)</f>
        <v>2385288050</v>
      </c>
      <c r="E7" s="425">
        <f ca="1">LN(D7/$D$6)</f>
        <v>7.5981449256354763E-2</v>
      </c>
      <c r="F7" s="15">
        <v>1</v>
      </c>
      <c r="T7" s="15" t="s">
        <v>117</v>
      </c>
      <c r="U7" s="60">
        <f ca="1"/>
        <v>2414997.6471050256</v>
      </c>
      <c r="V7" s="60">
        <f ca="1"/>
        <v>12892559.428305928</v>
      </c>
      <c r="W7" s="15" t="s">
        <v>118</v>
      </c>
    </row>
    <row r="8" spans="2:23" x14ac:dyDescent="0.3">
      <c r="B8" s="15">
        <f>B7+1</f>
        <v>2010</v>
      </c>
      <c r="C8" s="15">
        <v>1</v>
      </c>
      <c r="D8" s="162">
        <f ca="1">OFFSET(Gas_CBR!$C$119,0,$B8-Gas_CBR!$C$7)</f>
        <v>2530004412</v>
      </c>
      <c r="E8" s="425">
        <f t="shared" ref="E8:E16" ca="1" si="0">LN(D8/$D$6)</f>
        <v>0.13488260313893</v>
      </c>
      <c r="F8" s="15">
        <v>2</v>
      </c>
      <c r="T8" s="15" t="s">
        <v>119</v>
      </c>
      <c r="U8" s="95">
        <f ca="1"/>
        <v>0.99743104479642541</v>
      </c>
      <c r="V8" s="60">
        <f ca="1"/>
        <v>21935305.444206417</v>
      </c>
      <c r="W8" s="15" t="s">
        <v>120</v>
      </c>
    </row>
    <row r="9" spans="2:23" x14ac:dyDescent="0.3">
      <c r="B9" s="15">
        <f t="shared" ref="B9:B20" si="1">B8+1</f>
        <v>2011</v>
      </c>
      <c r="C9" s="15">
        <v>2</v>
      </c>
      <c r="D9" s="162">
        <f ca="1">OFFSET(Gas_CBR!$C$119,0,$B9-Gas_CBR!$C$7)</f>
        <v>2635752747</v>
      </c>
      <c r="E9" s="425">
        <f t="shared" ca="1" si="0"/>
        <v>0.17583037020998293</v>
      </c>
      <c r="F9" s="15">
        <v>3</v>
      </c>
      <c r="T9" s="15" t="s">
        <v>121</v>
      </c>
      <c r="U9" s="95">
        <f ca="1"/>
        <v>3106.1064619843355</v>
      </c>
      <c r="V9" s="15">
        <f ca="1"/>
        <v>8</v>
      </c>
      <c r="W9" s="15" t="s">
        <v>122</v>
      </c>
    </row>
    <row r="10" spans="2:23" x14ac:dyDescent="0.3">
      <c r="B10" s="15">
        <f t="shared" si="1"/>
        <v>2012</v>
      </c>
      <c r="C10" s="15">
        <v>3</v>
      </c>
      <c r="D10" s="162">
        <f ca="1">OFFSET(Gas_CBR!$C$119,0,$B10-Gas_CBR!$C$7)</f>
        <v>2746234653</v>
      </c>
      <c r="E10" s="425">
        <f t="shared" ca="1" si="0"/>
        <v>0.21689231288082486</v>
      </c>
      <c r="F10" s="15">
        <v>4</v>
      </c>
      <c r="T10" s="15" t="s">
        <v>123</v>
      </c>
      <c r="U10" s="15">
        <f ca="1"/>
        <v>1.4945268080300703E+18</v>
      </c>
      <c r="V10" s="15">
        <f ca="1"/>
        <v>3849260999445053.5</v>
      </c>
      <c r="W10" s="15" t="s">
        <v>124</v>
      </c>
    </row>
    <row r="11" spans="2:23" x14ac:dyDescent="0.3">
      <c r="B11" s="15">
        <f t="shared" si="1"/>
        <v>2013</v>
      </c>
      <c r="C11" s="15">
        <v>4</v>
      </c>
      <c r="D11" s="162">
        <f ca="1">OFFSET(Gas_CBR!$C$119,0,$B11-Gas_CBR!$C$7)</f>
        <v>2879940210</v>
      </c>
      <c r="E11" s="425">
        <f t="shared" ca="1" si="0"/>
        <v>0.26443109004319126</v>
      </c>
      <c r="F11" s="15">
        <v>5</v>
      </c>
    </row>
    <row r="12" spans="2:23" x14ac:dyDescent="0.3">
      <c r="B12" s="15">
        <f t="shared" si="1"/>
        <v>2014</v>
      </c>
      <c r="C12" s="15">
        <v>5</v>
      </c>
      <c r="D12" s="162">
        <f ca="1">OFFSET(Gas_CBR!$C$119,0,$B12-Gas_CBR!$C$7)</f>
        <v>3022548886</v>
      </c>
      <c r="E12" s="425">
        <f t="shared" ca="1" si="0"/>
        <v>0.31276203393163871</v>
      </c>
      <c r="F12" s="15">
        <v>6</v>
      </c>
    </row>
    <row r="13" spans="2:23" x14ac:dyDescent="0.3">
      <c r="B13" s="15">
        <f t="shared" si="1"/>
        <v>2015</v>
      </c>
      <c r="C13" s="15">
        <v>6</v>
      </c>
      <c r="D13" s="162">
        <f ca="1">OFFSET(Gas_CBR!$C$119,0,$B13-Gas_CBR!$C$7)</f>
        <v>3162774259.7674999</v>
      </c>
      <c r="E13" s="425">
        <f t="shared" ca="1" si="0"/>
        <v>0.3581111292770941</v>
      </c>
      <c r="F13" s="15">
        <v>7</v>
      </c>
      <c r="T13" s="15" t="s">
        <v>115</v>
      </c>
      <c r="U13" s="13">
        <f t="array" aca="1" ref="U13:V17" ca="1">LINEST(E7:E16,F7:F16,FALSE,TRUE)</f>
        <v>5.0850960044691841E-2</v>
      </c>
      <c r="V13" s="13">
        <f ca="1"/>
        <v>0</v>
      </c>
      <c r="W13" s="15" t="s">
        <v>116</v>
      </c>
    </row>
    <row r="14" spans="2:23" x14ac:dyDescent="0.3">
      <c r="B14" s="15">
        <f t="shared" si="1"/>
        <v>2016</v>
      </c>
      <c r="C14" s="15">
        <v>7</v>
      </c>
      <c r="D14" s="162">
        <f ca="1">OFFSET(Gas_CBR!$C$119,0,$B14-Gas_CBR!$C$7)</f>
        <v>3310152352.3292046</v>
      </c>
      <c r="E14" s="425">
        <f t="shared" ca="1" si="0"/>
        <v>0.40365577275124392</v>
      </c>
      <c r="F14" s="15">
        <v>8</v>
      </c>
      <c r="T14" s="15" t="s">
        <v>117</v>
      </c>
      <c r="U14" s="13">
        <f ca="1"/>
        <v>9.5217819704613389E-4</v>
      </c>
      <c r="V14" s="13" t="e">
        <f ca="1"/>
        <v>#N/A</v>
      </c>
      <c r="W14" s="15" t="s">
        <v>118</v>
      </c>
    </row>
    <row r="15" spans="2:23" x14ac:dyDescent="0.3">
      <c r="B15" s="15">
        <f t="shared" si="1"/>
        <v>2017</v>
      </c>
      <c r="C15" s="15">
        <v>8</v>
      </c>
      <c r="D15" s="162">
        <f ca="1">OFFSET(Gas_CBR!$C$119,0,$B15-Gas_CBR!$C$7)</f>
        <v>3447321649.9459176</v>
      </c>
      <c r="E15" s="425">
        <f t="shared" ca="1" si="0"/>
        <v>0.44425915271897393</v>
      </c>
      <c r="F15" s="15">
        <v>9</v>
      </c>
      <c r="T15" s="15" t="s">
        <v>119</v>
      </c>
      <c r="U15" s="15">
        <f ca="1"/>
        <v>0.99685433577015126</v>
      </c>
      <c r="V15" s="15">
        <f ca="1"/>
        <v>1.8683085339099108E-2</v>
      </c>
      <c r="W15" s="15" t="s">
        <v>120</v>
      </c>
    </row>
    <row r="16" spans="2:23" x14ac:dyDescent="0.3">
      <c r="B16" s="15">
        <f t="shared" si="1"/>
        <v>2018</v>
      </c>
      <c r="C16" s="15">
        <v>9</v>
      </c>
      <c r="D16" s="162">
        <f ca="1">OFFSET(Gas_CBR!$C$119,0,$B16-Gas_CBR!$C$7)</f>
        <v>3610012705.623054</v>
      </c>
      <c r="E16" s="425">
        <f t="shared" ca="1" si="0"/>
        <v>0.49037284842927265</v>
      </c>
      <c r="F16" s="15">
        <v>10</v>
      </c>
      <c r="T16" s="15" t="s">
        <v>121</v>
      </c>
      <c r="U16" s="15">
        <f ca="1"/>
        <v>2852.0809490092493</v>
      </c>
      <c r="V16" s="15">
        <f ca="1"/>
        <v>9</v>
      </c>
      <c r="W16" s="15" t="s">
        <v>122</v>
      </c>
    </row>
    <row r="17" spans="2:23" x14ac:dyDescent="0.3">
      <c r="B17" s="15">
        <f t="shared" si="1"/>
        <v>2019</v>
      </c>
      <c r="C17" s="15">
        <v>10</v>
      </c>
      <c r="D17" s="162"/>
      <c r="E17" s="162"/>
      <c r="T17" s="15" t="s">
        <v>123</v>
      </c>
      <c r="U17" s="15">
        <f ca="1"/>
        <v>0.99554075292473521</v>
      </c>
      <c r="V17" s="15">
        <f ca="1"/>
        <v>3.1415191000925408E-3</v>
      </c>
      <c r="W17" s="15" t="s">
        <v>124</v>
      </c>
    </row>
    <row r="18" spans="2:23" x14ac:dyDescent="0.3">
      <c r="B18" s="15">
        <f t="shared" si="1"/>
        <v>2020</v>
      </c>
      <c r="C18" s="15">
        <v>11</v>
      </c>
      <c r="D18" s="162"/>
      <c r="E18" s="162"/>
    </row>
    <row r="19" spans="2:23" x14ac:dyDescent="0.3">
      <c r="B19" s="15">
        <f t="shared" si="1"/>
        <v>2021</v>
      </c>
      <c r="C19" s="15">
        <v>12</v>
      </c>
      <c r="D19" s="162"/>
      <c r="E19" s="162"/>
    </row>
    <row r="20" spans="2:23" x14ac:dyDescent="0.3">
      <c r="B20" s="15">
        <f t="shared" si="1"/>
        <v>2022</v>
      </c>
      <c r="C20" s="15">
        <v>13</v>
      </c>
      <c r="D20" s="162"/>
      <c r="E20" s="162"/>
    </row>
    <row r="22" spans="2:23" x14ac:dyDescent="0.3">
      <c r="C22" s="35"/>
      <c r="D22" s="35"/>
    </row>
    <row r="25" spans="2:23" x14ac:dyDescent="0.3">
      <c r="B25" s="15" t="s">
        <v>2</v>
      </c>
      <c r="D25" s="52">
        <f ca="1">RATE(3,,-D13,D16)</f>
        <v>4.5073522830439743E-2</v>
      </c>
      <c r="E25" s="52"/>
    </row>
    <row r="26" spans="2:23" x14ac:dyDescent="0.3">
      <c r="B26" s="15" t="s">
        <v>3</v>
      </c>
      <c r="D26" s="52">
        <f ca="1">RATE(5,,-D11,D16)</f>
        <v>4.6224899566338226E-2</v>
      </c>
      <c r="E26" s="52"/>
    </row>
    <row r="27" spans="2:23" x14ac:dyDescent="0.3">
      <c r="B27" s="15" t="s">
        <v>4</v>
      </c>
      <c r="D27" s="52">
        <f ca="1">RATE(10,,-D6,D16)</f>
        <v>5.0259508770840504E-2</v>
      </c>
      <c r="E27" s="52"/>
    </row>
    <row r="28" spans="2:23" x14ac:dyDescent="0.3">
      <c r="B28" s="15" t="s">
        <v>5</v>
      </c>
      <c r="D28" s="52">
        <f ca="1">C52/D16</f>
        <v>3.7283454926728625E-2</v>
      </c>
      <c r="E28" s="52"/>
    </row>
    <row r="29" spans="2:23" x14ac:dyDescent="0.3">
      <c r="B29" s="15" t="s">
        <v>6</v>
      </c>
      <c r="D29" s="52">
        <f ca="1">C52/AVERAGE(D7:D16)</f>
        <v>4.5271984700836501E-2</v>
      </c>
      <c r="E29" s="52"/>
    </row>
    <row r="30" spans="2:23" x14ac:dyDescent="0.3">
      <c r="B30" s="15" t="s">
        <v>7</v>
      </c>
      <c r="D30" s="52">
        <f ca="1">EXP(N52)-1</f>
        <v>5.2166066813214673E-2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0.9987146963955349</v>
      </c>
      <c r="M38" s="426" t="s">
        <v>127</v>
      </c>
      <c r="N38" s="7">
        <f ca="1">N39^0.5</f>
        <v>0.99842592903537475</v>
      </c>
    </row>
    <row r="39" spans="2:18" x14ac:dyDescent="0.3">
      <c r="B39" s="426" t="s">
        <v>128</v>
      </c>
      <c r="C39" s="7">
        <f ca="1">U8</f>
        <v>0.99743104479642541</v>
      </c>
      <c r="M39" s="426" t="s">
        <v>128</v>
      </c>
      <c r="N39" s="7">
        <f ca="1">U15</f>
        <v>0.99685433577015126</v>
      </c>
    </row>
    <row r="40" spans="2:18" x14ac:dyDescent="0.3">
      <c r="B40" s="426" t="s">
        <v>129</v>
      </c>
      <c r="C40" s="7">
        <f ca="1">1-(1-C39)*(C42-1)/(C42-2)</f>
        <v>0.99710992539597854</v>
      </c>
      <c r="M40" s="426" t="s">
        <v>129</v>
      </c>
      <c r="N40" s="7">
        <f ca="1">1-(1-N39)*(N42-1)/(N42-2)</f>
        <v>0.99646112774142015</v>
      </c>
    </row>
    <row r="41" spans="2:18" x14ac:dyDescent="0.3">
      <c r="B41" s="426" t="s">
        <v>120</v>
      </c>
      <c r="C41" s="8">
        <f ca="1">V8</f>
        <v>21935305.444206417</v>
      </c>
      <c r="M41" s="426" t="s">
        <v>120</v>
      </c>
      <c r="N41" s="6">
        <f ca="1">V15</f>
        <v>1.8683085339099108E-2</v>
      </c>
    </row>
    <row r="42" spans="2:18" ht="15" thickBot="1" x14ac:dyDescent="0.35">
      <c r="B42" s="427" t="s">
        <v>130</v>
      </c>
      <c r="C42" s="9">
        <f ca="1">V9+2</f>
        <v>10</v>
      </c>
      <c r="M42" s="427" t="s">
        <v>130</v>
      </c>
      <c r="N42" s="9">
        <f ca="1">V16+1</f>
        <v>10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1.4945268080300703E+18</v>
      </c>
      <c r="E46" s="428">
        <f ca="1">D46/C46</f>
        <v>1.4945268080300703E+18</v>
      </c>
      <c r="F46" s="6">
        <f ca="1">E46/E47</f>
        <v>3106.1064619843355</v>
      </c>
      <c r="G46" s="426">
        <f ca="1">FDIST(F46,C46,C47)</f>
        <v>1.1921501589399674E-11</v>
      </c>
      <c r="M46" s="426" t="s">
        <v>137</v>
      </c>
      <c r="N46" s="60">
        <v>1</v>
      </c>
      <c r="O46" s="428">
        <f ca="1">U17</f>
        <v>0.99554075292473521</v>
      </c>
      <c r="P46" s="428">
        <f ca="1">O46/N46</f>
        <v>0.99554075292473521</v>
      </c>
      <c r="Q46" s="6">
        <f ca="1">P46/P47</f>
        <v>2852.0809490092493</v>
      </c>
      <c r="R46" s="426">
        <f ca="1">FDIST(Q46,N46,N47)</f>
        <v>1.4224755528778073E-12</v>
      </c>
    </row>
    <row r="47" spans="2:18" x14ac:dyDescent="0.3">
      <c r="B47" s="426" t="s">
        <v>138</v>
      </c>
      <c r="C47" s="8">
        <f ca="1">C42-C46-1</f>
        <v>8</v>
      </c>
      <c r="D47" s="428">
        <f ca="1">V10</f>
        <v>3849260999445053.5</v>
      </c>
      <c r="E47" s="428">
        <f ca="1">D47/C47</f>
        <v>481157624930631.69</v>
      </c>
      <c r="F47" s="426"/>
      <c r="G47" s="426"/>
      <c r="M47" s="426" t="s">
        <v>138</v>
      </c>
      <c r="N47" s="60">
        <f ca="1">N42-N46</f>
        <v>9</v>
      </c>
      <c r="O47" s="428">
        <f ca="1">V17</f>
        <v>3.1415191000925408E-3</v>
      </c>
      <c r="P47" s="428">
        <f ca="1">O47/N47</f>
        <v>3.4905767778806011E-4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9</v>
      </c>
      <c r="D48" s="429">
        <f ca="1">D46+D47</f>
        <v>1.4983760690295153E+18</v>
      </c>
      <c r="E48" s="427"/>
      <c r="F48" s="427"/>
      <c r="G48" s="427"/>
      <c r="M48" s="427" t="s">
        <v>0</v>
      </c>
      <c r="N48" s="60">
        <f ca="1">N46+N47</f>
        <v>10</v>
      </c>
      <c r="O48" s="429">
        <f ca="1">O46+O47</f>
        <v>0.99868227202482773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2367331135.5890017</v>
      </c>
      <c r="D51" s="8">
        <f ca="1">V7</f>
        <v>12892559.428305928</v>
      </c>
      <c r="E51" s="6">
        <f ca="1">C51/D51</f>
        <v>183.61995139549006</v>
      </c>
      <c r="F51" s="7">
        <f ca="1">TDIST(ABS(E51),C47,2)</f>
        <v>8.6594070055599508E-16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134593745.99501479</v>
      </c>
      <c r="D52" s="9">
        <f ca="1">U7</f>
        <v>2414997.6471050256</v>
      </c>
      <c r="E52" s="427">
        <f ca="1">C52/D52</f>
        <v>55.732454297153794</v>
      </c>
      <c r="F52" s="11">
        <f ca="1">TDIST(ABS(E52),C47,2)</f>
        <v>1.1921501589399632E-11</v>
      </c>
      <c r="M52" s="427" t="s">
        <v>114</v>
      </c>
      <c r="N52" s="10">
        <f ca="1">U13</f>
        <v>5.0850960044691841E-2</v>
      </c>
      <c r="O52" s="9">
        <f ca="1">U14</f>
        <v>9.5217819704613389E-4</v>
      </c>
      <c r="P52" s="430">
        <f ca="1">N52/O52</f>
        <v>53.404877576952188</v>
      </c>
      <c r="Q52" s="11">
        <f ca="1">TDIST(ABS(P52),N47,2)</f>
        <v>1.4224755528778073E-12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2"/>
  <sheetViews>
    <sheetView topLeftCell="B1"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4.88671875" style="15" customWidth="1"/>
    <col min="4" max="4" width="17.109375" style="15" bestFit="1" customWidth="1"/>
    <col min="5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5546875" style="15" bestFit="1" customWidth="1"/>
    <col min="15" max="18" width="12.109375" style="15" customWidth="1"/>
    <col min="19" max="20" width="9.109375" style="15"/>
    <col min="21" max="21" width="15.6640625" style="15" bestFit="1" customWidth="1"/>
    <col min="22" max="22" width="17.88671875" style="15" bestFit="1" customWidth="1"/>
    <col min="23" max="23" width="16.44140625" style="15" bestFit="1" customWidth="1"/>
    <col min="24" max="16384" width="9.109375" style="15"/>
  </cols>
  <sheetData>
    <row r="5" spans="2:23" ht="43.2" x14ac:dyDescent="0.3">
      <c r="B5" s="64" t="s">
        <v>112</v>
      </c>
      <c r="C5" s="119" t="s">
        <v>113</v>
      </c>
      <c r="D5" s="119" t="s">
        <v>207</v>
      </c>
      <c r="E5" s="119" t="str">
        <f>"ln("&amp;D5&amp;")"</f>
        <v>ln(Gas Intangible. Plant)</v>
      </c>
      <c r="F5" s="119" t="s">
        <v>114</v>
      </c>
    </row>
    <row r="6" spans="2:23" x14ac:dyDescent="0.3">
      <c r="B6" s="15">
        <v>2008</v>
      </c>
      <c r="D6" s="162">
        <f ca="1">OFFSET(Gas_CBR!$C$134,0,$B6-Gas_CBR!$C$7)</f>
        <v>114148670.88149999</v>
      </c>
      <c r="E6" s="162"/>
      <c r="T6" s="15" t="s">
        <v>115</v>
      </c>
      <c r="U6" s="60">
        <f t="array" aca="1" ref="U6:V10" ca="1">LINEST(D9:D16,C9:C16,,TRUE)</f>
        <v>10250791.397989845</v>
      </c>
      <c r="V6" s="60">
        <f ca="1"/>
        <v>36472697.659727626</v>
      </c>
      <c r="W6" s="15" t="s">
        <v>116</v>
      </c>
    </row>
    <row r="7" spans="2:23" x14ac:dyDescent="0.3">
      <c r="B7" s="15">
        <v>2009</v>
      </c>
      <c r="D7" s="162">
        <f ca="1">OFFSET(Gas_CBR!$C$134,0,$B7-Gas_CBR!$C$7)</f>
        <v>121231461.78160001</v>
      </c>
      <c r="E7" s="425"/>
      <c r="T7" s="15" t="s">
        <v>117</v>
      </c>
      <c r="U7" s="60">
        <f ca="1"/>
        <v>1775088.9420396686</v>
      </c>
      <c r="V7" s="60">
        <f ca="1"/>
        <v>7425729.8067362653</v>
      </c>
      <c r="W7" s="15" t="s">
        <v>118</v>
      </c>
    </row>
    <row r="8" spans="2:23" x14ac:dyDescent="0.3">
      <c r="B8" s="15">
        <f>B7+1</f>
        <v>2010</v>
      </c>
      <c r="D8" s="162">
        <f ca="1">OFFSET(Gas_CBR!$C$134,0,$B8-Gas_CBR!$C$7)</f>
        <v>70084907.687299997</v>
      </c>
      <c r="E8" s="425"/>
      <c r="T8" s="15" t="s">
        <v>119</v>
      </c>
      <c r="U8" s="95">
        <f ca="1"/>
        <v>0.84751590304331781</v>
      </c>
      <c r="V8" s="60">
        <f ca="1"/>
        <v>11503891.14997023</v>
      </c>
      <c r="W8" s="15" t="s">
        <v>120</v>
      </c>
    </row>
    <row r="9" spans="2:23" x14ac:dyDescent="0.3">
      <c r="B9" s="15">
        <f t="shared" ref="B9:B20" si="0">B8+1</f>
        <v>2011</v>
      </c>
      <c r="C9" s="15">
        <v>0</v>
      </c>
      <c r="D9" s="162">
        <f ca="1">OFFSET(Gas_CBR!$C$134,0,$B9-Gas_CBR!$C$7)</f>
        <v>41706701.205000006</v>
      </c>
      <c r="E9" s="425"/>
      <c r="T9" s="15" t="s">
        <v>121</v>
      </c>
      <c r="U9" s="95">
        <f ca="1"/>
        <v>33.348365631233577</v>
      </c>
      <c r="V9" s="15">
        <f ca="1"/>
        <v>6</v>
      </c>
      <c r="W9" s="15" t="s">
        <v>122</v>
      </c>
    </row>
    <row r="10" spans="2:23" x14ac:dyDescent="0.3">
      <c r="B10" s="15">
        <f t="shared" si="0"/>
        <v>2012</v>
      </c>
      <c r="C10" s="15">
        <v>1</v>
      </c>
      <c r="D10" s="162">
        <f ca="1">OFFSET(Gas_CBR!$C$134,0,$B10-Gas_CBR!$C$7)</f>
        <v>43400851.394299999</v>
      </c>
      <c r="E10" s="425">
        <f ca="1">LN(D10/$D$9)</f>
        <v>3.9817242040576677E-2</v>
      </c>
      <c r="F10" s="15">
        <v>1</v>
      </c>
      <c r="T10" s="15" t="s">
        <v>123</v>
      </c>
      <c r="U10" s="15">
        <f ca="1"/>
        <v>4413306419974312.5</v>
      </c>
      <c r="V10" s="15">
        <f ca="1"/>
        <v>794037069542180.38</v>
      </c>
      <c r="W10" s="15" t="s">
        <v>124</v>
      </c>
    </row>
    <row r="11" spans="2:23" x14ac:dyDescent="0.3">
      <c r="B11" s="15">
        <f t="shared" si="0"/>
        <v>2013</v>
      </c>
      <c r="C11" s="15">
        <v>2</v>
      </c>
      <c r="D11" s="162">
        <f ca="1">OFFSET(Gas_CBR!$C$134,0,$B11-Gas_CBR!$C$7)</f>
        <v>65902921.046799995</v>
      </c>
      <c r="E11" s="425">
        <f t="shared" ref="E11:E16" ca="1" si="1">LN(D11/$D$9)</f>
        <v>0.45752094971718249</v>
      </c>
      <c r="F11" s="15">
        <v>2</v>
      </c>
    </row>
    <row r="12" spans="2:23" x14ac:dyDescent="0.3">
      <c r="B12" s="15">
        <f t="shared" si="0"/>
        <v>2014</v>
      </c>
      <c r="C12" s="15">
        <v>3</v>
      </c>
      <c r="D12" s="162">
        <f ca="1">OFFSET(Gas_CBR!$C$134,0,$B12-Gas_CBR!$C$7)</f>
        <v>68391619.282000005</v>
      </c>
      <c r="E12" s="425">
        <f t="shared" ca="1" si="1"/>
        <v>0.49458847575118192</v>
      </c>
      <c r="F12" s="15">
        <v>3</v>
      </c>
    </row>
    <row r="13" spans="2:23" x14ac:dyDescent="0.3">
      <c r="B13" s="15">
        <f t="shared" si="0"/>
        <v>2015</v>
      </c>
      <c r="C13" s="15">
        <v>4</v>
      </c>
      <c r="D13" s="162">
        <f ca="1">OFFSET(Gas_CBR!$C$134,0,$B13-Gas_CBR!$C$7)</f>
        <v>67129385.447400004</v>
      </c>
      <c r="E13" s="425">
        <f t="shared" ca="1" si="1"/>
        <v>0.47596006699112287</v>
      </c>
      <c r="F13" s="15">
        <v>4</v>
      </c>
      <c r="T13" s="15" t="s">
        <v>115</v>
      </c>
      <c r="U13" s="13">
        <f t="array" aca="1" ref="U13:V17" ca="1">LINEST(E10:E16,F10:F16,FALSE,TRUE)</f>
        <v>0.14068153301465516</v>
      </c>
      <c r="V13" s="13">
        <f ca="1"/>
        <v>0</v>
      </c>
      <c r="W13" s="15" t="s">
        <v>116</v>
      </c>
    </row>
    <row r="14" spans="2:23" x14ac:dyDescent="0.3">
      <c r="B14" s="15">
        <f t="shared" si="0"/>
        <v>2016</v>
      </c>
      <c r="C14" s="15">
        <v>5</v>
      </c>
      <c r="D14" s="162">
        <f ca="1">OFFSET(Gas_CBR!$C$134,0,$B14-Gas_CBR!$C$7)</f>
        <v>69120516.147399992</v>
      </c>
      <c r="E14" s="425">
        <f t="shared" ca="1" si="1"/>
        <v>0.50518977562467149</v>
      </c>
      <c r="F14" s="15">
        <v>5</v>
      </c>
      <c r="T14" s="15" t="s">
        <v>117</v>
      </c>
      <c r="U14" s="13">
        <f ca="1"/>
        <v>1.1105896860896738E-2</v>
      </c>
      <c r="V14" s="13" t="e">
        <f ca="1"/>
        <v>#N/A</v>
      </c>
      <c r="W14" s="15" t="s">
        <v>118</v>
      </c>
    </row>
    <row r="15" spans="2:23" x14ac:dyDescent="0.3">
      <c r="B15" s="15">
        <f t="shared" si="0"/>
        <v>2017</v>
      </c>
      <c r="C15" s="15">
        <v>6</v>
      </c>
      <c r="D15" s="162">
        <f ca="1">OFFSET(Gas_CBR!$C$134,0,$B15-Gas_CBR!$C$7)</f>
        <v>100217564.960005</v>
      </c>
      <c r="E15" s="425">
        <f t="shared" ca="1" si="1"/>
        <v>0.8766816560361872</v>
      </c>
      <c r="F15" s="15">
        <v>6</v>
      </c>
      <c r="T15" s="15" t="s">
        <v>119</v>
      </c>
      <c r="U15" s="15">
        <f ca="1"/>
        <v>0.96395531455477712</v>
      </c>
      <c r="V15" s="15">
        <f ca="1"/>
        <v>0.13140674378388137</v>
      </c>
      <c r="W15" s="15" t="s">
        <v>120</v>
      </c>
    </row>
    <row r="16" spans="2:23" x14ac:dyDescent="0.3">
      <c r="B16" s="15">
        <f t="shared" si="0"/>
        <v>2018</v>
      </c>
      <c r="C16" s="15">
        <v>7</v>
      </c>
      <c r="D16" s="162">
        <f ca="1">OFFSET(Gas_CBR!$C$134,0,$B16-Gas_CBR!$C$7)</f>
        <v>122934180.93863176</v>
      </c>
      <c r="E16" s="425">
        <f t="shared" ca="1" si="1"/>
        <v>1.0809872815740376</v>
      </c>
      <c r="F16" s="15">
        <v>7</v>
      </c>
      <c r="T16" s="15" t="s">
        <v>121</v>
      </c>
      <c r="U16" s="15">
        <f ca="1"/>
        <v>160.46004607581287</v>
      </c>
      <c r="V16" s="15">
        <f ca="1"/>
        <v>6</v>
      </c>
      <c r="W16" s="15" t="s">
        <v>122</v>
      </c>
    </row>
    <row r="17" spans="2:23" x14ac:dyDescent="0.3">
      <c r="B17" s="15">
        <f t="shared" si="0"/>
        <v>2019</v>
      </c>
      <c r="C17" s="15">
        <v>8</v>
      </c>
      <c r="D17" s="162"/>
      <c r="E17" s="162"/>
      <c r="T17" s="15" t="s">
        <v>123</v>
      </c>
      <c r="U17" s="15">
        <f ca="1"/>
        <v>2.7707811223894918</v>
      </c>
      <c r="V17" s="15">
        <f ca="1"/>
        <v>0.10360639387129587</v>
      </c>
      <c r="W17" s="15" t="s">
        <v>124</v>
      </c>
    </row>
    <row r="18" spans="2:23" x14ac:dyDescent="0.3">
      <c r="B18" s="15">
        <f t="shared" si="0"/>
        <v>2020</v>
      </c>
      <c r="C18" s="15">
        <v>9</v>
      </c>
      <c r="D18" s="162"/>
      <c r="E18" s="162"/>
    </row>
    <row r="19" spans="2:23" x14ac:dyDescent="0.3">
      <c r="B19" s="15">
        <f t="shared" si="0"/>
        <v>2021</v>
      </c>
      <c r="C19" s="15">
        <v>10</v>
      </c>
      <c r="D19" s="162"/>
      <c r="E19" s="162"/>
    </row>
    <row r="20" spans="2:23" x14ac:dyDescent="0.3">
      <c r="B20" s="15">
        <f t="shared" si="0"/>
        <v>2022</v>
      </c>
      <c r="C20" s="15">
        <v>11</v>
      </c>
      <c r="D20" s="162"/>
      <c r="E20" s="162"/>
    </row>
    <row r="22" spans="2:23" x14ac:dyDescent="0.3">
      <c r="C22" s="35"/>
      <c r="D22" s="35"/>
    </row>
    <row r="25" spans="2:23" x14ac:dyDescent="0.3">
      <c r="B25" s="15" t="s">
        <v>2</v>
      </c>
      <c r="D25" s="52">
        <f ca="1">RATE(3,,-D13,D16)</f>
        <v>0.22345122528058686</v>
      </c>
      <c r="E25" s="52"/>
    </row>
    <row r="26" spans="2:23" x14ac:dyDescent="0.3">
      <c r="B26" s="15" t="s">
        <v>3</v>
      </c>
      <c r="D26" s="52">
        <f ca="1">RATE(5,,-D11,D16)</f>
        <v>0.13280093163102191</v>
      </c>
      <c r="E26" s="52"/>
    </row>
    <row r="27" spans="2:23" x14ac:dyDescent="0.3">
      <c r="B27" s="15" t="s">
        <v>4</v>
      </c>
      <c r="D27" s="52">
        <f ca="1">RATE(10,,-D6,D16)</f>
        <v>7.442294082387323E-3</v>
      </c>
      <c r="E27" s="52"/>
    </row>
    <row r="28" spans="2:23" x14ac:dyDescent="0.3">
      <c r="B28" s="15" t="s">
        <v>5</v>
      </c>
      <c r="D28" s="52">
        <f ca="1">C52/D16</f>
        <v>8.3384387643229987E-2</v>
      </c>
      <c r="E28" s="52"/>
    </row>
    <row r="29" spans="2:23" x14ac:dyDescent="0.3">
      <c r="B29" s="15" t="s">
        <v>6</v>
      </c>
      <c r="D29" s="52">
        <f ca="1">C52/AVERAGE(D9:D16)</f>
        <v>0.141682448569172</v>
      </c>
      <c r="E29" s="52"/>
    </row>
    <row r="30" spans="2:23" x14ac:dyDescent="0.3">
      <c r="B30" s="15" t="s">
        <v>7</v>
      </c>
      <c r="D30" s="52">
        <f ca="1">EXP(N52)-1</f>
        <v>0.15105801563149757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0.92060626928308376</v>
      </c>
      <c r="M38" s="426" t="s">
        <v>127</v>
      </c>
      <c r="N38" s="7">
        <f ca="1">N39^0.5</f>
        <v>0.98181226034042635</v>
      </c>
    </row>
    <row r="39" spans="2:18" x14ac:dyDescent="0.3">
      <c r="B39" s="426" t="s">
        <v>128</v>
      </c>
      <c r="C39" s="7">
        <f ca="1">U8</f>
        <v>0.84751590304331781</v>
      </c>
      <c r="M39" s="426" t="s">
        <v>128</v>
      </c>
      <c r="N39" s="7">
        <f ca="1">U15</f>
        <v>0.96395531455477712</v>
      </c>
    </row>
    <row r="40" spans="2:18" x14ac:dyDescent="0.3">
      <c r="B40" s="426" t="s">
        <v>129</v>
      </c>
      <c r="C40" s="7">
        <f ca="1">1-(1-C39)*(C42-1)/(C42-2)</f>
        <v>0.82210188688387076</v>
      </c>
      <c r="M40" s="426" t="s">
        <v>129</v>
      </c>
      <c r="N40" s="7">
        <f ca="1">1-(1-N39)*(N42-1)/(N42-2)</f>
        <v>0.95674637746573254</v>
      </c>
    </row>
    <row r="41" spans="2:18" x14ac:dyDescent="0.3">
      <c r="B41" s="426" t="s">
        <v>120</v>
      </c>
      <c r="C41" s="8">
        <f ca="1">V8</f>
        <v>11503891.14997023</v>
      </c>
      <c r="M41" s="426" t="s">
        <v>120</v>
      </c>
      <c r="N41" s="6">
        <f ca="1">V15</f>
        <v>0.13140674378388137</v>
      </c>
    </row>
    <row r="42" spans="2:18" ht="15" thickBot="1" x14ac:dyDescent="0.35">
      <c r="B42" s="427" t="s">
        <v>130</v>
      </c>
      <c r="C42" s="9">
        <f ca="1">V9+2</f>
        <v>8</v>
      </c>
      <c r="M42" s="427" t="s">
        <v>130</v>
      </c>
      <c r="N42" s="9">
        <f ca="1">V16+1</f>
        <v>7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4413306419974312.5</v>
      </c>
      <c r="E46" s="428">
        <f ca="1">D46/C46</f>
        <v>4413306419974312.5</v>
      </c>
      <c r="F46" s="6">
        <f ca="1">E46/E47</f>
        <v>33.348365631233577</v>
      </c>
      <c r="G46" s="426">
        <f ca="1">FDIST(F46,C46,C47)</f>
        <v>1.1778037366874531E-3</v>
      </c>
      <c r="M46" s="426" t="s">
        <v>137</v>
      </c>
      <c r="N46" s="60">
        <v>1</v>
      </c>
      <c r="O46" s="428">
        <f ca="1">U17</f>
        <v>2.7707811223894918</v>
      </c>
      <c r="P46" s="428">
        <f ca="1">O46/N46</f>
        <v>2.7707811223894918</v>
      </c>
      <c r="Q46" s="6">
        <f ca="1">P46/P47</f>
        <v>160.46004607581287</v>
      </c>
      <c r="R46" s="426">
        <f ca="1">FDIST(Q46,N46,N47)</f>
        <v>1.4836557368837792E-5</v>
      </c>
    </row>
    <row r="47" spans="2:18" x14ac:dyDescent="0.3">
      <c r="B47" s="426" t="s">
        <v>138</v>
      </c>
      <c r="C47" s="8">
        <f ca="1">C42-C46-1</f>
        <v>6</v>
      </c>
      <c r="D47" s="428">
        <f ca="1">V10</f>
        <v>794037069542180.38</v>
      </c>
      <c r="E47" s="428">
        <f ca="1">D47/C47</f>
        <v>132339511590363.39</v>
      </c>
      <c r="F47" s="426"/>
      <c r="G47" s="426"/>
      <c r="M47" s="426" t="s">
        <v>138</v>
      </c>
      <c r="N47" s="60">
        <f ca="1">N42-N46</f>
        <v>6</v>
      </c>
      <c r="O47" s="428">
        <f ca="1">V17</f>
        <v>0.10360639387129587</v>
      </c>
      <c r="P47" s="428">
        <f ca="1">O47/N47</f>
        <v>1.7267732311882646E-2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7</v>
      </c>
      <c r="D48" s="429">
        <f ca="1">D46+D47</f>
        <v>5207343489516493</v>
      </c>
      <c r="E48" s="427"/>
      <c r="F48" s="427"/>
      <c r="G48" s="427"/>
      <c r="M48" s="427" t="s">
        <v>0</v>
      </c>
      <c r="N48" s="60">
        <f ca="1">N46+N47</f>
        <v>7</v>
      </c>
      <c r="O48" s="429">
        <f ca="1">O46+O47</f>
        <v>2.8743875162607875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36472697.659727626</v>
      </c>
      <c r="D51" s="8">
        <f ca="1">V7</f>
        <v>7425729.8067362653</v>
      </c>
      <c r="E51" s="6">
        <f ca="1">C51/D51</f>
        <v>4.9116650630947207</v>
      </c>
      <c r="F51" s="7">
        <f ca="1">TDIST(ABS(E51),C47,2)</f>
        <v>2.6791916938582994E-3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10250791.397989845</v>
      </c>
      <c r="D52" s="9">
        <f ca="1">U7</f>
        <v>1775088.9420396686</v>
      </c>
      <c r="E52" s="427">
        <f ca="1">C52/D52</f>
        <v>5.7748043803434195</v>
      </c>
      <c r="F52" s="11">
        <f ca="1">TDIST(ABS(E52),C47,2)</f>
        <v>1.1778037366874563E-3</v>
      </c>
      <c r="M52" s="427" t="s">
        <v>114</v>
      </c>
      <c r="N52" s="10">
        <f ca="1">U13</f>
        <v>0.14068153301465516</v>
      </c>
      <c r="O52" s="9">
        <f ca="1">U14</f>
        <v>1.1105896860896738E-2</v>
      </c>
      <c r="P52" s="430">
        <f ca="1">N52/O52</f>
        <v>12.66728250556578</v>
      </c>
      <c r="Q52" s="11">
        <f ca="1">TDIST(ABS(P52),N47,2)</f>
        <v>1.4836557368837793E-5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2"/>
  <sheetViews>
    <sheetView zoomScale="70" zoomScaleNormal="70"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4.88671875" style="15" customWidth="1"/>
    <col min="4" max="4" width="17.109375" style="15" bestFit="1" customWidth="1"/>
    <col min="5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5546875" style="15" bestFit="1" customWidth="1"/>
    <col min="15" max="18" width="12.109375" style="15" customWidth="1"/>
    <col min="19" max="20" width="9.109375" style="15"/>
    <col min="21" max="21" width="15.6640625" style="15" bestFit="1" customWidth="1"/>
    <col min="22" max="22" width="17.88671875" style="15" bestFit="1" customWidth="1"/>
    <col min="23" max="23" width="16.44140625" style="15" bestFit="1" customWidth="1"/>
    <col min="24" max="16384" width="9.109375" style="15"/>
  </cols>
  <sheetData>
    <row r="5" spans="2:23" ht="28.8" x14ac:dyDescent="0.3">
      <c r="B5" s="64" t="s">
        <v>112</v>
      </c>
      <c r="C5" s="119" t="s">
        <v>113</v>
      </c>
      <c r="D5" s="119" t="s">
        <v>206</v>
      </c>
      <c r="E5" s="119" t="str">
        <f>"ln("&amp;D5&amp;")"</f>
        <v>ln(Gas Dist. Plant)</v>
      </c>
      <c r="F5" s="119" t="s">
        <v>114</v>
      </c>
    </row>
    <row r="6" spans="2:23" x14ac:dyDescent="0.3">
      <c r="B6" s="15">
        <v>2008</v>
      </c>
      <c r="D6" s="162">
        <f ca="1">OFFSET(Gas_CBR!$C$60,0,$B6-Gas_CBR!$C$7)</f>
        <v>118696576.11549999</v>
      </c>
      <c r="E6" s="162"/>
      <c r="T6" s="15" t="s">
        <v>115</v>
      </c>
      <c r="U6" s="60">
        <f t="array" aca="1" ref="U6:V10" ca="1">LINEST(D7:D16,C7:C16,,TRUE)</f>
        <v>3718308.6182181882</v>
      </c>
      <c r="V6" s="60">
        <f ca="1"/>
        <v>123647039.61835818</v>
      </c>
      <c r="W6" s="15" t="s">
        <v>116</v>
      </c>
    </row>
    <row r="7" spans="2:23" x14ac:dyDescent="0.3">
      <c r="B7" s="15">
        <v>2009</v>
      </c>
      <c r="C7" s="15">
        <v>0</v>
      </c>
      <c r="D7" s="162">
        <f ca="1">OFFSET(Gas_CBR!$C$60,0,$B7-Gas_CBR!$C$7)</f>
        <v>129156192.27540001</v>
      </c>
      <c r="E7" s="425">
        <f ca="1">LN(D7/$D$6)</f>
        <v>8.4452008432914102E-2</v>
      </c>
      <c r="F7" s="15">
        <v>1</v>
      </c>
      <c r="T7" s="15" t="s">
        <v>117</v>
      </c>
      <c r="U7" s="60">
        <f ca="1"/>
        <v>1238074.5318278959</v>
      </c>
      <c r="V7" s="60">
        <f ca="1"/>
        <v>6609509.3290867377</v>
      </c>
      <c r="W7" s="15" t="s">
        <v>118</v>
      </c>
    </row>
    <row r="8" spans="2:23" x14ac:dyDescent="0.3">
      <c r="B8" s="15">
        <f>B7+1</f>
        <v>2010</v>
      </c>
      <c r="C8" s="15">
        <v>1</v>
      </c>
      <c r="D8" s="162">
        <f ca="1">OFFSET(Gas_CBR!$C$60,0,$B8-Gas_CBR!$C$7)</f>
        <v>126435015.6074</v>
      </c>
      <c r="E8" s="425">
        <f t="shared" ref="E8:E16" ca="1" si="0">LN(D8/$D$6)</f>
        <v>6.3158009216812847E-2</v>
      </c>
      <c r="F8" s="15">
        <v>2</v>
      </c>
      <c r="T8" s="15" t="s">
        <v>119</v>
      </c>
      <c r="U8" s="95">
        <f ca="1"/>
        <v>0.52995944121137362</v>
      </c>
      <c r="V8" s="60">
        <f ca="1"/>
        <v>11245370.384063445</v>
      </c>
      <c r="W8" s="15" t="s">
        <v>120</v>
      </c>
    </row>
    <row r="9" spans="2:23" x14ac:dyDescent="0.3">
      <c r="B9" s="15">
        <f t="shared" ref="B9:B20" si="1">B8+1</f>
        <v>2011</v>
      </c>
      <c r="C9" s="15">
        <v>2</v>
      </c>
      <c r="D9" s="162">
        <f ca="1">OFFSET(Gas_CBR!$C$60,0,$B9-Gas_CBR!$C$7)</f>
        <v>137632999.74449998</v>
      </c>
      <c r="E9" s="425">
        <f t="shared" ca="1" si="0"/>
        <v>0.14802026412787506</v>
      </c>
      <c r="F9" s="15">
        <v>3</v>
      </c>
      <c r="T9" s="15" t="s">
        <v>121</v>
      </c>
      <c r="U9" s="95">
        <f ca="1"/>
        <v>9.0198078664048591</v>
      </c>
      <c r="V9" s="15">
        <f ca="1"/>
        <v>8</v>
      </c>
      <c r="W9" s="15" t="s">
        <v>122</v>
      </c>
    </row>
    <row r="10" spans="2:23" x14ac:dyDescent="0.3">
      <c r="B10" s="15">
        <f t="shared" si="1"/>
        <v>2012</v>
      </c>
      <c r="C10" s="15">
        <v>3</v>
      </c>
      <c r="D10" s="162">
        <f ca="1">OFFSET(Gas_CBR!$C$60,0,$B10-Gas_CBR!$C$7)</f>
        <v>135464946.27630004</v>
      </c>
      <c r="E10" s="425">
        <f t="shared" ca="1" si="0"/>
        <v>0.13214245144066353</v>
      </c>
      <c r="F10" s="15">
        <v>4</v>
      </c>
      <c r="T10" s="15" t="s">
        <v>123</v>
      </c>
      <c r="U10" s="15">
        <f ca="1"/>
        <v>1140630065876040.5</v>
      </c>
      <c r="V10" s="15">
        <f ca="1"/>
        <v>1011666840598169.9</v>
      </c>
      <c r="W10" s="15" t="s">
        <v>124</v>
      </c>
    </row>
    <row r="11" spans="2:23" x14ac:dyDescent="0.3">
      <c r="B11" s="15">
        <f t="shared" si="1"/>
        <v>2013</v>
      </c>
      <c r="C11" s="15">
        <v>4</v>
      </c>
      <c r="D11" s="162">
        <f ca="1">OFFSET(Gas_CBR!$C$60,0,$B11-Gas_CBR!$C$7)</f>
        <v>143608515.2482</v>
      </c>
      <c r="E11" s="425">
        <f t="shared" ca="1" si="0"/>
        <v>0.1905204968990184</v>
      </c>
      <c r="F11" s="15">
        <v>5</v>
      </c>
    </row>
    <row r="12" spans="2:23" x14ac:dyDescent="0.3">
      <c r="B12" s="15">
        <f t="shared" si="1"/>
        <v>2014</v>
      </c>
      <c r="C12" s="15">
        <v>5</v>
      </c>
      <c r="D12" s="162">
        <f ca="1">OFFSET(Gas_CBR!$C$60,0,$B12-Gas_CBR!$C$7)</f>
        <v>129914450.40399997</v>
      </c>
      <c r="E12" s="425">
        <f t="shared" ca="1" si="0"/>
        <v>9.0305703671762452E-2</v>
      </c>
      <c r="F12" s="15">
        <v>6</v>
      </c>
    </row>
    <row r="13" spans="2:23" x14ac:dyDescent="0.3">
      <c r="B13" s="15">
        <f t="shared" si="1"/>
        <v>2015</v>
      </c>
      <c r="C13" s="15">
        <v>6</v>
      </c>
      <c r="D13" s="162">
        <f ca="1">OFFSET(Gas_CBR!$C$60,0,$B13-Gas_CBR!$C$7)</f>
        <v>126404124.12360011</v>
      </c>
      <c r="E13" s="425">
        <f t="shared" ca="1" si="0"/>
        <v>6.2913652397797643E-2</v>
      </c>
      <c r="F13" s="15">
        <v>7</v>
      </c>
      <c r="T13" s="15" t="s">
        <v>115</v>
      </c>
      <c r="U13" s="13">
        <f t="array" aca="1" ref="U13:V17" ca="1">LINEST(E7:E16,F7:F16,FALSE,TRUE)</f>
        <v>2.8617580891998805E-2</v>
      </c>
      <c r="V13" s="13">
        <f ca="1"/>
        <v>0</v>
      </c>
      <c r="W13" s="15" t="s">
        <v>116</v>
      </c>
    </row>
    <row r="14" spans="2:23" x14ac:dyDescent="0.3">
      <c r="B14" s="15">
        <f t="shared" si="1"/>
        <v>2016</v>
      </c>
      <c r="C14" s="15">
        <v>7</v>
      </c>
      <c r="D14" s="162">
        <f ca="1">OFFSET(Gas_CBR!$C$60,0,$B14-Gas_CBR!$C$7)</f>
        <v>141717024.96720004</v>
      </c>
      <c r="E14" s="425">
        <f t="shared" ca="1" si="0"/>
        <v>0.17726183110557475</v>
      </c>
      <c r="F14" s="15">
        <v>8</v>
      </c>
      <c r="T14" s="15" t="s">
        <v>117</v>
      </c>
      <c r="U14" s="13">
        <f ca="1"/>
        <v>3.7300439280675488E-3</v>
      </c>
      <c r="V14" s="13" t="e">
        <f ca="1"/>
        <v>#N/A</v>
      </c>
      <c r="W14" s="15" t="s">
        <v>118</v>
      </c>
    </row>
    <row r="15" spans="2:23" x14ac:dyDescent="0.3">
      <c r="B15" s="15">
        <f t="shared" si="1"/>
        <v>2017</v>
      </c>
      <c r="C15" s="15">
        <v>8</v>
      </c>
      <c r="D15" s="162">
        <f ca="1">OFFSET(Gas_CBR!$C$60,0,$B15-Gas_CBR!$C$7)</f>
        <v>159860485.64300001</v>
      </c>
      <c r="E15" s="425">
        <f t="shared" ca="1" si="0"/>
        <v>0.29773101377737504</v>
      </c>
      <c r="F15" s="15">
        <v>9</v>
      </c>
      <c r="T15" s="15" t="s">
        <v>119</v>
      </c>
      <c r="U15" s="15">
        <f ca="1"/>
        <v>0.86737869032402293</v>
      </c>
      <c r="V15" s="15">
        <f ca="1"/>
        <v>7.3188746857325904E-2</v>
      </c>
      <c r="W15" s="15" t="s">
        <v>120</v>
      </c>
    </row>
    <row r="16" spans="2:23" x14ac:dyDescent="0.3">
      <c r="B16" s="15">
        <f t="shared" si="1"/>
        <v>2018</v>
      </c>
      <c r="C16" s="15">
        <v>9</v>
      </c>
      <c r="D16" s="162">
        <f ca="1">OFFSET(Gas_CBR!$C$60,0,$B16-Gas_CBR!$C$7)</f>
        <v>173600529.71380004</v>
      </c>
      <c r="E16" s="425">
        <f t="shared" ca="1" si="0"/>
        <v>0.38018639722554931</v>
      </c>
      <c r="F16" s="15">
        <v>10</v>
      </c>
      <c r="T16" s="15" t="s">
        <v>121</v>
      </c>
      <c r="U16" s="15">
        <f ca="1"/>
        <v>58.862397242109665</v>
      </c>
      <c r="V16" s="15">
        <f ca="1"/>
        <v>9</v>
      </c>
      <c r="W16" s="15" t="s">
        <v>122</v>
      </c>
    </row>
    <row r="17" spans="2:23" x14ac:dyDescent="0.3">
      <c r="B17" s="15">
        <f t="shared" si="1"/>
        <v>2019</v>
      </c>
      <c r="C17" s="15">
        <v>10</v>
      </c>
      <c r="D17" s="162"/>
      <c r="E17" s="162"/>
      <c r="T17" s="15" t="s">
        <v>123</v>
      </c>
      <c r="U17" s="15">
        <f ca="1"/>
        <v>0.31530188540238635</v>
      </c>
      <c r="V17" s="15">
        <f ca="1"/>
        <v>4.8209333998911592E-2</v>
      </c>
      <c r="W17" s="15" t="s">
        <v>124</v>
      </c>
    </row>
    <row r="18" spans="2:23" x14ac:dyDescent="0.3">
      <c r="B18" s="15">
        <f t="shared" si="1"/>
        <v>2020</v>
      </c>
      <c r="C18" s="15">
        <v>11</v>
      </c>
      <c r="D18" s="162"/>
      <c r="E18" s="162"/>
    </row>
    <row r="19" spans="2:23" x14ac:dyDescent="0.3">
      <c r="B19" s="15">
        <f t="shared" si="1"/>
        <v>2021</v>
      </c>
      <c r="C19" s="15">
        <v>12</v>
      </c>
      <c r="D19" s="162"/>
      <c r="E19" s="162"/>
    </row>
    <row r="20" spans="2:23" x14ac:dyDescent="0.3">
      <c r="B20" s="15">
        <f t="shared" si="1"/>
        <v>2022</v>
      </c>
      <c r="C20" s="15">
        <v>13</v>
      </c>
      <c r="D20" s="162"/>
      <c r="E20" s="162"/>
    </row>
    <row r="22" spans="2:23" x14ac:dyDescent="0.3">
      <c r="C22" s="35"/>
      <c r="D22" s="35"/>
    </row>
    <row r="25" spans="2:23" x14ac:dyDescent="0.3">
      <c r="B25" s="15" t="s">
        <v>2</v>
      </c>
      <c r="D25" s="52">
        <f ca="1">RATE(3,,-D13,D16)</f>
        <v>0.11155238310282677</v>
      </c>
      <c r="E25" s="52"/>
    </row>
    <row r="26" spans="2:23" x14ac:dyDescent="0.3">
      <c r="B26" s="15" t="s">
        <v>3</v>
      </c>
      <c r="D26" s="52">
        <f ca="1">RATE(5,,-D11,D16)</f>
        <v>3.8661827244218155E-2</v>
      </c>
      <c r="E26" s="52"/>
    </row>
    <row r="27" spans="2:23" x14ac:dyDescent="0.3">
      <c r="B27" s="15" t="s">
        <v>4</v>
      </c>
      <c r="D27" s="52">
        <f ca="1">RATE(10,,-D6,D16)</f>
        <v>3.8750594720936837E-2</v>
      </c>
      <c r="E27" s="52"/>
    </row>
    <row r="28" spans="2:23" x14ac:dyDescent="0.3">
      <c r="B28" s="15" t="s">
        <v>5</v>
      </c>
      <c r="D28" s="52">
        <f ca="1">C52/D16</f>
        <v>2.1418763089883639E-2</v>
      </c>
      <c r="E28" s="52"/>
    </row>
    <row r="29" spans="2:23" x14ac:dyDescent="0.3">
      <c r="B29" s="15" t="s">
        <v>6</v>
      </c>
      <c r="D29" s="52">
        <f ca="1">C52/AVERAGE(D7:D16)</f>
        <v>2.6487560610477467E-2</v>
      </c>
      <c r="E29" s="52"/>
    </row>
    <row r="30" spans="2:23" x14ac:dyDescent="0.3">
      <c r="B30" s="15" t="s">
        <v>7</v>
      </c>
      <c r="D30" s="52">
        <f ca="1">EXP(N52)-1</f>
        <v>2.903099810414056E-2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0.72798313250471236</v>
      </c>
      <c r="M38" s="426" t="s">
        <v>127</v>
      </c>
      <c r="N38" s="7">
        <f ca="1">N39^0.5</f>
        <v>0.93133167578689324</v>
      </c>
    </row>
    <row r="39" spans="2:18" x14ac:dyDescent="0.3">
      <c r="B39" s="426" t="s">
        <v>128</v>
      </c>
      <c r="C39" s="7">
        <f ca="1">U8</f>
        <v>0.52995944121137362</v>
      </c>
      <c r="M39" s="426" t="s">
        <v>128</v>
      </c>
      <c r="N39" s="7">
        <f ca="1">U15</f>
        <v>0.86737869032402293</v>
      </c>
    </row>
    <row r="40" spans="2:18" x14ac:dyDescent="0.3">
      <c r="B40" s="426" t="s">
        <v>129</v>
      </c>
      <c r="C40" s="7">
        <f ca="1">1-(1-C39)*(C42-1)/(C42-2)</f>
        <v>0.47120437136279536</v>
      </c>
      <c r="M40" s="426" t="s">
        <v>129</v>
      </c>
      <c r="N40" s="7">
        <f ca="1">1-(1-N39)*(N42-1)/(N42-2)</f>
        <v>0.85080102661452583</v>
      </c>
    </row>
    <row r="41" spans="2:18" x14ac:dyDescent="0.3">
      <c r="B41" s="426" t="s">
        <v>120</v>
      </c>
      <c r="C41" s="8">
        <f ca="1">V8</f>
        <v>11245370.384063445</v>
      </c>
      <c r="M41" s="426" t="s">
        <v>120</v>
      </c>
      <c r="N41" s="6">
        <f ca="1">V15</f>
        <v>7.3188746857325904E-2</v>
      </c>
    </row>
    <row r="42" spans="2:18" ht="15" thickBot="1" x14ac:dyDescent="0.35">
      <c r="B42" s="427" t="s">
        <v>130</v>
      </c>
      <c r="C42" s="9">
        <f ca="1">V9+2</f>
        <v>10</v>
      </c>
      <c r="M42" s="427" t="s">
        <v>130</v>
      </c>
      <c r="N42" s="9">
        <f ca="1">V16+1</f>
        <v>10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1140630065876040.5</v>
      </c>
      <c r="E46" s="428">
        <f ca="1">D46/C46</f>
        <v>1140630065876040.5</v>
      </c>
      <c r="F46" s="6">
        <f ca="1">E46/E47</f>
        <v>9.0198078664048591</v>
      </c>
      <c r="G46" s="426">
        <f ca="1">FDIST(F46,C46,C47)</f>
        <v>1.698605671582238E-2</v>
      </c>
      <c r="M46" s="426" t="s">
        <v>137</v>
      </c>
      <c r="N46" s="60">
        <v>1</v>
      </c>
      <c r="O46" s="428">
        <f ca="1">U17</f>
        <v>0.31530188540238635</v>
      </c>
      <c r="P46" s="428">
        <f ca="1">O46/N46</f>
        <v>0.31530188540238635</v>
      </c>
      <c r="Q46" s="6">
        <f ca="1">P46/P47</f>
        <v>58.862397242109665</v>
      </c>
      <c r="R46" s="426">
        <f ca="1">FDIST(Q46,N46,N47)</f>
        <v>3.0871779345958567E-5</v>
      </c>
    </row>
    <row r="47" spans="2:18" x14ac:dyDescent="0.3">
      <c r="B47" s="426" t="s">
        <v>138</v>
      </c>
      <c r="C47" s="8">
        <f ca="1">C42-C46-1</f>
        <v>8</v>
      </c>
      <c r="D47" s="428">
        <f ca="1">V10</f>
        <v>1011666840598169.9</v>
      </c>
      <c r="E47" s="428">
        <f ca="1">D47/C47</f>
        <v>126458355074771.23</v>
      </c>
      <c r="F47" s="426"/>
      <c r="G47" s="426"/>
      <c r="M47" s="426" t="s">
        <v>138</v>
      </c>
      <c r="N47" s="60">
        <f ca="1">N42-N46</f>
        <v>9</v>
      </c>
      <c r="O47" s="428">
        <f ca="1">V17</f>
        <v>4.8209333998911592E-2</v>
      </c>
      <c r="P47" s="428">
        <f ca="1">O47/N47</f>
        <v>5.3565926665457321E-3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9</v>
      </c>
      <c r="D48" s="429">
        <f ca="1">D46+D47</f>
        <v>2152296906474210.5</v>
      </c>
      <c r="E48" s="427"/>
      <c r="F48" s="427"/>
      <c r="G48" s="427"/>
      <c r="M48" s="427" t="s">
        <v>0</v>
      </c>
      <c r="N48" s="60">
        <f ca="1">N46+N47</f>
        <v>10</v>
      </c>
      <c r="O48" s="429">
        <f ca="1">O46+O47</f>
        <v>0.36351121940129794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123647039.61835818</v>
      </c>
      <c r="D51" s="8">
        <f ca="1">V7</f>
        <v>6609509.3290867377</v>
      </c>
      <c r="E51" s="6">
        <f ca="1">C51/D51</f>
        <v>18.707446114678984</v>
      </c>
      <c r="F51" s="7">
        <f ca="1">TDIST(ABS(E51),C47,2)</f>
        <v>6.882690636955677E-8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3718308.6182181882</v>
      </c>
      <c r="D52" s="9">
        <f ca="1">U7</f>
        <v>1238074.5318278959</v>
      </c>
      <c r="E52" s="427">
        <f ca="1">C52/D52</f>
        <v>3.0032994966211519</v>
      </c>
      <c r="F52" s="11">
        <f ca="1">TDIST(ABS(E52),C47,2)</f>
        <v>1.6986056715822366E-2</v>
      </c>
      <c r="M52" s="427" t="s">
        <v>114</v>
      </c>
      <c r="N52" s="10">
        <f ca="1">U13</f>
        <v>2.8617580891998805E-2</v>
      </c>
      <c r="O52" s="9">
        <f ca="1">U14</f>
        <v>3.7300439280675488E-3</v>
      </c>
      <c r="P52" s="430">
        <f ca="1">N52/O52</f>
        <v>7.6721833425765915</v>
      </c>
      <c r="Q52" s="11">
        <f ca="1">TDIST(ABS(P52),N47,2)</f>
        <v>3.0871779345958458E-5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52"/>
  <sheetViews>
    <sheetView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4" style="15" customWidth="1"/>
    <col min="4" max="4" width="14.33203125" style="15" customWidth="1"/>
    <col min="5" max="5" width="15" style="15" customWidth="1"/>
    <col min="6" max="6" width="11.88671875" style="15" customWidth="1"/>
    <col min="7" max="12" width="9.109375" style="15"/>
    <col min="13" max="13" width="18" style="15" bestFit="1" customWidth="1"/>
    <col min="14" max="20" width="9.109375" style="15"/>
    <col min="21" max="21" width="12.33203125" style="15" bestFit="1" customWidth="1"/>
    <col min="22" max="22" width="12.5546875" style="15" bestFit="1" customWidth="1"/>
    <col min="23" max="16384" width="9.109375" style="15"/>
  </cols>
  <sheetData>
    <row r="1" spans="2:23" x14ac:dyDescent="0.3">
      <c r="B1" s="66"/>
    </row>
    <row r="5" spans="2:23" ht="28.8" x14ac:dyDescent="0.3">
      <c r="B5" s="64" t="s">
        <v>112</v>
      </c>
      <c r="C5" s="119" t="s">
        <v>142</v>
      </c>
      <c r="D5" s="119" t="s">
        <v>148</v>
      </c>
      <c r="E5" s="119" t="str">
        <f>"Ln("&amp;D5&amp;")"</f>
        <v>Ln(CBR O&amp;M)</v>
      </c>
      <c r="F5" s="119" t="s">
        <v>114</v>
      </c>
    </row>
    <row r="6" spans="2:23" x14ac:dyDescent="0.3">
      <c r="B6" s="15">
        <v>2008</v>
      </c>
      <c r="D6" s="162">
        <f ca="1">OFFSET(Gas_CBR!$C$108,0,$B6-$B$6)</f>
        <v>128599260</v>
      </c>
      <c r="E6" s="425"/>
      <c r="T6" s="15" t="s">
        <v>115</v>
      </c>
      <c r="U6" s="60">
        <f t="array" aca="1" ref="U6:V10" ca="1">LINEST(D7:D16,C7:C16,,TRUE)</f>
        <v>2838516.3723632954</v>
      </c>
      <c r="V6" s="60">
        <f ca="1"/>
        <v>125699980.94979885</v>
      </c>
      <c r="W6" s="15" t="s">
        <v>116</v>
      </c>
    </row>
    <row r="7" spans="2:23" x14ac:dyDescent="0.3">
      <c r="B7" s="15">
        <v>2009</v>
      </c>
      <c r="C7" s="15">
        <v>0</v>
      </c>
      <c r="D7" s="162">
        <f ca="1">OFFSET(Gas_CBR!$C$108,0,$B7-$B$6)</f>
        <v>135519644</v>
      </c>
      <c r="E7" s="425">
        <f t="shared" ref="E7:E16" ca="1" si="0">LN(D7/$D$6)</f>
        <v>5.2415546471622165E-2</v>
      </c>
      <c r="F7" s="15">
        <v>1</v>
      </c>
      <c r="T7" s="15" t="s">
        <v>117</v>
      </c>
      <c r="U7" s="60">
        <f ca="1"/>
        <v>829194.18197867984</v>
      </c>
      <c r="V7" s="60">
        <f ca="1"/>
        <v>4426685.5835577277</v>
      </c>
      <c r="W7" s="15" t="s">
        <v>118</v>
      </c>
    </row>
    <row r="8" spans="2:23" x14ac:dyDescent="0.3">
      <c r="B8" s="15">
        <f>B7+1</f>
        <v>2010</v>
      </c>
      <c r="C8" s="15">
        <v>1</v>
      </c>
      <c r="D8" s="162">
        <f ca="1">OFFSET(Gas_CBR!$C$108,0,$B8-$B$6)</f>
        <v>127529343</v>
      </c>
      <c r="E8" s="425">
        <f t="shared" ca="1" si="0"/>
        <v>-8.354578213602375E-3</v>
      </c>
      <c r="F8" s="15">
        <v>2</v>
      </c>
      <c r="T8" s="15" t="s">
        <v>119</v>
      </c>
      <c r="U8" s="95">
        <f ca="1"/>
        <v>0.59428867731324164</v>
      </c>
      <c r="V8" s="60">
        <f ca="1"/>
        <v>7531530.1760499896</v>
      </c>
      <c r="W8" s="15" t="s">
        <v>120</v>
      </c>
    </row>
    <row r="9" spans="2:23" x14ac:dyDescent="0.3">
      <c r="B9" s="15">
        <f t="shared" ref="B9:B20" si="1">B8+1</f>
        <v>2011</v>
      </c>
      <c r="C9" s="15">
        <v>2</v>
      </c>
      <c r="D9" s="162">
        <f ca="1">OFFSET(Gas_CBR!$C$108,0,$B9-$B$6)</f>
        <v>131747021.83093703</v>
      </c>
      <c r="E9" s="425">
        <f t="shared" ca="1" si="0"/>
        <v>2.4182524957075829E-2</v>
      </c>
      <c r="F9" s="15">
        <v>3</v>
      </c>
      <c r="T9" s="15" t="s">
        <v>121</v>
      </c>
      <c r="U9" s="95">
        <f ca="1"/>
        <v>11.718453867694102</v>
      </c>
      <c r="V9" s="15">
        <f ca="1"/>
        <v>8</v>
      </c>
      <c r="W9" s="15" t="s">
        <v>122</v>
      </c>
    </row>
    <row r="10" spans="2:23" x14ac:dyDescent="0.3">
      <c r="B10" s="15">
        <f t="shared" si="1"/>
        <v>2012</v>
      </c>
      <c r="C10" s="15">
        <v>3</v>
      </c>
      <c r="D10" s="162">
        <f ca="1">OFFSET(Gas_CBR!$C$108,0,$B10-$B$6)</f>
        <v>131203425.31619304</v>
      </c>
      <c r="E10" s="425">
        <f t="shared" ca="1" si="0"/>
        <v>2.0047926251990495E-2</v>
      </c>
      <c r="F10" s="15">
        <v>4</v>
      </c>
      <c r="T10" s="15" t="s">
        <v>123</v>
      </c>
      <c r="U10" s="15">
        <f ca="1"/>
        <v>664716953684394.25</v>
      </c>
      <c r="V10" s="15">
        <f ca="1"/>
        <v>453791574342012.69</v>
      </c>
      <c r="W10" s="15" t="s">
        <v>124</v>
      </c>
    </row>
    <row r="11" spans="2:23" x14ac:dyDescent="0.3">
      <c r="B11" s="15">
        <f t="shared" si="1"/>
        <v>2013</v>
      </c>
      <c r="C11" s="15">
        <v>4</v>
      </c>
      <c r="D11" s="162">
        <f ca="1">OFFSET(Gas_CBR!$C$108,0,$B11-$B$6)</f>
        <v>133566477.45515747</v>
      </c>
      <c r="E11" s="425">
        <f t="shared" ca="1" si="0"/>
        <v>3.7898254855593901E-2</v>
      </c>
      <c r="F11" s="15">
        <v>5</v>
      </c>
    </row>
    <row r="12" spans="2:23" x14ac:dyDescent="0.3">
      <c r="B12" s="15">
        <f t="shared" si="1"/>
        <v>2014</v>
      </c>
      <c r="C12" s="15">
        <v>5</v>
      </c>
      <c r="D12" s="162">
        <f ca="1">OFFSET(Gas_CBR!$C$108,0,$B12-$B$6)</f>
        <v>137313915.37905002</v>
      </c>
      <c r="E12" s="425">
        <f t="shared" ca="1" si="0"/>
        <v>6.5568600303371652E-2</v>
      </c>
      <c r="F12" s="15">
        <v>6</v>
      </c>
    </row>
    <row r="13" spans="2:23" x14ac:dyDescent="0.3">
      <c r="B13" s="15">
        <f t="shared" si="1"/>
        <v>2015</v>
      </c>
      <c r="C13" s="15">
        <v>6</v>
      </c>
      <c r="D13" s="162">
        <f ca="1">OFFSET(Gas_CBR!$C$108,0,$B13-$B$6)</f>
        <v>128884370.18793435</v>
      </c>
      <c r="E13" s="425">
        <f t="shared" ca="1" si="0"/>
        <v>2.2145897527617595E-3</v>
      </c>
      <c r="F13" s="15">
        <v>7</v>
      </c>
      <c r="T13" s="15" t="s">
        <v>115</v>
      </c>
      <c r="U13" s="13">
        <f t="array" aca="1" ref="U13:V17" ca="1">LINEST(E7:E16,F7:F16,FALSE,TRUE)</f>
        <v>1.4408273721181312E-2</v>
      </c>
      <c r="V13" s="13">
        <f ca="1"/>
        <v>0</v>
      </c>
      <c r="W13" s="15" t="s">
        <v>116</v>
      </c>
    </row>
    <row r="14" spans="2:23" x14ac:dyDescent="0.3">
      <c r="B14" s="15">
        <f t="shared" si="1"/>
        <v>2016</v>
      </c>
      <c r="C14" s="15">
        <v>7</v>
      </c>
      <c r="D14" s="162">
        <f ca="1">OFFSET(Gas_CBR!$C$108,0,$B14-$B$6)</f>
        <v>143255194.49096596</v>
      </c>
      <c r="E14" s="425">
        <f t="shared" ca="1" si="0"/>
        <v>0.107926559144313</v>
      </c>
      <c r="F14" s="15">
        <v>8</v>
      </c>
      <c r="T14" s="15" t="s">
        <v>117</v>
      </c>
      <c r="U14" s="13">
        <f ca="1"/>
        <v>2.702920662168993E-3</v>
      </c>
      <c r="V14" s="13" t="e">
        <f ca="1"/>
        <v>#N/A</v>
      </c>
      <c r="W14" s="15" t="s">
        <v>118</v>
      </c>
    </row>
    <row r="15" spans="2:23" x14ac:dyDescent="0.3">
      <c r="B15" s="15">
        <f t="shared" si="1"/>
        <v>2017</v>
      </c>
      <c r="C15" s="15">
        <v>8</v>
      </c>
      <c r="D15" s="162">
        <f ca="1">OFFSET(Gas_CBR!$C$108,0,$B15-$B$6)</f>
        <v>157508314.37310475</v>
      </c>
      <c r="E15" s="425">
        <f t="shared" ca="1" si="0"/>
        <v>0.20277718903273279</v>
      </c>
      <c r="F15" s="15">
        <v>9</v>
      </c>
      <c r="T15" s="15" t="s">
        <v>119</v>
      </c>
      <c r="U15" s="15">
        <f ca="1"/>
        <v>0.75945882080338056</v>
      </c>
      <c r="V15" s="15">
        <f ca="1"/>
        <v>5.3035133079896442E-2</v>
      </c>
      <c r="W15" s="15" t="s">
        <v>120</v>
      </c>
    </row>
    <row r="16" spans="2:23" x14ac:dyDescent="0.3">
      <c r="B16" s="15">
        <f t="shared" si="1"/>
        <v>2018</v>
      </c>
      <c r="C16" s="15">
        <v>9</v>
      </c>
      <c r="D16" s="162">
        <f ca="1">OFFSET(Gas_CBR!$C$108,0,$B16-$B$6)</f>
        <v>158205340.22099435</v>
      </c>
      <c r="E16" s="425">
        <f t="shared" ca="1" si="0"/>
        <v>0.20719275339145668</v>
      </c>
      <c r="F16" s="15">
        <v>10</v>
      </c>
      <c r="T16" s="15" t="s">
        <v>121</v>
      </c>
      <c r="U16" s="15">
        <f ca="1"/>
        <v>28.415630995320612</v>
      </c>
      <c r="V16" s="15">
        <f ca="1"/>
        <v>9</v>
      </c>
      <c r="W16" s="15" t="s">
        <v>122</v>
      </c>
    </row>
    <row r="17" spans="2:23" x14ac:dyDescent="0.3">
      <c r="B17" s="15">
        <f t="shared" si="1"/>
        <v>2019</v>
      </c>
      <c r="C17" s="15">
        <v>10</v>
      </c>
      <c r="D17" s="162"/>
      <c r="T17" s="15" t="s">
        <v>123</v>
      </c>
      <c r="U17" s="15">
        <f ca="1"/>
        <v>7.9925365375426299E-2</v>
      </c>
      <c r="V17" s="15">
        <f ca="1"/>
        <v>2.5314528067220933E-2</v>
      </c>
      <c r="W17" s="15" t="s">
        <v>124</v>
      </c>
    </row>
    <row r="18" spans="2:23" x14ac:dyDescent="0.3">
      <c r="B18" s="15">
        <f t="shared" si="1"/>
        <v>2020</v>
      </c>
      <c r="C18" s="15">
        <v>11</v>
      </c>
      <c r="D18" s="162"/>
    </row>
    <row r="19" spans="2:23" x14ac:dyDescent="0.3">
      <c r="B19" s="15">
        <f t="shared" si="1"/>
        <v>2021</v>
      </c>
      <c r="C19" s="15">
        <v>12</v>
      </c>
      <c r="D19" s="162"/>
    </row>
    <row r="20" spans="2:23" x14ac:dyDescent="0.3">
      <c r="B20" s="15">
        <f t="shared" si="1"/>
        <v>2022</v>
      </c>
      <c r="C20" s="15">
        <v>13</v>
      </c>
      <c r="D20" s="162"/>
    </row>
    <row r="25" spans="2:23" x14ac:dyDescent="0.3">
      <c r="B25" s="15" t="s">
        <v>2</v>
      </c>
      <c r="D25" s="52">
        <f ca="1">RATE(3,,-D13,D16)</f>
        <v>7.0714362856023436E-2</v>
      </c>
      <c r="E25" s="52"/>
    </row>
    <row r="26" spans="2:23" x14ac:dyDescent="0.3">
      <c r="B26" s="15" t="s">
        <v>3</v>
      </c>
      <c r="D26" s="52">
        <f ca="1">RATE(5,,-D11,D16)</f>
        <v>3.4438636835593318E-2</v>
      </c>
      <c r="E26" s="52"/>
    </row>
    <row r="27" spans="2:23" x14ac:dyDescent="0.3">
      <c r="B27" s="15" t="s">
        <v>4</v>
      </c>
      <c r="D27" s="52">
        <f ca="1">RATE(10,,-D6,D16)</f>
        <v>2.0935409659044297E-2</v>
      </c>
      <c r="E27" s="52"/>
    </row>
    <row r="28" spans="2:23" x14ac:dyDescent="0.3">
      <c r="B28" s="15" t="s">
        <v>5</v>
      </c>
      <c r="D28" s="52">
        <f ca="1">$C$52/D16</f>
        <v>1.7941975715852702E-2</v>
      </c>
      <c r="E28" s="52"/>
    </row>
    <row r="29" spans="2:23" x14ac:dyDescent="0.3">
      <c r="B29" s="15" t="s">
        <v>6</v>
      </c>
      <c r="D29" s="52">
        <f ca="1">$C$52/AVERAGE(D7:D16)</f>
        <v>2.0498654091063984E-2</v>
      </c>
      <c r="E29" s="52"/>
    </row>
    <row r="30" spans="2:23" x14ac:dyDescent="0.3">
      <c r="B30" s="15" t="s">
        <v>7</v>
      </c>
      <c r="D30" s="52">
        <f ca="1">EXP(N52)-1</f>
        <v>1.4512573220204494E-2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0.77090121112451349</v>
      </c>
      <c r="M38" s="426" t="s">
        <v>127</v>
      </c>
      <c r="N38" s="7">
        <f ca="1">N39^0.5</f>
        <v>0.87146934587705416</v>
      </c>
    </row>
    <row r="39" spans="2:18" x14ac:dyDescent="0.3">
      <c r="B39" s="426" t="s">
        <v>128</v>
      </c>
      <c r="C39" s="7">
        <f ca="1">U8</f>
        <v>0.59428867731324164</v>
      </c>
      <c r="M39" s="426" t="s">
        <v>128</v>
      </c>
      <c r="N39" s="7">
        <f ca="1">U15</f>
        <v>0.75945882080338056</v>
      </c>
    </row>
    <row r="40" spans="2:18" x14ac:dyDescent="0.3">
      <c r="B40" s="426" t="s">
        <v>129</v>
      </c>
      <c r="C40" s="7">
        <f ca="1">1-(1-C39)*(C42-1)/(C42-2)</f>
        <v>0.54357476197739685</v>
      </c>
      <c r="M40" s="426" t="s">
        <v>129</v>
      </c>
      <c r="N40" s="7">
        <f ca="1">1-(1-N39)*(N42-1)/(N42-2)</f>
        <v>0.72939117340380311</v>
      </c>
    </row>
    <row r="41" spans="2:18" x14ac:dyDescent="0.3">
      <c r="B41" s="426" t="s">
        <v>120</v>
      </c>
      <c r="C41" s="8">
        <f ca="1">V8</f>
        <v>7531530.1760499896</v>
      </c>
      <c r="M41" s="426" t="s">
        <v>120</v>
      </c>
      <c r="N41" s="6">
        <f ca="1">V15</f>
        <v>5.3035133079896442E-2</v>
      </c>
    </row>
    <row r="42" spans="2:18" ht="15" thickBot="1" x14ac:dyDescent="0.35">
      <c r="B42" s="427" t="s">
        <v>130</v>
      </c>
      <c r="C42" s="9">
        <f ca="1">V9+2</f>
        <v>10</v>
      </c>
      <c r="M42" s="427" t="s">
        <v>130</v>
      </c>
      <c r="N42" s="9">
        <f ca="1">V16+1</f>
        <v>10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664716953684394.25</v>
      </c>
      <c r="E46" s="428">
        <f ca="1">D46/C46</f>
        <v>664716953684394.25</v>
      </c>
      <c r="F46" s="6">
        <f ca="1">E46/E47</f>
        <v>11.718453867694102</v>
      </c>
      <c r="G46" s="426">
        <f ca="1">FDIST(F46,C46,C47)</f>
        <v>9.0448229429357704E-3</v>
      </c>
      <c r="M46" s="426" t="s">
        <v>137</v>
      </c>
      <c r="N46" s="60">
        <v>1</v>
      </c>
      <c r="O46" s="428">
        <f ca="1">U17</f>
        <v>7.9925365375426299E-2</v>
      </c>
      <c r="P46" s="428">
        <f ca="1">O46/N46</f>
        <v>7.9925365375426299E-2</v>
      </c>
      <c r="Q46" s="6">
        <f ca="1">P46/P47</f>
        <v>28.415630995320612</v>
      </c>
      <c r="R46" s="426">
        <f ca="1">FDIST(Q46,N46,N47)</f>
        <v>4.7428970842240583E-4</v>
      </c>
    </row>
    <row r="47" spans="2:18" x14ac:dyDescent="0.3">
      <c r="B47" s="426" t="s">
        <v>138</v>
      </c>
      <c r="C47" s="8">
        <f ca="1">C42-C46-1</f>
        <v>8</v>
      </c>
      <c r="D47" s="428">
        <f ca="1">V10</f>
        <v>453791574342012.69</v>
      </c>
      <c r="E47" s="428">
        <f ca="1">D47/C47</f>
        <v>56723946792751.586</v>
      </c>
      <c r="F47" s="426"/>
      <c r="G47" s="426"/>
      <c r="M47" s="426" t="s">
        <v>138</v>
      </c>
      <c r="N47" s="60">
        <f ca="1">N42-N46</f>
        <v>9</v>
      </c>
      <c r="O47" s="428">
        <f ca="1">V17</f>
        <v>2.5314528067220933E-2</v>
      </c>
      <c r="P47" s="428">
        <f ca="1">O47/N47</f>
        <v>2.8127253408023259E-3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9</v>
      </c>
      <c r="D48" s="429">
        <f ca="1">D46+D47</f>
        <v>1118508528026407</v>
      </c>
      <c r="E48" s="427"/>
      <c r="F48" s="427"/>
      <c r="G48" s="427"/>
      <c r="M48" s="427" t="s">
        <v>0</v>
      </c>
      <c r="N48" s="60">
        <f ca="1">N46+N47</f>
        <v>10</v>
      </c>
      <c r="O48" s="429">
        <f ca="1">O46+O47</f>
        <v>0.10523989344264723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125699980.94979885</v>
      </c>
      <c r="D51" s="8">
        <f ca="1">V7</f>
        <v>4426685.5835577277</v>
      </c>
      <c r="E51" s="6">
        <f ca="1">C51/D51</f>
        <v>28.395958686718782</v>
      </c>
      <c r="F51" s="7">
        <f ca="1">TDIST(ABS(E51),C47,2)</f>
        <v>2.5569901592225455E-9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2838516.3723632954</v>
      </c>
      <c r="D52" s="9">
        <f ca="1">U7</f>
        <v>829194.18197867984</v>
      </c>
      <c r="E52" s="427">
        <f ca="1">C52/D52</f>
        <v>3.4232227312423174</v>
      </c>
      <c r="F52" s="11">
        <f ca="1">TDIST(ABS(E52),C47,2)</f>
        <v>9.0448229429357548E-3</v>
      </c>
      <c r="M52" s="427" t="s">
        <v>114</v>
      </c>
      <c r="N52" s="10">
        <f ca="1">U13</f>
        <v>1.4408273721181312E-2</v>
      </c>
      <c r="O52" s="9">
        <f ca="1">U14</f>
        <v>2.702920662168993E-3</v>
      </c>
      <c r="P52" s="430">
        <f ca="1">N52/O52</f>
        <v>5.3306313880553233</v>
      </c>
      <c r="Q52" s="11">
        <f ca="1">TDIST(ABS(P52),N47,2)</f>
        <v>4.7428970842240545E-4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217"/>
  <sheetViews>
    <sheetView topLeftCell="A49" zoomScale="70" zoomScaleNormal="70"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4.88671875" style="15" customWidth="1"/>
    <col min="4" max="4" width="17.109375" style="15" bestFit="1" customWidth="1"/>
    <col min="5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5546875" style="15" bestFit="1" customWidth="1"/>
    <col min="15" max="18" width="12.109375" style="15" customWidth="1"/>
    <col min="19" max="20" width="9.109375" style="15"/>
    <col min="21" max="21" width="15.6640625" style="15" bestFit="1" customWidth="1"/>
    <col min="22" max="22" width="17.88671875" style="15" bestFit="1" customWidth="1"/>
    <col min="23" max="23" width="16.44140625" style="15" bestFit="1" customWidth="1"/>
    <col min="24" max="16384" width="9.109375" style="15"/>
  </cols>
  <sheetData>
    <row r="5" spans="2:23" ht="28.8" x14ac:dyDescent="0.3">
      <c r="B5" s="64" t="s">
        <v>112</v>
      </c>
      <c r="C5" s="119" t="s">
        <v>113</v>
      </c>
      <c r="D5" s="119" t="s">
        <v>208</v>
      </c>
      <c r="E5" s="119" t="str">
        <f>"ln("&amp;D5&amp;")"</f>
        <v>ln(Other supply expenses)</v>
      </c>
      <c r="F5" s="119" t="s">
        <v>114</v>
      </c>
    </row>
    <row r="6" spans="2:23" x14ac:dyDescent="0.3">
      <c r="B6" s="15">
        <v>2008</v>
      </c>
      <c r="D6" s="162">
        <f ca="1">OFFSET(Gas_CBR!$C$24,0,$B6-Gas_CBR!$C$7)</f>
        <v>1873117</v>
      </c>
      <c r="E6" s="162"/>
      <c r="T6" s="15" t="s">
        <v>115</v>
      </c>
      <c r="U6" s="60">
        <f t="array" aca="1" ref="U6:V10" ca="1">LINEST(D7:D16,C7:C16,,TRUE)</f>
        <v>357786.57442424202</v>
      </c>
      <c r="V6" s="60">
        <f ca="1"/>
        <v>949374.95109090838</v>
      </c>
      <c r="W6" s="15" t="s">
        <v>116</v>
      </c>
    </row>
    <row r="7" spans="2:23" x14ac:dyDescent="0.3">
      <c r="B7" s="15">
        <v>2009</v>
      </c>
      <c r="C7" s="15">
        <v>0</v>
      </c>
      <c r="D7" s="162">
        <f ca="1">OFFSET(Gas_CBR!$C$24,0,$B7-Gas_CBR!$C$7)</f>
        <v>1892293</v>
      </c>
      <c r="E7" s="425">
        <f ca="1">LN(D7/$D$6)</f>
        <v>1.0185433076930589E-2</v>
      </c>
      <c r="F7" s="15">
        <v>1</v>
      </c>
      <c r="T7" s="15" t="s">
        <v>117</v>
      </c>
      <c r="U7" s="60">
        <f ca="1"/>
        <v>110833.26976502452</v>
      </c>
      <c r="V7" s="60">
        <f ca="1"/>
        <v>591687.74710483139</v>
      </c>
      <c r="W7" s="15" t="s">
        <v>118</v>
      </c>
    </row>
    <row r="8" spans="2:23" x14ac:dyDescent="0.3">
      <c r="B8" s="15">
        <f>B7+1</f>
        <v>2010</v>
      </c>
      <c r="C8" s="15">
        <v>1</v>
      </c>
      <c r="D8" s="162">
        <f ca="1">OFFSET(Gas_CBR!$C$24,0,$B8-Gas_CBR!$C$7)</f>
        <v>1937122</v>
      </c>
      <c r="E8" s="425">
        <f t="shared" ref="E8:E16" ca="1" si="0">LN(D8/$D$6)</f>
        <v>3.3599478295254295E-2</v>
      </c>
      <c r="F8" s="15">
        <v>2</v>
      </c>
      <c r="T8" s="15" t="s">
        <v>119</v>
      </c>
      <c r="U8" s="95">
        <f ca="1"/>
        <v>0.56571213558454714</v>
      </c>
      <c r="V8" s="60">
        <f ca="1"/>
        <v>1006693.1653495779</v>
      </c>
      <c r="W8" s="15" t="s">
        <v>120</v>
      </c>
    </row>
    <row r="9" spans="2:23" x14ac:dyDescent="0.3">
      <c r="B9" s="15">
        <f t="shared" ref="B9:B20" si="1">B8+1</f>
        <v>2011</v>
      </c>
      <c r="C9" s="15">
        <v>2</v>
      </c>
      <c r="D9" s="162">
        <f ca="1">OFFSET(Gas_CBR!$C$24,0,$B9-Gas_CBR!$C$7)</f>
        <v>1575816</v>
      </c>
      <c r="E9" s="425">
        <f t="shared" ca="1" si="0"/>
        <v>-0.17283065479137391</v>
      </c>
      <c r="F9" s="15">
        <v>3</v>
      </c>
      <c r="T9" s="15" t="s">
        <v>121</v>
      </c>
      <c r="U9" s="95">
        <f ca="1"/>
        <v>10.420961430197734</v>
      </c>
      <c r="V9" s="15">
        <f ca="1"/>
        <v>8</v>
      </c>
      <c r="W9" s="15" t="s">
        <v>122</v>
      </c>
    </row>
    <row r="10" spans="2:23" x14ac:dyDescent="0.3">
      <c r="B10" s="15">
        <f t="shared" si="1"/>
        <v>2012</v>
      </c>
      <c r="C10" s="15">
        <v>3</v>
      </c>
      <c r="D10" s="162">
        <f ca="1">OFFSET(Gas_CBR!$C$24,0,$B10-Gas_CBR!$C$7)</f>
        <v>1692833.95</v>
      </c>
      <c r="E10" s="425">
        <f t="shared" ca="1" si="0"/>
        <v>-0.10119987013203158</v>
      </c>
      <c r="F10" s="15">
        <v>4</v>
      </c>
      <c r="T10" s="15" t="s">
        <v>123</v>
      </c>
      <c r="U10" s="15">
        <f ca="1"/>
        <v>10560926709154.275</v>
      </c>
      <c r="V10" s="15">
        <f ca="1"/>
        <v>8107449033292.4199</v>
      </c>
      <c r="W10" s="15" t="s">
        <v>124</v>
      </c>
    </row>
    <row r="11" spans="2:23" x14ac:dyDescent="0.3">
      <c r="B11" s="15">
        <f t="shared" si="1"/>
        <v>2013</v>
      </c>
      <c r="C11" s="15">
        <v>4</v>
      </c>
      <c r="D11" s="162">
        <f ca="1">OFFSET(Gas_CBR!$C$24,0,$B11-Gas_CBR!$C$7)</f>
        <v>1806137.98999999</v>
      </c>
      <c r="E11" s="425">
        <f t="shared" ca="1" si="0"/>
        <v>-3.6413029643065448E-2</v>
      </c>
      <c r="F11" s="15">
        <v>5</v>
      </c>
    </row>
    <row r="12" spans="2:23" x14ac:dyDescent="0.3">
      <c r="B12" s="15">
        <f t="shared" si="1"/>
        <v>2014</v>
      </c>
      <c r="C12" s="15">
        <v>5</v>
      </c>
      <c r="D12" s="162">
        <f ca="1">OFFSET(Gas_CBR!$C$24,0,$B12-Gas_CBR!$C$7)</f>
        <v>1887106.65</v>
      </c>
      <c r="E12" s="425">
        <f t="shared" ca="1" si="0"/>
        <v>7.4408949302381651E-3</v>
      </c>
      <c r="F12" s="15">
        <v>6</v>
      </c>
    </row>
    <row r="13" spans="2:23" x14ac:dyDescent="0.3">
      <c r="B13" s="15">
        <f t="shared" si="1"/>
        <v>2015</v>
      </c>
      <c r="C13" s="15">
        <v>6</v>
      </c>
      <c r="D13" s="162">
        <f ca="1">OFFSET(Gas_CBR!$C$24,0,$B13-Gas_CBR!$C$7)</f>
        <v>2044530.2899999998</v>
      </c>
      <c r="E13" s="425">
        <f t="shared" ca="1" si="0"/>
        <v>8.7564187929026024E-2</v>
      </c>
      <c r="F13" s="15">
        <v>7</v>
      </c>
      <c r="T13" s="15" t="s">
        <v>115</v>
      </c>
      <c r="U13" s="13">
        <f t="array" aca="1" ref="U13:V17" ca="1">LINEST(E7:E16,F7:F16,FALSE,TRUE)</f>
        <v>5.4412650294745707E-2</v>
      </c>
      <c r="V13" s="13">
        <f ca="1"/>
        <v>0</v>
      </c>
      <c r="W13" s="15" t="s">
        <v>116</v>
      </c>
    </row>
    <row r="14" spans="2:23" x14ac:dyDescent="0.3">
      <c r="B14" s="15">
        <f t="shared" si="1"/>
        <v>2016</v>
      </c>
      <c r="C14" s="15">
        <v>7</v>
      </c>
      <c r="D14" s="162">
        <f ca="1">OFFSET(Gas_CBR!$C$24,0,$B14-Gas_CBR!$C$7)</f>
        <v>2485003.6</v>
      </c>
      <c r="E14" s="425">
        <f t="shared" ca="1" si="0"/>
        <v>0.28267022009762977</v>
      </c>
      <c r="F14" s="15">
        <v>8</v>
      </c>
      <c r="T14" s="15" t="s">
        <v>117</v>
      </c>
      <c r="U14" s="13">
        <f ca="1"/>
        <v>1.7207410630666792E-2</v>
      </c>
      <c r="V14" s="13" t="e">
        <f ca="1"/>
        <v>#N/A</v>
      </c>
      <c r="W14" s="15" t="s">
        <v>118</v>
      </c>
    </row>
    <row r="15" spans="2:23" x14ac:dyDescent="0.3">
      <c r="B15" s="15">
        <f t="shared" si="1"/>
        <v>2017</v>
      </c>
      <c r="C15" s="15">
        <v>8</v>
      </c>
      <c r="D15" s="162">
        <f ca="1">OFFSET(Gas_CBR!$C$24,0,$B15-Gas_CBR!$C$7)</f>
        <v>4258218.4099999899</v>
      </c>
      <c r="E15" s="425">
        <f t="shared" ca="1" si="0"/>
        <v>0.82124697104848354</v>
      </c>
      <c r="F15" s="15">
        <v>9</v>
      </c>
      <c r="T15" s="15" t="s">
        <v>119</v>
      </c>
      <c r="U15" s="15">
        <f ca="1"/>
        <v>0.5262978297595774</v>
      </c>
      <c r="V15" s="15">
        <f ca="1"/>
        <v>0.33763377724358096</v>
      </c>
      <c r="W15" s="15" t="s">
        <v>120</v>
      </c>
    </row>
    <row r="16" spans="2:23" x14ac:dyDescent="0.3">
      <c r="B16" s="15">
        <f t="shared" si="1"/>
        <v>2018</v>
      </c>
      <c r="C16" s="15">
        <v>9</v>
      </c>
      <c r="D16" s="162">
        <f ca="1">OFFSET(Gas_CBR!$C$24,0,$B16-Gas_CBR!$C$7)</f>
        <v>6015083.4699999988</v>
      </c>
      <c r="E16" s="425">
        <f t="shared" ca="1" si="0"/>
        <v>1.1666663381625229</v>
      </c>
      <c r="F16" s="15">
        <v>10</v>
      </c>
      <c r="T16" s="15" t="s">
        <v>121</v>
      </c>
      <c r="U16" s="15">
        <f ca="1"/>
        <v>9.9992796432242308</v>
      </c>
      <c r="V16" s="15">
        <f ca="1"/>
        <v>9</v>
      </c>
      <c r="W16" s="15" t="s">
        <v>122</v>
      </c>
    </row>
    <row r="17" spans="2:23" x14ac:dyDescent="0.3">
      <c r="B17" s="15">
        <f t="shared" si="1"/>
        <v>2019</v>
      </c>
      <c r="C17" s="15">
        <v>10</v>
      </c>
      <c r="D17" s="162"/>
      <c r="E17" s="162"/>
      <c r="T17" s="15" t="s">
        <v>123</v>
      </c>
      <c r="U17" s="15">
        <f ca="1"/>
        <v>1.1398835571578416</v>
      </c>
      <c r="V17" s="15">
        <f ca="1"/>
        <v>1.0259691078219124</v>
      </c>
      <c r="W17" s="15" t="s">
        <v>124</v>
      </c>
    </row>
    <row r="18" spans="2:23" x14ac:dyDescent="0.3">
      <c r="B18" s="15">
        <f t="shared" si="1"/>
        <v>2020</v>
      </c>
      <c r="C18" s="15">
        <v>11</v>
      </c>
      <c r="D18" s="162"/>
      <c r="E18" s="162"/>
    </row>
    <row r="19" spans="2:23" x14ac:dyDescent="0.3">
      <c r="B19" s="15">
        <f t="shared" si="1"/>
        <v>2021</v>
      </c>
      <c r="C19" s="15">
        <v>12</v>
      </c>
      <c r="D19" s="162"/>
      <c r="E19" s="162"/>
    </row>
    <row r="20" spans="2:23" x14ac:dyDescent="0.3">
      <c r="B20" s="15">
        <f t="shared" si="1"/>
        <v>2022</v>
      </c>
      <c r="C20" s="15">
        <v>13</v>
      </c>
      <c r="D20" s="162"/>
      <c r="E20" s="162"/>
    </row>
    <row r="22" spans="2:23" x14ac:dyDescent="0.3">
      <c r="C22" s="35"/>
      <c r="D22" s="35"/>
    </row>
    <row r="25" spans="2:23" x14ac:dyDescent="0.3">
      <c r="B25" s="15" t="s">
        <v>2</v>
      </c>
      <c r="D25" s="52">
        <f ca="1">RATE(3,,-D13,D16)</f>
        <v>0.43290050725253448</v>
      </c>
      <c r="E25" s="52"/>
    </row>
    <row r="26" spans="2:23" x14ac:dyDescent="0.3">
      <c r="B26" s="15" t="s">
        <v>3</v>
      </c>
      <c r="D26" s="52">
        <f ca="1">RATE(5,,-D11,D16)</f>
        <v>0.27203232020473866</v>
      </c>
      <c r="E26" s="52"/>
    </row>
    <row r="27" spans="2:23" x14ac:dyDescent="0.3">
      <c r="B27" s="15" t="s">
        <v>4</v>
      </c>
      <c r="D27" s="52">
        <f ca="1">RATE(10,,-D6,D16)</f>
        <v>0.12374474874263297</v>
      </c>
      <c r="E27" s="52"/>
    </row>
    <row r="28" spans="2:23" x14ac:dyDescent="0.3">
      <c r="B28" s="15" t="s">
        <v>5</v>
      </c>
      <c r="D28" s="52">
        <f ca="1">C52/D16</f>
        <v>5.9481564338830714E-2</v>
      </c>
      <c r="E28" s="52"/>
    </row>
    <row r="29" spans="2:23" x14ac:dyDescent="0.3">
      <c r="B29" s="15" t="s">
        <v>6</v>
      </c>
      <c r="D29" s="52">
        <f ca="1">C52/AVERAGE(D7:D16)</f>
        <v>0.13979235070822554</v>
      </c>
      <c r="E29" s="52"/>
    </row>
    <row r="30" spans="2:23" x14ac:dyDescent="0.3">
      <c r="B30" s="15" t="s">
        <v>7</v>
      </c>
      <c r="D30" s="52">
        <f ca="1">EXP(N52)-1</f>
        <v>5.5920238063720262E-2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0.75213837529044292</v>
      </c>
      <c r="M38" s="426" t="s">
        <v>127</v>
      </c>
      <c r="N38" s="7">
        <f ca="1">N39^0.5</f>
        <v>0.72546387212567476</v>
      </c>
    </row>
    <row r="39" spans="2:18" x14ac:dyDescent="0.3">
      <c r="B39" s="426" t="s">
        <v>128</v>
      </c>
      <c r="C39" s="7">
        <f ca="1">U8</f>
        <v>0.56571213558454714</v>
      </c>
      <c r="M39" s="426" t="s">
        <v>128</v>
      </c>
      <c r="N39" s="7">
        <f ca="1">U15</f>
        <v>0.5262978297595774</v>
      </c>
    </row>
    <row r="40" spans="2:18" x14ac:dyDescent="0.3">
      <c r="B40" s="426" t="s">
        <v>129</v>
      </c>
      <c r="C40" s="7">
        <f ca="1">1-(1-C39)*(C42-1)/(C42-2)</f>
        <v>0.51142615253261559</v>
      </c>
      <c r="M40" s="426" t="s">
        <v>129</v>
      </c>
      <c r="N40" s="7">
        <f ca="1">1-(1-N39)*(N42-1)/(N42-2)</f>
        <v>0.46708505847952453</v>
      </c>
    </row>
    <row r="41" spans="2:18" x14ac:dyDescent="0.3">
      <c r="B41" s="426" t="s">
        <v>120</v>
      </c>
      <c r="C41" s="8">
        <f ca="1">V8</f>
        <v>1006693.1653495779</v>
      </c>
      <c r="M41" s="426" t="s">
        <v>120</v>
      </c>
      <c r="N41" s="6">
        <f ca="1">V15</f>
        <v>0.33763377724358096</v>
      </c>
    </row>
    <row r="42" spans="2:18" ht="15" thickBot="1" x14ac:dyDescent="0.35">
      <c r="B42" s="427" t="s">
        <v>130</v>
      </c>
      <c r="C42" s="9">
        <f ca="1">V9+2</f>
        <v>10</v>
      </c>
      <c r="M42" s="427" t="s">
        <v>130</v>
      </c>
      <c r="N42" s="9">
        <f ca="1">V16+1</f>
        <v>10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10560926709154.275</v>
      </c>
      <c r="E46" s="428">
        <f ca="1">D46/C46</f>
        <v>10560926709154.275</v>
      </c>
      <c r="F46" s="6">
        <f ca="1">E46/E47</f>
        <v>10.420961430197734</v>
      </c>
      <c r="G46" s="426">
        <f ca="1">FDIST(F46,C46,C47)</f>
        <v>1.2090454223605216E-2</v>
      </c>
      <c r="M46" s="426" t="s">
        <v>137</v>
      </c>
      <c r="N46" s="60">
        <v>1</v>
      </c>
      <c r="O46" s="428">
        <f ca="1">U17</f>
        <v>1.1398835571578416</v>
      </c>
      <c r="P46" s="428">
        <f ca="1">O46/N46</f>
        <v>1.1398835571578416</v>
      </c>
      <c r="Q46" s="6">
        <f ca="1">P46/P47</f>
        <v>9.9992796432242308</v>
      </c>
      <c r="R46" s="426">
        <f ca="1">FDIST(Q46,N46,N47)</f>
        <v>1.1510093366738592E-2</v>
      </c>
    </row>
    <row r="47" spans="2:18" x14ac:dyDescent="0.3">
      <c r="B47" s="426" t="s">
        <v>138</v>
      </c>
      <c r="C47" s="8">
        <f ca="1">C42-C46-1</f>
        <v>8</v>
      </c>
      <c r="D47" s="428">
        <f ca="1">V10</f>
        <v>8107449033292.4199</v>
      </c>
      <c r="E47" s="428">
        <f ca="1">D47/C47</f>
        <v>1013431129161.5525</v>
      </c>
      <c r="F47" s="426"/>
      <c r="G47" s="426"/>
      <c r="M47" s="426" t="s">
        <v>138</v>
      </c>
      <c r="N47" s="60">
        <f ca="1">N42-N46</f>
        <v>9</v>
      </c>
      <c r="O47" s="428">
        <f ca="1">V17</f>
        <v>1.0259691078219124</v>
      </c>
      <c r="P47" s="428">
        <f ca="1">O47/N47</f>
        <v>0.11399656753576805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9</v>
      </c>
      <c r="D48" s="429">
        <f ca="1">D46+D47</f>
        <v>18668375742446.695</v>
      </c>
      <c r="E48" s="427"/>
      <c r="F48" s="427"/>
      <c r="G48" s="427"/>
      <c r="M48" s="427" t="s">
        <v>0</v>
      </c>
      <c r="N48" s="60">
        <f ca="1">N46+N47</f>
        <v>10</v>
      </c>
      <c r="O48" s="429">
        <f ca="1">O46+O47</f>
        <v>2.165852664979754</v>
      </c>
      <c r="P48" s="428"/>
      <c r="Q48" s="427"/>
      <c r="R48" s="427"/>
    </row>
    <row r="49" spans="2:23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23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23" x14ac:dyDescent="0.3">
      <c r="B51" s="426" t="s">
        <v>116</v>
      </c>
      <c r="C51" s="8">
        <f ca="1">V6</f>
        <v>949374.95109090838</v>
      </c>
      <c r="D51" s="8">
        <f ca="1">V7</f>
        <v>591687.74710483139</v>
      </c>
      <c r="E51" s="6">
        <f ca="1">C51/D51</f>
        <v>1.6045202148198352</v>
      </c>
      <c r="F51" s="7">
        <f ca="1">TDIST(ABS(E51),C47,2)</f>
        <v>0.1472669304267234</v>
      </c>
      <c r="M51" s="426" t="s">
        <v>116</v>
      </c>
      <c r="N51" s="8"/>
      <c r="O51" s="8"/>
      <c r="P51" s="6"/>
      <c r="Q51" s="7"/>
    </row>
    <row r="52" spans="2:23" ht="15" thickBot="1" x14ac:dyDescent="0.35">
      <c r="B52" s="427" t="s">
        <v>142</v>
      </c>
      <c r="C52" s="9">
        <f ca="1">U6</f>
        <v>357786.57442424202</v>
      </c>
      <c r="D52" s="9">
        <f ca="1">U7</f>
        <v>110833.26976502452</v>
      </c>
      <c r="E52" s="427">
        <f ca="1">C52/D52</f>
        <v>3.2281513951792493</v>
      </c>
      <c r="F52" s="11">
        <f ca="1">TDIST(ABS(E52),C47,2)</f>
        <v>1.2090454223605216E-2</v>
      </c>
      <c r="M52" s="427" t="s">
        <v>114</v>
      </c>
      <c r="N52" s="10">
        <f ca="1">U13</f>
        <v>5.4412650294745707E-2</v>
      </c>
      <c r="O52" s="9">
        <f ca="1">U14</f>
        <v>1.7207410630666792E-2</v>
      </c>
      <c r="P52" s="430">
        <f ca="1">N52/O52</f>
        <v>3.16216375971015</v>
      </c>
      <c r="Q52" s="11">
        <f ca="1">TDIST(ABS(P52),N47,2)</f>
        <v>1.1510093366738592E-2</v>
      </c>
    </row>
    <row r="60" spans="2:23" ht="28.8" x14ac:dyDescent="0.3">
      <c r="B60" s="64" t="s">
        <v>112</v>
      </c>
      <c r="C60" s="119" t="s">
        <v>113</v>
      </c>
      <c r="D60" s="119" t="s">
        <v>38</v>
      </c>
      <c r="E60" s="119" t="str">
        <f>"ln("&amp;D60&amp;")"</f>
        <v>ln(Distribution Expense)</v>
      </c>
      <c r="F60" s="119" t="s">
        <v>114</v>
      </c>
    </row>
    <row r="61" spans="2:23" x14ac:dyDescent="0.3">
      <c r="B61" s="15">
        <v>2008</v>
      </c>
      <c r="D61" s="162">
        <f ca="1">OFFSET(Gas_CBR!$C$26,0,$B61-Gas_CBR!$C$7)</f>
        <v>51612729</v>
      </c>
      <c r="E61" s="162"/>
      <c r="T61" s="15" t="s">
        <v>115</v>
      </c>
      <c r="U61" s="60">
        <f t="array" aca="1" ref="U61:V65" ca="1">LINEST(D62:D71,C62:C71,,TRUE)</f>
        <v>915637.23842424317</v>
      </c>
      <c r="V61" s="60">
        <f ca="1"/>
        <v>49755326.947090901</v>
      </c>
      <c r="W61" s="15" t="s">
        <v>116</v>
      </c>
    </row>
    <row r="62" spans="2:23" x14ac:dyDescent="0.3">
      <c r="B62" s="15">
        <v>2009</v>
      </c>
      <c r="C62" s="15">
        <v>0</v>
      </c>
      <c r="D62" s="162">
        <f ca="1">OFFSET(Gas_CBR!$C$26,0,$B62-Gas_CBR!$C$7)</f>
        <v>53931603</v>
      </c>
      <c r="E62" s="425">
        <f ca="1">LN(D62/$D$61)</f>
        <v>4.3948304511293883E-2</v>
      </c>
      <c r="F62" s="15">
        <v>1</v>
      </c>
      <c r="T62" s="15" t="s">
        <v>117</v>
      </c>
      <c r="U62" s="60">
        <f ca="1"/>
        <v>367517.51515589643</v>
      </c>
      <c r="V62" s="60">
        <f ca="1"/>
        <v>1962006.6341558048</v>
      </c>
      <c r="W62" s="15" t="s">
        <v>118</v>
      </c>
    </row>
    <row r="63" spans="2:23" x14ac:dyDescent="0.3">
      <c r="B63" s="15">
        <f>B62+1</f>
        <v>2010</v>
      </c>
      <c r="C63" s="15">
        <v>1</v>
      </c>
      <c r="D63" s="162">
        <f ca="1">OFFSET(Gas_CBR!$C$26,0,$B63-Gas_CBR!$C$7)</f>
        <v>50238405</v>
      </c>
      <c r="E63" s="425">
        <f t="shared" ref="E63:E71" ca="1" si="2">LN(D63/$D$61)</f>
        <v>-2.6988554067516782E-2</v>
      </c>
      <c r="F63" s="15">
        <v>2</v>
      </c>
      <c r="T63" s="15" t="s">
        <v>119</v>
      </c>
      <c r="U63" s="95">
        <f ca="1"/>
        <v>0.43690243943110563</v>
      </c>
      <c r="V63" s="60">
        <f ca="1"/>
        <v>3338143.6046963399</v>
      </c>
      <c r="W63" s="15" t="s">
        <v>120</v>
      </c>
    </row>
    <row r="64" spans="2:23" x14ac:dyDescent="0.3">
      <c r="B64" s="15">
        <f t="shared" ref="B64:B75" si="3">B63+1</f>
        <v>2011</v>
      </c>
      <c r="C64" s="15">
        <v>2</v>
      </c>
      <c r="D64" s="162">
        <f ca="1">OFFSET(Gas_CBR!$C$26,0,$B64-Gas_CBR!$C$7)</f>
        <v>52286164</v>
      </c>
      <c r="E64" s="425">
        <f t="shared" ca="1" si="2"/>
        <v>1.2963457289931042E-2</v>
      </c>
      <c r="F64" s="15">
        <v>3</v>
      </c>
      <c r="T64" s="15" t="s">
        <v>121</v>
      </c>
      <c r="U64" s="95">
        <f ca="1"/>
        <v>6.207129563689894</v>
      </c>
      <c r="V64" s="15">
        <f ca="1"/>
        <v>8</v>
      </c>
      <c r="W64" s="15" t="s">
        <v>122</v>
      </c>
    </row>
    <row r="65" spans="2:23" x14ac:dyDescent="0.3">
      <c r="B65" s="15">
        <f t="shared" si="3"/>
        <v>2012</v>
      </c>
      <c r="C65" s="15">
        <v>3</v>
      </c>
      <c r="D65" s="162">
        <f ca="1">OFFSET(Gas_CBR!$C$26,0,$B65-Gas_CBR!$C$7)</f>
        <v>51578669.069999903</v>
      </c>
      <c r="E65" s="425">
        <f t="shared" ca="1" si="2"/>
        <v>-6.6013121004250943E-4</v>
      </c>
      <c r="F65" s="15">
        <v>4</v>
      </c>
      <c r="T65" s="15" t="s">
        <v>123</v>
      </c>
      <c r="U65" s="15">
        <f ca="1"/>
        <v>69167303072106.844</v>
      </c>
      <c r="V65" s="15">
        <f ca="1"/>
        <v>89145621804600.594</v>
      </c>
      <c r="W65" s="15" t="s">
        <v>124</v>
      </c>
    </row>
    <row r="66" spans="2:23" x14ac:dyDescent="0.3">
      <c r="B66" s="15">
        <f t="shared" si="3"/>
        <v>2013</v>
      </c>
      <c r="C66" s="15">
        <v>4</v>
      </c>
      <c r="D66" s="162">
        <f ca="1">OFFSET(Gas_CBR!$C$26,0,$B66-Gas_CBR!$C$7)</f>
        <v>50241924.590000004</v>
      </c>
      <c r="E66" s="425">
        <f t="shared" ca="1" si="2"/>
        <v>-2.6918498763840771E-2</v>
      </c>
      <c r="F66" s="15">
        <v>5</v>
      </c>
    </row>
    <row r="67" spans="2:23" x14ac:dyDescent="0.3">
      <c r="B67" s="15">
        <f t="shared" si="3"/>
        <v>2014</v>
      </c>
      <c r="C67" s="15">
        <v>5</v>
      </c>
      <c r="D67" s="162">
        <f ca="1">OFFSET(Gas_CBR!$C$26,0,$B67-Gas_CBR!$C$7)</f>
        <v>51905731.789999999</v>
      </c>
      <c r="E67" s="425">
        <f t="shared" ca="1" si="2"/>
        <v>5.6608950755441673E-3</v>
      </c>
      <c r="F67" s="15">
        <v>6</v>
      </c>
    </row>
    <row r="68" spans="2:23" x14ac:dyDescent="0.3">
      <c r="B68" s="15">
        <f t="shared" si="3"/>
        <v>2015</v>
      </c>
      <c r="C68" s="15">
        <v>6</v>
      </c>
      <c r="D68" s="162">
        <f ca="1">OFFSET(Gas_CBR!$C$26,0,$B68-Gas_CBR!$C$7)</f>
        <v>49550744.18</v>
      </c>
      <c r="E68" s="425">
        <f t="shared" ca="1" si="2"/>
        <v>-4.0771048679892181E-2</v>
      </c>
      <c r="F68" s="15">
        <v>7</v>
      </c>
      <c r="T68" s="15" t="s">
        <v>115</v>
      </c>
      <c r="U68" s="13">
        <f t="array" aca="1" ref="U68:V72" ca="1">LINEST(E62:E71,F62:F71,FALSE,TRUE)</f>
        <v>9.2596554199582039E-3</v>
      </c>
      <c r="V68" s="13">
        <f ca="1"/>
        <v>0</v>
      </c>
      <c r="W68" s="15" t="s">
        <v>116</v>
      </c>
    </row>
    <row r="69" spans="2:23" x14ac:dyDescent="0.3">
      <c r="B69" s="15">
        <f t="shared" si="3"/>
        <v>2016</v>
      </c>
      <c r="C69" s="15">
        <v>7</v>
      </c>
      <c r="D69" s="162">
        <f ca="1">OFFSET(Gas_CBR!$C$26,0,$B69-Gas_CBR!$C$7)</f>
        <v>59765033.689999998</v>
      </c>
      <c r="E69" s="425">
        <f t="shared" ca="1" si="2"/>
        <v>0.14665244092561217</v>
      </c>
      <c r="F69" s="15">
        <v>8</v>
      </c>
      <c r="T69" s="15" t="s">
        <v>117</v>
      </c>
      <c r="U69" s="13">
        <f ca="1"/>
        <v>3.2043203620399159E-3</v>
      </c>
      <c r="V69" s="13" t="e">
        <f ca="1"/>
        <v>#N/A</v>
      </c>
      <c r="W69" s="15" t="s">
        <v>118</v>
      </c>
    </row>
    <row r="70" spans="2:23" x14ac:dyDescent="0.3">
      <c r="B70" s="15">
        <f t="shared" si="3"/>
        <v>2017</v>
      </c>
      <c r="C70" s="15">
        <v>8</v>
      </c>
      <c r="D70" s="162">
        <f ca="1">OFFSET(Gas_CBR!$C$26,0,$B70-Gas_CBR!$C$7)</f>
        <v>59084501.780000001</v>
      </c>
      <c r="E70" s="425">
        <f t="shared" ca="1" si="2"/>
        <v>0.13520032468478782</v>
      </c>
      <c r="F70" s="15">
        <v>9</v>
      </c>
      <c r="T70" s="15" t="s">
        <v>119</v>
      </c>
      <c r="U70" s="15">
        <f ca="1"/>
        <v>0.48128601350296196</v>
      </c>
      <c r="V70" s="15">
        <f ca="1"/>
        <v>6.2873305609731492E-2</v>
      </c>
      <c r="W70" s="15" t="s">
        <v>120</v>
      </c>
    </row>
    <row r="71" spans="2:23" x14ac:dyDescent="0.3">
      <c r="B71" s="15">
        <f t="shared" si="3"/>
        <v>2018</v>
      </c>
      <c r="C71" s="15">
        <v>9</v>
      </c>
      <c r="D71" s="162">
        <f ca="1">OFFSET(Gas_CBR!$C$26,0,$B71-Gas_CBR!$C$7)</f>
        <v>60174168.099999979</v>
      </c>
      <c r="E71" s="425">
        <f t="shared" ca="1" si="2"/>
        <v>0.15347483078352211</v>
      </c>
      <c r="F71" s="15">
        <v>10</v>
      </c>
      <c r="T71" s="15" t="s">
        <v>121</v>
      </c>
      <c r="U71" s="15">
        <f ca="1"/>
        <v>8.3506021319735346</v>
      </c>
      <c r="V71" s="15">
        <f ca="1"/>
        <v>9</v>
      </c>
      <c r="W71" s="15" t="s">
        <v>122</v>
      </c>
    </row>
    <row r="72" spans="2:23" x14ac:dyDescent="0.3">
      <c r="B72" s="15">
        <f t="shared" si="3"/>
        <v>2019</v>
      </c>
      <c r="C72" s="15">
        <v>10</v>
      </c>
      <c r="D72" s="162"/>
      <c r="E72" s="162"/>
      <c r="T72" s="15" t="s">
        <v>123</v>
      </c>
      <c r="U72" s="15">
        <f ca="1"/>
        <v>3.3010369121099101E-2</v>
      </c>
      <c r="V72" s="15">
        <f ca="1"/>
        <v>3.5577473024652237E-2</v>
      </c>
      <c r="W72" s="15" t="s">
        <v>124</v>
      </c>
    </row>
    <row r="73" spans="2:23" x14ac:dyDescent="0.3">
      <c r="B73" s="15">
        <f t="shared" si="3"/>
        <v>2020</v>
      </c>
      <c r="C73" s="15">
        <v>11</v>
      </c>
      <c r="D73" s="162"/>
      <c r="E73" s="162"/>
    </row>
    <row r="74" spans="2:23" x14ac:dyDescent="0.3">
      <c r="B74" s="15">
        <f t="shared" si="3"/>
        <v>2021</v>
      </c>
      <c r="C74" s="15">
        <v>12</v>
      </c>
      <c r="D74" s="162"/>
      <c r="E74" s="162"/>
    </row>
    <row r="75" spans="2:23" x14ac:dyDescent="0.3">
      <c r="B75" s="15">
        <f t="shared" si="3"/>
        <v>2022</v>
      </c>
      <c r="C75" s="15">
        <v>13</v>
      </c>
      <c r="D75" s="162"/>
      <c r="E75" s="162"/>
    </row>
    <row r="77" spans="2:23" x14ac:dyDescent="0.3">
      <c r="C77" s="35"/>
      <c r="D77" s="35"/>
    </row>
    <row r="80" spans="2:23" x14ac:dyDescent="0.3">
      <c r="B80" s="15" t="s">
        <v>2</v>
      </c>
      <c r="D80" s="52">
        <f ca="1">RATE(3,,-D68,D71)</f>
        <v>6.6890802585502424E-2</v>
      </c>
      <c r="E80" s="52"/>
    </row>
    <row r="81" spans="2:14" x14ac:dyDescent="0.3">
      <c r="B81" s="15" t="s">
        <v>3</v>
      </c>
      <c r="D81" s="52">
        <f ca="1">RATE(5,,-D66,D71)</f>
        <v>3.6737399173563959E-2</v>
      </c>
      <c r="E81" s="52"/>
    </row>
    <row r="82" spans="2:14" x14ac:dyDescent="0.3">
      <c r="B82" s="15" t="s">
        <v>4</v>
      </c>
      <c r="D82" s="52">
        <f ca="1">RATE(10,,-D61,D71)</f>
        <v>1.5465860520040831E-2</v>
      </c>
      <c r="E82" s="52"/>
    </row>
    <row r="83" spans="2:14" x14ac:dyDescent="0.3">
      <c r="B83" s="15" t="s">
        <v>5</v>
      </c>
      <c r="D83" s="52">
        <f ca="1">C107/D71</f>
        <v>1.5216450303103458E-2</v>
      </c>
      <c r="E83" s="52"/>
    </row>
    <row r="84" spans="2:14" x14ac:dyDescent="0.3">
      <c r="B84" s="15" t="s">
        <v>6</v>
      </c>
      <c r="D84" s="52">
        <f ca="1">C107/AVERAGE(D62:D71)</f>
        <v>1.6995367699331205E-2</v>
      </c>
      <c r="E84" s="52"/>
    </row>
    <row r="85" spans="2:14" x14ac:dyDescent="0.3">
      <c r="B85" s="15" t="s">
        <v>7</v>
      </c>
      <c r="D85" s="52">
        <f ca="1">EXP(N107)-1</f>
        <v>9.3026586584459281E-3</v>
      </c>
    </row>
    <row r="87" spans="2:14" x14ac:dyDescent="0.3">
      <c r="D87" s="52"/>
    </row>
    <row r="90" spans="2:14" x14ac:dyDescent="0.3">
      <c r="B90" s="15" t="s">
        <v>125</v>
      </c>
      <c r="M90" s="15" t="s">
        <v>125</v>
      </c>
    </row>
    <row r="91" spans="2:14" ht="15" thickBot="1" x14ac:dyDescent="0.35"/>
    <row r="92" spans="2:14" x14ac:dyDescent="0.3">
      <c r="B92" s="2" t="s">
        <v>126</v>
      </c>
      <c r="C92" s="2"/>
      <c r="M92" s="2" t="s">
        <v>126</v>
      </c>
      <c r="N92" s="2"/>
    </row>
    <row r="93" spans="2:14" x14ac:dyDescent="0.3">
      <c r="B93" s="426" t="s">
        <v>127</v>
      </c>
      <c r="C93" s="7">
        <f ca="1">C94^0.5</f>
        <v>0.66098596008622268</v>
      </c>
      <c r="M93" s="426" t="s">
        <v>127</v>
      </c>
      <c r="N93" s="7">
        <f ca="1">N94^0.5</f>
        <v>0.69374780252117696</v>
      </c>
    </row>
    <row r="94" spans="2:14" x14ac:dyDescent="0.3">
      <c r="B94" s="426" t="s">
        <v>128</v>
      </c>
      <c r="C94" s="7">
        <f ca="1">U63</f>
        <v>0.43690243943110563</v>
      </c>
      <c r="M94" s="426" t="s">
        <v>128</v>
      </c>
      <c r="N94" s="7">
        <f ca="1">U70</f>
        <v>0.48128601350296196</v>
      </c>
    </row>
    <row r="95" spans="2:14" x14ac:dyDescent="0.3">
      <c r="B95" s="426" t="s">
        <v>129</v>
      </c>
      <c r="C95" s="7">
        <f ca="1">1-(1-C94)*(C97-1)/(C97-2)</f>
        <v>0.36651524435999383</v>
      </c>
      <c r="M95" s="426" t="s">
        <v>129</v>
      </c>
      <c r="N95" s="7">
        <f ca="1">1-(1-N94)*(N97-1)/(N97-2)</f>
        <v>0.41644676519083224</v>
      </c>
    </row>
    <row r="96" spans="2:14" x14ac:dyDescent="0.3">
      <c r="B96" s="426" t="s">
        <v>120</v>
      </c>
      <c r="C96" s="8">
        <f ca="1">V63</f>
        <v>3338143.6046963399</v>
      </c>
      <c r="M96" s="426" t="s">
        <v>120</v>
      </c>
      <c r="N96" s="6">
        <f ca="1">V70</f>
        <v>6.2873305609731492E-2</v>
      </c>
    </row>
    <row r="97" spans="2:18" ht="15" thickBot="1" x14ac:dyDescent="0.35">
      <c r="B97" s="427" t="s">
        <v>130</v>
      </c>
      <c r="C97" s="9">
        <f ca="1">V64+2</f>
        <v>10</v>
      </c>
      <c r="M97" s="427" t="s">
        <v>130</v>
      </c>
      <c r="N97" s="9">
        <f ca="1">V71+1</f>
        <v>10</v>
      </c>
    </row>
    <row r="99" spans="2:18" ht="15" thickBot="1" x14ac:dyDescent="0.35">
      <c r="B99" s="15" t="s">
        <v>131</v>
      </c>
      <c r="M99" s="15" t="s">
        <v>131</v>
      </c>
    </row>
    <row r="100" spans="2:18" x14ac:dyDescent="0.3">
      <c r="B100" s="1"/>
      <c r="C100" s="1" t="s">
        <v>132</v>
      </c>
      <c r="D100" s="1" t="s">
        <v>133</v>
      </c>
      <c r="E100" s="1" t="s">
        <v>134</v>
      </c>
      <c r="F100" s="1" t="s">
        <v>135</v>
      </c>
      <c r="G100" s="1" t="s">
        <v>136</v>
      </c>
      <c r="M100" s="1"/>
      <c r="N100" s="1" t="s">
        <v>132</v>
      </c>
      <c r="O100" s="1" t="s">
        <v>133</v>
      </c>
      <c r="P100" s="1" t="s">
        <v>134</v>
      </c>
      <c r="Q100" s="1" t="s">
        <v>135</v>
      </c>
      <c r="R100" s="1" t="s">
        <v>136</v>
      </c>
    </row>
    <row r="101" spans="2:18" x14ac:dyDescent="0.3">
      <c r="B101" s="426" t="s">
        <v>137</v>
      </c>
      <c r="C101" s="60">
        <v>1</v>
      </c>
      <c r="D101" s="428">
        <f ca="1">U65</f>
        <v>69167303072106.844</v>
      </c>
      <c r="E101" s="428">
        <f ca="1">D101/C101</f>
        <v>69167303072106.844</v>
      </c>
      <c r="F101" s="6">
        <f ca="1">E101/E102</f>
        <v>6.207129563689894</v>
      </c>
      <c r="G101" s="426">
        <f ca="1">FDIST(F101,C101,C102)</f>
        <v>3.7439801608636136E-2</v>
      </c>
      <c r="M101" s="426" t="s">
        <v>137</v>
      </c>
      <c r="N101" s="60">
        <v>1</v>
      </c>
      <c r="O101" s="428">
        <f ca="1">U72</f>
        <v>3.3010369121099101E-2</v>
      </c>
      <c r="P101" s="428">
        <f ca="1">O101/N101</f>
        <v>3.3010369121099101E-2</v>
      </c>
      <c r="Q101" s="6">
        <f ca="1">P101/P102</f>
        <v>8.3506021319735346</v>
      </c>
      <c r="R101" s="426">
        <f ca="1">FDIST(Q101,N101,N102)</f>
        <v>1.7891820556498794E-2</v>
      </c>
    </row>
    <row r="102" spans="2:18" x14ac:dyDescent="0.3">
      <c r="B102" s="426" t="s">
        <v>138</v>
      </c>
      <c r="C102" s="8">
        <f ca="1">C97-C101-1</f>
        <v>8</v>
      </c>
      <c r="D102" s="428">
        <f ca="1">V65</f>
        <v>89145621804600.594</v>
      </c>
      <c r="E102" s="428">
        <f ca="1">D102/C102</f>
        <v>11143202725575.074</v>
      </c>
      <c r="F102" s="426"/>
      <c r="G102" s="426"/>
      <c r="M102" s="426" t="s">
        <v>138</v>
      </c>
      <c r="N102" s="60">
        <f ca="1">N97-N101</f>
        <v>9</v>
      </c>
      <c r="O102" s="428">
        <f ca="1">V72</f>
        <v>3.5577473024652237E-2</v>
      </c>
      <c r="P102" s="428">
        <f ca="1">O102/N102</f>
        <v>3.9530525582946929E-3</v>
      </c>
      <c r="Q102" s="426"/>
      <c r="R102" s="426"/>
    </row>
    <row r="103" spans="2:18" ht="15" thickBot="1" x14ac:dyDescent="0.35">
      <c r="B103" s="427" t="s">
        <v>0</v>
      </c>
      <c r="C103" s="9">
        <f ca="1">C101+C102</f>
        <v>9</v>
      </c>
      <c r="D103" s="429">
        <f ca="1">D101+D102</f>
        <v>158312924876707.44</v>
      </c>
      <c r="E103" s="427"/>
      <c r="F103" s="427"/>
      <c r="G103" s="427"/>
      <c r="M103" s="427" t="s">
        <v>0</v>
      </c>
      <c r="N103" s="60">
        <f ca="1">N101+N102</f>
        <v>10</v>
      </c>
      <c r="O103" s="429">
        <f ca="1">O101+O102</f>
        <v>6.8587842145751338E-2</v>
      </c>
      <c r="P103" s="428"/>
      <c r="Q103" s="427"/>
      <c r="R103" s="427"/>
    </row>
    <row r="104" spans="2:18" ht="15" thickBot="1" x14ac:dyDescent="0.35">
      <c r="C104" s="1"/>
      <c r="D104" s="1"/>
      <c r="E104" s="1"/>
      <c r="F104" s="1"/>
      <c r="N104" s="1"/>
      <c r="O104" s="1"/>
      <c r="P104" s="1"/>
      <c r="Q104" s="1"/>
    </row>
    <row r="105" spans="2:18" x14ac:dyDescent="0.3">
      <c r="B105" s="1"/>
      <c r="C105" s="1" t="s">
        <v>139</v>
      </c>
      <c r="D105" s="1" t="s">
        <v>120</v>
      </c>
      <c r="E105" s="1" t="s">
        <v>140</v>
      </c>
      <c r="F105" s="1" t="s">
        <v>141</v>
      </c>
      <c r="M105" s="1"/>
      <c r="N105" s="1" t="s">
        <v>139</v>
      </c>
      <c r="O105" s="1" t="s">
        <v>120</v>
      </c>
      <c r="P105" s="1" t="s">
        <v>140</v>
      </c>
      <c r="Q105" s="1" t="s">
        <v>141</v>
      </c>
    </row>
    <row r="106" spans="2:18" x14ac:dyDescent="0.3">
      <c r="B106" s="426" t="s">
        <v>116</v>
      </c>
      <c r="C106" s="8">
        <f ca="1">V61</f>
        <v>49755326.947090901</v>
      </c>
      <c r="D106" s="8">
        <f ca="1">V62</f>
        <v>1962006.6341558048</v>
      </c>
      <c r="E106" s="6">
        <f ca="1">C106/D106</f>
        <v>25.359408108474206</v>
      </c>
      <c r="F106" s="7">
        <f ca="1">TDIST(ABS(E106),C102,2)</f>
        <v>6.2628793357655939E-9</v>
      </c>
      <c r="M106" s="426" t="s">
        <v>116</v>
      </c>
      <c r="N106" s="8"/>
      <c r="O106" s="8"/>
      <c r="P106" s="6"/>
      <c r="Q106" s="7"/>
    </row>
    <row r="107" spans="2:18" ht="15" thickBot="1" x14ac:dyDescent="0.35">
      <c r="B107" s="427" t="s">
        <v>142</v>
      </c>
      <c r="C107" s="9">
        <f ca="1">U61</f>
        <v>915637.23842424317</v>
      </c>
      <c r="D107" s="9">
        <f ca="1">U62</f>
        <v>367517.51515589643</v>
      </c>
      <c r="E107" s="427">
        <f ca="1">C107/D107</f>
        <v>2.4914111591003794</v>
      </c>
      <c r="F107" s="11">
        <f ca="1">TDIST(ABS(E107),C102,2)</f>
        <v>3.7439801608636115E-2</v>
      </c>
      <c r="M107" s="427" t="s">
        <v>114</v>
      </c>
      <c r="N107" s="10">
        <f ca="1">U68</f>
        <v>9.2596554199582039E-3</v>
      </c>
      <c r="O107" s="9">
        <f ca="1">U69</f>
        <v>3.2043203620399159E-3</v>
      </c>
      <c r="P107" s="430">
        <f ca="1">N107/O107</f>
        <v>2.8897408416627157</v>
      </c>
      <c r="Q107" s="11">
        <f ca="1">TDIST(ABS(P107),N102,2)</f>
        <v>1.7891820556498773E-2</v>
      </c>
    </row>
    <row r="115" spans="2:23" ht="28.8" x14ac:dyDescent="0.3">
      <c r="B115" s="64" t="s">
        <v>112</v>
      </c>
      <c r="C115" s="119" t="s">
        <v>113</v>
      </c>
      <c r="D115" s="119" t="s">
        <v>595</v>
      </c>
      <c r="E115" s="119" t="str">
        <f>"ln("&amp;D115&amp;")"</f>
        <v>ln(Customer Expenses)</v>
      </c>
      <c r="F115" s="119" t="s">
        <v>114</v>
      </c>
    </row>
    <row r="116" spans="2:23" x14ac:dyDescent="0.3">
      <c r="B116" s="15">
        <v>2008</v>
      </c>
      <c r="D116" s="162">
        <f ca="1">OFFSET(Gas_CBR!$C$27,0,$B116-Gas_CBR!$C$7)+OFFSET(Gas_CBR!$C$28,0,$B116-Gas_CBR!$C$7)</f>
        <v>28914208</v>
      </c>
      <c r="E116" s="162"/>
      <c r="T116" s="15" t="s">
        <v>115</v>
      </c>
      <c r="U116" s="60">
        <f t="array" aca="1" ref="U116:V120" ca="1">LINEST(D117:D126,C117:C126,,TRUE)</f>
        <v>-145715.11489932222</v>
      </c>
      <c r="V116" s="60">
        <f ca="1"/>
        <v>32127279.990839276</v>
      </c>
      <c r="W116" s="15" t="s">
        <v>116</v>
      </c>
    </row>
    <row r="117" spans="2:23" x14ac:dyDescent="0.3">
      <c r="B117" s="15">
        <v>2009</v>
      </c>
      <c r="C117" s="15">
        <v>0</v>
      </c>
      <c r="D117" s="162">
        <f ca="1">OFFSET(Gas_CBR!$C$27,0,$B117-Gas_CBR!$C$7)+OFFSET(Gas_CBR!$C$28,0,$B117-Gas_CBR!$C$7)</f>
        <v>31193124</v>
      </c>
      <c r="E117" s="425">
        <f ca="1">LN(D117/$D$116)</f>
        <v>7.5864585304444523E-2</v>
      </c>
      <c r="F117" s="15">
        <v>1</v>
      </c>
      <c r="T117" s="15" t="s">
        <v>117</v>
      </c>
      <c r="U117" s="60">
        <f ca="1"/>
        <v>195731.18705836192</v>
      </c>
      <c r="V117" s="60">
        <f ca="1"/>
        <v>1044918.6002925541</v>
      </c>
      <c r="W117" s="15" t="s">
        <v>118</v>
      </c>
    </row>
    <row r="118" spans="2:23" x14ac:dyDescent="0.3">
      <c r="B118" s="15">
        <f>B117+1</f>
        <v>2010</v>
      </c>
      <c r="C118" s="15">
        <v>1</v>
      </c>
      <c r="D118" s="162">
        <f ca="1">OFFSET(Gas_CBR!$C$27,0,$B118-Gas_CBR!$C$7)+OFFSET(Gas_CBR!$C$28,0,$B118-Gas_CBR!$C$7)</f>
        <v>31455564</v>
      </c>
      <c r="E118" s="425">
        <f t="shared" ref="E118:E126" ca="1" si="4">LN(D118/$D$116)</f>
        <v>8.4242782630624805E-2</v>
      </c>
      <c r="F118" s="15">
        <v>2</v>
      </c>
      <c r="T118" s="15" t="s">
        <v>119</v>
      </c>
      <c r="U118" s="95">
        <f ca="1"/>
        <v>6.4790044820229306E-2</v>
      </c>
      <c r="V118" s="60">
        <f ca="1"/>
        <v>1777816.7934155152</v>
      </c>
      <c r="W118" s="15" t="s">
        <v>120</v>
      </c>
    </row>
    <row r="119" spans="2:23" x14ac:dyDescent="0.3">
      <c r="B119" s="15">
        <f t="shared" ref="B119:B130" si="5">B118+1</f>
        <v>2011</v>
      </c>
      <c r="C119" s="15">
        <v>2</v>
      </c>
      <c r="D119" s="162">
        <f ca="1">OFFSET(Gas_CBR!$C$27,0,$B119-Gas_CBR!$C$7)+OFFSET(Gas_CBR!$C$28,0,$B119-Gas_CBR!$C$7)</f>
        <v>31451826.553854682</v>
      </c>
      <c r="E119" s="425">
        <f t="shared" ca="1" si="4"/>
        <v>8.4123958876632932E-2</v>
      </c>
      <c r="F119" s="15">
        <v>3</v>
      </c>
      <c r="T119" s="15" t="s">
        <v>121</v>
      </c>
      <c r="U119" s="95">
        <f ca="1"/>
        <v>0.55422887202072224</v>
      </c>
      <c r="V119" s="15">
        <f ca="1"/>
        <v>8</v>
      </c>
      <c r="W119" s="15" t="s">
        <v>122</v>
      </c>
    </row>
    <row r="120" spans="2:23" x14ac:dyDescent="0.3">
      <c r="B120" s="15">
        <f t="shared" si="5"/>
        <v>2012</v>
      </c>
      <c r="C120" s="15">
        <v>3</v>
      </c>
      <c r="D120" s="162">
        <f ca="1">OFFSET(Gas_CBR!$C$27,0,$B120-Gas_CBR!$C$7)+OFFSET(Gas_CBR!$C$28,0,$B120-Gas_CBR!$C$7)</f>
        <v>32009297.384101436</v>
      </c>
      <c r="E120" s="425">
        <f t="shared" ca="1" si="4"/>
        <v>0.10169330324602947</v>
      </c>
      <c r="F120" s="15">
        <v>4</v>
      </c>
      <c r="T120" s="15" t="s">
        <v>123</v>
      </c>
      <c r="U120" s="15">
        <f ca="1"/>
        <v>1751713813585.1211</v>
      </c>
      <c r="V120" s="15">
        <f ca="1"/>
        <v>25285060407601.801</v>
      </c>
      <c r="W120" s="15" t="s">
        <v>124</v>
      </c>
    </row>
    <row r="121" spans="2:23" x14ac:dyDescent="0.3">
      <c r="B121" s="15">
        <f t="shared" si="5"/>
        <v>2013</v>
      </c>
      <c r="C121" s="15">
        <v>4</v>
      </c>
      <c r="D121" s="162">
        <f ca="1">OFFSET(Gas_CBR!$C$27,0,$B121-Gas_CBR!$C$7)+OFFSET(Gas_CBR!$C$28,0,$B121-Gas_CBR!$C$7)</f>
        <v>33484428.749801449</v>
      </c>
      <c r="E121" s="425">
        <f t="shared" ca="1" si="4"/>
        <v>0.1467474167256558</v>
      </c>
      <c r="F121" s="15">
        <v>5</v>
      </c>
    </row>
    <row r="122" spans="2:23" x14ac:dyDescent="0.3">
      <c r="B122" s="15">
        <f t="shared" si="5"/>
        <v>2014</v>
      </c>
      <c r="C122" s="15">
        <v>5</v>
      </c>
      <c r="D122" s="162">
        <f ca="1">OFFSET(Gas_CBR!$C$27,0,$B122-Gas_CBR!$C$7)+OFFSET(Gas_CBR!$C$28,0,$B122-Gas_CBR!$C$7)</f>
        <v>34659018.962735742</v>
      </c>
      <c r="E122" s="425">
        <f t="shared" ca="1" si="4"/>
        <v>0.18122487868448281</v>
      </c>
      <c r="F122" s="15">
        <v>6</v>
      </c>
    </row>
    <row r="123" spans="2:23" x14ac:dyDescent="0.3">
      <c r="B123" s="15">
        <f t="shared" si="5"/>
        <v>2015</v>
      </c>
      <c r="C123" s="15">
        <v>6</v>
      </c>
      <c r="D123" s="162">
        <f ca="1">OFFSET(Gas_CBR!$C$27,0,$B123-Gas_CBR!$C$7)+OFFSET(Gas_CBR!$C$28,0,$B123-Gas_CBR!$C$7)</f>
        <v>30129642.526245218</v>
      </c>
      <c r="E123" s="425">
        <f t="shared" ca="1" si="4"/>
        <v>4.1176388084963163E-2</v>
      </c>
      <c r="F123" s="15">
        <v>7</v>
      </c>
      <c r="T123" s="15" t="s">
        <v>115</v>
      </c>
      <c r="U123" s="13">
        <f t="array" aca="1" ref="U123:V127" ca="1">LINEST(E117:E126,F117:F126,FALSE,TRUE)</f>
        <v>1.0875567583643837E-2</v>
      </c>
      <c r="V123" s="13">
        <f ca="1"/>
        <v>0</v>
      </c>
      <c r="W123" s="15" t="s">
        <v>116</v>
      </c>
    </row>
    <row r="124" spans="2:23" x14ac:dyDescent="0.3">
      <c r="B124" s="15">
        <f t="shared" si="5"/>
        <v>2016</v>
      </c>
      <c r="C124" s="15">
        <v>7</v>
      </c>
      <c r="D124" s="162">
        <f ca="1">OFFSET(Gas_CBR!$C$27,0,$B124-Gas_CBR!$C$7)+OFFSET(Gas_CBR!$C$28,0,$B124-Gas_CBR!$C$7)</f>
        <v>28370244.121930297</v>
      </c>
      <c r="E124" s="425">
        <f t="shared" ca="1" si="4"/>
        <v>-1.8992246891278469E-2</v>
      </c>
      <c r="F124" s="15">
        <v>8</v>
      </c>
      <c r="T124" s="15" t="s">
        <v>117</v>
      </c>
      <c r="U124" s="13">
        <f ca="1"/>
        <v>3.8456529511434398E-3</v>
      </c>
      <c r="V124" s="13" t="e">
        <f ca="1"/>
        <v>#N/A</v>
      </c>
      <c r="W124" s="15" t="s">
        <v>118</v>
      </c>
    </row>
    <row r="125" spans="2:23" x14ac:dyDescent="0.3">
      <c r="B125" s="15">
        <f t="shared" si="5"/>
        <v>2017</v>
      </c>
      <c r="C125" s="15">
        <v>8</v>
      </c>
      <c r="D125" s="162">
        <f ca="1">OFFSET(Gas_CBR!$C$27,0,$B125-Gas_CBR!$C$7)+OFFSET(Gas_CBR!$C$28,0,$B125-Gas_CBR!$C$7)</f>
        <v>30452952.195711143</v>
      </c>
      <c r="E125" s="425">
        <f t="shared" ca="1" si="4"/>
        <v>5.1849841089095038E-2</v>
      </c>
      <c r="F125" s="15">
        <v>9</v>
      </c>
      <c r="T125" s="15" t="s">
        <v>119</v>
      </c>
      <c r="U125" s="15">
        <f ca="1"/>
        <v>0.4705157822841835</v>
      </c>
      <c r="V125" s="15">
        <f ca="1"/>
        <v>7.5457159693071707E-2</v>
      </c>
      <c r="W125" s="15" t="s">
        <v>120</v>
      </c>
    </row>
    <row r="126" spans="2:23" x14ac:dyDescent="0.3">
      <c r="B126" s="15">
        <f t="shared" si="5"/>
        <v>2018</v>
      </c>
      <c r="C126" s="15">
        <v>9</v>
      </c>
      <c r="D126" s="162">
        <f ca="1">OFFSET(Gas_CBR!$C$27,0,$B126-Gas_CBR!$C$7)+OFFSET(Gas_CBR!$C$28,0,$B126-Gas_CBR!$C$7)</f>
        <v>31509521.243543345</v>
      </c>
      <c r="E126" s="425">
        <f t="shared" ca="1" si="4"/>
        <v>8.5956661252161906E-2</v>
      </c>
      <c r="F126" s="15">
        <v>10</v>
      </c>
      <c r="T126" s="15" t="s">
        <v>121</v>
      </c>
      <c r="U126" s="15">
        <f ca="1"/>
        <v>7.9976737717052373</v>
      </c>
      <c r="V126" s="15">
        <f ca="1"/>
        <v>9</v>
      </c>
      <c r="W126" s="15" t="s">
        <v>122</v>
      </c>
    </row>
    <row r="127" spans="2:23" x14ac:dyDescent="0.3">
      <c r="B127" s="15">
        <f t="shared" si="5"/>
        <v>2019</v>
      </c>
      <c r="C127" s="15">
        <v>10</v>
      </c>
      <c r="D127" s="162"/>
      <c r="E127" s="162"/>
      <c r="T127" s="15" t="s">
        <v>123</v>
      </c>
      <c r="U127" s="15">
        <f ca="1"/>
        <v>4.5537018552565728E-2</v>
      </c>
      <c r="V127" s="15">
        <f ca="1"/>
        <v>5.1244046540511526E-2</v>
      </c>
      <c r="W127" s="15" t="s">
        <v>124</v>
      </c>
    </row>
    <row r="128" spans="2:23" x14ac:dyDescent="0.3">
      <c r="B128" s="15">
        <f t="shared" si="5"/>
        <v>2020</v>
      </c>
      <c r="C128" s="15">
        <v>11</v>
      </c>
      <c r="D128" s="162"/>
      <c r="E128" s="162"/>
    </row>
    <row r="129" spans="2:5" x14ac:dyDescent="0.3">
      <c r="B129" s="15">
        <f t="shared" si="5"/>
        <v>2021</v>
      </c>
      <c r="C129" s="15">
        <v>12</v>
      </c>
      <c r="D129" s="162"/>
      <c r="E129" s="162"/>
    </row>
    <row r="130" spans="2:5" x14ac:dyDescent="0.3">
      <c r="B130" s="15">
        <f t="shared" si="5"/>
        <v>2022</v>
      </c>
      <c r="C130" s="15">
        <v>13</v>
      </c>
      <c r="D130" s="162"/>
      <c r="E130" s="162"/>
    </row>
    <row r="132" spans="2:5" x14ac:dyDescent="0.3">
      <c r="C132" s="35"/>
      <c r="D132" s="35"/>
    </row>
    <row r="135" spans="2:5" x14ac:dyDescent="0.3">
      <c r="B135" s="15" t="s">
        <v>2</v>
      </c>
      <c r="D135" s="52">
        <f ca="1">RATE(3,,-D123,D126)</f>
        <v>1.5038718145530417E-2</v>
      </c>
      <c r="E135" s="52"/>
    </row>
    <row r="136" spans="2:5" x14ac:dyDescent="0.3">
      <c r="B136" s="15" t="s">
        <v>3</v>
      </c>
      <c r="D136" s="52">
        <f ca="1">RATE(5,,-D121,D126)</f>
        <v>-1.2084539405040281E-2</v>
      </c>
      <c r="E136" s="52"/>
    </row>
    <row r="137" spans="2:5" x14ac:dyDescent="0.3">
      <c r="B137" s="15" t="s">
        <v>4</v>
      </c>
      <c r="D137" s="52">
        <f ca="1">RATE(10,,-D116,D126)</f>
        <v>8.6327149402842494E-3</v>
      </c>
      <c r="E137" s="52"/>
    </row>
    <row r="138" spans="2:5" x14ac:dyDescent="0.3">
      <c r="B138" s="15" t="s">
        <v>5</v>
      </c>
      <c r="D138" s="52">
        <f ca="1">C162/D126</f>
        <v>-4.6244788606294952E-3</v>
      </c>
      <c r="E138" s="52"/>
    </row>
    <row r="139" spans="2:5" x14ac:dyDescent="0.3">
      <c r="B139" s="15" t="s">
        <v>6</v>
      </c>
      <c r="D139" s="52">
        <f ca="1">C162/AVERAGE(D117:D126)</f>
        <v>-4.6300566530719138E-3</v>
      </c>
      <c r="E139" s="52"/>
    </row>
    <row r="140" spans="2:5" x14ac:dyDescent="0.3">
      <c r="B140" s="15" t="s">
        <v>7</v>
      </c>
      <c r="D140" s="52">
        <f ca="1">EXP(N162)-1</f>
        <v>1.0934921542960385E-2</v>
      </c>
    </row>
    <row r="142" spans="2:5" x14ac:dyDescent="0.3">
      <c r="D142" s="52"/>
    </row>
    <row r="145" spans="2:18" x14ac:dyDescent="0.3">
      <c r="B145" s="15" t="s">
        <v>125</v>
      </c>
      <c r="M145" s="15" t="s">
        <v>125</v>
      </c>
    </row>
    <row r="146" spans="2:18" ht="15" thickBot="1" x14ac:dyDescent="0.35"/>
    <row r="147" spans="2:18" x14ac:dyDescent="0.3">
      <c r="B147" s="2" t="s">
        <v>126</v>
      </c>
      <c r="C147" s="2"/>
      <c r="M147" s="2" t="s">
        <v>126</v>
      </c>
      <c r="N147" s="2"/>
    </row>
    <row r="148" spans="2:18" x14ac:dyDescent="0.3">
      <c r="B148" s="426" t="s">
        <v>127</v>
      </c>
      <c r="C148" s="7">
        <f ca="1">C149^0.5</f>
        <v>0.25453888665630109</v>
      </c>
      <c r="M148" s="426" t="s">
        <v>127</v>
      </c>
      <c r="N148" s="7">
        <f ca="1">N149^0.5</f>
        <v>0.68594152978528977</v>
      </c>
    </row>
    <row r="149" spans="2:18" x14ac:dyDescent="0.3">
      <c r="B149" s="426" t="s">
        <v>128</v>
      </c>
      <c r="C149" s="7">
        <f ca="1">U118</f>
        <v>6.4790044820229306E-2</v>
      </c>
      <c r="M149" s="426" t="s">
        <v>128</v>
      </c>
      <c r="N149" s="7">
        <f ca="1">U125</f>
        <v>0.4705157822841835</v>
      </c>
    </row>
    <row r="150" spans="2:18" x14ac:dyDescent="0.3">
      <c r="B150" s="426" t="s">
        <v>129</v>
      </c>
      <c r="C150" s="7">
        <f ca="1">1-(1-C149)*(C152-1)/(C152-2)</f>
        <v>-5.2111199577242084E-2</v>
      </c>
      <c r="M150" s="426" t="s">
        <v>129</v>
      </c>
      <c r="N150" s="7">
        <f ca="1">1-(1-N149)*(N152-1)/(N152-2)</f>
        <v>0.40433025506970632</v>
      </c>
    </row>
    <row r="151" spans="2:18" x14ac:dyDescent="0.3">
      <c r="B151" s="426" t="s">
        <v>120</v>
      </c>
      <c r="C151" s="8">
        <f ca="1">V118</f>
        <v>1777816.7934155152</v>
      </c>
      <c r="M151" s="426" t="s">
        <v>120</v>
      </c>
      <c r="N151" s="6">
        <f ca="1">V125</f>
        <v>7.5457159693071707E-2</v>
      </c>
    </row>
    <row r="152" spans="2:18" ht="15" thickBot="1" x14ac:dyDescent="0.35">
      <c r="B152" s="427" t="s">
        <v>130</v>
      </c>
      <c r="C152" s="9">
        <f ca="1">V119+2</f>
        <v>10</v>
      </c>
      <c r="M152" s="427" t="s">
        <v>130</v>
      </c>
      <c r="N152" s="9">
        <f ca="1">V126+1</f>
        <v>10</v>
      </c>
    </row>
    <row r="154" spans="2:18" ht="15" thickBot="1" x14ac:dyDescent="0.35">
      <c r="B154" s="15" t="s">
        <v>131</v>
      </c>
      <c r="M154" s="15" t="s">
        <v>131</v>
      </c>
    </row>
    <row r="155" spans="2:18" x14ac:dyDescent="0.3">
      <c r="B155" s="1"/>
      <c r="C155" s="1" t="s">
        <v>132</v>
      </c>
      <c r="D155" s="1" t="s">
        <v>133</v>
      </c>
      <c r="E155" s="1" t="s">
        <v>134</v>
      </c>
      <c r="F155" s="1" t="s">
        <v>135</v>
      </c>
      <c r="G155" s="1" t="s">
        <v>136</v>
      </c>
      <c r="M155" s="1"/>
      <c r="N155" s="1" t="s">
        <v>132</v>
      </c>
      <c r="O155" s="1" t="s">
        <v>133</v>
      </c>
      <c r="P155" s="1" t="s">
        <v>134</v>
      </c>
      <c r="Q155" s="1" t="s">
        <v>135</v>
      </c>
      <c r="R155" s="1" t="s">
        <v>136</v>
      </c>
    </row>
    <row r="156" spans="2:18" x14ac:dyDescent="0.3">
      <c r="B156" s="426" t="s">
        <v>137</v>
      </c>
      <c r="C156" s="60">
        <v>1</v>
      </c>
      <c r="D156" s="428">
        <f ca="1">U120</f>
        <v>1751713813585.1211</v>
      </c>
      <c r="E156" s="428">
        <f ca="1">D156/C156</f>
        <v>1751713813585.1211</v>
      </c>
      <c r="F156" s="6">
        <f ca="1">E156/E157</f>
        <v>0.55422887202072224</v>
      </c>
      <c r="G156" s="426">
        <f ca="1">FDIST(F156,C156,C157)</f>
        <v>0.47789076925439722</v>
      </c>
      <c r="M156" s="426" t="s">
        <v>137</v>
      </c>
      <c r="N156" s="60">
        <v>1</v>
      </c>
      <c r="O156" s="428">
        <f ca="1">U127</f>
        <v>4.5537018552565728E-2</v>
      </c>
      <c r="P156" s="428">
        <f ca="1">O156/N156</f>
        <v>4.5537018552565728E-2</v>
      </c>
      <c r="Q156" s="6">
        <f ca="1">P156/P157</f>
        <v>7.9976737717052373</v>
      </c>
      <c r="R156" s="426">
        <f ca="1">FDIST(Q156,N156,N157)</f>
        <v>1.9786383494459478E-2</v>
      </c>
    </row>
    <row r="157" spans="2:18" x14ac:dyDescent="0.3">
      <c r="B157" s="426" t="s">
        <v>138</v>
      </c>
      <c r="C157" s="8">
        <f ca="1">C152-C156-1</f>
        <v>8</v>
      </c>
      <c r="D157" s="428">
        <f ca="1">V120</f>
        <v>25285060407601.801</v>
      </c>
      <c r="E157" s="428">
        <f ca="1">D157/C157</f>
        <v>3160632550950.2251</v>
      </c>
      <c r="F157" s="426"/>
      <c r="G157" s="426"/>
      <c r="M157" s="426" t="s">
        <v>138</v>
      </c>
      <c r="N157" s="60">
        <f ca="1">N152-N156</f>
        <v>9</v>
      </c>
      <c r="O157" s="428">
        <f ca="1">V127</f>
        <v>5.1244046540511526E-2</v>
      </c>
      <c r="P157" s="428">
        <f ca="1">O157/N157</f>
        <v>5.6937829489457255E-3</v>
      </c>
      <c r="Q157" s="426"/>
      <c r="R157" s="426"/>
    </row>
    <row r="158" spans="2:18" ht="15" thickBot="1" x14ac:dyDescent="0.35">
      <c r="B158" s="427" t="s">
        <v>0</v>
      </c>
      <c r="C158" s="9">
        <f ca="1">C156+C157</f>
        <v>9</v>
      </c>
      <c r="D158" s="429">
        <f ca="1">D156+D157</f>
        <v>27036774221186.922</v>
      </c>
      <c r="E158" s="427"/>
      <c r="F158" s="427"/>
      <c r="G158" s="427"/>
      <c r="M158" s="427" t="s">
        <v>0</v>
      </c>
      <c r="N158" s="60">
        <f ca="1">N156+N157</f>
        <v>10</v>
      </c>
      <c r="O158" s="429">
        <f ca="1">O156+O157</f>
        <v>9.6781065093077254E-2</v>
      </c>
      <c r="P158" s="428"/>
      <c r="Q158" s="427"/>
      <c r="R158" s="427"/>
    </row>
    <row r="159" spans="2:18" ht="15" thickBot="1" x14ac:dyDescent="0.35">
      <c r="C159" s="1"/>
      <c r="D159" s="1"/>
      <c r="E159" s="1"/>
      <c r="F159" s="1"/>
      <c r="N159" s="1"/>
      <c r="O159" s="1"/>
      <c r="P159" s="1"/>
      <c r="Q159" s="1"/>
    </row>
    <row r="160" spans="2:18" x14ac:dyDescent="0.3">
      <c r="B160" s="1"/>
      <c r="C160" s="1" t="s">
        <v>139</v>
      </c>
      <c r="D160" s="1" t="s">
        <v>120</v>
      </c>
      <c r="E160" s="1" t="s">
        <v>140</v>
      </c>
      <c r="F160" s="1" t="s">
        <v>141</v>
      </c>
      <c r="M160" s="1"/>
      <c r="N160" s="1" t="s">
        <v>139</v>
      </c>
      <c r="O160" s="1" t="s">
        <v>120</v>
      </c>
      <c r="P160" s="1" t="s">
        <v>140</v>
      </c>
      <c r="Q160" s="1" t="s">
        <v>141</v>
      </c>
    </row>
    <row r="161" spans="2:23" x14ac:dyDescent="0.3">
      <c r="B161" s="426" t="s">
        <v>116</v>
      </c>
      <c r="C161" s="8">
        <f ca="1">V116</f>
        <v>32127279.990839276</v>
      </c>
      <c r="D161" s="8">
        <f ca="1">V117</f>
        <v>1044918.6002925541</v>
      </c>
      <c r="E161" s="6">
        <f ca="1">C161/D161</f>
        <v>30.746203562501755</v>
      </c>
      <c r="F161" s="7">
        <f ca="1">TDIST(ABS(E161),C157,2)</f>
        <v>1.3605350903417879E-9</v>
      </c>
      <c r="M161" s="426" t="s">
        <v>116</v>
      </c>
      <c r="N161" s="8"/>
      <c r="O161" s="8"/>
      <c r="P161" s="6"/>
      <c r="Q161" s="7"/>
    </row>
    <row r="162" spans="2:23" ht="15" thickBot="1" x14ac:dyDescent="0.35">
      <c r="B162" s="427" t="s">
        <v>142</v>
      </c>
      <c r="C162" s="9">
        <f ca="1">U116</f>
        <v>-145715.11489932222</v>
      </c>
      <c r="D162" s="9">
        <f ca="1">U117</f>
        <v>195731.18705836192</v>
      </c>
      <c r="E162" s="427">
        <f ca="1">C162/D162</f>
        <v>-0.74446549417734731</v>
      </c>
      <c r="F162" s="11">
        <f ca="1">TDIST(ABS(E162),C157,2)</f>
        <v>0.47789076925439722</v>
      </c>
      <c r="M162" s="427" t="s">
        <v>114</v>
      </c>
      <c r="N162" s="10">
        <f ca="1">U123</f>
        <v>1.0875567583643837E-2</v>
      </c>
      <c r="O162" s="9">
        <f ca="1">U124</f>
        <v>3.8456529511434398E-3</v>
      </c>
      <c r="P162" s="430">
        <f ca="1">N162/O162</f>
        <v>2.8280158718976893</v>
      </c>
      <c r="Q162" s="11">
        <f ca="1">TDIST(ABS(P162),N157,2)</f>
        <v>1.9786383494459402E-2</v>
      </c>
    </row>
    <row r="170" spans="2:23" ht="28.8" x14ac:dyDescent="0.3">
      <c r="B170" s="64" t="s">
        <v>112</v>
      </c>
      <c r="C170" s="119" t="s">
        <v>113</v>
      </c>
      <c r="D170" s="119" t="s">
        <v>172</v>
      </c>
      <c r="E170" s="119" t="str">
        <f>"ln("&amp;D170&amp;")"</f>
        <v>ln(A&amp;G Expense)</v>
      </c>
      <c r="F170" s="119" t="s">
        <v>114</v>
      </c>
    </row>
    <row r="171" spans="2:23" x14ac:dyDescent="0.3">
      <c r="B171" s="15">
        <v>2008</v>
      </c>
      <c r="D171" s="162">
        <f ca="1">OFFSET(Gas_CBR!$C$30,0,$B171-Gas_CBR!$C$7)</f>
        <v>45804926</v>
      </c>
      <c r="E171" s="162"/>
      <c r="T171" s="15" t="s">
        <v>115</v>
      </c>
      <c r="U171" s="60">
        <f t="array" aca="1" ref="U171:V175" ca="1">LINEST(D172:D181,C172:C181,,TRUE)</f>
        <v>1763947.9136868594</v>
      </c>
      <c r="V171" s="60">
        <f ca="1"/>
        <v>42520255.424050517</v>
      </c>
      <c r="W171" s="15" t="s">
        <v>116</v>
      </c>
    </row>
    <row r="172" spans="2:23" x14ac:dyDescent="0.3">
      <c r="B172" s="15">
        <v>2009</v>
      </c>
      <c r="C172" s="15">
        <v>0</v>
      </c>
      <c r="D172" s="162">
        <f ca="1">OFFSET(Gas_CBR!$C$30,0,$B172-Gas_CBR!$C$7)</f>
        <v>47738387</v>
      </c>
      <c r="E172" s="425">
        <f ca="1">LN(D172/$D$171)</f>
        <v>4.1344193237610669E-2</v>
      </c>
      <c r="F172" s="15">
        <v>1</v>
      </c>
      <c r="T172" s="15" t="s">
        <v>117</v>
      </c>
      <c r="U172" s="60">
        <f ca="1"/>
        <v>452028.99495302152</v>
      </c>
      <c r="V172" s="60">
        <f ca="1"/>
        <v>2413174.4756502388</v>
      </c>
      <c r="W172" s="15" t="s">
        <v>118</v>
      </c>
    </row>
    <row r="173" spans="2:23" x14ac:dyDescent="0.3">
      <c r="B173" s="15">
        <f>B172+1</f>
        <v>2010</v>
      </c>
      <c r="C173" s="15">
        <v>1</v>
      </c>
      <c r="D173" s="162">
        <f ca="1">OFFSET(Gas_CBR!$C$30,0,$B173-Gas_CBR!$C$7)</f>
        <v>43671399</v>
      </c>
      <c r="E173" s="425">
        <f t="shared" ref="E173:E181" ca="1" si="6">LN(D173/$D$171)</f>
        <v>-4.7698237214911655E-2</v>
      </c>
      <c r="F173" s="15">
        <v>2</v>
      </c>
      <c r="T173" s="15" t="s">
        <v>119</v>
      </c>
      <c r="U173" s="95">
        <f ca="1"/>
        <v>0.65558603476752286</v>
      </c>
      <c r="V173" s="60">
        <f ca="1"/>
        <v>4105757.2398955468</v>
      </c>
      <c r="W173" s="15" t="s">
        <v>120</v>
      </c>
    </row>
    <row r="174" spans="2:23" x14ac:dyDescent="0.3">
      <c r="B174" s="15">
        <f t="shared" ref="B174:B185" si="7">B173+1</f>
        <v>2011</v>
      </c>
      <c r="C174" s="15">
        <v>2</v>
      </c>
      <c r="D174" s="162">
        <f ca="1">OFFSET(Gas_CBR!$C$30,0,$B174-Gas_CBR!$C$7)</f>
        <v>46383523.277082354</v>
      </c>
      <c r="E174" s="425">
        <f t="shared" ca="1" si="6"/>
        <v>1.2552654459909517E-2</v>
      </c>
      <c r="F174" s="15">
        <v>3</v>
      </c>
      <c r="T174" s="15" t="s">
        <v>121</v>
      </c>
      <c r="U174" s="95">
        <f ca="1"/>
        <v>15.227861839458376</v>
      </c>
      <c r="V174" s="15">
        <f ca="1"/>
        <v>8</v>
      </c>
      <c r="W174" s="15" t="s">
        <v>122</v>
      </c>
    </row>
    <row r="175" spans="2:23" x14ac:dyDescent="0.3">
      <c r="B175" s="15">
        <f t="shared" si="7"/>
        <v>2012</v>
      </c>
      <c r="C175" s="15">
        <v>3</v>
      </c>
      <c r="D175" s="162">
        <f ca="1">OFFSET(Gas_CBR!$C$30,0,$B175-Gas_CBR!$C$7)</f>
        <v>45907620.182091698</v>
      </c>
      <c r="E175" s="425">
        <f t="shared" ca="1" si="6"/>
        <v>2.2394804045183314E-3</v>
      </c>
      <c r="F175" s="15">
        <v>4</v>
      </c>
      <c r="T175" s="15" t="s">
        <v>123</v>
      </c>
      <c r="U175" s="15">
        <f ca="1"/>
        <v>256699759981518.25</v>
      </c>
      <c r="V175" s="15">
        <f ca="1"/>
        <v>134857940103637.58</v>
      </c>
      <c r="W175" s="15" t="s">
        <v>124</v>
      </c>
    </row>
    <row r="176" spans="2:23" x14ac:dyDescent="0.3">
      <c r="B176" s="15">
        <f t="shared" si="7"/>
        <v>2013</v>
      </c>
      <c r="C176" s="15">
        <v>4</v>
      </c>
      <c r="D176" s="162">
        <f ca="1">OFFSET(Gas_CBR!$C$30,0,$B176-Gas_CBR!$C$7)</f>
        <v>48006092.965356037</v>
      </c>
      <c r="E176" s="425">
        <f t="shared" ca="1" si="6"/>
        <v>4.6936299708638211E-2</v>
      </c>
      <c r="F176" s="15">
        <v>5</v>
      </c>
    </row>
    <row r="177" spans="2:23" x14ac:dyDescent="0.3">
      <c r="B177" s="15">
        <f t="shared" si="7"/>
        <v>2014</v>
      </c>
      <c r="C177" s="15">
        <v>5</v>
      </c>
      <c r="D177" s="162">
        <f ca="1">OFFSET(Gas_CBR!$C$30,0,$B177-Gas_CBR!$C$7)</f>
        <v>48861723.036314279</v>
      </c>
      <c r="E177" s="425">
        <f t="shared" ca="1" si="6"/>
        <v>6.4602690048974037E-2</v>
      </c>
      <c r="F177" s="15">
        <v>6</v>
      </c>
    </row>
    <row r="178" spans="2:23" x14ac:dyDescent="0.3">
      <c r="B178" s="15">
        <f t="shared" si="7"/>
        <v>2015</v>
      </c>
      <c r="C178" s="15">
        <v>6</v>
      </c>
      <c r="D178" s="162">
        <f ca="1">OFFSET(Gas_CBR!$C$30,0,$B178-Gas_CBR!$C$7)</f>
        <v>47159453.191689149</v>
      </c>
      <c r="E178" s="425">
        <f t="shared" ca="1" si="6"/>
        <v>2.9142840932340583E-2</v>
      </c>
      <c r="F178" s="15">
        <v>7</v>
      </c>
      <c r="T178" s="15" t="s">
        <v>115</v>
      </c>
      <c r="U178" s="13">
        <f t="array" aca="1" ref="U178:V182" ca="1">LINEST(E172:E181,F172:F181,FALSE,TRUE)</f>
        <v>1.9958289135968831E-2</v>
      </c>
      <c r="V178" s="13">
        <f ca="1"/>
        <v>0</v>
      </c>
      <c r="W178" s="15" t="s">
        <v>116</v>
      </c>
    </row>
    <row r="179" spans="2:23" x14ac:dyDescent="0.3">
      <c r="B179" s="15">
        <f t="shared" si="7"/>
        <v>2016</v>
      </c>
      <c r="C179" s="15">
        <v>7</v>
      </c>
      <c r="D179" s="162">
        <f ca="1">OFFSET(Gas_CBR!$C$30,0,$B179-Gas_CBR!$C$7)</f>
        <v>52634913.079035677</v>
      </c>
      <c r="E179" s="425">
        <f t="shared" ca="1" si="6"/>
        <v>0.13898800638923045</v>
      </c>
      <c r="F179" s="15">
        <v>8</v>
      </c>
      <c r="T179" s="15" t="s">
        <v>117</v>
      </c>
      <c r="U179" s="13">
        <f ca="1"/>
        <v>4.2873531878425946E-3</v>
      </c>
      <c r="V179" s="13" t="e">
        <f ca="1"/>
        <v>#N/A</v>
      </c>
      <c r="W179" s="15" t="s">
        <v>118</v>
      </c>
    </row>
    <row r="180" spans="2:23" x14ac:dyDescent="0.3">
      <c r="B180" s="15">
        <f t="shared" si="7"/>
        <v>2017</v>
      </c>
      <c r="C180" s="15">
        <v>8</v>
      </c>
      <c r="D180" s="162">
        <f ca="1">OFFSET(Gas_CBR!$C$30,0,$B180-Gas_CBR!$C$7)</f>
        <v>63712641.98739361</v>
      </c>
      <c r="E180" s="425">
        <f t="shared" ca="1" si="6"/>
        <v>0.3299913643061177</v>
      </c>
      <c r="F180" s="15">
        <v>9</v>
      </c>
      <c r="T180" s="15" t="s">
        <v>119</v>
      </c>
      <c r="U180" s="15">
        <f ca="1"/>
        <v>0.70655802052077066</v>
      </c>
      <c r="V180" s="15">
        <f ca="1"/>
        <v>8.4123944169077466E-2</v>
      </c>
      <c r="W180" s="15" t="s">
        <v>120</v>
      </c>
    </row>
    <row r="181" spans="2:23" x14ac:dyDescent="0.3">
      <c r="B181" s="15">
        <f t="shared" si="7"/>
        <v>2018</v>
      </c>
      <c r="C181" s="15">
        <v>9</v>
      </c>
      <c r="D181" s="162">
        <f ca="1">OFFSET(Gas_CBR!$C$30,0,$B181-Gas_CBR!$C$7)</f>
        <v>60504456.637451023</v>
      </c>
      <c r="E181" s="425">
        <f t="shared" ca="1" si="6"/>
        <v>0.27832538583100869</v>
      </c>
      <c r="F181" s="15">
        <v>10</v>
      </c>
      <c r="T181" s="15" t="s">
        <v>121</v>
      </c>
      <c r="U181" s="15">
        <f ca="1"/>
        <v>21.670458316742117</v>
      </c>
      <c r="V181" s="15">
        <f ca="1"/>
        <v>9</v>
      </c>
      <c r="W181" s="15" t="s">
        <v>122</v>
      </c>
    </row>
    <row r="182" spans="2:23" x14ac:dyDescent="0.3">
      <c r="B182" s="15">
        <f t="shared" si="7"/>
        <v>2019</v>
      </c>
      <c r="C182" s="15">
        <v>10</v>
      </c>
      <c r="D182" s="162"/>
      <c r="E182" s="162"/>
      <c r="T182" s="15" t="s">
        <v>123</v>
      </c>
      <c r="U182" s="15">
        <f ca="1"/>
        <v>0.15335832251544854</v>
      </c>
      <c r="V182" s="15">
        <f ca="1"/>
        <v>6.3691541843058558E-2</v>
      </c>
      <c r="W182" s="15" t="s">
        <v>124</v>
      </c>
    </row>
    <row r="183" spans="2:23" x14ac:dyDescent="0.3">
      <c r="B183" s="15">
        <f t="shared" si="7"/>
        <v>2020</v>
      </c>
      <c r="C183" s="15">
        <v>11</v>
      </c>
      <c r="D183" s="162"/>
      <c r="E183" s="162"/>
    </row>
    <row r="184" spans="2:23" x14ac:dyDescent="0.3">
      <c r="B184" s="15">
        <f t="shared" si="7"/>
        <v>2021</v>
      </c>
      <c r="C184" s="15">
        <v>12</v>
      </c>
      <c r="D184" s="162"/>
      <c r="E184" s="162"/>
    </row>
    <row r="185" spans="2:23" x14ac:dyDescent="0.3">
      <c r="B185" s="15">
        <f t="shared" si="7"/>
        <v>2022</v>
      </c>
      <c r="C185" s="15">
        <v>13</v>
      </c>
      <c r="D185" s="162"/>
      <c r="E185" s="162"/>
    </row>
    <row r="187" spans="2:23" x14ac:dyDescent="0.3">
      <c r="C187" s="35"/>
      <c r="D187" s="35"/>
    </row>
    <row r="190" spans="2:23" x14ac:dyDescent="0.3">
      <c r="B190" s="15" t="s">
        <v>2</v>
      </c>
      <c r="D190" s="52">
        <f ca="1">RATE(3,,-D178,D181)</f>
        <v>8.6607924781194459E-2</v>
      </c>
      <c r="E190" s="52"/>
    </row>
    <row r="191" spans="2:23" x14ac:dyDescent="0.3">
      <c r="B191" s="15" t="s">
        <v>3</v>
      </c>
      <c r="D191" s="52">
        <f ca="1">RATE(5,,-D176,D181)</f>
        <v>4.7365346675212729E-2</v>
      </c>
      <c r="E191" s="52"/>
    </row>
    <row r="192" spans="2:23" x14ac:dyDescent="0.3">
      <c r="B192" s="15" t="s">
        <v>4</v>
      </c>
      <c r="D192" s="52">
        <f ca="1">RATE(10,,-D171,D181)</f>
        <v>2.822348224199174E-2</v>
      </c>
      <c r="E192" s="52"/>
    </row>
    <row r="193" spans="2:14" x14ac:dyDescent="0.3">
      <c r="B193" s="15" t="s">
        <v>5</v>
      </c>
      <c r="D193" s="52">
        <f ca="1">C217/D181</f>
        <v>2.915401627778625E-2</v>
      </c>
      <c r="E193" s="52"/>
    </row>
    <row r="194" spans="2:14" x14ac:dyDescent="0.3">
      <c r="B194" s="15" t="s">
        <v>6</v>
      </c>
      <c r="D194" s="52">
        <f ca="1">C217/AVERAGE(D172:D181)</f>
        <v>3.4958721675605986E-2</v>
      </c>
      <c r="E194" s="52"/>
    </row>
    <row r="195" spans="2:14" x14ac:dyDescent="0.3">
      <c r="B195" s="15" t="s">
        <v>7</v>
      </c>
      <c r="D195" s="52">
        <f ca="1">EXP(N217)-1</f>
        <v>2.0158787434836345E-2</v>
      </c>
    </row>
    <row r="197" spans="2:14" x14ac:dyDescent="0.3">
      <c r="D197" s="52"/>
    </row>
    <row r="200" spans="2:14" x14ac:dyDescent="0.3">
      <c r="B200" s="15" t="s">
        <v>125</v>
      </c>
      <c r="M200" s="15" t="s">
        <v>125</v>
      </c>
    </row>
    <row r="201" spans="2:14" ht="15" thickBot="1" x14ac:dyDescent="0.35"/>
    <row r="202" spans="2:14" x14ac:dyDescent="0.3">
      <c r="B202" s="2" t="s">
        <v>126</v>
      </c>
      <c r="C202" s="2"/>
      <c r="M202" s="2" t="s">
        <v>126</v>
      </c>
      <c r="N202" s="2"/>
    </row>
    <row r="203" spans="2:14" x14ac:dyDescent="0.3">
      <c r="B203" s="426" t="s">
        <v>127</v>
      </c>
      <c r="C203" s="7">
        <f ca="1">C204^0.5</f>
        <v>0.80968267535345162</v>
      </c>
      <c r="M203" s="426" t="s">
        <v>127</v>
      </c>
      <c r="N203" s="7">
        <f ca="1">N204^0.5</f>
        <v>0.84057005687852737</v>
      </c>
    </row>
    <row r="204" spans="2:14" x14ac:dyDescent="0.3">
      <c r="B204" s="426" t="s">
        <v>128</v>
      </c>
      <c r="C204" s="7">
        <f ca="1">U173</f>
        <v>0.65558603476752286</v>
      </c>
      <c r="M204" s="426" t="s">
        <v>128</v>
      </c>
      <c r="N204" s="7">
        <f ca="1">U180</f>
        <v>0.70655802052077066</v>
      </c>
    </row>
    <row r="205" spans="2:14" x14ac:dyDescent="0.3">
      <c r="B205" s="426" t="s">
        <v>129</v>
      </c>
      <c r="C205" s="7">
        <f ca="1">1-(1-C204)*(C207-1)/(C207-2)</f>
        <v>0.61253428911346319</v>
      </c>
      <c r="M205" s="426" t="s">
        <v>129</v>
      </c>
      <c r="N205" s="7">
        <f ca="1">1-(1-N204)*(N207-1)/(N207-2)</f>
        <v>0.66987777308586693</v>
      </c>
    </row>
    <row r="206" spans="2:14" x14ac:dyDescent="0.3">
      <c r="B206" s="426" t="s">
        <v>120</v>
      </c>
      <c r="C206" s="8">
        <f ca="1">V173</f>
        <v>4105757.2398955468</v>
      </c>
      <c r="M206" s="426" t="s">
        <v>120</v>
      </c>
      <c r="N206" s="6">
        <f ca="1">V180</f>
        <v>8.4123944169077466E-2</v>
      </c>
    </row>
    <row r="207" spans="2:14" ht="15" thickBot="1" x14ac:dyDescent="0.35">
      <c r="B207" s="427" t="s">
        <v>130</v>
      </c>
      <c r="C207" s="9">
        <f ca="1">V174+2</f>
        <v>10</v>
      </c>
      <c r="M207" s="427" t="s">
        <v>130</v>
      </c>
      <c r="N207" s="9">
        <f ca="1">V181+1</f>
        <v>10</v>
      </c>
    </row>
    <row r="209" spans="2:18" ht="15" thickBot="1" x14ac:dyDescent="0.35">
      <c r="B209" s="15" t="s">
        <v>131</v>
      </c>
      <c r="M209" s="15" t="s">
        <v>131</v>
      </c>
    </row>
    <row r="210" spans="2:18" x14ac:dyDescent="0.3">
      <c r="B210" s="1"/>
      <c r="C210" s="1" t="s">
        <v>132</v>
      </c>
      <c r="D210" s="1" t="s">
        <v>133</v>
      </c>
      <c r="E210" s="1" t="s">
        <v>134</v>
      </c>
      <c r="F210" s="1" t="s">
        <v>135</v>
      </c>
      <c r="G210" s="1" t="s">
        <v>136</v>
      </c>
      <c r="M210" s="1"/>
      <c r="N210" s="1" t="s">
        <v>132</v>
      </c>
      <c r="O210" s="1" t="s">
        <v>133</v>
      </c>
      <c r="P210" s="1" t="s">
        <v>134</v>
      </c>
      <c r="Q210" s="1" t="s">
        <v>135</v>
      </c>
      <c r="R210" s="1" t="s">
        <v>136</v>
      </c>
    </row>
    <row r="211" spans="2:18" x14ac:dyDescent="0.3">
      <c r="B211" s="426" t="s">
        <v>137</v>
      </c>
      <c r="C211" s="60">
        <v>1</v>
      </c>
      <c r="D211" s="428">
        <f ca="1">U175</f>
        <v>256699759981518.25</v>
      </c>
      <c r="E211" s="428">
        <f ca="1">D211/C211</f>
        <v>256699759981518.25</v>
      </c>
      <c r="F211" s="6">
        <f ca="1">E211/E212</f>
        <v>15.227861839458376</v>
      </c>
      <c r="G211" s="426">
        <f ca="1">FDIST(F211,C211,C212)</f>
        <v>4.5300070873375859E-3</v>
      </c>
      <c r="M211" s="426" t="s">
        <v>137</v>
      </c>
      <c r="N211" s="60">
        <v>1</v>
      </c>
      <c r="O211" s="428">
        <f ca="1">U182</f>
        <v>0.15335832251544854</v>
      </c>
      <c r="P211" s="428">
        <f ca="1">O211/N211</f>
        <v>0.15335832251544854</v>
      </c>
      <c r="Q211" s="6">
        <f ca="1">P211/P212</f>
        <v>21.670458316742117</v>
      </c>
      <c r="R211" s="426">
        <f ca="1">FDIST(Q211,N211,N212)</f>
        <v>1.193378481486172E-3</v>
      </c>
    </row>
    <row r="212" spans="2:18" x14ac:dyDescent="0.3">
      <c r="B212" s="426" t="s">
        <v>138</v>
      </c>
      <c r="C212" s="8">
        <f ca="1">C207-C211-1</f>
        <v>8</v>
      </c>
      <c r="D212" s="428">
        <f ca="1">V175</f>
        <v>134857940103637.58</v>
      </c>
      <c r="E212" s="428">
        <f ca="1">D212/C212</f>
        <v>16857242512954.697</v>
      </c>
      <c r="F212" s="426"/>
      <c r="G212" s="426"/>
      <c r="M212" s="426" t="s">
        <v>138</v>
      </c>
      <c r="N212" s="60">
        <f ca="1">N207-N211</f>
        <v>9</v>
      </c>
      <c r="O212" s="428">
        <f ca="1">V182</f>
        <v>6.3691541843058558E-2</v>
      </c>
      <c r="P212" s="428">
        <f ca="1">O212/N212</f>
        <v>7.076837982562062E-3</v>
      </c>
      <c r="Q212" s="426"/>
      <c r="R212" s="426"/>
    </row>
    <row r="213" spans="2:18" ht="15" thickBot="1" x14ac:dyDescent="0.35">
      <c r="B213" s="427" t="s">
        <v>0</v>
      </c>
      <c r="C213" s="9">
        <f ca="1">C211+C212</f>
        <v>9</v>
      </c>
      <c r="D213" s="429">
        <f ca="1">D211+D212</f>
        <v>391557700085155.81</v>
      </c>
      <c r="E213" s="427"/>
      <c r="F213" s="427"/>
      <c r="G213" s="427"/>
      <c r="M213" s="427" t="s">
        <v>0</v>
      </c>
      <c r="N213" s="60">
        <f ca="1">N211+N212</f>
        <v>10</v>
      </c>
      <c r="O213" s="429">
        <f ca="1">O211+O212</f>
        <v>0.21704986435850709</v>
      </c>
      <c r="P213" s="428"/>
      <c r="Q213" s="427"/>
      <c r="R213" s="427"/>
    </row>
    <row r="214" spans="2:18" ht="15" thickBot="1" x14ac:dyDescent="0.35">
      <c r="C214" s="1"/>
      <c r="D214" s="1"/>
      <c r="E214" s="1"/>
      <c r="F214" s="1"/>
      <c r="N214" s="1"/>
      <c r="O214" s="1"/>
      <c r="P214" s="1"/>
      <c r="Q214" s="1"/>
    </row>
    <row r="215" spans="2:18" x14ac:dyDescent="0.3">
      <c r="B215" s="1"/>
      <c r="C215" s="1" t="s">
        <v>139</v>
      </c>
      <c r="D215" s="1" t="s">
        <v>120</v>
      </c>
      <c r="E215" s="1" t="s">
        <v>140</v>
      </c>
      <c r="F215" s="1" t="s">
        <v>141</v>
      </c>
      <c r="M215" s="1"/>
      <c r="N215" s="1" t="s">
        <v>139</v>
      </c>
      <c r="O215" s="1" t="s">
        <v>120</v>
      </c>
      <c r="P215" s="1" t="s">
        <v>140</v>
      </c>
      <c r="Q215" s="1" t="s">
        <v>141</v>
      </c>
    </row>
    <row r="216" spans="2:18" x14ac:dyDescent="0.3">
      <c r="B216" s="426" t="s">
        <v>116</v>
      </c>
      <c r="C216" s="8">
        <f ca="1">V171</f>
        <v>42520255.424050517</v>
      </c>
      <c r="D216" s="8">
        <f ca="1">V172</f>
        <v>2413174.4756502388</v>
      </c>
      <c r="E216" s="6">
        <f ca="1">C216/D216</f>
        <v>17.620050209006656</v>
      </c>
      <c r="F216" s="7">
        <f ca="1">TDIST(ABS(E216),C212,2)</f>
        <v>1.0999576316441679E-7</v>
      </c>
      <c r="M216" s="426" t="s">
        <v>116</v>
      </c>
      <c r="N216" s="8"/>
      <c r="O216" s="8"/>
      <c r="P216" s="6"/>
      <c r="Q216" s="7"/>
    </row>
    <row r="217" spans="2:18" ht="15" thickBot="1" x14ac:dyDescent="0.35">
      <c r="B217" s="427" t="s">
        <v>142</v>
      </c>
      <c r="C217" s="9">
        <f ca="1">U171</f>
        <v>1763947.9136868594</v>
      </c>
      <c r="D217" s="9">
        <f ca="1">U172</f>
        <v>452028.99495302152</v>
      </c>
      <c r="E217" s="427">
        <f ca="1">C217/D217</f>
        <v>3.9022893075037874</v>
      </c>
      <c r="F217" s="11">
        <f ca="1">TDIST(ABS(E217),C212,2)</f>
        <v>4.5300070873375738E-3</v>
      </c>
      <c r="M217" s="427" t="s">
        <v>114</v>
      </c>
      <c r="N217" s="10">
        <f ca="1">U178</f>
        <v>1.9958289135968831E-2</v>
      </c>
      <c r="O217" s="9">
        <f ca="1">U179</f>
        <v>4.2873531878425946E-3</v>
      </c>
      <c r="P217" s="430">
        <f ca="1">N217/O217</f>
        <v>4.6551539519915046</v>
      </c>
      <c r="Q217" s="11">
        <f ca="1">TDIST(ABS(P217),N212,2)</f>
        <v>1.1933784814861686E-3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23"/>
  <sheetViews>
    <sheetView zoomScale="85" zoomScaleNormal="85" workbookViewId="0">
      <pane xSplit="2" ySplit="6" topLeftCell="AB8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4.4" outlineLevelRow="1" outlineLevelCol="1" x14ac:dyDescent="0.3"/>
  <cols>
    <col min="1" max="1" width="4.88671875" style="15" bestFit="1" customWidth="1"/>
    <col min="2" max="2" width="35.109375" style="15" bestFit="1" customWidth="1"/>
    <col min="3" max="3" width="23.44140625" style="15" bestFit="1" customWidth="1"/>
    <col min="4" max="4" width="15" style="15" bestFit="1" customWidth="1"/>
    <col min="5" max="5" width="15.44140625" style="15" bestFit="1" customWidth="1"/>
    <col min="6" max="6" width="15" style="15" bestFit="1" customWidth="1"/>
    <col min="7" max="7" width="20.109375" style="15" bestFit="1" customWidth="1"/>
    <col min="8" max="8" width="9.5546875" style="15" bestFit="1" customWidth="1"/>
    <col min="9" max="9" width="18.6640625" style="15" bestFit="1" customWidth="1"/>
    <col min="10" max="11" width="15.6640625" style="15" bestFit="1" customWidth="1"/>
    <col min="12" max="12" width="18.33203125" style="15" customWidth="1" outlineLevel="1"/>
    <col min="13" max="13" width="22.44140625" style="15" bestFit="1" customWidth="1"/>
    <col min="14" max="14" width="13" style="15" customWidth="1"/>
    <col min="15" max="16" width="13.6640625" style="15" customWidth="1" outlineLevel="1"/>
    <col min="17" max="17" width="18.109375" style="15" customWidth="1" outlineLevel="1"/>
    <col min="18" max="20" width="13.44140625" style="15" customWidth="1" outlineLevel="1"/>
    <col min="21" max="21" width="16.33203125" style="15" customWidth="1" outlineLevel="1"/>
    <col min="22" max="22" width="9.5546875" style="15" customWidth="1" outlineLevel="1"/>
    <col min="23" max="23" width="16.33203125" style="15" customWidth="1" outlineLevel="1"/>
    <col min="24" max="25" width="13.6640625" style="15" customWidth="1" outlineLevel="1"/>
    <col min="26" max="26" width="11.5546875" style="15" customWidth="1" outlineLevel="1"/>
    <col min="27" max="27" width="16.33203125" style="15" customWidth="1" outlineLevel="1"/>
    <col min="28" max="28" width="9.109375" style="15"/>
    <col min="29" max="29" width="19" style="15" bestFit="1" customWidth="1"/>
    <col min="30" max="30" width="42.44140625" style="15" bestFit="1" customWidth="1"/>
    <col min="31" max="41" width="16.33203125" style="15" bestFit="1" customWidth="1"/>
    <col min="42" max="16384" width="9.109375" style="15"/>
  </cols>
  <sheetData>
    <row r="1" spans="1:42" outlineLevel="1" x14ac:dyDescent="0.3">
      <c r="A1" s="66"/>
      <c r="C1" s="15" t="s">
        <v>792</v>
      </c>
      <c r="O1" s="66"/>
      <c r="AC1" s="66"/>
    </row>
    <row r="2" spans="1:42" outlineLevel="1" x14ac:dyDescent="0.3"/>
    <row r="3" spans="1:42" outlineLevel="1" x14ac:dyDescent="0.3"/>
    <row r="4" spans="1:42" x14ac:dyDescent="0.3">
      <c r="A4" s="66" t="s">
        <v>600</v>
      </c>
      <c r="B4" s="155"/>
      <c r="C4" s="156" t="s">
        <v>12</v>
      </c>
      <c r="D4" s="156"/>
      <c r="E4" s="156"/>
      <c r="F4" s="156"/>
      <c r="G4" s="156"/>
      <c r="I4" s="22" t="s">
        <v>13</v>
      </c>
      <c r="J4" s="156"/>
      <c r="K4" s="156"/>
      <c r="L4" s="156"/>
      <c r="M4" s="156"/>
      <c r="O4" s="66" t="s">
        <v>600</v>
      </c>
      <c r="P4" s="155"/>
      <c r="Q4" s="156" t="s">
        <v>12</v>
      </c>
      <c r="R4" s="156"/>
      <c r="S4" s="156"/>
      <c r="T4" s="156"/>
      <c r="U4" s="156"/>
      <c r="W4" s="22" t="s">
        <v>13</v>
      </c>
      <c r="X4" s="156"/>
      <c r="Y4" s="156"/>
      <c r="Z4" s="156"/>
      <c r="AA4" s="156"/>
      <c r="AC4" s="66" t="s">
        <v>600</v>
      </c>
      <c r="AD4" s="155"/>
      <c r="AE4" s="156" t="s">
        <v>12</v>
      </c>
      <c r="AF4" s="156"/>
      <c r="AG4" s="156"/>
      <c r="AH4" s="156"/>
      <c r="AI4" s="156"/>
      <c r="AK4" s="22" t="s">
        <v>13</v>
      </c>
      <c r="AL4" s="156"/>
      <c r="AM4" s="156"/>
      <c r="AN4" s="156"/>
      <c r="AO4" s="156"/>
    </row>
    <row r="5" spans="1:42" ht="43.2" x14ac:dyDescent="0.3">
      <c r="A5" s="157" t="s">
        <v>587</v>
      </c>
      <c r="B5" s="157" t="s">
        <v>588</v>
      </c>
      <c r="C5" s="157" t="s">
        <v>569</v>
      </c>
      <c r="D5" s="157" t="s">
        <v>15</v>
      </c>
      <c r="E5" s="157" t="s">
        <v>17</v>
      </c>
      <c r="F5" s="157" t="s">
        <v>18</v>
      </c>
      <c r="G5" s="157" t="s">
        <v>19</v>
      </c>
      <c r="H5" s="157" t="s">
        <v>20</v>
      </c>
      <c r="I5" s="157" t="s">
        <v>21</v>
      </c>
      <c r="J5" s="157" t="s">
        <v>17</v>
      </c>
      <c r="K5" s="157" t="s">
        <v>18</v>
      </c>
      <c r="L5" s="157" t="s">
        <v>22</v>
      </c>
      <c r="M5" s="157" t="s">
        <v>591</v>
      </c>
      <c r="O5" s="157" t="s">
        <v>587</v>
      </c>
      <c r="P5" s="157" t="s">
        <v>588</v>
      </c>
      <c r="Q5" s="157" t="s">
        <v>569</v>
      </c>
      <c r="R5" s="157" t="s">
        <v>15</v>
      </c>
      <c r="S5" s="157" t="s">
        <v>17</v>
      </c>
      <c r="T5" s="157" t="s">
        <v>18</v>
      </c>
      <c r="U5" s="157" t="s">
        <v>19</v>
      </c>
      <c r="V5" s="157" t="s">
        <v>20</v>
      </c>
      <c r="W5" s="157" t="s">
        <v>21</v>
      </c>
      <c r="X5" s="157" t="s">
        <v>17</v>
      </c>
      <c r="Y5" s="157" t="s">
        <v>18</v>
      </c>
      <c r="Z5" s="157" t="s">
        <v>22</v>
      </c>
      <c r="AA5" s="157" t="s">
        <v>591</v>
      </c>
      <c r="AC5" s="157" t="s">
        <v>587</v>
      </c>
      <c r="AD5" s="157" t="s">
        <v>588</v>
      </c>
      <c r="AE5" s="157" t="s">
        <v>569</v>
      </c>
      <c r="AF5" s="157" t="s">
        <v>15</v>
      </c>
      <c r="AG5" s="157" t="s">
        <v>17</v>
      </c>
      <c r="AH5" s="157" t="s">
        <v>18</v>
      </c>
      <c r="AI5" s="157" t="s">
        <v>19</v>
      </c>
      <c r="AJ5" s="157" t="s">
        <v>20</v>
      </c>
      <c r="AK5" s="157" t="s">
        <v>21</v>
      </c>
      <c r="AL5" s="157" t="s">
        <v>17</v>
      </c>
      <c r="AM5" s="157" t="s">
        <v>18</v>
      </c>
      <c r="AN5" s="157" t="s">
        <v>22</v>
      </c>
      <c r="AO5" s="157" t="s">
        <v>591</v>
      </c>
    </row>
    <row r="6" spans="1:42" x14ac:dyDescent="0.3">
      <c r="A6" s="76"/>
      <c r="B6" s="76"/>
      <c r="C6" s="24" t="s">
        <v>353</v>
      </c>
      <c r="D6" s="24" t="s">
        <v>354</v>
      </c>
      <c r="E6" s="24" t="s">
        <v>355</v>
      </c>
      <c r="F6" s="24" t="s">
        <v>581</v>
      </c>
      <c r="G6" s="24" t="s">
        <v>589</v>
      </c>
      <c r="H6" s="24" t="s">
        <v>582</v>
      </c>
      <c r="I6" s="24" t="s">
        <v>242</v>
      </c>
      <c r="J6" s="24" t="s">
        <v>583</v>
      </c>
      <c r="K6" s="24" t="s">
        <v>584</v>
      </c>
      <c r="L6" s="24" t="s">
        <v>586</v>
      </c>
      <c r="M6" s="24" t="s">
        <v>590</v>
      </c>
      <c r="O6" s="76"/>
      <c r="P6" s="76"/>
      <c r="Q6" s="24" t="s">
        <v>353</v>
      </c>
      <c r="R6" s="24" t="s">
        <v>354</v>
      </c>
      <c r="S6" s="24" t="s">
        <v>355</v>
      </c>
      <c r="T6" s="24" t="s">
        <v>581</v>
      </c>
      <c r="U6" s="24" t="s">
        <v>589</v>
      </c>
      <c r="V6" s="24" t="s">
        <v>582</v>
      </c>
      <c r="W6" s="24" t="s">
        <v>242</v>
      </c>
      <c r="X6" s="24" t="s">
        <v>583</v>
      </c>
      <c r="Y6" s="24" t="s">
        <v>584</v>
      </c>
      <c r="Z6" s="24" t="s">
        <v>586</v>
      </c>
      <c r="AA6" s="24" t="s">
        <v>590</v>
      </c>
      <c r="AC6" s="76"/>
      <c r="AD6" s="76"/>
      <c r="AE6" s="24" t="s">
        <v>353</v>
      </c>
      <c r="AF6" s="24" t="s">
        <v>354</v>
      </c>
      <c r="AG6" s="24" t="s">
        <v>355</v>
      </c>
      <c r="AH6" s="24" t="s">
        <v>581</v>
      </c>
      <c r="AI6" s="24" t="s">
        <v>589</v>
      </c>
      <c r="AJ6" s="24" t="s">
        <v>582</v>
      </c>
      <c r="AK6" s="24" t="s">
        <v>242</v>
      </c>
      <c r="AL6" s="24" t="s">
        <v>583</v>
      </c>
      <c r="AM6" s="24" t="s">
        <v>584</v>
      </c>
      <c r="AN6" s="24" t="s">
        <v>586</v>
      </c>
      <c r="AO6" s="24" t="s">
        <v>590</v>
      </c>
    </row>
    <row r="7" spans="1:42" x14ac:dyDescent="0.3">
      <c r="A7" s="158">
        <f>IF(ISBLANK(B7),"",MAX(A$6:A6)+1)</f>
        <v>1</v>
      </c>
      <c r="B7" s="159" t="s">
        <v>23</v>
      </c>
      <c r="O7" s="158">
        <v>1</v>
      </c>
      <c r="P7" s="159" t="s">
        <v>23</v>
      </c>
      <c r="AC7" s="158">
        <v>1</v>
      </c>
      <c r="AD7" s="159" t="s">
        <v>23</v>
      </c>
    </row>
    <row r="8" spans="1:42" x14ac:dyDescent="0.3">
      <c r="A8" s="158">
        <f>IF(ISBLANK(B8),"",MAX(A$6:A7)+1)</f>
        <v>2</v>
      </c>
      <c r="B8" s="160" t="s">
        <v>24</v>
      </c>
      <c r="C8" s="161">
        <v>1286852599.296809</v>
      </c>
      <c r="D8" s="161"/>
      <c r="E8" s="161"/>
      <c r="F8" s="161"/>
      <c r="G8" s="161">
        <v>1286852599.296809</v>
      </c>
      <c r="H8" s="59"/>
      <c r="I8" s="161">
        <v>1330085063.5070419</v>
      </c>
      <c r="J8" s="161"/>
      <c r="K8" s="161"/>
      <c r="L8" s="161"/>
      <c r="M8" s="161">
        <v>1330085063.5070419</v>
      </c>
      <c r="O8" s="158">
        <v>2</v>
      </c>
      <c r="P8" s="160" t="s">
        <v>24</v>
      </c>
      <c r="Q8" s="161">
        <v>1285578905.296809</v>
      </c>
      <c r="R8" s="161"/>
      <c r="S8" s="161"/>
      <c r="T8" s="161"/>
      <c r="U8" s="161">
        <v>1285578905.296809</v>
      </c>
      <c r="V8" s="59"/>
      <c r="W8" s="161">
        <v>1330085063.5070419</v>
      </c>
      <c r="X8" s="161"/>
      <c r="Y8" s="161"/>
      <c r="Z8" s="161"/>
      <c r="AA8" s="161">
        <v>1330085063.5070419</v>
      </c>
      <c r="AC8" s="158">
        <v>2</v>
      </c>
      <c r="AD8" s="160" t="s">
        <v>24</v>
      </c>
      <c r="AE8" s="161">
        <f>+C8-Q8</f>
        <v>1273694</v>
      </c>
      <c r="AF8" s="161">
        <f t="shared" ref="AF8:AO23" si="0">+D8-R8</f>
        <v>0</v>
      </c>
      <c r="AG8" s="161">
        <f t="shared" si="0"/>
        <v>0</v>
      </c>
      <c r="AH8" s="161">
        <f t="shared" si="0"/>
        <v>0</v>
      </c>
      <c r="AI8" s="161">
        <f t="shared" si="0"/>
        <v>1273694</v>
      </c>
      <c r="AJ8" s="161">
        <f t="shared" si="0"/>
        <v>0</v>
      </c>
      <c r="AK8" s="161">
        <f t="shared" si="0"/>
        <v>0</v>
      </c>
      <c r="AL8" s="161">
        <f t="shared" si="0"/>
        <v>0</v>
      </c>
      <c r="AM8" s="161">
        <f t="shared" si="0"/>
        <v>0</v>
      </c>
      <c r="AN8" s="161">
        <f t="shared" si="0"/>
        <v>0</v>
      </c>
      <c r="AO8" s="161">
        <f t="shared" si="0"/>
        <v>0</v>
      </c>
    </row>
    <row r="9" spans="1:42" x14ac:dyDescent="0.3">
      <c r="A9" s="158">
        <f>IF(ISBLANK(B9),"",MAX(A$6:A8)+1)</f>
        <v>3</v>
      </c>
      <c r="B9" s="160" t="s">
        <v>25</v>
      </c>
      <c r="C9" s="162">
        <v>328327.15999999898</v>
      </c>
      <c r="D9" s="162"/>
      <c r="E9" s="162"/>
      <c r="F9" s="162"/>
      <c r="G9" s="162">
        <v>328327.15999999898</v>
      </c>
      <c r="H9" s="26">
        <v>1.1759750394165991E-2</v>
      </c>
      <c r="I9" s="162">
        <v>337406.98804805137</v>
      </c>
      <c r="J9" s="162"/>
      <c r="K9" s="162"/>
      <c r="L9" s="162"/>
      <c r="M9" s="162">
        <v>337406.98804805137</v>
      </c>
      <c r="O9" s="158">
        <v>3</v>
      </c>
      <c r="P9" s="160" t="s">
        <v>25</v>
      </c>
      <c r="Q9" s="162">
        <v>327360.15999999898</v>
      </c>
      <c r="R9" s="162"/>
      <c r="S9" s="162"/>
      <c r="T9" s="162"/>
      <c r="U9" s="162">
        <v>327360.15999999898</v>
      </c>
      <c r="V9" s="26">
        <v>1.1759750394165991E-2</v>
      </c>
      <c r="W9" s="162">
        <v>336413.24583847454</v>
      </c>
      <c r="X9" s="162"/>
      <c r="Y9" s="162"/>
      <c r="Z9" s="162"/>
      <c r="AA9" s="162">
        <v>336413.24583847454</v>
      </c>
      <c r="AC9" s="158">
        <v>3</v>
      </c>
      <c r="AD9" s="160" t="s">
        <v>25</v>
      </c>
      <c r="AE9" s="162">
        <f t="shared" ref="AE9:AO45" si="1">+C9-Q9</f>
        <v>967</v>
      </c>
      <c r="AF9" s="162">
        <f t="shared" si="0"/>
        <v>0</v>
      </c>
      <c r="AG9" s="162">
        <f t="shared" si="0"/>
        <v>0</v>
      </c>
      <c r="AH9" s="162">
        <f t="shared" si="0"/>
        <v>0</v>
      </c>
      <c r="AI9" s="162">
        <f t="shared" si="0"/>
        <v>967</v>
      </c>
      <c r="AJ9" s="162">
        <f t="shared" si="0"/>
        <v>0</v>
      </c>
      <c r="AK9" s="162">
        <f t="shared" si="0"/>
        <v>993.74220957682701</v>
      </c>
      <c r="AL9" s="162">
        <f t="shared" si="0"/>
        <v>0</v>
      </c>
      <c r="AM9" s="162">
        <f t="shared" si="0"/>
        <v>0</v>
      </c>
      <c r="AN9" s="162">
        <f t="shared" si="0"/>
        <v>0</v>
      </c>
      <c r="AO9" s="162">
        <f t="shared" si="0"/>
        <v>993.74220957682701</v>
      </c>
      <c r="AP9" s="162">
        <f>AI9*(1+H9)^(28/12)</f>
        <v>993.74220957677289</v>
      </c>
    </row>
    <row r="10" spans="1:42" x14ac:dyDescent="0.3">
      <c r="A10" s="158">
        <f>IF(ISBLANK(B10),"",MAX(A$6:A9)+1)</f>
        <v>4</v>
      </c>
      <c r="B10" s="160" t="s">
        <v>26</v>
      </c>
      <c r="C10" s="162">
        <v>0</v>
      </c>
      <c r="D10" s="162"/>
      <c r="E10" s="162"/>
      <c r="F10" s="162"/>
      <c r="G10" s="162">
        <v>0</v>
      </c>
      <c r="H10" s="26"/>
      <c r="I10" s="162">
        <v>0</v>
      </c>
      <c r="J10" s="162"/>
      <c r="K10" s="162"/>
      <c r="L10" s="162"/>
      <c r="M10" s="162">
        <v>0</v>
      </c>
      <c r="O10" s="158">
        <v>4</v>
      </c>
      <c r="P10" s="160" t="s">
        <v>26</v>
      </c>
      <c r="Q10" s="162">
        <v>0</v>
      </c>
      <c r="R10" s="162"/>
      <c r="S10" s="162"/>
      <c r="T10" s="162"/>
      <c r="U10" s="162">
        <v>0</v>
      </c>
      <c r="V10" s="26"/>
      <c r="W10" s="162">
        <v>0</v>
      </c>
      <c r="X10" s="162"/>
      <c r="Y10" s="162"/>
      <c r="Z10" s="162"/>
      <c r="AA10" s="162">
        <v>0</v>
      </c>
      <c r="AC10" s="158">
        <v>4</v>
      </c>
      <c r="AD10" s="160" t="s">
        <v>26</v>
      </c>
      <c r="AE10" s="162">
        <f t="shared" si="1"/>
        <v>0</v>
      </c>
      <c r="AF10" s="162">
        <f t="shared" si="0"/>
        <v>0</v>
      </c>
      <c r="AG10" s="162">
        <f t="shared" si="0"/>
        <v>0</v>
      </c>
      <c r="AH10" s="162">
        <f t="shared" si="0"/>
        <v>0</v>
      </c>
      <c r="AI10" s="162">
        <f t="shared" si="0"/>
        <v>0</v>
      </c>
      <c r="AJ10" s="162">
        <f t="shared" si="0"/>
        <v>0</v>
      </c>
      <c r="AK10" s="162">
        <f t="shared" si="0"/>
        <v>0</v>
      </c>
      <c r="AL10" s="162">
        <f t="shared" si="0"/>
        <v>0</v>
      </c>
      <c r="AM10" s="162">
        <f t="shared" si="0"/>
        <v>0</v>
      </c>
      <c r="AN10" s="162">
        <f t="shared" si="0"/>
        <v>0</v>
      </c>
      <c r="AO10" s="162">
        <f t="shared" si="0"/>
        <v>0</v>
      </c>
    </row>
    <row r="11" spans="1:42" x14ac:dyDescent="0.3">
      <c r="A11" s="158">
        <f>IF(ISBLANK(B11),"",MAX(A$6:A10)+1)</f>
        <v>5</v>
      </c>
      <c r="B11" s="160" t="s">
        <v>27</v>
      </c>
      <c r="C11" s="163">
        <v>52105313.610000014</v>
      </c>
      <c r="D11" s="163"/>
      <c r="E11" s="163"/>
      <c r="F11" s="163"/>
      <c r="G11" s="163">
        <v>52105313.610000014</v>
      </c>
      <c r="H11" s="26">
        <v>1.1759750394165991E-2</v>
      </c>
      <c r="I11" s="163">
        <v>53546276.605472714</v>
      </c>
      <c r="J11" s="163"/>
      <c r="K11" s="163"/>
      <c r="L11" s="163"/>
      <c r="M11" s="163">
        <v>53546276.605472714</v>
      </c>
      <c r="O11" s="158">
        <v>5</v>
      </c>
      <c r="P11" s="160" t="s">
        <v>27</v>
      </c>
      <c r="Q11" s="163">
        <v>52105313.610000014</v>
      </c>
      <c r="R11" s="163"/>
      <c r="S11" s="163"/>
      <c r="T11" s="163"/>
      <c r="U11" s="163">
        <v>52105313.610000014</v>
      </c>
      <c r="V11" s="26">
        <v>1.1759750394165991E-2</v>
      </c>
      <c r="W11" s="163">
        <v>53546276.605472714</v>
      </c>
      <c r="X11" s="163"/>
      <c r="Y11" s="163"/>
      <c r="Z11" s="163"/>
      <c r="AA11" s="163">
        <v>53546276.605472714</v>
      </c>
      <c r="AC11" s="158">
        <v>5</v>
      </c>
      <c r="AD11" s="160" t="s">
        <v>27</v>
      </c>
      <c r="AE11" s="163">
        <f t="shared" si="1"/>
        <v>0</v>
      </c>
      <c r="AF11" s="163">
        <f t="shared" si="0"/>
        <v>0</v>
      </c>
      <c r="AG11" s="163">
        <f t="shared" si="0"/>
        <v>0</v>
      </c>
      <c r="AH11" s="163">
        <f t="shared" si="0"/>
        <v>0</v>
      </c>
      <c r="AI11" s="163">
        <f t="shared" si="0"/>
        <v>0</v>
      </c>
      <c r="AJ11" s="163">
        <f t="shared" si="0"/>
        <v>0</v>
      </c>
      <c r="AK11" s="163">
        <f t="shared" si="0"/>
        <v>0</v>
      </c>
      <c r="AL11" s="163">
        <f t="shared" si="0"/>
        <v>0</v>
      </c>
      <c r="AM11" s="163">
        <f t="shared" si="0"/>
        <v>0</v>
      </c>
      <c r="AN11" s="163">
        <f t="shared" si="0"/>
        <v>0</v>
      </c>
      <c r="AO11" s="163">
        <f t="shared" si="0"/>
        <v>0</v>
      </c>
    </row>
    <row r="12" spans="1:42" x14ac:dyDescent="0.3">
      <c r="A12" s="158">
        <f>IF(ISBLANK(B12),"",MAX(A$6:A11)+1)</f>
        <v>6</v>
      </c>
      <c r="B12" s="164" t="s">
        <v>28</v>
      </c>
      <c r="C12" s="165">
        <v>1339286240.0668092</v>
      </c>
      <c r="D12" s="165">
        <v>0</v>
      </c>
      <c r="E12" s="165">
        <v>0</v>
      </c>
      <c r="F12" s="165">
        <v>0</v>
      </c>
      <c r="G12" s="165">
        <v>1339286240.0668092</v>
      </c>
      <c r="H12" s="26">
        <v>1.4164432527238313E-2</v>
      </c>
      <c r="I12" s="165">
        <v>1383968747.1005628</v>
      </c>
      <c r="J12" s="165">
        <v>0</v>
      </c>
      <c r="K12" s="165">
        <v>0</v>
      </c>
      <c r="L12" s="165">
        <v>0</v>
      </c>
      <c r="M12" s="165">
        <v>1383968747.1005628</v>
      </c>
      <c r="O12" s="158">
        <v>6</v>
      </c>
      <c r="P12" s="164" t="s">
        <v>28</v>
      </c>
      <c r="Q12" s="165">
        <v>1338011579.0668092</v>
      </c>
      <c r="R12" s="165">
        <v>0</v>
      </c>
      <c r="S12" s="165">
        <v>0</v>
      </c>
      <c r="T12" s="165">
        <v>0</v>
      </c>
      <c r="U12" s="165">
        <v>1338011579.0668092</v>
      </c>
      <c r="V12" s="26">
        <v>1.4578070656687148E-2</v>
      </c>
      <c r="W12" s="165">
        <v>1383967753.3583531</v>
      </c>
      <c r="X12" s="165">
        <v>0</v>
      </c>
      <c r="Y12" s="165">
        <v>0</v>
      </c>
      <c r="Z12" s="165">
        <v>0</v>
      </c>
      <c r="AA12" s="165">
        <v>1383967753.3583531</v>
      </c>
      <c r="AC12" s="158">
        <v>6</v>
      </c>
      <c r="AD12" s="164" t="s">
        <v>28</v>
      </c>
      <c r="AE12" s="165">
        <f t="shared" si="1"/>
        <v>1274661</v>
      </c>
      <c r="AF12" s="165">
        <f t="shared" si="0"/>
        <v>0</v>
      </c>
      <c r="AG12" s="165">
        <f t="shared" si="0"/>
        <v>0</v>
      </c>
      <c r="AH12" s="165">
        <f t="shared" si="0"/>
        <v>0</v>
      </c>
      <c r="AI12" s="165">
        <f t="shared" si="0"/>
        <v>1274661</v>
      </c>
      <c r="AJ12" s="165">
        <f t="shared" si="0"/>
        <v>-4.1363812944883449E-4</v>
      </c>
      <c r="AK12" s="165">
        <f t="shared" si="0"/>
        <v>993.74220967292786</v>
      </c>
      <c r="AL12" s="165">
        <f t="shared" si="0"/>
        <v>0</v>
      </c>
      <c r="AM12" s="165">
        <f t="shared" si="0"/>
        <v>0</v>
      </c>
      <c r="AN12" s="165">
        <f t="shared" si="0"/>
        <v>0</v>
      </c>
      <c r="AO12" s="165">
        <f t="shared" si="0"/>
        <v>993.74220967292786</v>
      </c>
    </row>
    <row r="13" spans="1:42" x14ac:dyDescent="0.3">
      <c r="A13" s="158" t="str">
        <f>IF(ISBLANK(B13),"",MAX(A$6:A12)+1)</f>
        <v/>
      </c>
      <c r="B13" s="76"/>
      <c r="C13" s="76"/>
      <c r="D13" s="76"/>
      <c r="E13" s="76"/>
      <c r="F13" s="76"/>
      <c r="G13" s="76"/>
      <c r="H13" s="27"/>
      <c r="I13" s="76"/>
      <c r="J13" s="76"/>
      <c r="K13" s="76"/>
      <c r="L13" s="76"/>
      <c r="M13" s="76"/>
      <c r="O13" s="158" t="s">
        <v>790</v>
      </c>
      <c r="P13" s="76"/>
      <c r="Q13" s="76"/>
      <c r="R13" s="76"/>
      <c r="S13" s="76"/>
      <c r="T13" s="76"/>
      <c r="U13" s="76"/>
      <c r="V13" s="27"/>
      <c r="W13" s="76"/>
      <c r="X13" s="76"/>
      <c r="Y13" s="76"/>
      <c r="Z13" s="76"/>
      <c r="AA13" s="76"/>
      <c r="AC13" s="158" t="s">
        <v>790</v>
      </c>
      <c r="AD13" s="76"/>
      <c r="AE13" s="76">
        <f t="shared" si="1"/>
        <v>0</v>
      </c>
      <c r="AF13" s="76">
        <f t="shared" si="0"/>
        <v>0</v>
      </c>
      <c r="AG13" s="76">
        <f t="shared" si="0"/>
        <v>0</v>
      </c>
      <c r="AH13" s="76">
        <f t="shared" si="0"/>
        <v>0</v>
      </c>
      <c r="AI13" s="76">
        <f t="shared" si="0"/>
        <v>0</v>
      </c>
      <c r="AJ13" s="76">
        <f t="shared" si="0"/>
        <v>0</v>
      </c>
      <c r="AK13" s="76">
        <f t="shared" si="0"/>
        <v>0</v>
      </c>
      <c r="AL13" s="76">
        <f t="shared" si="0"/>
        <v>0</v>
      </c>
      <c r="AM13" s="76">
        <f t="shared" si="0"/>
        <v>0</v>
      </c>
      <c r="AN13" s="76">
        <f t="shared" si="0"/>
        <v>0</v>
      </c>
      <c r="AO13" s="76">
        <f t="shared" si="0"/>
        <v>0</v>
      </c>
    </row>
    <row r="14" spans="1:42" x14ac:dyDescent="0.3">
      <c r="A14" s="158">
        <f>IF(ISBLANK(B14),"",MAX(A$6:A13)+1)</f>
        <v>7</v>
      </c>
      <c r="B14" s="159" t="s">
        <v>29</v>
      </c>
      <c r="C14" s="166"/>
      <c r="D14" s="166"/>
      <c r="E14" s="166"/>
      <c r="F14" s="166"/>
      <c r="G14" s="166"/>
      <c r="H14" s="27"/>
      <c r="I14" s="166"/>
      <c r="J14" s="166"/>
      <c r="K14" s="166"/>
      <c r="L14" s="166"/>
      <c r="M14" s="166"/>
      <c r="O14" s="158">
        <v>7</v>
      </c>
      <c r="P14" s="159" t="s">
        <v>29</v>
      </c>
      <c r="Q14" s="166"/>
      <c r="R14" s="166"/>
      <c r="S14" s="166"/>
      <c r="T14" s="166"/>
      <c r="U14" s="166"/>
      <c r="V14" s="27"/>
      <c r="W14" s="166"/>
      <c r="X14" s="166"/>
      <c r="Y14" s="166"/>
      <c r="Z14" s="166"/>
      <c r="AA14" s="166"/>
      <c r="AC14" s="158">
        <v>7</v>
      </c>
      <c r="AD14" s="159" t="s">
        <v>29</v>
      </c>
      <c r="AE14" s="166">
        <f t="shared" si="1"/>
        <v>0</v>
      </c>
      <c r="AF14" s="166">
        <f t="shared" si="0"/>
        <v>0</v>
      </c>
      <c r="AG14" s="166">
        <f t="shared" si="0"/>
        <v>0</v>
      </c>
      <c r="AH14" s="166">
        <f t="shared" si="0"/>
        <v>0</v>
      </c>
      <c r="AI14" s="166">
        <f t="shared" si="0"/>
        <v>0</v>
      </c>
      <c r="AJ14" s="166">
        <f t="shared" si="0"/>
        <v>0</v>
      </c>
      <c r="AK14" s="166">
        <f t="shared" si="0"/>
        <v>0</v>
      </c>
      <c r="AL14" s="166">
        <f t="shared" si="0"/>
        <v>0</v>
      </c>
      <c r="AM14" s="166">
        <f t="shared" si="0"/>
        <v>0</v>
      </c>
      <c r="AN14" s="166">
        <f t="shared" si="0"/>
        <v>0</v>
      </c>
      <c r="AO14" s="166">
        <f t="shared" si="0"/>
        <v>0</v>
      </c>
    </row>
    <row r="15" spans="1:42" x14ac:dyDescent="0.3">
      <c r="A15" s="158" t="str">
        <f>IF(ISBLANK(B15),"",MAX(A$6:A14)+1)</f>
        <v/>
      </c>
      <c r="B15" s="76"/>
      <c r="C15" s="76"/>
      <c r="D15" s="76"/>
      <c r="E15" s="76"/>
      <c r="F15" s="76"/>
      <c r="G15" s="76"/>
      <c r="H15" s="27"/>
      <c r="I15" s="76"/>
      <c r="J15" s="76"/>
      <c r="K15" s="76"/>
      <c r="L15" s="76"/>
      <c r="M15" s="76"/>
      <c r="O15" s="158" t="s">
        <v>790</v>
      </c>
      <c r="P15" s="76"/>
      <c r="Q15" s="76"/>
      <c r="R15" s="76"/>
      <c r="S15" s="76"/>
      <c r="T15" s="76"/>
      <c r="U15" s="76"/>
      <c r="V15" s="27"/>
      <c r="W15" s="76"/>
      <c r="X15" s="76"/>
      <c r="Y15" s="76"/>
      <c r="Z15" s="76"/>
      <c r="AA15" s="76"/>
      <c r="AC15" s="158" t="s">
        <v>790</v>
      </c>
      <c r="AD15" s="76"/>
      <c r="AE15" s="76">
        <f t="shared" si="1"/>
        <v>0</v>
      </c>
      <c r="AF15" s="76">
        <f t="shared" si="0"/>
        <v>0</v>
      </c>
      <c r="AG15" s="76">
        <f t="shared" si="0"/>
        <v>0</v>
      </c>
      <c r="AH15" s="76">
        <f t="shared" si="0"/>
        <v>0</v>
      </c>
      <c r="AI15" s="76">
        <f t="shared" si="0"/>
        <v>0</v>
      </c>
      <c r="AJ15" s="76">
        <f t="shared" si="0"/>
        <v>0</v>
      </c>
      <c r="AK15" s="76">
        <f t="shared" si="0"/>
        <v>0</v>
      </c>
      <c r="AL15" s="76">
        <f t="shared" si="0"/>
        <v>0</v>
      </c>
      <c r="AM15" s="76">
        <f t="shared" si="0"/>
        <v>0</v>
      </c>
      <c r="AN15" s="76">
        <f t="shared" si="0"/>
        <v>0</v>
      </c>
      <c r="AO15" s="76">
        <f t="shared" si="0"/>
        <v>0</v>
      </c>
    </row>
    <row r="16" spans="1:42" x14ac:dyDescent="0.3">
      <c r="A16" s="158">
        <f>IF(ISBLANK(B16),"",MAX(A$6:A15)+1)</f>
        <v>8</v>
      </c>
      <c r="B16" s="159" t="s">
        <v>30</v>
      </c>
      <c r="C16" s="166"/>
      <c r="D16" s="166"/>
      <c r="E16" s="166"/>
      <c r="F16" s="166"/>
      <c r="G16" s="166"/>
      <c r="H16" s="27"/>
      <c r="I16" s="166"/>
      <c r="J16" s="166"/>
      <c r="K16" s="166"/>
      <c r="L16" s="166"/>
      <c r="M16" s="166"/>
      <c r="O16" s="158">
        <v>8</v>
      </c>
      <c r="P16" s="159" t="s">
        <v>30</v>
      </c>
      <c r="Q16" s="166"/>
      <c r="R16" s="166"/>
      <c r="S16" s="166"/>
      <c r="T16" s="166"/>
      <c r="U16" s="166"/>
      <c r="V16" s="27"/>
      <c r="W16" s="166"/>
      <c r="X16" s="166"/>
      <c r="Y16" s="166"/>
      <c r="Z16" s="166"/>
      <c r="AA16" s="166"/>
      <c r="AC16" s="158">
        <v>8</v>
      </c>
      <c r="AD16" s="159" t="s">
        <v>30</v>
      </c>
      <c r="AE16" s="166">
        <f t="shared" si="1"/>
        <v>0</v>
      </c>
      <c r="AF16" s="166">
        <f t="shared" si="0"/>
        <v>0</v>
      </c>
      <c r="AG16" s="166">
        <f t="shared" si="0"/>
        <v>0</v>
      </c>
      <c r="AH16" s="166">
        <f t="shared" si="0"/>
        <v>0</v>
      </c>
      <c r="AI16" s="166">
        <f t="shared" si="0"/>
        <v>0</v>
      </c>
      <c r="AJ16" s="166">
        <f t="shared" si="0"/>
        <v>0</v>
      </c>
      <c r="AK16" s="166">
        <f t="shared" si="0"/>
        <v>0</v>
      </c>
      <c r="AL16" s="166">
        <f t="shared" si="0"/>
        <v>0</v>
      </c>
      <c r="AM16" s="166">
        <f t="shared" si="0"/>
        <v>0</v>
      </c>
      <c r="AN16" s="166">
        <f t="shared" si="0"/>
        <v>0</v>
      </c>
      <c r="AO16" s="166">
        <f t="shared" si="0"/>
        <v>0</v>
      </c>
    </row>
    <row r="17" spans="1:42" x14ac:dyDescent="0.3">
      <c r="A17" s="158">
        <f>IF(ISBLANK(B17),"",MAX(A$6:A16)+1)</f>
        <v>9</v>
      </c>
      <c r="B17" s="160" t="s">
        <v>31</v>
      </c>
      <c r="C17" s="162">
        <v>0</v>
      </c>
      <c r="D17" s="162"/>
      <c r="E17" s="162"/>
      <c r="F17" s="162"/>
      <c r="G17" s="162">
        <v>0</v>
      </c>
      <c r="H17" s="26"/>
      <c r="I17" s="162">
        <v>0</v>
      </c>
      <c r="J17" s="162"/>
      <c r="K17" s="162"/>
      <c r="L17" s="162"/>
      <c r="M17" s="162">
        <v>0</v>
      </c>
      <c r="O17" s="158">
        <v>9</v>
      </c>
      <c r="P17" s="160" t="s">
        <v>31</v>
      </c>
      <c r="Q17" s="162">
        <v>0</v>
      </c>
      <c r="R17" s="162"/>
      <c r="S17" s="162"/>
      <c r="T17" s="162"/>
      <c r="U17" s="162">
        <v>0</v>
      </c>
      <c r="V17" s="26"/>
      <c r="W17" s="162">
        <v>0</v>
      </c>
      <c r="X17" s="162"/>
      <c r="Y17" s="162"/>
      <c r="Z17" s="162"/>
      <c r="AA17" s="162">
        <v>0</v>
      </c>
      <c r="AC17" s="158">
        <v>9</v>
      </c>
      <c r="AD17" s="160" t="s">
        <v>31</v>
      </c>
      <c r="AE17" s="162">
        <f t="shared" si="1"/>
        <v>0</v>
      </c>
      <c r="AF17" s="162">
        <f t="shared" si="0"/>
        <v>0</v>
      </c>
      <c r="AG17" s="162">
        <f t="shared" si="0"/>
        <v>0</v>
      </c>
      <c r="AH17" s="162">
        <f t="shared" si="0"/>
        <v>0</v>
      </c>
      <c r="AI17" s="162">
        <f t="shared" si="0"/>
        <v>0</v>
      </c>
      <c r="AJ17" s="162">
        <f t="shared" si="0"/>
        <v>0</v>
      </c>
      <c r="AK17" s="162">
        <f t="shared" si="0"/>
        <v>0</v>
      </c>
      <c r="AL17" s="162">
        <f t="shared" si="0"/>
        <v>0</v>
      </c>
      <c r="AM17" s="162">
        <f t="shared" si="0"/>
        <v>0</v>
      </c>
      <c r="AN17" s="162">
        <f t="shared" si="0"/>
        <v>0</v>
      </c>
      <c r="AO17" s="162">
        <f t="shared" si="0"/>
        <v>0</v>
      </c>
    </row>
    <row r="18" spans="1:42" x14ac:dyDescent="0.3">
      <c r="A18" s="158">
        <f>IF(ISBLANK(B18),"",MAX(A$6:A17)+1)</f>
        <v>10</v>
      </c>
      <c r="B18" s="160" t="s">
        <v>32</v>
      </c>
      <c r="C18" s="162">
        <v>0</v>
      </c>
      <c r="D18" s="162"/>
      <c r="E18" s="162"/>
      <c r="F18" s="162"/>
      <c r="G18" s="162">
        <v>0</v>
      </c>
      <c r="H18" s="26"/>
      <c r="I18" s="162">
        <v>0</v>
      </c>
      <c r="J18" s="162"/>
      <c r="K18" s="162"/>
      <c r="L18" s="162"/>
      <c r="M18" s="162">
        <v>0</v>
      </c>
      <c r="O18" s="158">
        <v>10</v>
      </c>
      <c r="P18" s="160" t="s">
        <v>32</v>
      </c>
      <c r="Q18" s="162">
        <v>0</v>
      </c>
      <c r="R18" s="162"/>
      <c r="S18" s="162"/>
      <c r="T18" s="162"/>
      <c r="U18" s="162">
        <v>0</v>
      </c>
      <c r="V18" s="26"/>
      <c r="W18" s="162">
        <v>0</v>
      </c>
      <c r="X18" s="162"/>
      <c r="Y18" s="162"/>
      <c r="Z18" s="162"/>
      <c r="AA18" s="162">
        <v>0</v>
      </c>
      <c r="AC18" s="158">
        <v>10</v>
      </c>
      <c r="AD18" s="160" t="s">
        <v>32</v>
      </c>
      <c r="AE18" s="162">
        <f t="shared" si="1"/>
        <v>0</v>
      </c>
      <c r="AF18" s="162">
        <f t="shared" si="0"/>
        <v>0</v>
      </c>
      <c r="AG18" s="162">
        <f t="shared" si="0"/>
        <v>0</v>
      </c>
      <c r="AH18" s="162">
        <f t="shared" si="0"/>
        <v>0</v>
      </c>
      <c r="AI18" s="162">
        <f t="shared" si="0"/>
        <v>0</v>
      </c>
      <c r="AJ18" s="162">
        <f t="shared" si="0"/>
        <v>0</v>
      </c>
      <c r="AK18" s="162">
        <f t="shared" si="0"/>
        <v>0</v>
      </c>
      <c r="AL18" s="162">
        <f t="shared" si="0"/>
        <v>0</v>
      </c>
      <c r="AM18" s="162">
        <f t="shared" si="0"/>
        <v>0</v>
      </c>
      <c r="AN18" s="162">
        <f t="shared" si="0"/>
        <v>0</v>
      </c>
      <c r="AO18" s="162">
        <f t="shared" si="0"/>
        <v>0</v>
      </c>
    </row>
    <row r="19" spans="1:42" x14ac:dyDescent="0.3">
      <c r="A19" s="158">
        <f>IF(ISBLANK(B19),"",MAX(A$6:A18)+1)</f>
        <v>11</v>
      </c>
      <c r="B19" s="160" t="s">
        <v>33</v>
      </c>
      <c r="C19" s="162">
        <v>0</v>
      </c>
      <c r="D19" s="162"/>
      <c r="E19" s="162"/>
      <c r="F19" s="162"/>
      <c r="G19" s="162">
        <v>0</v>
      </c>
      <c r="H19" s="26"/>
      <c r="I19" s="162">
        <v>0</v>
      </c>
      <c r="J19" s="162"/>
      <c r="K19" s="162"/>
      <c r="L19" s="162"/>
      <c r="M19" s="162">
        <v>0</v>
      </c>
      <c r="O19" s="158">
        <v>11</v>
      </c>
      <c r="P19" s="160" t="s">
        <v>33</v>
      </c>
      <c r="Q19" s="162">
        <v>0</v>
      </c>
      <c r="R19" s="162"/>
      <c r="S19" s="162"/>
      <c r="T19" s="162"/>
      <c r="U19" s="162">
        <v>0</v>
      </c>
      <c r="V19" s="26"/>
      <c r="W19" s="162">
        <v>0</v>
      </c>
      <c r="X19" s="162"/>
      <c r="Y19" s="162"/>
      <c r="Z19" s="162"/>
      <c r="AA19" s="162">
        <v>0</v>
      </c>
      <c r="AC19" s="158">
        <v>11</v>
      </c>
      <c r="AD19" s="160" t="s">
        <v>33</v>
      </c>
      <c r="AE19" s="162">
        <f t="shared" si="1"/>
        <v>0</v>
      </c>
      <c r="AF19" s="162">
        <f t="shared" si="0"/>
        <v>0</v>
      </c>
      <c r="AG19" s="162">
        <f t="shared" si="0"/>
        <v>0</v>
      </c>
      <c r="AH19" s="162">
        <f t="shared" si="0"/>
        <v>0</v>
      </c>
      <c r="AI19" s="162">
        <f t="shared" si="0"/>
        <v>0</v>
      </c>
      <c r="AJ19" s="162">
        <f t="shared" si="0"/>
        <v>0</v>
      </c>
      <c r="AK19" s="162">
        <f t="shared" si="0"/>
        <v>0</v>
      </c>
      <c r="AL19" s="162">
        <f t="shared" si="0"/>
        <v>0</v>
      </c>
      <c r="AM19" s="162">
        <f t="shared" si="0"/>
        <v>0</v>
      </c>
      <c r="AN19" s="162">
        <f t="shared" si="0"/>
        <v>0</v>
      </c>
      <c r="AO19" s="162">
        <f t="shared" si="0"/>
        <v>0</v>
      </c>
    </row>
    <row r="20" spans="1:42" x14ac:dyDescent="0.3">
      <c r="A20" s="158">
        <f>IF(ISBLANK(B20),"",MAX(A$6:A19)+1)</f>
        <v>12</v>
      </c>
      <c r="B20" s="160" t="s">
        <v>34</v>
      </c>
      <c r="C20" s="163">
        <v>0</v>
      </c>
      <c r="D20" s="163"/>
      <c r="E20" s="163"/>
      <c r="F20" s="163"/>
      <c r="G20" s="163">
        <v>0</v>
      </c>
      <c r="H20" s="26"/>
      <c r="I20" s="163">
        <v>0</v>
      </c>
      <c r="J20" s="163"/>
      <c r="K20" s="163"/>
      <c r="L20" s="163"/>
      <c r="M20" s="163">
        <v>0</v>
      </c>
      <c r="O20" s="158">
        <v>12</v>
      </c>
      <c r="P20" s="160" t="s">
        <v>34</v>
      </c>
      <c r="Q20" s="163">
        <v>0</v>
      </c>
      <c r="R20" s="163"/>
      <c r="S20" s="163"/>
      <c r="T20" s="163"/>
      <c r="U20" s="163">
        <v>0</v>
      </c>
      <c r="V20" s="26"/>
      <c r="W20" s="163">
        <v>0</v>
      </c>
      <c r="X20" s="163"/>
      <c r="Y20" s="163"/>
      <c r="Z20" s="163"/>
      <c r="AA20" s="163">
        <v>0</v>
      </c>
      <c r="AC20" s="158">
        <v>12</v>
      </c>
      <c r="AD20" s="160" t="s">
        <v>34</v>
      </c>
      <c r="AE20" s="163">
        <f t="shared" si="1"/>
        <v>0</v>
      </c>
      <c r="AF20" s="163">
        <f t="shared" si="0"/>
        <v>0</v>
      </c>
      <c r="AG20" s="163">
        <f t="shared" si="0"/>
        <v>0</v>
      </c>
      <c r="AH20" s="163">
        <f t="shared" si="0"/>
        <v>0</v>
      </c>
      <c r="AI20" s="163">
        <f t="shared" si="0"/>
        <v>0</v>
      </c>
      <c r="AJ20" s="163">
        <f t="shared" si="0"/>
        <v>0</v>
      </c>
      <c r="AK20" s="163">
        <f t="shared" si="0"/>
        <v>0</v>
      </c>
      <c r="AL20" s="163">
        <f t="shared" si="0"/>
        <v>0</v>
      </c>
      <c r="AM20" s="163">
        <f t="shared" si="0"/>
        <v>0</v>
      </c>
      <c r="AN20" s="163">
        <f t="shared" si="0"/>
        <v>0</v>
      </c>
      <c r="AO20" s="163">
        <f t="shared" si="0"/>
        <v>0</v>
      </c>
    </row>
    <row r="21" spans="1:42" x14ac:dyDescent="0.3">
      <c r="A21" s="158">
        <f>IF(ISBLANK(B21),"",MAX(A$6:A20)+1)</f>
        <v>13</v>
      </c>
      <c r="B21" s="164" t="s">
        <v>35</v>
      </c>
      <c r="C21" s="165">
        <v>0</v>
      </c>
      <c r="D21" s="165"/>
      <c r="E21" s="165"/>
      <c r="F21" s="165">
        <v>0</v>
      </c>
      <c r="G21" s="165">
        <v>0</v>
      </c>
      <c r="H21" s="27"/>
      <c r="I21" s="165">
        <v>0</v>
      </c>
      <c r="J21" s="165">
        <v>0</v>
      </c>
      <c r="K21" s="165">
        <v>0</v>
      </c>
      <c r="L21" s="165">
        <v>0</v>
      </c>
      <c r="M21" s="165">
        <v>0</v>
      </c>
      <c r="O21" s="158">
        <v>13</v>
      </c>
      <c r="P21" s="164" t="s">
        <v>35</v>
      </c>
      <c r="Q21" s="165">
        <v>0</v>
      </c>
      <c r="R21" s="165"/>
      <c r="S21" s="165"/>
      <c r="T21" s="165">
        <v>0</v>
      </c>
      <c r="U21" s="165">
        <v>0</v>
      </c>
      <c r="V21" s="27"/>
      <c r="W21" s="165">
        <v>0</v>
      </c>
      <c r="X21" s="165">
        <v>0</v>
      </c>
      <c r="Y21" s="165">
        <v>0</v>
      </c>
      <c r="Z21" s="165">
        <v>0</v>
      </c>
      <c r="AA21" s="165">
        <v>0</v>
      </c>
      <c r="AC21" s="158">
        <v>13</v>
      </c>
      <c r="AD21" s="164" t="s">
        <v>35</v>
      </c>
      <c r="AE21" s="165">
        <f t="shared" si="1"/>
        <v>0</v>
      </c>
      <c r="AF21" s="165">
        <f t="shared" si="0"/>
        <v>0</v>
      </c>
      <c r="AG21" s="165">
        <f t="shared" si="0"/>
        <v>0</v>
      </c>
      <c r="AH21" s="165">
        <f t="shared" si="0"/>
        <v>0</v>
      </c>
      <c r="AI21" s="165">
        <f t="shared" si="0"/>
        <v>0</v>
      </c>
      <c r="AJ21" s="165">
        <f t="shared" si="0"/>
        <v>0</v>
      </c>
      <c r="AK21" s="165">
        <f t="shared" si="0"/>
        <v>0</v>
      </c>
      <c r="AL21" s="165">
        <f t="shared" si="0"/>
        <v>0</v>
      </c>
      <c r="AM21" s="165">
        <f t="shared" si="0"/>
        <v>0</v>
      </c>
      <c r="AN21" s="165">
        <f t="shared" si="0"/>
        <v>0</v>
      </c>
      <c r="AO21" s="165">
        <f t="shared" si="0"/>
        <v>0</v>
      </c>
    </row>
    <row r="22" spans="1:42" x14ac:dyDescent="0.3">
      <c r="A22" s="158" t="str">
        <f>IF(ISBLANK(B22),"",MAX(A$6:A21)+1)</f>
        <v/>
      </c>
      <c r="B22" s="167"/>
      <c r="C22" s="168"/>
      <c r="D22" s="168"/>
      <c r="E22" s="168"/>
      <c r="F22" s="168"/>
      <c r="G22" s="168"/>
      <c r="H22" s="27"/>
      <c r="I22" s="168"/>
      <c r="J22" s="168"/>
      <c r="K22" s="168"/>
      <c r="L22" s="168"/>
      <c r="M22" s="168"/>
      <c r="O22" s="158" t="s">
        <v>790</v>
      </c>
      <c r="P22" s="167"/>
      <c r="Q22" s="168"/>
      <c r="R22" s="168"/>
      <c r="S22" s="168"/>
      <c r="T22" s="168"/>
      <c r="U22" s="168"/>
      <c r="V22" s="27"/>
      <c r="W22" s="168"/>
      <c r="X22" s="168"/>
      <c r="Y22" s="168"/>
      <c r="Z22" s="168"/>
      <c r="AA22" s="168"/>
      <c r="AC22" s="158" t="s">
        <v>790</v>
      </c>
      <c r="AD22" s="167"/>
      <c r="AE22" s="168">
        <f t="shared" si="1"/>
        <v>0</v>
      </c>
      <c r="AF22" s="168">
        <f t="shared" si="0"/>
        <v>0</v>
      </c>
      <c r="AG22" s="168">
        <f t="shared" si="0"/>
        <v>0</v>
      </c>
      <c r="AH22" s="168">
        <f t="shared" si="0"/>
        <v>0</v>
      </c>
      <c r="AI22" s="168">
        <f t="shared" si="0"/>
        <v>0</v>
      </c>
      <c r="AJ22" s="168">
        <f t="shared" si="0"/>
        <v>0</v>
      </c>
      <c r="AK22" s="168">
        <f t="shared" si="0"/>
        <v>0</v>
      </c>
      <c r="AL22" s="168">
        <f t="shared" si="0"/>
        <v>0</v>
      </c>
      <c r="AM22" s="168">
        <f t="shared" si="0"/>
        <v>0</v>
      </c>
      <c r="AN22" s="168">
        <f t="shared" si="0"/>
        <v>0</v>
      </c>
      <c r="AO22" s="168">
        <f t="shared" si="0"/>
        <v>0</v>
      </c>
    </row>
    <row r="23" spans="1:42" x14ac:dyDescent="0.3">
      <c r="A23" s="158">
        <f>IF(ISBLANK(B23),"",MAX(A$6:A22)+1)</f>
        <v>14</v>
      </c>
      <c r="B23" s="169" t="s">
        <v>36</v>
      </c>
      <c r="C23" s="161">
        <v>127132037.69018357</v>
      </c>
      <c r="D23" s="161">
        <v>-18854857.18</v>
      </c>
      <c r="E23" s="161"/>
      <c r="F23" s="161"/>
      <c r="G23" s="161">
        <v>108277180.51018357</v>
      </c>
      <c r="H23" s="26">
        <v>2.2058288256380676E-2</v>
      </c>
      <c r="I23" s="161">
        <v>113932288.80731113</v>
      </c>
      <c r="J23" s="161"/>
      <c r="K23" s="161"/>
      <c r="L23" s="161"/>
      <c r="M23" s="161">
        <v>113932288.80731113</v>
      </c>
      <c r="O23" s="158">
        <v>14</v>
      </c>
      <c r="P23" s="169" t="s">
        <v>36</v>
      </c>
      <c r="Q23" s="161">
        <v>127132037.69018357</v>
      </c>
      <c r="R23" s="161">
        <v>-18854857.18</v>
      </c>
      <c r="S23" s="161"/>
      <c r="T23" s="161"/>
      <c r="U23" s="161">
        <v>108277180.51018357</v>
      </c>
      <c r="V23" s="26">
        <v>2.2058288256380676E-2</v>
      </c>
      <c r="W23" s="161">
        <v>113932288.80731113</v>
      </c>
      <c r="X23" s="161"/>
      <c r="Y23" s="161"/>
      <c r="Z23" s="161"/>
      <c r="AA23" s="161">
        <v>113932288.80731113</v>
      </c>
      <c r="AC23" s="158">
        <v>14</v>
      </c>
      <c r="AD23" s="169" t="s">
        <v>36</v>
      </c>
      <c r="AE23" s="161">
        <f t="shared" si="1"/>
        <v>0</v>
      </c>
      <c r="AF23" s="161">
        <f t="shared" si="0"/>
        <v>0</v>
      </c>
      <c r="AG23" s="161">
        <f t="shared" si="0"/>
        <v>0</v>
      </c>
      <c r="AH23" s="161">
        <f t="shared" si="0"/>
        <v>0</v>
      </c>
      <c r="AI23" s="161">
        <f t="shared" si="0"/>
        <v>0</v>
      </c>
      <c r="AJ23" s="161">
        <f t="shared" si="0"/>
        <v>0</v>
      </c>
      <c r="AK23" s="161">
        <f t="shared" si="0"/>
        <v>0</v>
      </c>
      <c r="AL23" s="161">
        <f t="shared" si="0"/>
        <v>0</v>
      </c>
      <c r="AM23" s="161">
        <f t="shared" si="0"/>
        <v>0</v>
      </c>
      <c r="AN23" s="161">
        <f t="shared" si="0"/>
        <v>0</v>
      </c>
      <c r="AO23" s="161">
        <f t="shared" si="0"/>
        <v>0</v>
      </c>
    </row>
    <row r="24" spans="1:42" x14ac:dyDescent="0.3">
      <c r="A24" s="158">
        <f>IF(ISBLANK(B24),"",MAX(A$6:A23)+1)</f>
        <v>15</v>
      </c>
      <c r="B24" s="167" t="s">
        <v>37</v>
      </c>
      <c r="C24" s="162">
        <v>24319869.025746707</v>
      </c>
      <c r="D24" s="162"/>
      <c r="E24" s="162"/>
      <c r="F24" s="162"/>
      <c r="G24" s="162">
        <v>24319869.025746707</v>
      </c>
      <c r="H24" s="26">
        <v>2.3221538863637203E-2</v>
      </c>
      <c r="I24" s="162">
        <v>25658059.22110616</v>
      </c>
      <c r="J24" s="162"/>
      <c r="K24" s="162"/>
      <c r="L24" s="162"/>
      <c r="M24" s="162">
        <v>25658059.22110616</v>
      </c>
      <c r="O24" s="158">
        <v>15</v>
      </c>
      <c r="P24" s="167" t="s">
        <v>37</v>
      </c>
      <c r="Q24" s="162">
        <v>24319869.025746707</v>
      </c>
      <c r="R24" s="162"/>
      <c r="S24" s="162"/>
      <c r="T24" s="162"/>
      <c r="U24" s="162">
        <v>24319869.025746707</v>
      </c>
      <c r="V24" s="26">
        <v>2.3221538863637203E-2</v>
      </c>
      <c r="W24" s="162">
        <v>25658059.22110616</v>
      </c>
      <c r="X24" s="162"/>
      <c r="Y24" s="162"/>
      <c r="Z24" s="162"/>
      <c r="AA24" s="162">
        <v>25658059.22110616</v>
      </c>
      <c r="AC24" s="158">
        <v>15</v>
      </c>
      <c r="AD24" s="167" t="s">
        <v>37</v>
      </c>
      <c r="AE24" s="162">
        <f t="shared" si="1"/>
        <v>0</v>
      </c>
      <c r="AF24" s="162">
        <f t="shared" si="1"/>
        <v>0</v>
      </c>
      <c r="AG24" s="162">
        <f t="shared" si="1"/>
        <v>0</v>
      </c>
      <c r="AH24" s="162">
        <f t="shared" si="1"/>
        <v>0</v>
      </c>
      <c r="AI24" s="162">
        <f t="shared" si="1"/>
        <v>0</v>
      </c>
      <c r="AJ24" s="162">
        <f t="shared" si="1"/>
        <v>0</v>
      </c>
      <c r="AK24" s="162">
        <f t="shared" si="1"/>
        <v>0</v>
      </c>
      <c r="AL24" s="162">
        <f t="shared" si="1"/>
        <v>0</v>
      </c>
      <c r="AM24" s="162">
        <f t="shared" si="1"/>
        <v>0</v>
      </c>
      <c r="AN24" s="162">
        <f t="shared" si="1"/>
        <v>0</v>
      </c>
      <c r="AO24" s="162">
        <f t="shared" si="1"/>
        <v>0</v>
      </c>
    </row>
    <row r="25" spans="1:42" x14ac:dyDescent="0.3">
      <c r="A25" s="158">
        <f>IF(ISBLANK(B25),"",MAX(A$6:A24)+1)</f>
        <v>16</v>
      </c>
      <c r="B25" s="167" t="s">
        <v>38</v>
      </c>
      <c r="C25" s="162">
        <v>83321444.144423828</v>
      </c>
      <c r="D25" s="162"/>
      <c r="E25" s="162"/>
      <c r="F25" s="162"/>
      <c r="G25" s="162">
        <v>83321444.144423828</v>
      </c>
      <c r="H25" s="26">
        <v>2.3221538863637203E-2</v>
      </c>
      <c r="I25" s="162">
        <v>87906170.299783334</v>
      </c>
      <c r="J25" s="162"/>
      <c r="K25" s="162"/>
      <c r="L25" s="162"/>
      <c r="M25" s="162">
        <v>87906170.299783334</v>
      </c>
      <c r="O25" s="158">
        <v>16</v>
      </c>
      <c r="P25" s="167" t="s">
        <v>38</v>
      </c>
      <c r="Q25" s="162">
        <v>83321444.144423828</v>
      </c>
      <c r="R25" s="162"/>
      <c r="S25" s="162"/>
      <c r="T25" s="162"/>
      <c r="U25" s="162">
        <v>83321444.144423828</v>
      </c>
      <c r="V25" s="26">
        <v>2.3221538863637203E-2</v>
      </c>
      <c r="W25" s="162">
        <v>87906170.299783334</v>
      </c>
      <c r="X25" s="162"/>
      <c r="Y25" s="162"/>
      <c r="Z25" s="162"/>
      <c r="AA25" s="162">
        <v>87906170.299783334</v>
      </c>
      <c r="AC25" s="158">
        <v>16</v>
      </c>
      <c r="AD25" s="167" t="s">
        <v>38</v>
      </c>
      <c r="AE25" s="162">
        <f t="shared" si="1"/>
        <v>0</v>
      </c>
      <c r="AF25" s="162">
        <f t="shared" si="1"/>
        <v>0</v>
      </c>
      <c r="AG25" s="162">
        <f t="shared" si="1"/>
        <v>0</v>
      </c>
      <c r="AH25" s="162">
        <f t="shared" si="1"/>
        <v>0</v>
      </c>
      <c r="AI25" s="162">
        <f t="shared" si="1"/>
        <v>0</v>
      </c>
      <c r="AJ25" s="162">
        <f t="shared" si="1"/>
        <v>0</v>
      </c>
      <c r="AK25" s="162">
        <f t="shared" si="1"/>
        <v>0</v>
      </c>
      <c r="AL25" s="162">
        <f t="shared" si="1"/>
        <v>0</v>
      </c>
      <c r="AM25" s="162">
        <f t="shared" si="1"/>
        <v>0</v>
      </c>
      <c r="AN25" s="162">
        <f t="shared" si="1"/>
        <v>0</v>
      </c>
      <c r="AO25" s="162">
        <f t="shared" si="1"/>
        <v>0</v>
      </c>
    </row>
    <row r="26" spans="1:42" x14ac:dyDescent="0.3">
      <c r="A26" s="158">
        <f>IF(ISBLANK(B26),"",MAX(A$6:A25)+1)</f>
        <v>17</v>
      </c>
      <c r="B26" s="167" t="s">
        <v>39</v>
      </c>
      <c r="C26" s="162">
        <v>46167382.991353795</v>
      </c>
      <c r="D26" s="162"/>
      <c r="E26" s="162"/>
      <c r="F26" s="162"/>
      <c r="G26" s="162">
        <v>46167382.991353795</v>
      </c>
      <c r="H26" s="170">
        <v>2.4518113913641004E-2</v>
      </c>
      <c r="I26" s="162">
        <v>48851858.096508332</v>
      </c>
      <c r="J26" s="162"/>
      <c r="K26" s="162"/>
      <c r="L26" s="162"/>
      <c r="M26" s="162">
        <v>48851858.096508332</v>
      </c>
      <c r="O26" s="158">
        <v>17</v>
      </c>
      <c r="P26" s="167" t="s">
        <v>39</v>
      </c>
      <c r="Q26" s="162">
        <v>46156575.140734799</v>
      </c>
      <c r="R26" s="162"/>
      <c r="S26" s="162"/>
      <c r="T26" s="162"/>
      <c r="U26" s="162">
        <v>46156575.140734799</v>
      </c>
      <c r="V26" s="170">
        <v>2.4518113913641004E-2</v>
      </c>
      <c r="W26" s="162">
        <v>48840421.806414381</v>
      </c>
      <c r="X26" s="162"/>
      <c r="Y26" s="162"/>
      <c r="Z26" s="162"/>
      <c r="AA26" s="162">
        <v>48840421.806414381</v>
      </c>
      <c r="AC26" s="158">
        <v>17</v>
      </c>
      <c r="AD26" s="167" t="s">
        <v>39</v>
      </c>
      <c r="AE26" s="162">
        <f t="shared" si="1"/>
        <v>10807.850618995726</v>
      </c>
      <c r="AF26" s="162">
        <f t="shared" si="1"/>
        <v>0</v>
      </c>
      <c r="AG26" s="162">
        <f t="shared" si="1"/>
        <v>0</v>
      </c>
      <c r="AH26" s="162">
        <f t="shared" si="1"/>
        <v>0</v>
      </c>
      <c r="AI26" s="162">
        <f t="shared" si="1"/>
        <v>10807.850618995726</v>
      </c>
      <c r="AJ26" s="162">
        <f t="shared" si="1"/>
        <v>0</v>
      </c>
      <c r="AK26" s="162">
        <f t="shared" si="1"/>
        <v>11436.290093950927</v>
      </c>
      <c r="AL26" s="162">
        <f t="shared" si="1"/>
        <v>0</v>
      </c>
      <c r="AM26" s="162">
        <f t="shared" si="1"/>
        <v>0</v>
      </c>
      <c r="AN26" s="162">
        <f t="shared" si="1"/>
        <v>0</v>
      </c>
      <c r="AO26" s="162">
        <f t="shared" si="1"/>
        <v>11436.290093950927</v>
      </c>
      <c r="AP26" s="162">
        <f>AI26*(1+H26)^(28/12)</f>
        <v>11436.290093946183</v>
      </c>
    </row>
    <row r="27" spans="1:42" x14ac:dyDescent="0.3">
      <c r="A27" s="158">
        <f>IF(ISBLANK(B27),"",MAX(A$6:A26)+1)</f>
        <v>18</v>
      </c>
      <c r="B27" s="167" t="s">
        <v>40</v>
      </c>
      <c r="C27" s="162">
        <v>4015681.2075902633</v>
      </c>
      <c r="D27" s="162"/>
      <c r="E27" s="162"/>
      <c r="F27" s="162"/>
      <c r="G27" s="162">
        <v>4015681.2075902633</v>
      </c>
      <c r="H27" s="26">
        <v>2.4518113913641004E-2</v>
      </c>
      <c r="I27" s="162">
        <v>4249179.3080572495</v>
      </c>
      <c r="J27" s="162"/>
      <c r="K27" s="162"/>
      <c r="L27" s="162"/>
      <c r="M27" s="162">
        <v>4249179.3080572495</v>
      </c>
      <c r="O27" s="158">
        <v>18</v>
      </c>
      <c r="P27" s="167" t="s">
        <v>40</v>
      </c>
      <c r="Q27" s="162">
        <v>4015681.2075902633</v>
      </c>
      <c r="R27" s="162"/>
      <c r="S27" s="162"/>
      <c r="T27" s="162"/>
      <c r="U27" s="162">
        <v>4015681.2075902633</v>
      </c>
      <c r="V27" s="26">
        <v>2.4518113913641004E-2</v>
      </c>
      <c r="W27" s="162">
        <v>4249179.3080572495</v>
      </c>
      <c r="X27" s="162"/>
      <c r="Y27" s="162"/>
      <c r="Z27" s="162"/>
      <c r="AA27" s="162">
        <v>4249179.3080572495</v>
      </c>
      <c r="AC27" s="158">
        <v>18</v>
      </c>
      <c r="AD27" s="167" t="s">
        <v>40</v>
      </c>
      <c r="AE27" s="162">
        <f t="shared" si="1"/>
        <v>0</v>
      </c>
      <c r="AF27" s="162">
        <f t="shared" si="1"/>
        <v>0</v>
      </c>
      <c r="AG27" s="162">
        <f t="shared" si="1"/>
        <v>0</v>
      </c>
      <c r="AH27" s="162">
        <f t="shared" si="1"/>
        <v>0</v>
      </c>
      <c r="AI27" s="162">
        <f t="shared" si="1"/>
        <v>0</v>
      </c>
      <c r="AJ27" s="162">
        <f t="shared" si="1"/>
        <v>0</v>
      </c>
      <c r="AK27" s="162">
        <f t="shared" si="1"/>
        <v>0</v>
      </c>
      <c r="AL27" s="162">
        <f t="shared" si="1"/>
        <v>0</v>
      </c>
      <c r="AM27" s="162">
        <f t="shared" si="1"/>
        <v>0</v>
      </c>
      <c r="AN27" s="162">
        <f t="shared" si="1"/>
        <v>0</v>
      </c>
      <c r="AO27" s="162">
        <f t="shared" si="1"/>
        <v>0</v>
      </c>
    </row>
    <row r="28" spans="1:42" x14ac:dyDescent="0.3">
      <c r="A28" s="158">
        <f>IF(ISBLANK(B28),"",MAX(A$6:A27)+1)</f>
        <v>19</v>
      </c>
      <c r="B28" s="167" t="s">
        <v>41</v>
      </c>
      <c r="C28" s="162">
        <v>0</v>
      </c>
      <c r="D28" s="162"/>
      <c r="E28" s="162"/>
      <c r="F28" s="162"/>
      <c r="G28" s="162">
        <v>0</v>
      </c>
      <c r="H28" s="26"/>
      <c r="I28" s="162">
        <v>0</v>
      </c>
      <c r="J28" s="162"/>
      <c r="K28" s="162"/>
      <c r="L28" s="162"/>
      <c r="M28" s="162">
        <v>0</v>
      </c>
      <c r="O28" s="158">
        <v>19</v>
      </c>
      <c r="P28" s="167" t="s">
        <v>41</v>
      </c>
      <c r="Q28" s="162">
        <v>0</v>
      </c>
      <c r="R28" s="162"/>
      <c r="S28" s="162"/>
      <c r="T28" s="162"/>
      <c r="U28" s="162">
        <v>0</v>
      </c>
      <c r="V28" s="26"/>
      <c r="W28" s="162">
        <v>0</v>
      </c>
      <c r="X28" s="162"/>
      <c r="Y28" s="162"/>
      <c r="Z28" s="162"/>
      <c r="AA28" s="162">
        <v>0</v>
      </c>
      <c r="AC28" s="158">
        <v>19</v>
      </c>
      <c r="AD28" s="167" t="s">
        <v>41</v>
      </c>
      <c r="AE28" s="162">
        <f t="shared" si="1"/>
        <v>0</v>
      </c>
      <c r="AF28" s="162">
        <f t="shared" si="1"/>
        <v>0</v>
      </c>
      <c r="AG28" s="162">
        <f t="shared" si="1"/>
        <v>0</v>
      </c>
      <c r="AH28" s="162">
        <f t="shared" si="1"/>
        <v>0</v>
      </c>
      <c r="AI28" s="162">
        <f t="shared" si="1"/>
        <v>0</v>
      </c>
      <c r="AJ28" s="162">
        <f t="shared" si="1"/>
        <v>0</v>
      </c>
      <c r="AK28" s="162">
        <f t="shared" si="1"/>
        <v>0</v>
      </c>
      <c r="AL28" s="162">
        <f t="shared" si="1"/>
        <v>0</v>
      </c>
      <c r="AM28" s="162">
        <f t="shared" si="1"/>
        <v>0</v>
      </c>
      <c r="AN28" s="162">
        <f t="shared" si="1"/>
        <v>0</v>
      </c>
      <c r="AO28" s="162">
        <f t="shared" si="1"/>
        <v>0</v>
      </c>
    </row>
    <row r="29" spans="1:42" x14ac:dyDescent="0.3">
      <c r="A29" s="158">
        <f>IF(ISBLANK(B29),"",MAX(A$6:A28)+1)</f>
        <v>20</v>
      </c>
      <c r="B29" s="167" t="s">
        <v>42</v>
      </c>
      <c r="C29" s="162">
        <v>124101768.49415074</v>
      </c>
      <c r="D29" s="162"/>
      <c r="E29" s="162"/>
      <c r="F29" s="162"/>
      <c r="G29" s="162">
        <v>124101768.49415074</v>
      </c>
      <c r="H29" s="26">
        <v>3.0173455755267975E-2</v>
      </c>
      <c r="I29" s="162">
        <v>133015463.71375316</v>
      </c>
      <c r="J29" s="162"/>
      <c r="K29" s="162"/>
      <c r="L29" s="162"/>
      <c r="M29" s="162">
        <v>133015463.71375316</v>
      </c>
      <c r="O29" s="158">
        <v>20</v>
      </c>
      <c r="P29" s="167" t="s">
        <v>42</v>
      </c>
      <c r="Q29" s="162">
        <v>124099219.17215073</v>
      </c>
      <c r="R29" s="162"/>
      <c r="S29" s="162"/>
      <c r="T29" s="162"/>
      <c r="U29" s="162">
        <v>124099219.17215073</v>
      </c>
      <c r="V29" s="26">
        <v>3.0173455755267975E-2</v>
      </c>
      <c r="W29" s="162">
        <v>133012731.28494009</v>
      </c>
      <c r="X29" s="162"/>
      <c r="Y29" s="162"/>
      <c r="Z29" s="162"/>
      <c r="AA29" s="162">
        <v>133012731.28494009</v>
      </c>
      <c r="AC29" s="158">
        <v>20</v>
      </c>
      <c r="AD29" s="167" t="s">
        <v>42</v>
      </c>
      <c r="AE29" s="162">
        <f t="shared" si="1"/>
        <v>2549.3220000118017</v>
      </c>
      <c r="AF29" s="162">
        <f t="shared" si="1"/>
        <v>0</v>
      </c>
      <c r="AG29" s="162">
        <f t="shared" si="1"/>
        <v>0</v>
      </c>
      <c r="AH29" s="162">
        <f t="shared" si="1"/>
        <v>0</v>
      </c>
      <c r="AI29" s="162">
        <f t="shared" si="1"/>
        <v>2549.3220000118017</v>
      </c>
      <c r="AJ29" s="162">
        <f t="shared" si="1"/>
        <v>0</v>
      </c>
      <c r="AK29" s="162">
        <f t="shared" si="1"/>
        <v>2732.4288130700588</v>
      </c>
      <c r="AL29" s="162">
        <f t="shared" si="1"/>
        <v>0</v>
      </c>
      <c r="AM29" s="162">
        <f t="shared" si="1"/>
        <v>0</v>
      </c>
      <c r="AN29" s="162">
        <f t="shared" si="1"/>
        <v>0</v>
      </c>
      <c r="AO29" s="162">
        <f t="shared" si="1"/>
        <v>2732.4288130700588</v>
      </c>
      <c r="AP29" s="162">
        <f>AI29*(1+H29)^(28/12)</f>
        <v>2732.4288130771088</v>
      </c>
    </row>
    <row r="30" spans="1:42" x14ac:dyDescent="0.3">
      <c r="A30" s="158">
        <f>IF(ISBLANK(B30),"",MAX(A$6:A29)+1)</f>
        <v>21</v>
      </c>
      <c r="B30" s="167" t="s">
        <v>1</v>
      </c>
      <c r="C30" s="162">
        <v>341356195.95999998</v>
      </c>
      <c r="D30" s="162">
        <v>-42298712.619999997</v>
      </c>
      <c r="E30" s="162">
        <v>-5438518.1342967749</v>
      </c>
      <c r="F30" s="162">
        <v>0</v>
      </c>
      <c r="G30" s="162">
        <v>293618965.2057032</v>
      </c>
      <c r="H30" s="26"/>
      <c r="I30" s="162">
        <v>399268794.73172241</v>
      </c>
      <c r="J30" s="171" t="s">
        <v>596</v>
      </c>
      <c r="K30" s="171"/>
      <c r="L30" s="162"/>
      <c r="M30" s="162">
        <v>399268794.73172241</v>
      </c>
      <c r="O30" s="158">
        <v>21</v>
      </c>
      <c r="P30" s="167" t="s">
        <v>1</v>
      </c>
      <c r="Q30" s="162">
        <v>341356195.95999998</v>
      </c>
      <c r="R30" s="162">
        <v>-42298712.619999997</v>
      </c>
      <c r="S30" s="162">
        <v>-5438518.1342967749</v>
      </c>
      <c r="T30" s="162">
        <v>0</v>
      </c>
      <c r="U30" s="162">
        <v>293618965.2057032</v>
      </c>
      <c r="V30" s="26"/>
      <c r="W30" s="162">
        <v>399268794.73172241</v>
      </c>
      <c r="X30" s="171" t="s">
        <v>596</v>
      </c>
      <c r="Y30" s="171"/>
      <c r="Z30" s="162"/>
      <c r="AA30" s="162">
        <v>399268794.73172241</v>
      </c>
      <c r="AC30" s="158">
        <v>21</v>
      </c>
      <c r="AD30" s="167" t="s">
        <v>1</v>
      </c>
      <c r="AE30" s="162">
        <f t="shared" si="1"/>
        <v>0</v>
      </c>
      <c r="AF30" s="162">
        <f t="shared" si="1"/>
        <v>0</v>
      </c>
      <c r="AG30" s="162">
        <f t="shared" si="1"/>
        <v>0</v>
      </c>
      <c r="AH30" s="162">
        <f t="shared" si="1"/>
        <v>0</v>
      </c>
      <c r="AI30" s="162">
        <f t="shared" si="1"/>
        <v>0</v>
      </c>
      <c r="AJ30" s="162">
        <f t="shared" si="1"/>
        <v>0</v>
      </c>
      <c r="AK30" s="162">
        <f t="shared" si="1"/>
        <v>0</v>
      </c>
      <c r="AL30" s="162" t="e">
        <f t="shared" si="1"/>
        <v>#VALUE!</v>
      </c>
      <c r="AM30" s="162">
        <f t="shared" si="1"/>
        <v>0</v>
      </c>
      <c r="AN30" s="162">
        <f t="shared" si="1"/>
        <v>0</v>
      </c>
      <c r="AO30" s="162">
        <f t="shared" si="1"/>
        <v>0</v>
      </c>
    </row>
    <row r="31" spans="1:42" x14ac:dyDescent="0.3">
      <c r="A31" s="158">
        <f>IF(ISBLANK(B31),"",MAX(A$6:A30)+1)</f>
        <v>22</v>
      </c>
      <c r="B31" s="167" t="s">
        <v>43</v>
      </c>
      <c r="C31" s="162">
        <v>75292958.060000002</v>
      </c>
      <c r="D31" s="162"/>
      <c r="E31" s="162"/>
      <c r="F31" s="162">
        <v>-6449028.8199709654</v>
      </c>
      <c r="G31" s="162">
        <v>68843929.240029037</v>
      </c>
      <c r="H31" s="26"/>
      <c r="I31" s="162">
        <v>92202250.778924987</v>
      </c>
      <c r="J31" s="171"/>
      <c r="K31" s="171" t="s">
        <v>596</v>
      </c>
      <c r="L31" s="162"/>
      <c r="M31" s="162">
        <v>92202250.778924987</v>
      </c>
      <c r="O31" s="158">
        <v>22</v>
      </c>
      <c r="P31" s="167" t="s">
        <v>43</v>
      </c>
      <c r="Q31" s="162">
        <v>75292958.060000002</v>
      </c>
      <c r="R31" s="162"/>
      <c r="S31" s="162"/>
      <c r="T31" s="162">
        <v>-6449028.8199709654</v>
      </c>
      <c r="U31" s="162">
        <v>68843929.240029037</v>
      </c>
      <c r="V31" s="26"/>
      <c r="W31" s="162">
        <v>92202250.778924987</v>
      </c>
      <c r="X31" s="171"/>
      <c r="Y31" s="171" t="s">
        <v>596</v>
      </c>
      <c r="Z31" s="162"/>
      <c r="AA31" s="162">
        <v>92202250.778924987</v>
      </c>
      <c r="AC31" s="158">
        <v>22</v>
      </c>
      <c r="AD31" s="167" t="s">
        <v>43</v>
      </c>
      <c r="AE31" s="162">
        <f t="shared" si="1"/>
        <v>0</v>
      </c>
      <c r="AF31" s="162">
        <f t="shared" si="1"/>
        <v>0</v>
      </c>
      <c r="AG31" s="162">
        <f t="shared" si="1"/>
        <v>0</v>
      </c>
      <c r="AH31" s="162">
        <f t="shared" si="1"/>
        <v>0</v>
      </c>
      <c r="AI31" s="162">
        <f t="shared" si="1"/>
        <v>0</v>
      </c>
      <c r="AJ31" s="162">
        <f t="shared" si="1"/>
        <v>0</v>
      </c>
      <c r="AK31" s="162">
        <f t="shared" si="1"/>
        <v>0</v>
      </c>
      <c r="AL31" s="162">
        <f t="shared" si="1"/>
        <v>0</v>
      </c>
      <c r="AM31" s="162" t="e">
        <f t="shared" si="1"/>
        <v>#VALUE!</v>
      </c>
      <c r="AN31" s="162">
        <f t="shared" si="1"/>
        <v>0</v>
      </c>
      <c r="AO31" s="162">
        <f t="shared" si="1"/>
        <v>0</v>
      </c>
    </row>
    <row r="32" spans="1:42" x14ac:dyDescent="0.3">
      <c r="A32" s="158">
        <f>IF(ISBLANK(B32),"",MAX(A$6:A31)+1)</f>
        <v>23</v>
      </c>
      <c r="B32" s="172" t="s">
        <v>44</v>
      </c>
      <c r="C32" s="162">
        <v>43150399.323406145</v>
      </c>
      <c r="D32" s="162"/>
      <c r="E32" s="162"/>
      <c r="F32" s="162"/>
      <c r="G32" s="162">
        <v>43150399.323406145</v>
      </c>
      <c r="H32" s="26"/>
      <c r="I32" s="162">
        <v>43150399.323406145</v>
      </c>
      <c r="J32" s="162"/>
      <c r="K32" s="162"/>
      <c r="L32" s="162"/>
      <c r="M32" s="162">
        <v>43150399.323406145</v>
      </c>
      <c r="O32" s="158">
        <v>23</v>
      </c>
      <c r="P32" s="172" t="s">
        <v>44</v>
      </c>
      <c r="Q32" s="162">
        <v>43150399.323406145</v>
      </c>
      <c r="R32" s="162"/>
      <c r="S32" s="162"/>
      <c r="T32" s="162"/>
      <c r="U32" s="162">
        <v>43150399.323406145</v>
      </c>
      <c r="V32" s="26"/>
      <c r="W32" s="162">
        <v>43150399.323406145</v>
      </c>
      <c r="X32" s="162"/>
      <c r="Y32" s="162"/>
      <c r="Z32" s="162"/>
      <c r="AA32" s="162">
        <v>43150399.323406145</v>
      </c>
      <c r="AC32" s="158">
        <v>23</v>
      </c>
      <c r="AD32" s="172" t="s">
        <v>44</v>
      </c>
      <c r="AE32" s="162">
        <f t="shared" si="1"/>
        <v>0</v>
      </c>
      <c r="AF32" s="162">
        <f t="shared" si="1"/>
        <v>0</v>
      </c>
      <c r="AG32" s="162">
        <f t="shared" si="1"/>
        <v>0</v>
      </c>
      <c r="AH32" s="162">
        <f t="shared" si="1"/>
        <v>0</v>
      </c>
      <c r="AI32" s="162">
        <f t="shared" si="1"/>
        <v>0</v>
      </c>
      <c r="AJ32" s="162">
        <f t="shared" si="1"/>
        <v>0</v>
      </c>
      <c r="AK32" s="162">
        <f t="shared" si="1"/>
        <v>0</v>
      </c>
      <c r="AL32" s="162">
        <f t="shared" si="1"/>
        <v>0</v>
      </c>
      <c r="AM32" s="162">
        <f t="shared" si="1"/>
        <v>0</v>
      </c>
      <c r="AN32" s="162">
        <f t="shared" si="1"/>
        <v>0</v>
      </c>
      <c r="AO32" s="162">
        <f t="shared" si="1"/>
        <v>0</v>
      </c>
    </row>
    <row r="33" spans="1:42" x14ac:dyDescent="0.3">
      <c r="A33" s="158">
        <f>IF(ISBLANK(B33),"",MAX(A$6:A32)+1)</f>
        <v>24</v>
      </c>
      <c r="B33" s="167" t="s">
        <v>45</v>
      </c>
      <c r="C33" s="162">
        <v>12818324.85102915</v>
      </c>
      <c r="D33" s="162"/>
      <c r="E33" s="162"/>
      <c r="F33" s="162"/>
      <c r="G33" s="162">
        <v>12818324.85102915</v>
      </c>
      <c r="H33" s="26">
        <v>0</v>
      </c>
      <c r="I33" s="162">
        <v>12818324.85102915</v>
      </c>
      <c r="J33" s="162"/>
      <c r="K33" s="162"/>
      <c r="L33" s="162"/>
      <c r="M33" s="162">
        <v>12818324.85102915</v>
      </c>
      <c r="O33" s="158">
        <v>24</v>
      </c>
      <c r="P33" s="167" t="s">
        <v>45</v>
      </c>
      <c r="Q33" s="162">
        <v>12818324.85102915</v>
      </c>
      <c r="R33" s="162"/>
      <c r="S33" s="162"/>
      <c r="T33" s="162"/>
      <c r="U33" s="162">
        <v>12818324.85102915</v>
      </c>
      <c r="V33" s="26">
        <v>0</v>
      </c>
      <c r="W33" s="162">
        <v>12818324.85102915</v>
      </c>
      <c r="X33" s="162"/>
      <c r="Y33" s="162"/>
      <c r="Z33" s="162"/>
      <c r="AA33" s="162">
        <v>12818324.85102915</v>
      </c>
      <c r="AC33" s="158">
        <v>24</v>
      </c>
      <c r="AD33" s="167" t="s">
        <v>45</v>
      </c>
      <c r="AE33" s="162">
        <f t="shared" si="1"/>
        <v>0</v>
      </c>
      <c r="AF33" s="162">
        <f t="shared" si="1"/>
        <v>0</v>
      </c>
      <c r="AG33" s="162">
        <f t="shared" si="1"/>
        <v>0</v>
      </c>
      <c r="AH33" s="162">
        <f t="shared" si="1"/>
        <v>0</v>
      </c>
      <c r="AI33" s="162">
        <f t="shared" si="1"/>
        <v>0</v>
      </c>
      <c r="AJ33" s="162">
        <f t="shared" si="1"/>
        <v>0</v>
      </c>
      <c r="AK33" s="162">
        <f t="shared" si="1"/>
        <v>0</v>
      </c>
      <c r="AL33" s="162">
        <f t="shared" si="1"/>
        <v>0</v>
      </c>
      <c r="AM33" s="162">
        <f t="shared" si="1"/>
        <v>0</v>
      </c>
      <c r="AN33" s="162">
        <f t="shared" si="1"/>
        <v>0</v>
      </c>
      <c r="AO33" s="162">
        <f t="shared" si="1"/>
        <v>0</v>
      </c>
    </row>
    <row r="34" spans="1:42" x14ac:dyDescent="0.3">
      <c r="A34" s="158">
        <f>IF(ISBLANK(B34),"",MAX(A$6:A33)+1)</f>
        <v>25</v>
      </c>
      <c r="B34" s="76" t="s">
        <v>46</v>
      </c>
      <c r="C34" s="162">
        <v>0</v>
      </c>
      <c r="D34" s="162"/>
      <c r="E34" s="162"/>
      <c r="F34" s="162"/>
      <c r="G34" s="162">
        <v>0</v>
      </c>
      <c r="H34" s="26"/>
      <c r="I34" s="162">
        <v>0</v>
      </c>
      <c r="J34" s="162"/>
      <c r="K34" s="162"/>
      <c r="L34" s="162"/>
      <c r="M34" s="162">
        <v>0</v>
      </c>
      <c r="O34" s="158">
        <v>25</v>
      </c>
      <c r="P34" s="76" t="s">
        <v>46</v>
      </c>
      <c r="Q34" s="162">
        <v>0</v>
      </c>
      <c r="R34" s="162"/>
      <c r="S34" s="162"/>
      <c r="T34" s="162"/>
      <c r="U34" s="162">
        <v>0</v>
      </c>
      <c r="V34" s="26"/>
      <c r="W34" s="162">
        <v>0</v>
      </c>
      <c r="X34" s="162"/>
      <c r="Y34" s="162"/>
      <c r="Z34" s="162"/>
      <c r="AA34" s="162">
        <v>0</v>
      </c>
      <c r="AC34" s="158">
        <v>25</v>
      </c>
      <c r="AD34" s="76" t="s">
        <v>46</v>
      </c>
      <c r="AE34" s="162">
        <f t="shared" si="1"/>
        <v>0</v>
      </c>
      <c r="AF34" s="162">
        <f t="shared" si="1"/>
        <v>0</v>
      </c>
      <c r="AG34" s="162">
        <f t="shared" si="1"/>
        <v>0</v>
      </c>
      <c r="AH34" s="162">
        <f t="shared" si="1"/>
        <v>0</v>
      </c>
      <c r="AI34" s="162">
        <f t="shared" si="1"/>
        <v>0</v>
      </c>
      <c r="AJ34" s="162">
        <f t="shared" si="1"/>
        <v>0</v>
      </c>
      <c r="AK34" s="162">
        <f t="shared" si="1"/>
        <v>0</v>
      </c>
      <c r="AL34" s="162">
        <f t="shared" si="1"/>
        <v>0</v>
      </c>
      <c r="AM34" s="162">
        <f t="shared" si="1"/>
        <v>0</v>
      </c>
      <c r="AN34" s="162">
        <f t="shared" si="1"/>
        <v>0</v>
      </c>
      <c r="AO34" s="162">
        <f t="shared" si="1"/>
        <v>0</v>
      </c>
    </row>
    <row r="35" spans="1:42" x14ac:dyDescent="0.3">
      <c r="A35" s="158">
        <f>IF(ISBLANK(B35),"",MAX(A$6:A34)+1)</f>
        <v>26</v>
      </c>
      <c r="B35" s="167" t="s">
        <v>47</v>
      </c>
      <c r="C35" s="162">
        <v>58041710.855093256</v>
      </c>
      <c r="D35" s="162"/>
      <c r="E35" s="162"/>
      <c r="F35" s="162"/>
      <c r="G35" s="162">
        <v>58041710.855093256</v>
      </c>
      <c r="H35" s="26">
        <v>8.69009851137581E-3</v>
      </c>
      <c r="I35" s="162">
        <v>59225441.479017451</v>
      </c>
      <c r="J35" s="162"/>
      <c r="K35" s="162"/>
      <c r="L35" s="162"/>
      <c r="M35" s="162">
        <v>59225441.479017451</v>
      </c>
      <c r="O35" s="158">
        <v>26</v>
      </c>
      <c r="P35" s="167" t="s">
        <v>47</v>
      </c>
      <c r="Q35" s="162">
        <v>57992756.224727258</v>
      </c>
      <c r="R35" s="162"/>
      <c r="S35" s="162"/>
      <c r="T35" s="162"/>
      <c r="U35" s="162">
        <v>57992756.224727258</v>
      </c>
      <c r="V35" s="26">
        <v>8.69009851137581E-3</v>
      </c>
      <c r="W35" s="162">
        <v>59175488.444326468</v>
      </c>
      <c r="X35" s="162"/>
      <c r="Y35" s="162"/>
      <c r="Z35" s="162"/>
      <c r="AA35" s="162">
        <v>59175488.444326468</v>
      </c>
      <c r="AC35" s="158">
        <v>26</v>
      </c>
      <c r="AD35" s="167" t="s">
        <v>47</v>
      </c>
      <c r="AE35" s="162">
        <f t="shared" si="1"/>
        <v>48954.630365997553</v>
      </c>
      <c r="AF35" s="162">
        <f t="shared" si="1"/>
        <v>0</v>
      </c>
      <c r="AG35" s="162">
        <f t="shared" si="1"/>
        <v>0</v>
      </c>
      <c r="AH35" s="162">
        <f t="shared" si="1"/>
        <v>0</v>
      </c>
      <c r="AI35" s="162">
        <f t="shared" si="1"/>
        <v>48954.630365997553</v>
      </c>
      <c r="AJ35" s="162">
        <f t="shared" si="1"/>
        <v>0</v>
      </c>
      <c r="AK35" s="162">
        <f t="shared" si="1"/>
        <v>49953.034690983593</v>
      </c>
      <c r="AL35" s="162">
        <f t="shared" si="1"/>
        <v>0</v>
      </c>
      <c r="AM35" s="162">
        <f t="shared" si="1"/>
        <v>0</v>
      </c>
      <c r="AN35" s="162">
        <f t="shared" si="1"/>
        <v>0</v>
      </c>
      <c r="AO35" s="162">
        <f t="shared" si="1"/>
        <v>49953.034690983593</v>
      </c>
      <c r="AP35" s="162">
        <f>AI35*(1+H35)^(28/12)</f>
        <v>49953.034690980254</v>
      </c>
    </row>
    <row r="36" spans="1:42" x14ac:dyDescent="0.3">
      <c r="A36" s="158">
        <f>IF(ISBLANK(B36),"",MAX(A$6:A35)+1)</f>
        <v>27</v>
      </c>
      <c r="B36" s="167" t="s">
        <v>48</v>
      </c>
      <c r="C36" s="162">
        <v>84360984.817297339</v>
      </c>
      <c r="D36" s="162"/>
      <c r="E36" s="162"/>
      <c r="F36" s="162"/>
      <c r="G36" s="162">
        <v>84360984.817297339</v>
      </c>
      <c r="H36" s="26"/>
      <c r="I36" s="162">
        <v>74132421.345279619</v>
      </c>
      <c r="J36" s="162"/>
      <c r="K36" s="162"/>
      <c r="L36" s="162"/>
      <c r="M36" s="162">
        <v>74132421.345279619</v>
      </c>
      <c r="O36" s="158">
        <v>27</v>
      </c>
      <c r="P36" s="167" t="s">
        <v>48</v>
      </c>
      <c r="Q36" s="162">
        <v>84057444.08153142</v>
      </c>
      <c r="R36" s="162"/>
      <c r="S36" s="162"/>
      <c r="T36" s="162"/>
      <c r="U36" s="162">
        <v>84057444.08153142</v>
      </c>
      <c r="V36" s="26"/>
      <c r="W36" s="162">
        <v>74132421.345279619</v>
      </c>
      <c r="X36" s="162"/>
      <c r="Y36" s="162"/>
      <c r="Z36" s="162"/>
      <c r="AA36" s="162">
        <v>74132421.345279619</v>
      </c>
      <c r="AC36" s="158">
        <v>27</v>
      </c>
      <c r="AD36" s="167" t="s">
        <v>48</v>
      </c>
      <c r="AE36" s="162">
        <f t="shared" si="1"/>
        <v>303540.73576591909</v>
      </c>
      <c r="AF36" s="162">
        <f t="shared" si="1"/>
        <v>0</v>
      </c>
      <c r="AG36" s="162">
        <f t="shared" si="1"/>
        <v>0</v>
      </c>
      <c r="AH36" s="162">
        <f t="shared" si="1"/>
        <v>0</v>
      </c>
      <c r="AI36" s="162">
        <f t="shared" si="1"/>
        <v>303540.73576591909</v>
      </c>
      <c r="AJ36" s="162">
        <f t="shared" si="1"/>
        <v>0</v>
      </c>
      <c r="AK36" s="162">
        <f t="shared" si="1"/>
        <v>0</v>
      </c>
      <c r="AL36" s="162">
        <f t="shared" si="1"/>
        <v>0</v>
      </c>
      <c r="AM36" s="162">
        <f t="shared" si="1"/>
        <v>0</v>
      </c>
      <c r="AN36" s="162">
        <f t="shared" si="1"/>
        <v>0</v>
      </c>
      <c r="AO36" s="162">
        <f t="shared" si="1"/>
        <v>0</v>
      </c>
    </row>
    <row r="37" spans="1:42" x14ac:dyDescent="0.3">
      <c r="A37" s="158">
        <f>IF(ISBLANK(B37),"",MAX(A$6:A36)+1)</f>
        <v>28</v>
      </c>
      <c r="B37" s="76" t="s">
        <v>49</v>
      </c>
      <c r="C37" s="162">
        <v>-51808800.905295342</v>
      </c>
      <c r="D37" s="162"/>
      <c r="E37" s="162"/>
      <c r="F37" s="162"/>
      <c r="G37" s="162">
        <v>-51808800.905295342</v>
      </c>
      <c r="H37" s="26"/>
      <c r="I37" s="162">
        <v>-58908382.197239473</v>
      </c>
      <c r="J37" s="162"/>
      <c r="K37" s="162"/>
      <c r="L37" s="162"/>
      <c r="M37" s="162">
        <v>-58908382.197239473</v>
      </c>
      <c r="N37" s="16"/>
      <c r="O37" s="158">
        <v>28</v>
      </c>
      <c r="P37" s="76" t="s">
        <v>49</v>
      </c>
      <c r="Q37" s="162">
        <v>-51808800.905295342</v>
      </c>
      <c r="R37" s="162"/>
      <c r="S37" s="162"/>
      <c r="T37" s="162"/>
      <c r="U37" s="162">
        <v>-51808800.905295342</v>
      </c>
      <c r="V37" s="26"/>
      <c r="W37" s="162">
        <v>-58908382.197239473</v>
      </c>
      <c r="X37" s="162"/>
      <c r="Y37" s="162"/>
      <c r="Z37" s="162"/>
      <c r="AA37" s="162">
        <v>-58908382.197239473</v>
      </c>
      <c r="AC37" s="158">
        <v>28</v>
      </c>
      <c r="AD37" s="76" t="s">
        <v>49</v>
      </c>
      <c r="AE37" s="162">
        <f t="shared" si="1"/>
        <v>0</v>
      </c>
      <c r="AF37" s="162">
        <f t="shared" si="1"/>
        <v>0</v>
      </c>
      <c r="AG37" s="162">
        <f t="shared" si="1"/>
        <v>0</v>
      </c>
      <c r="AH37" s="162">
        <f t="shared" si="1"/>
        <v>0</v>
      </c>
      <c r="AI37" s="162">
        <f t="shared" si="1"/>
        <v>0</v>
      </c>
      <c r="AJ37" s="162">
        <f t="shared" si="1"/>
        <v>0</v>
      </c>
      <c r="AK37" s="162">
        <f t="shared" si="1"/>
        <v>0</v>
      </c>
      <c r="AL37" s="162">
        <f t="shared" si="1"/>
        <v>0</v>
      </c>
      <c r="AM37" s="162">
        <f t="shared" si="1"/>
        <v>0</v>
      </c>
      <c r="AN37" s="162">
        <f t="shared" si="1"/>
        <v>0</v>
      </c>
      <c r="AO37" s="162">
        <f t="shared" si="1"/>
        <v>0</v>
      </c>
    </row>
    <row r="38" spans="1:42" x14ac:dyDescent="0.3">
      <c r="A38" s="158">
        <f>IF(ISBLANK(B38),"",MAX(A$6:A37)+1)</f>
        <v>29</v>
      </c>
      <c r="B38" s="164" t="s">
        <v>50</v>
      </c>
      <c r="C38" s="173">
        <v>972269956.51497936</v>
      </c>
      <c r="D38" s="173">
        <v>-61153569.799999997</v>
      </c>
      <c r="E38" s="173">
        <v>-5438518.1342967749</v>
      </c>
      <c r="F38" s="173">
        <v>-6449028.8199709654</v>
      </c>
      <c r="G38" s="173">
        <v>899228839.76071167</v>
      </c>
      <c r="H38" s="27"/>
      <c r="I38" s="173">
        <v>1035502269.7586595</v>
      </c>
      <c r="J38" s="173">
        <v>0</v>
      </c>
      <c r="K38" s="173">
        <v>0</v>
      </c>
      <c r="L38" s="173">
        <v>0</v>
      </c>
      <c r="M38" s="173">
        <v>1035502269.7586595</v>
      </c>
      <c r="O38" s="158">
        <v>29</v>
      </c>
      <c r="P38" s="164" t="s">
        <v>50</v>
      </c>
      <c r="Q38" s="173">
        <v>971904103.97622836</v>
      </c>
      <c r="R38" s="173">
        <v>-61153569.799999997</v>
      </c>
      <c r="S38" s="173">
        <v>-5438518.1342967749</v>
      </c>
      <c r="T38" s="173">
        <v>-6449028.8199709654</v>
      </c>
      <c r="U38" s="173">
        <v>898862987.22196066</v>
      </c>
      <c r="V38" s="27"/>
      <c r="W38" s="173">
        <v>1035438148.0050617</v>
      </c>
      <c r="X38" s="173">
        <v>0</v>
      </c>
      <c r="Y38" s="173">
        <v>0</v>
      </c>
      <c r="Z38" s="173">
        <v>0</v>
      </c>
      <c r="AA38" s="173">
        <v>1035438148.0050617</v>
      </c>
      <c r="AC38" s="158">
        <v>29</v>
      </c>
      <c r="AD38" s="164" t="s">
        <v>50</v>
      </c>
      <c r="AE38" s="173">
        <f t="shared" si="1"/>
        <v>365852.53875100613</v>
      </c>
      <c r="AF38" s="173">
        <f t="shared" si="1"/>
        <v>0</v>
      </c>
      <c r="AG38" s="173">
        <f t="shared" si="1"/>
        <v>0</v>
      </c>
      <c r="AH38" s="173">
        <f t="shared" si="1"/>
        <v>0</v>
      </c>
      <c r="AI38" s="173">
        <f t="shared" si="1"/>
        <v>365852.53875100613</v>
      </c>
      <c r="AJ38" s="173">
        <f t="shared" si="1"/>
        <v>0</v>
      </c>
      <c r="AK38" s="173">
        <f t="shared" si="1"/>
        <v>64121.753597736359</v>
      </c>
      <c r="AL38" s="173">
        <f t="shared" si="1"/>
        <v>0</v>
      </c>
      <c r="AM38" s="173">
        <f t="shared" si="1"/>
        <v>0</v>
      </c>
      <c r="AN38" s="173">
        <f t="shared" si="1"/>
        <v>0</v>
      </c>
      <c r="AO38" s="173">
        <f t="shared" si="1"/>
        <v>64121.753597736359</v>
      </c>
    </row>
    <row r="39" spans="1:42" x14ac:dyDescent="0.3">
      <c r="A39" s="158" t="str">
        <f>IF(ISBLANK(B39),"",MAX(A$6:A38)+1)</f>
        <v/>
      </c>
      <c r="B39" s="76"/>
      <c r="C39" s="77"/>
      <c r="D39" s="77"/>
      <c r="E39" s="77"/>
      <c r="F39" s="77"/>
      <c r="G39" s="77"/>
      <c r="H39" s="27"/>
      <c r="I39" s="77"/>
      <c r="J39" s="77"/>
      <c r="K39" s="77"/>
      <c r="L39" s="77"/>
      <c r="M39" s="77"/>
      <c r="O39" s="158" t="s">
        <v>790</v>
      </c>
      <c r="P39" s="76"/>
      <c r="Q39" s="77"/>
      <c r="R39" s="77"/>
      <c r="S39" s="77"/>
      <c r="T39" s="77"/>
      <c r="U39" s="77"/>
      <c r="V39" s="27"/>
      <c r="W39" s="77"/>
      <c r="X39" s="77"/>
      <c r="Y39" s="77"/>
      <c r="Z39" s="77"/>
      <c r="AA39" s="77"/>
      <c r="AC39" s="158" t="s">
        <v>790</v>
      </c>
      <c r="AD39" s="76"/>
      <c r="AE39" s="77">
        <f t="shared" si="1"/>
        <v>0</v>
      </c>
      <c r="AF39" s="77">
        <f t="shared" si="1"/>
        <v>0</v>
      </c>
      <c r="AG39" s="77">
        <f t="shared" si="1"/>
        <v>0</v>
      </c>
      <c r="AH39" s="77">
        <f t="shared" si="1"/>
        <v>0</v>
      </c>
      <c r="AI39" s="77">
        <f t="shared" si="1"/>
        <v>0</v>
      </c>
      <c r="AJ39" s="77">
        <f t="shared" si="1"/>
        <v>0</v>
      </c>
      <c r="AK39" s="77">
        <f t="shared" si="1"/>
        <v>0</v>
      </c>
      <c r="AL39" s="77">
        <f t="shared" si="1"/>
        <v>0</v>
      </c>
      <c r="AM39" s="77">
        <f t="shared" si="1"/>
        <v>0</v>
      </c>
      <c r="AN39" s="77">
        <f t="shared" si="1"/>
        <v>0</v>
      </c>
      <c r="AO39" s="77">
        <f t="shared" si="1"/>
        <v>0</v>
      </c>
    </row>
    <row r="40" spans="1:42" x14ac:dyDescent="0.3">
      <c r="A40" s="158">
        <f>IF(ISBLANK(B40),"",MAX(A$6:A39)+1)</f>
        <v>30</v>
      </c>
      <c r="B40" s="76" t="s">
        <v>51</v>
      </c>
      <c r="C40" s="161">
        <v>367016283.55182981</v>
      </c>
      <c r="D40" s="161"/>
      <c r="E40" s="161"/>
      <c r="F40" s="161"/>
      <c r="G40" s="161">
        <v>440057400.30609751</v>
      </c>
      <c r="H40" s="27"/>
      <c r="I40" s="161">
        <v>348466477.34190333</v>
      </c>
      <c r="J40" s="161"/>
      <c r="K40" s="161"/>
      <c r="L40" s="161"/>
      <c r="M40" s="161">
        <v>348466477.34190333</v>
      </c>
      <c r="O40" s="158">
        <v>30</v>
      </c>
      <c r="P40" s="76" t="s">
        <v>51</v>
      </c>
      <c r="Q40" s="161">
        <v>366107475.09058082</v>
      </c>
      <c r="R40" s="161"/>
      <c r="S40" s="161"/>
      <c r="T40" s="161"/>
      <c r="U40" s="161">
        <v>439148591.84484851</v>
      </c>
      <c r="V40" s="27"/>
      <c r="W40" s="161">
        <v>348529605.35329139</v>
      </c>
      <c r="X40" s="161"/>
      <c r="Y40" s="161"/>
      <c r="Z40" s="161"/>
      <c r="AA40" s="161">
        <v>348529605.35329139</v>
      </c>
      <c r="AC40" s="158">
        <v>30</v>
      </c>
      <c r="AD40" s="76" t="s">
        <v>51</v>
      </c>
      <c r="AE40" s="161">
        <f t="shared" si="1"/>
        <v>908808.46124899387</v>
      </c>
      <c r="AF40" s="161">
        <f t="shared" si="1"/>
        <v>0</v>
      </c>
      <c r="AG40" s="161">
        <f t="shared" si="1"/>
        <v>0</v>
      </c>
      <c r="AH40" s="161">
        <f t="shared" si="1"/>
        <v>0</v>
      </c>
      <c r="AI40" s="161">
        <f t="shared" si="1"/>
        <v>908808.46124899387</v>
      </c>
      <c r="AJ40" s="161">
        <f t="shared" si="1"/>
        <v>0</v>
      </c>
      <c r="AK40" s="161">
        <f t="shared" si="1"/>
        <v>-63128.011388063431</v>
      </c>
      <c r="AL40" s="161">
        <f t="shared" si="1"/>
        <v>0</v>
      </c>
      <c r="AM40" s="161">
        <f t="shared" si="1"/>
        <v>0</v>
      </c>
      <c r="AN40" s="161">
        <f t="shared" si="1"/>
        <v>0</v>
      </c>
      <c r="AO40" s="161">
        <f t="shared" si="1"/>
        <v>-63128.011388063431</v>
      </c>
    </row>
    <row r="41" spans="1:42" x14ac:dyDescent="0.3">
      <c r="A41" s="158" t="str">
        <f>IF(ISBLANK(B41),"",MAX(A$6:A40)+1)</f>
        <v/>
      </c>
      <c r="B41" s="167"/>
      <c r="C41" s="174"/>
      <c r="D41" s="174"/>
      <c r="E41" s="174"/>
      <c r="F41" s="174"/>
      <c r="G41" s="174"/>
      <c r="H41" s="27"/>
      <c r="I41" s="174"/>
      <c r="J41" s="174"/>
      <c r="K41" s="174"/>
      <c r="L41" s="174"/>
      <c r="M41" s="174"/>
      <c r="O41" s="158" t="s">
        <v>790</v>
      </c>
      <c r="P41" s="167"/>
      <c r="Q41" s="174"/>
      <c r="R41" s="174"/>
      <c r="S41" s="174"/>
      <c r="T41" s="174"/>
      <c r="U41" s="174"/>
      <c r="V41" s="27"/>
      <c r="W41" s="174"/>
      <c r="X41" s="174"/>
      <c r="Y41" s="174"/>
      <c r="Z41" s="174"/>
      <c r="AA41" s="174"/>
      <c r="AC41" s="158" t="s">
        <v>790</v>
      </c>
      <c r="AD41" s="167"/>
      <c r="AE41" s="174">
        <f t="shared" si="1"/>
        <v>0</v>
      </c>
      <c r="AF41" s="174">
        <f t="shared" si="1"/>
        <v>0</v>
      </c>
      <c r="AG41" s="174">
        <f t="shared" si="1"/>
        <v>0</v>
      </c>
      <c r="AH41" s="174">
        <f t="shared" si="1"/>
        <v>0</v>
      </c>
      <c r="AI41" s="174">
        <f t="shared" si="1"/>
        <v>0</v>
      </c>
      <c r="AJ41" s="174">
        <f t="shared" si="1"/>
        <v>0</v>
      </c>
      <c r="AK41" s="174">
        <f t="shared" si="1"/>
        <v>0</v>
      </c>
      <c r="AL41" s="174">
        <f t="shared" si="1"/>
        <v>0</v>
      </c>
      <c r="AM41" s="174">
        <f t="shared" si="1"/>
        <v>0</v>
      </c>
      <c r="AN41" s="174">
        <f t="shared" si="1"/>
        <v>0</v>
      </c>
      <c r="AO41" s="174">
        <f t="shared" si="1"/>
        <v>0</v>
      </c>
    </row>
    <row r="42" spans="1:42" x14ac:dyDescent="0.3">
      <c r="A42" s="158">
        <f>IF(ISBLANK(B42),"",MAX(A$6:A41)+1)</f>
        <v>31</v>
      </c>
      <c r="B42" s="76" t="s">
        <v>52</v>
      </c>
      <c r="C42" s="77">
        <v>5203693617.2019539</v>
      </c>
      <c r="D42" s="77"/>
      <c r="E42" s="77"/>
      <c r="F42" s="77"/>
      <c r="G42" s="77">
        <v>5138329714.250844</v>
      </c>
      <c r="H42" s="27"/>
      <c r="I42" s="77">
        <v>5270759871.915473</v>
      </c>
      <c r="J42" s="77"/>
      <c r="K42" s="77"/>
      <c r="L42" s="77"/>
      <c r="M42" s="77">
        <v>5517393205.705946</v>
      </c>
      <c r="O42" s="158">
        <v>31</v>
      </c>
      <c r="P42" s="76" t="s">
        <v>52</v>
      </c>
      <c r="Q42" s="77">
        <v>5203693617.2019539</v>
      </c>
      <c r="R42" s="77"/>
      <c r="S42" s="77"/>
      <c r="T42" s="77"/>
      <c r="U42" s="77">
        <v>5138329714.250844</v>
      </c>
      <c r="V42" s="27"/>
      <c r="W42" s="77">
        <v>5270759871.915473</v>
      </c>
      <c r="X42" s="77"/>
      <c r="Y42" s="77"/>
      <c r="Z42" s="77"/>
      <c r="AA42" s="77">
        <v>5517393205.705946</v>
      </c>
      <c r="AC42" s="158">
        <v>31</v>
      </c>
      <c r="AD42" s="76" t="s">
        <v>52</v>
      </c>
      <c r="AE42" s="77">
        <f t="shared" si="1"/>
        <v>0</v>
      </c>
      <c r="AF42" s="77">
        <f t="shared" si="1"/>
        <v>0</v>
      </c>
      <c r="AG42" s="77">
        <f t="shared" si="1"/>
        <v>0</v>
      </c>
      <c r="AH42" s="77">
        <f t="shared" si="1"/>
        <v>0</v>
      </c>
      <c r="AI42" s="77">
        <f t="shared" si="1"/>
        <v>0</v>
      </c>
      <c r="AJ42" s="77">
        <f t="shared" si="1"/>
        <v>0</v>
      </c>
      <c r="AK42" s="77">
        <f t="shared" si="1"/>
        <v>0</v>
      </c>
      <c r="AL42" s="77">
        <f t="shared" si="1"/>
        <v>0</v>
      </c>
      <c r="AM42" s="77">
        <f t="shared" si="1"/>
        <v>0</v>
      </c>
      <c r="AN42" s="77">
        <f t="shared" si="1"/>
        <v>0</v>
      </c>
      <c r="AO42" s="77">
        <f t="shared" si="1"/>
        <v>0</v>
      </c>
    </row>
    <row r="43" spans="1:42" x14ac:dyDescent="0.3">
      <c r="A43" s="158" t="str">
        <f>IF(ISBLANK(B43),"",MAX(A$6:A42)+1)</f>
        <v/>
      </c>
      <c r="B43" s="76"/>
      <c r="C43" s="76"/>
      <c r="D43" s="76"/>
      <c r="E43" s="76"/>
      <c r="F43" s="76"/>
      <c r="G43" s="76"/>
      <c r="H43" s="27"/>
      <c r="I43" s="76"/>
      <c r="J43" s="76"/>
      <c r="K43" s="76"/>
      <c r="L43" s="76"/>
      <c r="M43" s="76"/>
      <c r="O43" s="158" t="s">
        <v>790</v>
      </c>
      <c r="P43" s="76"/>
      <c r="Q43" s="76"/>
      <c r="R43" s="76"/>
      <c r="S43" s="76"/>
      <c r="T43" s="76"/>
      <c r="U43" s="76"/>
      <c r="V43" s="27"/>
      <c r="W43" s="76"/>
      <c r="X43" s="76"/>
      <c r="Y43" s="76"/>
      <c r="Z43" s="76"/>
      <c r="AA43" s="76"/>
      <c r="AC43" s="158" t="s">
        <v>790</v>
      </c>
      <c r="AD43" s="76"/>
      <c r="AE43" s="76">
        <f t="shared" si="1"/>
        <v>0</v>
      </c>
      <c r="AF43" s="76">
        <f t="shared" si="1"/>
        <v>0</v>
      </c>
      <c r="AG43" s="76">
        <f t="shared" si="1"/>
        <v>0</v>
      </c>
      <c r="AH43" s="76">
        <f t="shared" si="1"/>
        <v>0</v>
      </c>
      <c r="AI43" s="76">
        <f t="shared" si="1"/>
        <v>0</v>
      </c>
      <c r="AJ43" s="76">
        <f t="shared" si="1"/>
        <v>0</v>
      </c>
      <c r="AK43" s="76">
        <f t="shared" si="1"/>
        <v>0</v>
      </c>
      <c r="AL43" s="76">
        <f t="shared" si="1"/>
        <v>0</v>
      </c>
      <c r="AM43" s="76">
        <f t="shared" si="1"/>
        <v>0</v>
      </c>
      <c r="AN43" s="76">
        <f t="shared" si="1"/>
        <v>0</v>
      </c>
      <c r="AO43" s="76">
        <f t="shared" si="1"/>
        <v>0</v>
      </c>
    </row>
    <row r="44" spans="1:42" x14ac:dyDescent="0.3">
      <c r="A44" s="158">
        <f>IF(ISBLANK(B44),"",MAX(A$6:A43)+1)</f>
        <v>32</v>
      </c>
      <c r="B44" s="76" t="s">
        <v>53</v>
      </c>
      <c r="C44" s="175">
        <v>7.0529956325364115E-2</v>
      </c>
      <c r="D44" s="175"/>
      <c r="E44" s="175"/>
      <c r="F44" s="175"/>
      <c r="G44" s="175">
        <v>8.56421103312279E-2</v>
      </c>
      <c r="H44" s="27"/>
      <c r="I44" s="175">
        <v>6.6113138486664808E-2</v>
      </c>
      <c r="J44" s="175"/>
      <c r="K44" s="175"/>
      <c r="L44" s="175"/>
      <c r="M44" s="175">
        <v>6.3157811007837586E-2</v>
      </c>
      <c r="O44" s="158">
        <v>32</v>
      </c>
      <c r="P44" s="76" t="s">
        <v>53</v>
      </c>
      <c r="Q44" s="175">
        <v>7.0355309520977946E-2</v>
      </c>
      <c r="R44" s="175"/>
      <c r="S44" s="175"/>
      <c r="T44" s="175"/>
      <c r="U44" s="175">
        <v>8.5465241871672162E-2</v>
      </c>
      <c r="V44" s="27"/>
      <c r="W44" s="175">
        <v>6.6125115509508212E-2</v>
      </c>
      <c r="X44" s="175"/>
      <c r="Y44" s="175"/>
      <c r="Z44" s="175"/>
      <c r="AA44" s="175">
        <v>6.3169252645044596E-2</v>
      </c>
      <c r="AC44" s="158">
        <v>32</v>
      </c>
      <c r="AD44" s="76" t="s">
        <v>53</v>
      </c>
      <c r="AE44" s="175">
        <f t="shared" si="1"/>
        <v>1.7464680438616931E-4</v>
      </c>
      <c r="AF44" s="175">
        <f t="shared" si="1"/>
        <v>0</v>
      </c>
      <c r="AG44" s="175">
        <f t="shared" si="1"/>
        <v>0</v>
      </c>
      <c r="AH44" s="175">
        <f t="shared" si="1"/>
        <v>0</v>
      </c>
      <c r="AI44" s="175">
        <f t="shared" si="1"/>
        <v>1.7686845955573738E-4</v>
      </c>
      <c r="AJ44" s="175">
        <f t="shared" si="1"/>
        <v>0</v>
      </c>
      <c r="AK44" s="175">
        <f t="shared" si="1"/>
        <v>-1.1977022843404073E-5</v>
      </c>
      <c r="AL44" s="175">
        <f t="shared" si="1"/>
        <v>0</v>
      </c>
      <c r="AM44" s="175">
        <f t="shared" si="1"/>
        <v>0</v>
      </c>
      <c r="AN44" s="175">
        <f t="shared" si="1"/>
        <v>0</v>
      </c>
      <c r="AO44" s="175">
        <f t="shared" si="1"/>
        <v>-1.1441637207010302E-5</v>
      </c>
    </row>
    <row r="45" spans="1:42" x14ac:dyDescent="0.3">
      <c r="A45" s="158" t="str">
        <f>IF(ISBLANK(B45),"",MAX(A$6:A44)+1)</f>
        <v/>
      </c>
      <c r="B45" s="76"/>
      <c r="C45" s="76"/>
      <c r="D45" s="76"/>
      <c r="E45" s="76"/>
      <c r="F45" s="76"/>
      <c r="G45" s="76"/>
      <c r="H45" s="27"/>
      <c r="I45" s="76"/>
      <c r="J45" s="76"/>
      <c r="K45" s="76"/>
      <c r="L45" s="76"/>
      <c r="M45" s="76"/>
      <c r="O45" s="158" t="s">
        <v>790</v>
      </c>
      <c r="P45" s="76"/>
      <c r="Q45" s="76"/>
      <c r="R45" s="76"/>
      <c r="S45" s="76"/>
      <c r="T45" s="76"/>
      <c r="U45" s="76"/>
      <c r="V45" s="27"/>
      <c r="W45" s="76"/>
      <c r="X45" s="76"/>
      <c r="Y45" s="76"/>
      <c r="Z45" s="76"/>
      <c r="AA45" s="76"/>
      <c r="AC45" s="158" t="s">
        <v>790</v>
      </c>
      <c r="AD45" s="76"/>
      <c r="AE45" s="76">
        <f t="shared" si="1"/>
        <v>0</v>
      </c>
      <c r="AF45" s="76">
        <f t="shared" si="1"/>
        <v>0</v>
      </c>
      <c r="AG45" s="76">
        <f t="shared" si="1"/>
        <v>0</v>
      </c>
      <c r="AH45" s="76">
        <f t="shared" si="1"/>
        <v>0</v>
      </c>
      <c r="AI45" s="76">
        <f t="shared" si="1"/>
        <v>0</v>
      </c>
      <c r="AJ45" s="76">
        <f t="shared" si="1"/>
        <v>0</v>
      </c>
      <c r="AK45" s="76">
        <f t="shared" si="1"/>
        <v>0</v>
      </c>
      <c r="AL45" s="76">
        <f t="shared" si="1"/>
        <v>0</v>
      </c>
      <c r="AM45" s="76">
        <f t="shared" si="1"/>
        <v>0</v>
      </c>
      <c r="AN45" s="76">
        <f t="shared" ref="AN45:AO108" si="2">+L45-Z45</f>
        <v>0</v>
      </c>
      <c r="AO45" s="76">
        <f t="shared" si="2"/>
        <v>0</v>
      </c>
    </row>
    <row r="46" spans="1:42" x14ac:dyDescent="0.3">
      <c r="A46" s="158">
        <f>IF(ISBLANK(B46),"",MAX(A$6:A45)+1)</f>
        <v>33</v>
      </c>
      <c r="B46" s="76" t="s">
        <v>54</v>
      </c>
      <c r="C46" s="76"/>
      <c r="D46" s="76"/>
      <c r="E46" s="76"/>
      <c r="F46" s="76"/>
      <c r="G46" s="76"/>
      <c r="H46" s="27"/>
      <c r="I46" s="76"/>
      <c r="J46" s="76"/>
      <c r="K46" s="76"/>
      <c r="L46" s="76"/>
      <c r="M46" s="76"/>
      <c r="O46" s="158">
        <v>33</v>
      </c>
      <c r="P46" s="76" t="s">
        <v>54</v>
      </c>
      <c r="Q46" s="76"/>
      <c r="R46" s="76"/>
      <c r="S46" s="76"/>
      <c r="T46" s="76"/>
      <c r="U46" s="76"/>
      <c r="V46" s="27"/>
      <c r="W46" s="76"/>
      <c r="X46" s="76"/>
      <c r="Y46" s="76"/>
      <c r="Z46" s="76"/>
      <c r="AA46" s="76"/>
      <c r="AC46" s="158">
        <v>33</v>
      </c>
      <c r="AD46" s="76" t="s">
        <v>54</v>
      </c>
      <c r="AE46" s="76">
        <f t="shared" ref="AE46:AM74" si="3">+C46-Q46</f>
        <v>0</v>
      </c>
      <c r="AF46" s="76">
        <f t="shared" si="3"/>
        <v>0</v>
      </c>
      <c r="AG46" s="76">
        <f t="shared" si="3"/>
        <v>0</v>
      </c>
      <c r="AH46" s="76">
        <f t="shared" si="3"/>
        <v>0</v>
      </c>
      <c r="AI46" s="76">
        <f t="shared" si="3"/>
        <v>0</v>
      </c>
      <c r="AJ46" s="76">
        <f t="shared" si="3"/>
        <v>0</v>
      </c>
      <c r="AK46" s="76">
        <f t="shared" si="3"/>
        <v>0</v>
      </c>
      <c r="AL46" s="76">
        <f t="shared" si="3"/>
        <v>0</v>
      </c>
      <c r="AM46" s="76">
        <f t="shared" si="3"/>
        <v>0</v>
      </c>
      <c r="AN46" s="76">
        <f t="shared" si="2"/>
        <v>0</v>
      </c>
      <c r="AO46" s="76">
        <f t="shared" si="2"/>
        <v>0</v>
      </c>
    </row>
    <row r="47" spans="1:42" x14ac:dyDescent="0.3">
      <c r="A47" s="158">
        <f>IF(ISBLANK(B47),"",MAX(A$6:A46)+1)</f>
        <v>34</v>
      </c>
      <c r="B47" s="176" t="s">
        <v>55</v>
      </c>
      <c r="C47" s="177">
        <v>10567150332.031586</v>
      </c>
      <c r="D47" s="177">
        <v>0</v>
      </c>
      <c r="E47" s="177">
        <v>-43086547.452637523</v>
      </c>
      <c r="F47" s="177">
        <v>-32493590.70949842</v>
      </c>
      <c r="G47" s="177">
        <v>10491570193.86945</v>
      </c>
      <c r="H47" s="27"/>
      <c r="I47" s="177">
        <v>11427754208.041882</v>
      </c>
      <c r="J47" s="177">
        <v>170075026.29643583</v>
      </c>
      <c r="K47" s="177">
        <v>162226501.42875069</v>
      </c>
      <c r="L47" s="177">
        <v>0</v>
      </c>
      <c r="M47" s="177">
        <v>11760055735.767067</v>
      </c>
      <c r="O47" s="158">
        <v>34</v>
      </c>
      <c r="P47" s="176" t="s">
        <v>55</v>
      </c>
      <c r="Q47" s="177">
        <v>10567150332.031586</v>
      </c>
      <c r="R47" s="177">
        <v>0</v>
      </c>
      <c r="S47" s="177">
        <v>-43086547.452637523</v>
      </c>
      <c r="T47" s="177">
        <v>-32493590.70949842</v>
      </c>
      <c r="U47" s="177">
        <v>10491570193.86945</v>
      </c>
      <c r="V47" s="27"/>
      <c r="W47" s="177">
        <v>11427754208.041882</v>
      </c>
      <c r="X47" s="177">
        <v>170075026.29643583</v>
      </c>
      <c r="Y47" s="177">
        <v>162226501.42875069</v>
      </c>
      <c r="Z47" s="177">
        <v>0</v>
      </c>
      <c r="AA47" s="177">
        <v>11760055735.767067</v>
      </c>
      <c r="AC47" s="158">
        <v>34</v>
      </c>
      <c r="AD47" s="176" t="s">
        <v>55</v>
      </c>
      <c r="AE47" s="177">
        <f t="shared" si="3"/>
        <v>0</v>
      </c>
      <c r="AF47" s="177">
        <f t="shared" si="3"/>
        <v>0</v>
      </c>
      <c r="AG47" s="177">
        <f t="shared" si="3"/>
        <v>0</v>
      </c>
      <c r="AH47" s="177">
        <f t="shared" si="3"/>
        <v>0</v>
      </c>
      <c r="AI47" s="177">
        <f t="shared" si="3"/>
        <v>0</v>
      </c>
      <c r="AJ47" s="177">
        <f t="shared" si="3"/>
        <v>0</v>
      </c>
      <c r="AK47" s="177">
        <f t="shared" si="3"/>
        <v>0</v>
      </c>
      <c r="AL47" s="177">
        <f t="shared" si="3"/>
        <v>0</v>
      </c>
      <c r="AM47" s="177">
        <f t="shared" si="3"/>
        <v>0</v>
      </c>
      <c r="AN47" s="177">
        <f t="shared" si="2"/>
        <v>0</v>
      </c>
      <c r="AO47" s="177">
        <f t="shared" si="2"/>
        <v>0</v>
      </c>
    </row>
    <row r="48" spans="1:42" x14ac:dyDescent="0.3">
      <c r="A48" s="158">
        <f>IF(ISBLANK(B48),"",MAX(A$6:A47)+1)</f>
        <v>35</v>
      </c>
      <c r="B48" s="176" t="s">
        <v>56</v>
      </c>
      <c r="C48" s="162">
        <v>-4242911054.3971</v>
      </c>
      <c r="D48" s="162">
        <v>0</v>
      </c>
      <c r="E48" s="162">
        <v>2800433.4436958949</v>
      </c>
      <c r="F48" s="162">
        <v>2801052.512056177</v>
      </c>
      <c r="G48" s="162">
        <v>-4237309568.4413481</v>
      </c>
      <c r="H48" s="27"/>
      <c r="I48" s="162">
        <v>-5173194217.8279486</v>
      </c>
      <c r="J48" s="162">
        <v>-26949739.940672945</v>
      </c>
      <c r="K48" s="162">
        <v>-36667721.805506274</v>
      </c>
      <c r="L48" s="162">
        <v>0</v>
      </c>
      <c r="M48" s="162">
        <v>-5236811679.5741282</v>
      </c>
      <c r="O48" s="158">
        <v>35</v>
      </c>
      <c r="P48" s="176" t="s">
        <v>56</v>
      </c>
      <c r="Q48" s="162">
        <v>-4242911054.3971</v>
      </c>
      <c r="R48" s="162">
        <v>0</v>
      </c>
      <c r="S48" s="162">
        <v>2800433.4436958949</v>
      </c>
      <c r="T48" s="162">
        <v>2801052.512056177</v>
      </c>
      <c r="U48" s="162">
        <v>-4237309568.4413481</v>
      </c>
      <c r="V48" s="27"/>
      <c r="W48" s="162">
        <v>-5173194217.8279486</v>
      </c>
      <c r="X48" s="162">
        <v>-26949739.940672945</v>
      </c>
      <c r="Y48" s="162">
        <v>-36667721.805506274</v>
      </c>
      <c r="Z48" s="162">
        <v>0</v>
      </c>
      <c r="AA48" s="162">
        <v>-5236811679.5741282</v>
      </c>
      <c r="AC48" s="158">
        <v>35</v>
      </c>
      <c r="AD48" s="176" t="s">
        <v>56</v>
      </c>
      <c r="AE48" s="162">
        <f t="shared" si="3"/>
        <v>0</v>
      </c>
      <c r="AF48" s="162">
        <f t="shared" si="3"/>
        <v>0</v>
      </c>
      <c r="AG48" s="162">
        <f t="shared" si="3"/>
        <v>0</v>
      </c>
      <c r="AH48" s="162">
        <f t="shared" si="3"/>
        <v>0</v>
      </c>
      <c r="AI48" s="162">
        <f t="shared" si="3"/>
        <v>0</v>
      </c>
      <c r="AJ48" s="162">
        <f t="shared" si="3"/>
        <v>0</v>
      </c>
      <c r="AK48" s="162">
        <f t="shared" si="3"/>
        <v>0</v>
      </c>
      <c r="AL48" s="162">
        <f t="shared" si="3"/>
        <v>0</v>
      </c>
      <c r="AM48" s="162">
        <f t="shared" si="3"/>
        <v>0</v>
      </c>
      <c r="AN48" s="162">
        <f t="shared" si="2"/>
        <v>0</v>
      </c>
      <c r="AO48" s="162">
        <f t="shared" si="2"/>
        <v>0</v>
      </c>
    </row>
    <row r="49" spans="1:41" x14ac:dyDescent="0.3">
      <c r="A49" s="158">
        <f>IF(ISBLANK(B49),"",MAX(A$6:A47)+1)</f>
        <v>35</v>
      </c>
      <c r="B49" s="169" t="s">
        <v>57</v>
      </c>
      <c r="C49" s="162">
        <v>-23695575.657928072</v>
      </c>
      <c r="D49" s="162">
        <v>0</v>
      </c>
      <c r="E49" s="162">
        <v>0</v>
      </c>
      <c r="F49" s="162">
        <v>0</v>
      </c>
      <c r="G49" s="162">
        <v>-23695575.657928072</v>
      </c>
      <c r="H49" s="27"/>
      <c r="I49" s="162">
        <v>-23695575.657928072</v>
      </c>
      <c r="J49" s="162">
        <v>0</v>
      </c>
      <c r="K49" s="162">
        <v>0</v>
      </c>
      <c r="L49" s="162">
        <v>0</v>
      </c>
      <c r="M49" s="162">
        <v>-23695575.657928072</v>
      </c>
      <c r="O49" s="158">
        <v>35</v>
      </c>
      <c r="P49" s="169" t="s">
        <v>57</v>
      </c>
      <c r="Q49" s="162">
        <v>-23695575.657928072</v>
      </c>
      <c r="R49" s="162">
        <v>0</v>
      </c>
      <c r="S49" s="162">
        <v>0</v>
      </c>
      <c r="T49" s="162">
        <v>0</v>
      </c>
      <c r="U49" s="162">
        <v>-23695575.657928072</v>
      </c>
      <c r="V49" s="27"/>
      <c r="W49" s="162">
        <v>-23695575.657928072</v>
      </c>
      <c r="X49" s="162">
        <v>0</v>
      </c>
      <c r="Y49" s="162">
        <v>0</v>
      </c>
      <c r="Z49" s="162">
        <v>0</v>
      </c>
      <c r="AA49" s="162">
        <v>-23695575.657928072</v>
      </c>
      <c r="AC49" s="158">
        <v>35</v>
      </c>
      <c r="AD49" s="169" t="s">
        <v>57</v>
      </c>
      <c r="AE49" s="162">
        <f t="shared" si="3"/>
        <v>0</v>
      </c>
      <c r="AF49" s="162">
        <f t="shared" si="3"/>
        <v>0</v>
      </c>
      <c r="AG49" s="162">
        <f t="shared" si="3"/>
        <v>0</v>
      </c>
      <c r="AH49" s="162">
        <f t="shared" si="3"/>
        <v>0</v>
      </c>
      <c r="AI49" s="162">
        <f t="shared" si="3"/>
        <v>0</v>
      </c>
      <c r="AJ49" s="162">
        <f t="shared" si="3"/>
        <v>0</v>
      </c>
      <c r="AK49" s="162">
        <f t="shared" si="3"/>
        <v>0</v>
      </c>
      <c r="AL49" s="162">
        <f t="shared" si="3"/>
        <v>0</v>
      </c>
      <c r="AM49" s="162">
        <f t="shared" si="3"/>
        <v>0</v>
      </c>
      <c r="AN49" s="162">
        <f t="shared" si="2"/>
        <v>0</v>
      </c>
      <c r="AO49" s="162">
        <f t="shared" si="2"/>
        <v>0</v>
      </c>
    </row>
    <row r="50" spans="1:41" x14ac:dyDescent="0.3">
      <c r="A50" s="158">
        <f>IF(ISBLANK(B50),"",MAX(A$6:A48)+1)</f>
        <v>36</v>
      </c>
      <c r="B50" s="76" t="s">
        <v>58</v>
      </c>
      <c r="C50" s="162">
        <v>281073578.47439861</v>
      </c>
      <c r="D50" s="162">
        <v>0</v>
      </c>
      <c r="E50" s="162">
        <v>0</v>
      </c>
      <c r="F50" s="162">
        <v>0</v>
      </c>
      <c r="G50" s="162">
        <v>281073578.47439861</v>
      </c>
      <c r="H50" s="27"/>
      <c r="I50" s="162">
        <v>281073578.47439861</v>
      </c>
      <c r="J50" s="162">
        <v>0</v>
      </c>
      <c r="K50" s="162">
        <v>0</v>
      </c>
      <c r="L50" s="162">
        <v>0</v>
      </c>
      <c r="M50" s="162">
        <v>281073578.47439861</v>
      </c>
      <c r="O50" s="158">
        <v>36</v>
      </c>
      <c r="P50" s="76" t="s">
        <v>58</v>
      </c>
      <c r="Q50" s="162">
        <v>281073578.47439861</v>
      </c>
      <c r="R50" s="162">
        <v>0</v>
      </c>
      <c r="S50" s="162">
        <v>0</v>
      </c>
      <c r="T50" s="162">
        <v>0</v>
      </c>
      <c r="U50" s="162">
        <v>281073578.47439861</v>
      </c>
      <c r="V50" s="27"/>
      <c r="W50" s="162">
        <v>281073578.47439861</v>
      </c>
      <c r="X50" s="162">
        <v>0</v>
      </c>
      <c r="Y50" s="162">
        <v>0</v>
      </c>
      <c r="Z50" s="162">
        <v>0</v>
      </c>
      <c r="AA50" s="162">
        <v>281073578.47439861</v>
      </c>
      <c r="AC50" s="158">
        <v>36</v>
      </c>
      <c r="AD50" s="76" t="s">
        <v>58</v>
      </c>
      <c r="AE50" s="162">
        <f t="shared" si="3"/>
        <v>0</v>
      </c>
      <c r="AF50" s="162">
        <f t="shared" si="3"/>
        <v>0</v>
      </c>
      <c r="AG50" s="162">
        <f t="shared" si="3"/>
        <v>0</v>
      </c>
      <c r="AH50" s="162">
        <f t="shared" si="3"/>
        <v>0</v>
      </c>
      <c r="AI50" s="162">
        <f t="shared" si="3"/>
        <v>0</v>
      </c>
      <c r="AJ50" s="162">
        <f t="shared" si="3"/>
        <v>0</v>
      </c>
      <c r="AK50" s="162">
        <f t="shared" si="3"/>
        <v>0</v>
      </c>
      <c r="AL50" s="162">
        <f t="shared" si="3"/>
        <v>0</v>
      </c>
      <c r="AM50" s="162">
        <f t="shared" si="3"/>
        <v>0</v>
      </c>
      <c r="AN50" s="162">
        <f t="shared" si="2"/>
        <v>0</v>
      </c>
      <c r="AO50" s="162">
        <f t="shared" si="2"/>
        <v>0</v>
      </c>
    </row>
    <row r="51" spans="1:41" x14ac:dyDescent="0.3">
      <c r="A51" s="158">
        <f>IF(ISBLANK(B51),"",MAX(A$6:A50)+1)</f>
        <v>37</v>
      </c>
      <c r="B51" s="76" t="s">
        <v>59</v>
      </c>
      <c r="C51" s="162">
        <v>-1417003604.7176015</v>
      </c>
      <c r="D51" s="162">
        <v>0</v>
      </c>
      <c r="E51" s="162">
        <v>2798356.0552379121</v>
      </c>
      <c r="F51" s="162">
        <v>1816393.2000356747</v>
      </c>
      <c r="G51" s="162">
        <v>-1412388855.4623277</v>
      </c>
      <c r="H51" s="27"/>
      <c r="I51" s="162">
        <v>-1280258062.5835309</v>
      </c>
      <c r="J51" s="162">
        <v>-8820726.9787761793</v>
      </c>
      <c r="K51" s="162">
        <v>-13230005.209756112</v>
      </c>
      <c r="L51" s="162">
        <v>0</v>
      </c>
      <c r="M51" s="162">
        <v>-1302308794.7720635</v>
      </c>
      <c r="O51" s="158">
        <v>37</v>
      </c>
      <c r="P51" s="76" t="s">
        <v>59</v>
      </c>
      <c r="Q51" s="162">
        <v>-1417003604.7176015</v>
      </c>
      <c r="R51" s="162">
        <v>0</v>
      </c>
      <c r="S51" s="162">
        <v>2798356.0552379121</v>
      </c>
      <c r="T51" s="162">
        <v>1816393.2000356747</v>
      </c>
      <c r="U51" s="162">
        <v>-1412388855.4623277</v>
      </c>
      <c r="V51" s="27"/>
      <c r="W51" s="162">
        <v>-1280258062.5835309</v>
      </c>
      <c r="X51" s="162">
        <v>-8820726.9787761793</v>
      </c>
      <c r="Y51" s="162">
        <v>-13230005.209756112</v>
      </c>
      <c r="Z51" s="162">
        <v>0</v>
      </c>
      <c r="AA51" s="162">
        <v>-1302308794.7720635</v>
      </c>
      <c r="AC51" s="158">
        <v>37</v>
      </c>
      <c r="AD51" s="76" t="s">
        <v>59</v>
      </c>
      <c r="AE51" s="162">
        <f t="shared" si="3"/>
        <v>0</v>
      </c>
      <c r="AF51" s="162">
        <f t="shared" si="3"/>
        <v>0</v>
      </c>
      <c r="AG51" s="162">
        <f t="shared" si="3"/>
        <v>0</v>
      </c>
      <c r="AH51" s="162">
        <f t="shared" si="3"/>
        <v>0</v>
      </c>
      <c r="AI51" s="162">
        <f t="shared" si="3"/>
        <v>0</v>
      </c>
      <c r="AJ51" s="162">
        <f t="shared" si="3"/>
        <v>0</v>
      </c>
      <c r="AK51" s="162">
        <f t="shared" si="3"/>
        <v>0</v>
      </c>
      <c r="AL51" s="162">
        <f t="shared" si="3"/>
        <v>0</v>
      </c>
      <c r="AM51" s="162">
        <f t="shared" si="3"/>
        <v>0</v>
      </c>
      <c r="AN51" s="162">
        <f t="shared" si="2"/>
        <v>0</v>
      </c>
      <c r="AO51" s="162">
        <f t="shared" si="2"/>
        <v>0</v>
      </c>
    </row>
    <row r="52" spans="1:41" x14ac:dyDescent="0.3">
      <c r="A52" s="158">
        <f>IF(ISBLANK(B52),"",MAX(A$6:A51)+1)</f>
        <v>38</v>
      </c>
      <c r="B52" s="76" t="s">
        <v>60</v>
      </c>
      <c r="C52" s="162">
        <v>145303204.9988502</v>
      </c>
      <c r="D52" s="162">
        <v>0</v>
      </c>
      <c r="E52" s="162">
        <v>0</v>
      </c>
      <c r="F52" s="162">
        <v>0</v>
      </c>
      <c r="G52" s="162">
        <v>145303204.9988502</v>
      </c>
      <c r="H52" s="27"/>
      <c r="I52" s="162">
        <v>145303204.9988502</v>
      </c>
      <c r="J52" s="162">
        <v>0</v>
      </c>
      <c r="K52" s="162">
        <v>0</v>
      </c>
      <c r="L52" s="162">
        <v>0</v>
      </c>
      <c r="M52" s="162">
        <v>145303204.9988502</v>
      </c>
      <c r="O52" s="158">
        <v>38</v>
      </c>
      <c r="P52" s="76" t="s">
        <v>60</v>
      </c>
      <c r="Q52" s="162">
        <v>145303204.9988502</v>
      </c>
      <c r="R52" s="162">
        <v>0</v>
      </c>
      <c r="S52" s="162">
        <v>0</v>
      </c>
      <c r="T52" s="162">
        <v>0</v>
      </c>
      <c r="U52" s="162">
        <v>145303204.9988502</v>
      </c>
      <c r="V52" s="27"/>
      <c r="W52" s="162">
        <v>145303204.9988502</v>
      </c>
      <c r="X52" s="162">
        <v>0</v>
      </c>
      <c r="Y52" s="162">
        <v>0</v>
      </c>
      <c r="Z52" s="162">
        <v>0</v>
      </c>
      <c r="AA52" s="162">
        <v>145303204.9988502</v>
      </c>
      <c r="AC52" s="158">
        <v>38</v>
      </c>
      <c r="AD52" s="76" t="s">
        <v>60</v>
      </c>
      <c r="AE52" s="162">
        <f t="shared" si="3"/>
        <v>0</v>
      </c>
      <c r="AF52" s="162">
        <f t="shared" si="3"/>
        <v>0</v>
      </c>
      <c r="AG52" s="162">
        <f t="shared" si="3"/>
        <v>0</v>
      </c>
      <c r="AH52" s="162">
        <f t="shared" si="3"/>
        <v>0</v>
      </c>
      <c r="AI52" s="162">
        <f t="shared" si="3"/>
        <v>0</v>
      </c>
      <c r="AJ52" s="162">
        <f t="shared" si="3"/>
        <v>0</v>
      </c>
      <c r="AK52" s="162">
        <f t="shared" si="3"/>
        <v>0</v>
      </c>
      <c r="AL52" s="162">
        <f t="shared" si="3"/>
        <v>0</v>
      </c>
      <c r="AM52" s="162">
        <f t="shared" si="3"/>
        <v>0</v>
      </c>
      <c r="AN52" s="162">
        <f t="shared" si="2"/>
        <v>0</v>
      </c>
      <c r="AO52" s="162">
        <f t="shared" si="2"/>
        <v>0</v>
      </c>
    </row>
    <row r="53" spans="1:41" x14ac:dyDescent="0.3">
      <c r="A53" s="158">
        <f>IF(ISBLANK(B53),"",MAX(A$6:A52)+1)</f>
        <v>39</v>
      </c>
      <c r="B53" s="76" t="s">
        <v>61</v>
      </c>
      <c r="C53" s="162">
        <v>-106223263.53024991</v>
      </c>
      <c r="D53" s="162">
        <v>0</v>
      </c>
      <c r="E53" s="162">
        <v>0</v>
      </c>
      <c r="F53" s="162">
        <v>0</v>
      </c>
      <c r="G53" s="162">
        <v>-106223263.53024991</v>
      </c>
      <c r="H53" s="27"/>
      <c r="I53" s="162">
        <v>-106223263.53024991</v>
      </c>
      <c r="J53" s="162">
        <v>0</v>
      </c>
      <c r="K53" s="162">
        <v>0</v>
      </c>
      <c r="L53" s="162">
        <v>0</v>
      </c>
      <c r="M53" s="162">
        <v>-106223263.53024991</v>
      </c>
      <c r="O53" s="158">
        <v>39</v>
      </c>
      <c r="P53" s="76" t="s">
        <v>61</v>
      </c>
      <c r="Q53" s="162">
        <v>-106223263.53024991</v>
      </c>
      <c r="R53" s="162">
        <v>0</v>
      </c>
      <c r="S53" s="162">
        <v>0</v>
      </c>
      <c r="T53" s="162">
        <v>0</v>
      </c>
      <c r="U53" s="162">
        <v>-106223263.53024991</v>
      </c>
      <c r="V53" s="27"/>
      <c r="W53" s="162">
        <v>-106223263.53024991</v>
      </c>
      <c r="X53" s="162">
        <v>0</v>
      </c>
      <c r="Y53" s="162">
        <v>0</v>
      </c>
      <c r="Z53" s="162">
        <v>0</v>
      </c>
      <c r="AA53" s="162">
        <v>-106223263.53024991</v>
      </c>
      <c r="AC53" s="158">
        <v>39</v>
      </c>
      <c r="AD53" s="76" t="s">
        <v>61</v>
      </c>
      <c r="AE53" s="162">
        <f t="shared" si="3"/>
        <v>0</v>
      </c>
      <c r="AF53" s="162">
        <f t="shared" si="3"/>
        <v>0</v>
      </c>
      <c r="AG53" s="162">
        <f t="shared" si="3"/>
        <v>0</v>
      </c>
      <c r="AH53" s="162">
        <f t="shared" si="3"/>
        <v>0</v>
      </c>
      <c r="AI53" s="162">
        <f t="shared" si="3"/>
        <v>0</v>
      </c>
      <c r="AJ53" s="162">
        <f t="shared" si="3"/>
        <v>0</v>
      </c>
      <c r="AK53" s="162">
        <f t="shared" si="3"/>
        <v>0</v>
      </c>
      <c r="AL53" s="162">
        <f t="shared" si="3"/>
        <v>0</v>
      </c>
      <c r="AM53" s="162">
        <f t="shared" si="3"/>
        <v>0</v>
      </c>
      <c r="AN53" s="162">
        <f t="shared" si="2"/>
        <v>0</v>
      </c>
      <c r="AO53" s="162">
        <f t="shared" si="2"/>
        <v>0</v>
      </c>
    </row>
    <row r="54" spans="1:41" ht="15" thickBot="1" x14ac:dyDescent="0.35">
      <c r="A54" s="158">
        <f>IF(ISBLANK(B54),"",MAX(A$6:A53)+1)</f>
        <v>40</v>
      </c>
      <c r="B54" s="178" t="s">
        <v>62</v>
      </c>
      <c r="C54" s="179">
        <v>5203693617.2019539</v>
      </c>
      <c r="D54" s="179">
        <v>0</v>
      </c>
      <c r="E54" s="179">
        <v>-37487757.953703716</v>
      </c>
      <c r="F54" s="179">
        <v>-27876144.997406568</v>
      </c>
      <c r="G54" s="179">
        <v>5138329714.250844</v>
      </c>
      <c r="H54" s="27"/>
      <c r="I54" s="179">
        <v>5270759871.915473</v>
      </c>
      <c r="J54" s="179">
        <v>134304559.37698671</v>
      </c>
      <c r="K54" s="179">
        <v>112328774.41348831</v>
      </c>
      <c r="L54" s="179">
        <v>0</v>
      </c>
      <c r="M54" s="179">
        <v>5517393205.705946</v>
      </c>
      <c r="O54" s="158">
        <v>40</v>
      </c>
      <c r="P54" s="178" t="s">
        <v>62</v>
      </c>
      <c r="Q54" s="179">
        <v>5203693617.2019539</v>
      </c>
      <c r="R54" s="179">
        <v>0</v>
      </c>
      <c r="S54" s="179">
        <v>-37487757.953703716</v>
      </c>
      <c r="T54" s="179">
        <v>-27876144.997406568</v>
      </c>
      <c r="U54" s="179">
        <v>5138329714.250844</v>
      </c>
      <c r="V54" s="27"/>
      <c r="W54" s="179">
        <v>5270759871.915473</v>
      </c>
      <c r="X54" s="179">
        <v>134304559.37698671</v>
      </c>
      <c r="Y54" s="179">
        <v>112328774.41348831</v>
      </c>
      <c r="Z54" s="179">
        <v>0</v>
      </c>
      <c r="AA54" s="179">
        <v>5517393205.705946</v>
      </c>
      <c r="AC54" s="158">
        <v>40</v>
      </c>
      <c r="AD54" s="178" t="s">
        <v>62</v>
      </c>
      <c r="AE54" s="179">
        <f t="shared" si="3"/>
        <v>0</v>
      </c>
      <c r="AF54" s="179">
        <f t="shared" si="3"/>
        <v>0</v>
      </c>
      <c r="AG54" s="179">
        <f t="shared" si="3"/>
        <v>0</v>
      </c>
      <c r="AH54" s="179">
        <f t="shared" si="3"/>
        <v>0</v>
      </c>
      <c r="AI54" s="179">
        <f t="shared" si="3"/>
        <v>0</v>
      </c>
      <c r="AJ54" s="179">
        <f t="shared" si="3"/>
        <v>0</v>
      </c>
      <c r="AK54" s="179">
        <f t="shared" si="3"/>
        <v>0</v>
      </c>
      <c r="AL54" s="179">
        <f t="shared" si="3"/>
        <v>0</v>
      </c>
      <c r="AM54" s="179">
        <f t="shared" si="3"/>
        <v>0</v>
      </c>
      <c r="AN54" s="179">
        <f t="shared" si="2"/>
        <v>0</v>
      </c>
      <c r="AO54" s="179">
        <f t="shared" si="2"/>
        <v>0</v>
      </c>
    </row>
    <row r="55" spans="1:41" ht="15" thickTop="1" x14ac:dyDescent="0.3">
      <c r="A55" s="158" t="str">
        <f>IF(ISBLANK(B55),"",MAX(A$6:A54)+1)</f>
        <v/>
      </c>
      <c r="H55" s="27"/>
      <c r="O55" s="158" t="s">
        <v>790</v>
      </c>
      <c r="V55" s="27"/>
      <c r="AC55" s="158" t="s">
        <v>790</v>
      </c>
      <c r="AE55" s="15">
        <f t="shared" si="3"/>
        <v>0</v>
      </c>
      <c r="AF55" s="15">
        <f t="shared" si="3"/>
        <v>0</v>
      </c>
      <c r="AG55" s="15">
        <f t="shared" si="3"/>
        <v>0</v>
      </c>
      <c r="AH55" s="15">
        <f t="shared" si="3"/>
        <v>0</v>
      </c>
      <c r="AI55" s="15">
        <f t="shared" si="3"/>
        <v>0</v>
      </c>
      <c r="AJ55" s="15">
        <f t="shared" si="3"/>
        <v>0</v>
      </c>
      <c r="AK55" s="15">
        <f t="shared" si="3"/>
        <v>0</v>
      </c>
      <c r="AL55" s="15">
        <f t="shared" si="3"/>
        <v>0</v>
      </c>
      <c r="AM55" s="15">
        <f t="shared" si="3"/>
        <v>0</v>
      </c>
      <c r="AN55" s="15">
        <f t="shared" si="2"/>
        <v>0</v>
      </c>
      <c r="AO55" s="15">
        <f t="shared" si="2"/>
        <v>0</v>
      </c>
    </row>
    <row r="56" spans="1:41" x14ac:dyDescent="0.3">
      <c r="A56" s="158">
        <f>IF(ISBLANK(B56),"",MAX(A$6:A55)+1)</f>
        <v>41</v>
      </c>
      <c r="B56" s="180" t="s">
        <v>63</v>
      </c>
      <c r="H56" s="27"/>
      <c r="O56" s="158">
        <v>41</v>
      </c>
      <c r="P56" s="180" t="s">
        <v>63</v>
      </c>
      <c r="V56" s="27"/>
      <c r="AC56" s="158">
        <v>41</v>
      </c>
      <c r="AD56" s="180" t="s">
        <v>63</v>
      </c>
      <c r="AE56" s="15">
        <f t="shared" si="3"/>
        <v>0</v>
      </c>
      <c r="AF56" s="15">
        <f t="shared" si="3"/>
        <v>0</v>
      </c>
      <c r="AG56" s="15">
        <f t="shared" si="3"/>
        <v>0</v>
      </c>
      <c r="AH56" s="15">
        <f t="shared" si="3"/>
        <v>0</v>
      </c>
      <c r="AI56" s="15">
        <f t="shared" si="3"/>
        <v>0</v>
      </c>
      <c r="AJ56" s="15">
        <f t="shared" si="3"/>
        <v>0</v>
      </c>
      <c r="AK56" s="15">
        <f t="shared" si="3"/>
        <v>0</v>
      </c>
      <c r="AL56" s="15">
        <f t="shared" si="3"/>
        <v>0</v>
      </c>
      <c r="AM56" s="15">
        <f t="shared" si="3"/>
        <v>0</v>
      </c>
      <c r="AN56" s="15">
        <f t="shared" si="2"/>
        <v>0</v>
      </c>
      <c r="AO56" s="15">
        <f t="shared" si="2"/>
        <v>0</v>
      </c>
    </row>
    <row r="57" spans="1:41" x14ac:dyDescent="0.3">
      <c r="A57" s="158">
        <f>IF(ISBLANK(B57),"",MAX(A$6:A56)+1)</f>
        <v>42</v>
      </c>
      <c r="B57" s="21" t="s">
        <v>64</v>
      </c>
      <c r="C57" s="177">
        <v>4226607969.3040905</v>
      </c>
      <c r="D57" s="177"/>
      <c r="E57" s="177"/>
      <c r="F57" s="177"/>
      <c r="G57" s="177">
        <v>4226607969.3040905</v>
      </c>
      <c r="H57" s="32">
        <v>1.5006211864456276E-2</v>
      </c>
      <c r="I57" s="177">
        <v>4373337306.4057026</v>
      </c>
      <c r="J57" s="177"/>
      <c r="K57" s="177"/>
      <c r="L57" s="177"/>
      <c r="M57" s="177">
        <v>4373337306.4057026</v>
      </c>
      <c r="O57" s="158">
        <v>42</v>
      </c>
      <c r="P57" s="21" t="s">
        <v>64</v>
      </c>
      <c r="Q57" s="177">
        <v>4226607969.3040905</v>
      </c>
      <c r="R57" s="177"/>
      <c r="S57" s="177"/>
      <c r="T57" s="177"/>
      <c r="U57" s="177">
        <v>4226607969.3040905</v>
      </c>
      <c r="V57" s="32">
        <v>1.5006211864456276E-2</v>
      </c>
      <c r="W57" s="177">
        <v>4373337306.4057026</v>
      </c>
      <c r="X57" s="177"/>
      <c r="Y57" s="177"/>
      <c r="Z57" s="177"/>
      <c r="AA57" s="177">
        <v>4373337306.4057026</v>
      </c>
      <c r="AC57" s="158">
        <v>42</v>
      </c>
      <c r="AD57" s="21" t="s">
        <v>64</v>
      </c>
      <c r="AE57" s="177">
        <f t="shared" si="3"/>
        <v>0</v>
      </c>
      <c r="AF57" s="177">
        <f t="shared" si="3"/>
        <v>0</v>
      </c>
      <c r="AG57" s="177">
        <f t="shared" si="3"/>
        <v>0</v>
      </c>
      <c r="AH57" s="177">
        <f t="shared" si="3"/>
        <v>0</v>
      </c>
      <c r="AI57" s="177">
        <f t="shared" si="3"/>
        <v>0</v>
      </c>
      <c r="AJ57" s="177">
        <f t="shared" si="3"/>
        <v>0</v>
      </c>
      <c r="AK57" s="177">
        <f t="shared" si="3"/>
        <v>0</v>
      </c>
      <c r="AL57" s="177">
        <f t="shared" si="3"/>
        <v>0</v>
      </c>
      <c r="AM57" s="177">
        <f t="shared" si="3"/>
        <v>0</v>
      </c>
      <c r="AN57" s="177">
        <f t="shared" si="2"/>
        <v>0</v>
      </c>
      <c r="AO57" s="177">
        <f t="shared" si="2"/>
        <v>0</v>
      </c>
    </row>
    <row r="58" spans="1:41" x14ac:dyDescent="0.3">
      <c r="A58" s="158">
        <f>IF(ISBLANK(B58),"",MAX(A$6:A57)+1)</f>
        <v>43</v>
      </c>
      <c r="B58" s="21" t="s">
        <v>65</v>
      </c>
      <c r="C58" s="162">
        <v>1537389479.4362583</v>
      </c>
      <c r="D58" s="162"/>
      <c r="E58" s="162"/>
      <c r="F58" s="162"/>
      <c r="G58" s="162">
        <v>1537389479.4362583</v>
      </c>
      <c r="H58" s="32">
        <v>5.7703848240210798E-2</v>
      </c>
      <c r="I58" s="162">
        <v>1735183365.7944</v>
      </c>
      <c r="J58" s="162"/>
      <c r="K58" s="162"/>
      <c r="L58" s="162"/>
      <c r="M58" s="162">
        <v>1735183365.7944</v>
      </c>
      <c r="O58" s="158">
        <v>43</v>
      </c>
      <c r="P58" s="21" t="s">
        <v>65</v>
      </c>
      <c r="Q58" s="162">
        <v>1537389479.4362583</v>
      </c>
      <c r="R58" s="162"/>
      <c r="S58" s="162"/>
      <c r="T58" s="162"/>
      <c r="U58" s="162">
        <v>1537389479.4362583</v>
      </c>
      <c r="V58" s="32">
        <v>5.7703848240210798E-2</v>
      </c>
      <c r="W58" s="162">
        <v>1735183365.7944</v>
      </c>
      <c r="X58" s="162"/>
      <c r="Y58" s="162"/>
      <c r="Z58" s="162"/>
      <c r="AA58" s="162">
        <v>1735183365.7944</v>
      </c>
      <c r="AC58" s="158">
        <v>43</v>
      </c>
      <c r="AD58" s="21" t="s">
        <v>65</v>
      </c>
      <c r="AE58" s="162">
        <f t="shared" si="3"/>
        <v>0</v>
      </c>
      <c r="AF58" s="162">
        <f t="shared" si="3"/>
        <v>0</v>
      </c>
      <c r="AG58" s="162">
        <f t="shared" si="3"/>
        <v>0</v>
      </c>
      <c r="AH58" s="162">
        <f t="shared" si="3"/>
        <v>0</v>
      </c>
      <c r="AI58" s="162">
        <f t="shared" si="3"/>
        <v>0</v>
      </c>
      <c r="AJ58" s="162">
        <f t="shared" si="3"/>
        <v>0</v>
      </c>
      <c r="AK58" s="162">
        <f t="shared" si="3"/>
        <v>0</v>
      </c>
      <c r="AL58" s="162">
        <f t="shared" si="3"/>
        <v>0</v>
      </c>
      <c r="AM58" s="162">
        <f t="shared" si="3"/>
        <v>0</v>
      </c>
      <c r="AN58" s="162">
        <f t="shared" si="2"/>
        <v>0</v>
      </c>
      <c r="AO58" s="162">
        <f t="shared" si="2"/>
        <v>0</v>
      </c>
    </row>
    <row r="59" spans="1:41" x14ac:dyDescent="0.3">
      <c r="A59" s="158">
        <f>IF(ISBLANK(B59),"",MAX(A$6:A58)+1)</f>
        <v>44</v>
      </c>
      <c r="B59" s="21" t="s">
        <v>66</v>
      </c>
      <c r="C59" s="35">
        <v>3905799563.9733167</v>
      </c>
      <c r="D59" s="35"/>
      <c r="E59" s="35">
        <v>-43086547.452637523</v>
      </c>
      <c r="F59" s="35"/>
      <c r="G59" s="35">
        <v>3862713016.520679</v>
      </c>
      <c r="H59" s="32">
        <v>3.0927206976522292E-2</v>
      </c>
      <c r="I59" s="162">
        <v>4213913822.4465628</v>
      </c>
      <c r="J59" s="35">
        <v>170075026.29643583</v>
      </c>
      <c r="K59" s="35"/>
      <c r="L59" s="35"/>
      <c r="M59" s="35">
        <v>4383988848.7429981</v>
      </c>
      <c r="O59" s="158">
        <v>44</v>
      </c>
      <c r="P59" s="21" t="s">
        <v>66</v>
      </c>
      <c r="Q59" s="35">
        <v>3905799563.9733167</v>
      </c>
      <c r="R59" s="35"/>
      <c r="S59" s="35">
        <v>-43086547.452637523</v>
      </c>
      <c r="T59" s="35"/>
      <c r="U59" s="35">
        <v>3862713016.520679</v>
      </c>
      <c r="V59" s="32">
        <v>3.0927206976522292E-2</v>
      </c>
      <c r="W59" s="162">
        <v>4213913822.4465628</v>
      </c>
      <c r="X59" s="35">
        <v>170075026.29643583</v>
      </c>
      <c r="Y59" s="35"/>
      <c r="Z59" s="35"/>
      <c r="AA59" s="35">
        <v>4383988848.7429981</v>
      </c>
      <c r="AC59" s="158">
        <v>44</v>
      </c>
      <c r="AD59" s="21" t="s">
        <v>66</v>
      </c>
      <c r="AE59" s="35">
        <f t="shared" si="3"/>
        <v>0</v>
      </c>
      <c r="AF59" s="35">
        <f t="shared" si="3"/>
        <v>0</v>
      </c>
      <c r="AG59" s="35">
        <f t="shared" si="3"/>
        <v>0</v>
      </c>
      <c r="AH59" s="35">
        <f t="shared" si="3"/>
        <v>0</v>
      </c>
      <c r="AI59" s="35">
        <f t="shared" si="3"/>
        <v>0</v>
      </c>
      <c r="AJ59" s="35">
        <f t="shared" si="3"/>
        <v>0</v>
      </c>
      <c r="AK59" s="35">
        <f t="shared" si="3"/>
        <v>0</v>
      </c>
      <c r="AL59" s="35">
        <f t="shared" si="3"/>
        <v>0</v>
      </c>
      <c r="AM59" s="35">
        <f t="shared" si="3"/>
        <v>0</v>
      </c>
      <c r="AN59" s="35">
        <f t="shared" si="2"/>
        <v>0</v>
      </c>
      <c r="AO59" s="35">
        <f t="shared" si="2"/>
        <v>0</v>
      </c>
    </row>
    <row r="60" spans="1:41" x14ac:dyDescent="0.3">
      <c r="A60" s="158">
        <f>IF(ISBLANK(B60),"",MAX(A$6:A59)+1)</f>
        <v>45</v>
      </c>
      <c r="B60" s="21" t="s">
        <v>67</v>
      </c>
      <c r="C60" s="35">
        <v>381682360.51568586</v>
      </c>
      <c r="D60" s="35"/>
      <c r="E60" s="35"/>
      <c r="F60" s="35">
        <v>-32493590.70949842</v>
      </c>
      <c r="G60" s="35">
        <v>349188769.80618745</v>
      </c>
      <c r="H60" s="32">
        <v>0.16157434378051261</v>
      </c>
      <c r="I60" s="162">
        <v>446682537.10684574</v>
      </c>
      <c r="J60" s="35"/>
      <c r="K60" s="35">
        <v>162226501.42875069</v>
      </c>
      <c r="L60" s="35"/>
      <c r="M60" s="35">
        <v>608909038.53559637</v>
      </c>
      <c r="O60" s="158">
        <v>45</v>
      </c>
      <c r="P60" s="21" t="s">
        <v>67</v>
      </c>
      <c r="Q60" s="35">
        <v>381682360.51568586</v>
      </c>
      <c r="R60" s="35"/>
      <c r="S60" s="35"/>
      <c r="T60" s="35">
        <v>-32493590.70949842</v>
      </c>
      <c r="U60" s="35">
        <v>349188769.80618745</v>
      </c>
      <c r="V60" s="32">
        <v>0.16157434378051261</v>
      </c>
      <c r="W60" s="162">
        <v>446682537.10684574</v>
      </c>
      <c r="X60" s="35"/>
      <c r="Y60" s="35">
        <v>162226501.42875069</v>
      </c>
      <c r="Z60" s="35"/>
      <c r="AA60" s="35">
        <v>608909038.53559637</v>
      </c>
      <c r="AC60" s="158">
        <v>45</v>
      </c>
      <c r="AD60" s="21" t="s">
        <v>67</v>
      </c>
      <c r="AE60" s="35">
        <f t="shared" si="3"/>
        <v>0</v>
      </c>
      <c r="AF60" s="35">
        <f t="shared" si="3"/>
        <v>0</v>
      </c>
      <c r="AG60" s="35">
        <f t="shared" si="3"/>
        <v>0</v>
      </c>
      <c r="AH60" s="35">
        <f t="shared" si="3"/>
        <v>0</v>
      </c>
      <c r="AI60" s="35">
        <f t="shared" si="3"/>
        <v>0</v>
      </c>
      <c r="AJ60" s="35">
        <f t="shared" si="3"/>
        <v>0</v>
      </c>
      <c r="AK60" s="35">
        <f t="shared" si="3"/>
        <v>0</v>
      </c>
      <c r="AL60" s="35">
        <f t="shared" si="3"/>
        <v>0</v>
      </c>
      <c r="AM60" s="35">
        <f t="shared" si="3"/>
        <v>0</v>
      </c>
      <c r="AN60" s="35">
        <f t="shared" si="2"/>
        <v>0</v>
      </c>
      <c r="AO60" s="35">
        <f t="shared" si="2"/>
        <v>0</v>
      </c>
    </row>
    <row r="61" spans="1:41" x14ac:dyDescent="0.3">
      <c r="A61" s="158">
        <f>IF(ISBLANK(B61),"",MAX(A$6:A60)+1)</f>
        <v>46</v>
      </c>
      <c r="B61" s="21" t="s">
        <v>68</v>
      </c>
      <c r="C61" s="35">
        <v>515670958.80223441</v>
      </c>
      <c r="D61" s="35"/>
      <c r="E61" s="35"/>
      <c r="F61" s="35"/>
      <c r="G61" s="35">
        <v>515670958.80223441</v>
      </c>
      <c r="H61" s="32">
        <v>6.0398964202900807E-2</v>
      </c>
      <c r="I61" s="162">
        <v>658637176.28836942</v>
      </c>
      <c r="J61" s="35"/>
      <c r="K61" s="35"/>
      <c r="L61" s="35"/>
      <c r="M61" s="35">
        <v>658637176.28836942</v>
      </c>
      <c r="O61" s="158">
        <v>46</v>
      </c>
      <c r="P61" s="21" t="s">
        <v>68</v>
      </c>
      <c r="Q61" s="35">
        <v>515670958.80223441</v>
      </c>
      <c r="R61" s="35"/>
      <c r="S61" s="35"/>
      <c r="T61" s="35"/>
      <c r="U61" s="35">
        <v>515670958.80223441</v>
      </c>
      <c r="V61" s="32">
        <v>6.0398964202900807E-2</v>
      </c>
      <c r="W61" s="162">
        <v>658637176.28836942</v>
      </c>
      <c r="X61" s="35"/>
      <c r="Y61" s="35"/>
      <c r="Z61" s="35"/>
      <c r="AA61" s="35">
        <v>658637176.28836942</v>
      </c>
      <c r="AC61" s="158">
        <v>46</v>
      </c>
      <c r="AD61" s="21" t="s">
        <v>68</v>
      </c>
      <c r="AE61" s="35">
        <f t="shared" si="3"/>
        <v>0</v>
      </c>
      <c r="AF61" s="35">
        <f t="shared" si="3"/>
        <v>0</v>
      </c>
      <c r="AG61" s="35">
        <f t="shared" si="3"/>
        <v>0</v>
      </c>
      <c r="AH61" s="35">
        <f t="shared" si="3"/>
        <v>0</v>
      </c>
      <c r="AI61" s="35">
        <f t="shared" si="3"/>
        <v>0</v>
      </c>
      <c r="AJ61" s="35">
        <f t="shared" si="3"/>
        <v>0</v>
      </c>
      <c r="AK61" s="35">
        <f t="shared" si="3"/>
        <v>0</v>
      </c>
      <c r="AL61" s="35">
        <f t="shared" si="3"/>
        <v>0</v>
      </c>
      <c r="AM61" s="35">
        <f t="shared" si="3"/>
        <v>0</v>
      </c>
      <c r="AN61" s="35">
        <f t="shared" si="2"/>
        <v>0</v>
      </c>
      <c r="AO61" s="35">
        <f t="shared" si="2"/>
        <v>0</v>
      </c>
    </row>
    <row r="62" spans="1:41" x14ac:dyDescent="0.3">
      <c r="A62" s="158">
        <f>IF(ISBLANK(B62),"",MAX(A$6:A61)+1)</f>
        <v>47</v>
      </c>
      <c r="B62" s="164" t="s">
        <v>0</v>
      </c>
      <c r="C62" s="181">
        <v>10567150332.031586</v>
      </c>
      <c r="D62" s="181">
        <v>0</v>
      </c>
      <c r="E62" s="181">
        <v>-43086547.452637523</v>
      </c>
      <c r="F62" s="181">
        <v>-32493590.70949842</v>
      </c>
      <c r="G62" s="181">
        <v>10491570193.86945</v>
      </c>
      <c r="H62" s="27"/>
      <c r="I62" s="181">
        <v>11427754208.041882</v>
      </c>
      <c r="J62" s="181">
        <v>170075026.29643583</v>
      </c>
      <c r="K62" s="181">
        <v>162226501.42875069</v>
      </c>
      <c r="L62" s="181">
        <v>0</v>
      </c>
      <c r="M62" s="181">
        <v>11760055735.767067</v>
      </c>
      <c r="O62" s="158">
        <v>47</v>
      </c>
      <c r="P62" s="164" t="s">
        <v>0</v>
      </c>
      <c r="Q62" s="181">
        <v>10567150332.031586</v>
      </c>
      <c r="R62" s="181">
        <v>0</v>
      </c>
      <c r="S62" s="181">
        <v>-43086547.452637523</v>
      </c>
      <c r="T62" s="181">
        <v>-32493590.70949842</v>
      </c>
      <c r="U62" s="181">
        <v>10491570193.86945</v>
      </c>
      <c r="V62" s="27"/>
      <c r="W62" s="181">
        <v>11427754208.041882</v>
      </c>
      <c r="X62" s="181">
        <v>170075026.29643583</v>
      </c>
      <c r="Y62" s="181">
        <v>162226501.42875069</v>
      </c>
      <c r="Z62" s="181">
        <v>0</v>
      </c>
      <c r="AA62" s="181">
        <v>11760055735.767067</v>
      </c>
      <c r="AC62" s="158">
        <v>47</v>
      </c>
      <c r="AD62" s="164" t="s">
        <v>0</v>
      </c>
      <c r="AE62" s="181">
        <f t="shared" si="3"/>
        <v>0</v>
      </c>
      <c r="AF62" s="181">
        <f t="shared" si="3"/>
        <v>0</v>
      </c>
      <c r="AG62" s="181">
        <f t="shared" si="3"/>
        <v>0</v>
      </c>
      <c r="AH62" s="181">
        <f t="shared" si="3"/>
        <v>0</v>
      </c>
      <c r="AI62" s="181">
        <f t="shared" si="3"/>
        <v>0</v>
      </c>
      <c r="AJ62" s="181">
        <f t="shared" si="3"/>
        <v>0</v>
      </c>
      <c r="AK62" s="181">
        <f t="shared" si="3"/>
        <v>0</v>
      </c>
      <c r="AL62" s="181">
        <f t="shared" si="3"/>
        <v>0</v>
      </c>
      <c r="AM62" s="181">
        <f t="shared" si="3"/>
        <v>0</v>
      </c>
      <c r="AN62" s="181">
        <f t="shared" si="2"/>
        <v>0</v>
      </c>
      <c r="AO62" s="181">
        <f t="shared" si="2"/>
        <v>0</v>
      </c>
    </row>
    <row r="63" spans="1:41" x14ac:dyDescent="0.3">
      <c r="A63" s="158" t="str">
        <f>IF(ISBLANK(B63),"",MAX(A$6:A62)+1)</f>
        <v/>
      </c>
      <c r="C63" s="16"/>
      <c r="D63" s="16"/>
      <c r="E63" s="16"/>
      <c r="F63" s="16"/>
      <c r="G63" s="16"/>
      <c r="H63" s="27"/>
      <c r="I63" s="16"/>
      <c r="J63" s="16"/>
      <c r="K63" s="16"/>
      <c r="L63" s="16"/>
      <c r="M63" s="16"/>
      <c r="O63" s="158" t="s">
        <v>790</v>
      </c>
      <c r="Q63" s="16"/>
      <c r="R63" s="16"/>
      <c r="S63" s="16"/>
      <c r="T63" s="16"/>
      <c r="U63" s="16"/>
      <c r="V63" s="27"/>
      <c r="W63" s="16"/>
      <c r="X63" s="16"/>
      <c r="Y63" s="16"/>
      <c r="Z63" s="16"/>
      <c r="AA63" s="16"/>
      <c r="AC63" s="158" t="s">
        <v>790</v>
      </c>
      <c r="AE63" s="16">
        <f t="shared" si="3"/>
        <v>0</v>
      </c>
      <c r="AF63" s="16">
        <f t="shared" si="3"/>
        <v>0</v>
      </c>
      <c r="AG63" s="16">
        <f t="shared" si="3"/>
        <v>0</v>
      </c>
      <c r="AH63" s="16">
        <f t="shared" si="3"/>
        <v>0</v>
      </c>
      <c r="AI63" s="16">
        <f t="shared" si="3"/>
        <v>0</v>
      </c>
      <c r="AJ63" s="16">
        <f t="shared" si="3"/>
        <v>0</v>
      </c>
      <c r="AK63" s="16">
        <f t="shared" si="3"/>
        <v>0</v>
      </c>
      <c r="AL63" s="16">
        <f t="shared" si="3"/>
        <v>0</v>
      </c>
      <c r="AM63" s="16">
        <f t="shared" si="3"/>
        <v>0</v>
      </c>
      <c r="AN63" s="16">
        <f t="shared" si="2"/>
        <v>0</v>
      </c>
      <c r="AO63" s="16">
        <f t="shared" si="2"/>
        <v>0</v>
      </c>
    </row>
    <row r="64" spans="1:41" x14ac:dyDescent="0.3">
      <c r="A64" s="158">
        <f>IF(ISBLANK(B64),"",MAX(A$6:A63)+1)</f>
        <v>48</v>
      </c>
      <c r="B64" s="180" t="s">
        <v>69</v>
      </c>
      <c r="H64" s="27"/>
      <c r="O64" s="158">
        <v>48</v>
      </c>
      <c r="P64" s="180" t="s">
        <v>69</v>
      </c>
      <c r="V64" s="27"/>
      <c r="AC64" s="158">
        <v>48</v>
      </c>
      <c r="AD64" s="180" t="s">
        <v>69</v>
      </c>
      <c r="AE64" s="15">
        <f t="shared" si="3"/>
        <v>0</v>
      </c>
      <c r="AF64" s="15">
        <f t="shared" si="3"/>
        <v>0</v>
      </c>
      <c r="AG64" s="15">
        <f t="shared" si="3"/>
        <v>0</v>
      </c>
      <c r="AH64" s="15">
        <f t="shared" si="3"/>
        <v>0</v>
      </c>
      <c r="AI64" s="15">
        <f t="shared" si="3"/>
        <v>0</v>
      </c>
      <c r="AJ64" s="15">
        <f t="shared" si="3"/>
        <v>0</v>
      </c>
      <c r="AK64" s="15">
        <f t="shared" si="3"/>
        <v>0</v>
      </c>
      <c r="AL64" s="15">
        <f t="shared" si="3"/>
        <v>0</v>
      </c>
      <c r="AM64" s="15">
        <f t="shared" si="3"/>
        <v>0</v>
      </c>
      <c r="AN64" s="15">
        <f t="shared" si="2"/>
        <v>0</v>
      </c>
      <c r="AO64" s="15">
        <f t="shared" si="2"/>
        <v>0</v>
      </c>
    </row>
    <row r="65" spans="1:41" x14ac:dyDescent="0.3">
      <c r="A65" s="158">
        <f>IF(ISBLANK(B65),"",MAX(A$6:A64)+1)</f>
        <v>49</v>
      </c>
      <c r="B65" s="21" t="s">
        <v>64</v>
      </c>
      <c r="C65" s="177">
        <v>-1967130595.695049</v>
      </c>
      <c r="D65" s="177"/>
      <c r="E65" s="177"/>
      <c r="F65" s="177"/>
      <c r="G65" s="177">
        <v>-1967130595.695049</v>
      </c>
      <c r="H65" s="26"/>
      <c r="I65" s="177">
        <v>-2304556918.466495</v>
      </c>
      <c r="J65" s="177"/>
      <c r="K65" s="177"/>
      <c r="L65" s="177"/>
      <c r="M65" s="177">
        <v>-2304556918.466495</v>
      </c>
      <c r="O65" s="158">
        <v>49</v>
      </c>
      <c r="P65" s="21" t="s">
        <v>64</v>
      </c>
      <c r="Q65" s="177">
        <v>-1967130595.695049</v>
      </c>
      <c r="R65" s="177"/>
      <c r="S65" s="177"/>
      <c r="T65" s="177"/>
      <c r="U65" s="177">
        <v>-1967130595.695049</v>
      </c>
      <c r="V65" s="26"/>
      <c r="W65" s="177">
        <v>-2304556918.466495</v>
      </c>
      <c r="X65" s="177"/>
      <c r="Y65" s="177"/>
      <c r="Z65" s="177"/>
      <c r="AA65" s="177">
        <v>-2304556918.466495</v>
      </c>
      <c r="AC65" s="158">
        <v>49</v>
      </c>
      <c r="AD65" s="21" t="s">
        <v>64</v>
      </c>
      <c r="AE65" s="177">
        <f t="shared" si="3"/>
        <v>0</v>
      </c>
      <c r="AF65" s="177">
        <f t="shared" si="3"/>
        <v>0</v>
      </c>
      <c r="AG65" s="177">
        <f t="shared" si="3"/>
        <v>0</v>
      </c>
      <c r="AH65" s="177">
        <f t="shared" si="3"/>
        <v>0</v>
      </c>
      <c r="AI65" s="177">
        <f t="shared" si="3"/>
        <v>0</v>
      </c>
      <c r="AJ65" s="177">
        <f t="shared" si="3"/>
        <v>0</v>
      </c>
      <c r="AK65" s="177">
        <f t="shared" si="3"/>
        <v>0</v>
      </c>
      <c r="AL65" s="177">
        <f t="shared" si="3"/>
        <v>0</v>
      </c>
      <c r="AM65" s="177">
        <f t="shared" si="3"/>
        <v>0</v>
      </c>
      <c r="AN65" s="177">
        <f t="shared" si="2"/>
        <v>0</v>
      </c>
      <c r="AO65" s="177">
        <f t="shared" si="2"/>
        <v>0</v>
      </c>
    </row>
    <row r="66" spans="1:41" x14ac:dyDescent="0.3">
      <c r="A66" s="158">
        <f>IF(ISBLANK(B66),"",MAX(A$6:A65)+1)</f>
        <v>50</v>
      </c>
      <c r="B66" s="21" t="s">
        <v>65</v>
      </c>
      <c r="C66" s="162">
        <v>-503717591.12299544</v>
      </c>
      <c r="D66" s="162"/>
      <c r="E66" s="162"/>
      <c r="F66" s="162"/>
      <c r="G66" s="162">
        <v>-503717591.12299544</v>
      </c>
      <c r="H66" s="182"/>
      <c r="I66" s="162">
        <v>-586638640.69211459</v>
      </c>
      <c r="J66" s="162"/>
      <c r="K66" s="162"/>
      <c r="L66" s="162"/>
      <c r="M66" s="162">
        <v>-586638640.69211459</v>
      </c>
      <c r="O66" s="158">
        <v>50</v>
      </c>
      <c r="P66" s="21" t="s">
        <v>65</v>
      </c>
      <c r="Q66" s="162">
        <v>-503717591.12299544</v>
      </c>
      <c r="R66" s="162"/>
      <c r="S66" s="162"/>
      <c r="T66" s="162"/>
      <c r="U66" s="162">
        <v>-503717591.12299544</v>
      </c>
      <c r="V66" s="182"/>
      <c r="W66" s="162">
        <v>-586638640.69211459</v>
      </c>
      <c r="X66" s="162"/>
      <c r="Y66" s="162"/>
      <c r="Z66" s="162"/>
      <c r="AA66" s="162">
        <v>-586638640.69211459</v>
      </c>
      <c r="AC66" s="158">
        <v>50</v>
      </c>
      <c r="AD66" s="21" t="s">
        <v>65</v>
      </c>
      <c r="AE66" s="162">
        <f t="shared" si="3"/>
        <v>0</v>
      </c>
      <c r="AF66" s="162">
        <f t="shared" si="3"/>
        <v>0</v>
      </c>
      <c r="AG66" s="162">
        <f t="shared" si="3"/>
        <v>0</v>
      </c>
      <c r="AH66" s="162">
        <f t="shared" si="3"/>
        <v>0</v>
      </c>
      <c r="AI66" s="162">
        <f t="shared" si="3"/>
        <v>0</v>
      </c>
      <c r="AJ66" s="162">
        <f t="shared" si="3"/>
        <v>0</v>
      </c>
      <c r="AK66" s="162">
        <f t="shared" si="3"/>
        <v>0</v>
      </c>
      <c r="AL66" s="162">
        <f t="shared" si="3"/>
        <v>0</v>
      </c>
      <c r="AM66" s="162">
        <f t="shared" si="3"/>
        <v>0</v>
      </c>
      <c r="AN66" s="162">
        <f t="shared" si="2"/>
        <v>0</v>
      </c>
      <c r="AO66" s="162">
        <f t="shared" si="2"/>
        <v>0</v>
      </c>
    </row>
    <row r="67" spans="1:41" x14ac:dyDescent="0.3">
      <c r="A67" s="158">
        <f>IF(ISBLANK(B67),"",MAX(A$6:A66)+1)</f>
        <v>51</v>
      </c>
      <c r="B67" s="21" t="s">
        <v>66</v>
      </c>
      <c r="C67" s="35">
        <v>-1461014489.0522759</v>
      </c>
      <c r="D67" s="35"/>
      <c r="E67" s="35">
        <v>2800433.4436958949</v>
      </c>
      <c r="F67" s="35"/>
      <c r="G67" s="35">
        <v>-1458214055.6085801</v>
      </c>
      <c r="H67" s="182"/>
      <c r="I67" s="162">
        <v>-1765810076.1162992</v>
      </c>
      <c r="J67" s="35">
        <v>-26949739.940672945</v>
      </c>
      <c r="K67" s="35"/>
      <c r="L67" s="35"/>
      <c r="M67" s="35">
        <v>-1792759816.056972</v>
      </c>
      <c r="O67" s="158">
        <v>51</v>
      </c>
      <c r="P67" s="21" t="s">
        <v>66</v>
      </c>
      <c r="Q67" s="35">
        <v>-1461014489.0522759</v>
      </c>
      <c r="R67" s="35"/>
      <c r="S67" s="35">
        <v>2800433.4436958949</v>
      </c>
      <c r="T67" s="35"/>
      <c r="U67" s="35">
        <v>-1458214055.6085801</v>
      </c>
      <c r="V67" s="182"/>
      <c r="W67" s="162">
        <v>-1765810076.1162992</v>
      </c>
      <c r="X67" s="35">
        <v>-26949739.940672945</v>
      </c>
      <c r="Y67" s="35"/>
      <c r="Z67" s="35"/>
      <c r="AA67" s="35">
        <v>-1792759816.056972</v>
      </c>
      <c r="AC67" s="158">
        <v>51</v>
      </c>
      <c r="AD67" s="21" t="s">
        <v>66</v>
      </c>
      <c r="AE67" s="35">
        <f t="shared" si="3"/>
        <v>0</v>
      </c>
      <c r="AF67" s="35">
        <f t="shared" si="3"/>
        <v>0</v>
      </c>
      <c r="AG67" s="35">
        <f t="shared" si="3"/>
        <v>0</v>
      </c>
      <c r="AH67" s="35">
        <f t="shared" si="3"/>
        <v>0</v>
      </c>
      <c r="AI67" s="35">
        <f t="shared" si="3"/>
        <v>0</v>
      </c>
      <c r="AJ67" s="35">
        <f t="shared" si="3"/>
        <v>0</v>
      </c>
      <c r="AK67" s="35">
        <f t="shared" si="3"/>
        <v>0</v>
      </c>
      <c r="AL67" s="35">
        <f t="shared" si="3"/>
        <v>0</v>
      </c>
      <c r="AM67" s="35">
        <f t="shared" si="3"/>
        <v>0</v>
      </c>
      <c r="AN67" s="35">
        <f t="shared" si="2"/>
        <v>0</v>
      </c>
      <c r="AO67" s="35">
        <f t="shared" si="2"/>
        <v>0</v>
      </c>
    </row>
    <row r="68" spans="1:41" x14ac:dyDescent="0.3">
      <c r="A68" s="158">
        <f>IF(ISBLANK(B68),"",MAX(A$6:A67)+1)</f>
        <v>52</v>
      </c>
      <c r="B68" s="21" t="s">
        <v>67</v>
      </c>
      <c r="C68" s="35">
        <v>-128663487.36185595</v>
      </c>
      <c r="D68" s="35"/>
      <c r="E68" s="35"/>
      <c r="F68" s="35">
        <v>2801052.512056177</v>
      </c>
      <c r="G68" s="35">
        <v>-125862434.84979978</v>
      </c>
      <c r="H68" s="182"/>
      <c r="I68" s="162">
        <v>-258015692.95561469</v>
      </c>
      <c r="J68" s="35"/>
      <c r="K68" s="35">
        <v>-36667721.805506274</v>
      </c>
      <c r="L68" s="35"/>
      <c r="M68" s="35">
        <v>-294683414.76112098</v>
      </c>
      <c r="O68" s="158">
        <v>52</v>
      </c>
      <c r="P68" s="21" t="s">
        <v>67</v>
      </c>
      <c r="Q68" s="35">
        <v>-128663487.36185595</v>
      </c>
      <c r="R68" s="35"/>
      <c r="S68" s="35"/>
      <c r="T68" s="35">
        <v>2801052.512056177</v>
      </c>
      <c r="U68" s="35">
        <v>-125862434.84979978</v>
      </c>
      <c r="V68" s="182"/>
      <c r="W68" s="162">
        <v>-258015692.95561469</v>
      </c>
      <c r="X68" s="35"/>
      <c r="Y68" s="35">
        <v>-36667721.805506274</v>
      </c>
      <c r="Z68" s="35"/>
      <c r="AA68" s="35">
        <v>-294683414.76112098</v>
      </c>
      <c r="AC68" s="158">
        <v>52</v>
      </c>
      <c r="AD68" s="21" t="s">
        <v>67</v>
      </c>
      <c r="AE68" s="35">
        <f t="shared" si="3"/>
        <v>0</v>
      </c>
      <c r="AF68" s="35">
        <f t="shared" si="3"/>
        <v>0</v>
      </c>
      <c r="AG68" s="35">
        <f t="shared" si="3"/>
        <v>0</v>
      </c>
      <c r="AH68" s="35">
        <f t="shared" si="3"/>
        <v>0</v>
      </c>
      <c r="AI68" s="35">
        <f t="shared" si="3"/>
        <v>0</v>
      </c>
      <c r="AJ68" s="35">
        <f t="shared" si="3"/>
        <v>0</v>
      </c>
      <c r="AK68" s="35">
        <f t="shared" si="3"/>
        <v>0</v>
      </c>
      <c r="AL68" s="35">
        <f t="shared" si="3"/>
        <v>0</v>
      </c>
      <c r="AM68" s="35">
        <f t="shared" si="3"/>
        <v>0</v>
      </c>
      <c r="AN68" s="35">
        <f t="shared" si="2"/>
        <v>0</v>
      </c>
      <c r="AO68" s="35">
        <f t="shared" si="2"/>
        <v>0</v>
      </c>
    </row>
    <row r="69" spans="1:41" x14ac:dyDescent="0.3">
      <c r="A69" s="158">
        <f>IF(ISBLANK(B69),"",MAX(A$6:A68)+1)</f>
        <v>53</v>
      </c>
      <c r="B69" s="21" t="s">
        <v>68</v>
      </c>
      <c r="C69" s="35">
        <v>-182384891.16492367</v>
      </c>
      <c r="D69" s="35"/>
      <c r="E69" s="35"/>
      <c r="F69" s="35"/>
      <c r="G69" s="35">
        <v>-182384891.16492367</v>
      </c>
      <c r="H69" s="182"/>
      <c r="I69" s="162">
        <v>-258172889.5974254</v>
      </c>
      <c r="J69" s="35"/>
      <c r="K69" s="35"/>
      <c r="L69" s="35"/>
      <c r="M69" s="35">
        <v>-258172889.5974254</v>
      </c>
      <c r="O69" s="158">
        <v>53</v>
      </c>
      <c r="P69" s="21" t="s">
        <v>68</v>
      </c>
      <c r="Q69" s="35">
        <v>-182384891.16492367</v>
      </c>
      <c r="R69" s="35"/>
      <c r="S69" s="35"/>
      <c r="T69" s="35"/>
      <c r="U69" s="35">
        <v>-182384891.16492367</v>
      </c>
      <c r="V69" s="182"/>
      <c r="W69" s="162">
        <v>-258172889.5974254</v>
      </c>
      <c r="X69" s="35"/>
      <c r="Y69" s="35"/>
      <c r="Z69" s="35"/>
      <c r="AA69" s="35">
        <v>-258172889.5974254</v>
      </c>
      <c r="AC69" s="158">
        <v>53</v>
      </c>
      <c r="AD69" s="21" t="s">
        <v>68</v>
      </c>
      <c r="AE69" s="35">
        <f t="shared" si="3"/>
        <v>0</v>
      </c>
      <c r="AF69" s="35">
        <f t="shared" si="3"/>
        <v>0</v>
      </c>
      <c r="AG69" s="35">
        <f t="shared" si="3"/>
        <v>0</v>
      </c>
      <c r="AH69" s="35">
        <f t="shared" si="3"/>
        <v>0</v>
      </c>
      <c r="AI69" s="35">
        <f t="shared" si="3"/>
        <v>0</v>
      </c>
      <c r="AJ69" s="35">
        <f t="shared" si="3"/>
        <v>0</v>
      </c>
      <c r="AK69" s="35">
        <f t="shared" si="3"/>
        <v>0</v>
      </c>
      <c r="AL69" s="35">
        <f t="shared" si="3"/>
        <v>0</v>
      </c>
      <c r="AM69" s="35">
        <f t="shared" si="3"/>
        <v>0</v>
      </c>
      <c r="AN69" s="35">
        <f t="shared" si="2"/>
        <v>0</v>
      </c>
      <c r="AO69" s="35">
        <f t="shared" si="2"/>
        <v>0</v>
      </c>
    </row>
    <row r="70" spans="1:41" x14ac:dyDescent="0.3">
      <c r="A70" s="158">
        <f>IF(ISBLANK(B70),"",MAX(A$6:A69)+1)</f>
        <v>54</v>
      </c>
      <c r="B70" s="164" t="s">
        <v>0</v>
      </c>
      <c r="C70" s="181">
        <v>-4242911054.3971</v>
      </c>
      <c r="D70" s="181">
        <v>0</v>
      </c>
      <c r="E70" s="181">
        <v>2800433.4436958949</v>
      </c>
      <c r="F70" s="181">
        <v>2801052.512056177</v>
      </c>
      <c r="G70" s="181">
        <v>-4237309568.4413481</v>
      </c>
      <c r="H70" s="27"/>
      <c r="I70" s="181">
        <v>-5173194217.8279486</v>
      </c>
      <c r="J70" s="181">
        <v>-26949739.940672945</v>
      </c>
      <c r="K70" s="181">
        <v>-36667721.805506274</v>
      </c>
      <c r="L70" s="181">
        <v>0</v>
      </c>
      <c r="M70" s="181">
        <v>-5236811679.5741282</v>
      </c>
      <c r="O70" s="158">
        <v>54</v>
      </c>
      <c r="P70" s="164" t="s">
        <v>0</v>
      </c>
      <c r="Q70" s="181">
        <v>-4242911054.3971</v>
      </c>
      <c r="R70" s="181">
        <v>0</v>
      </c>
      <c r="S70" s="181">
        <v>2800433.4436958949</v>
      </c>
      <c r="T70" s="181">
        <v>2801052.512056177</v>
      </c>
      <c r="U70" s="181">
        <v>-4237309568.4413481</v>
      </c>
      <c r="V70" s="27"/>
      <c r="W70" s="181">
        <v>-5173194217.8279486</v>
      </c>
      <c r="X70" s="181">
        <v>-26949739.940672945</v>
      </c>
      <c r="Y70" s="181">
        <v>-36667721.805506274</v>
      </c>
      <c r="Z70" s="181">
        <v>0</v>
      </c>
      <c r="AA70" s="181">
        <v>-5236811679.5741282</v>
      </c>
      <c r="AC70" s="158">
        <v>54</v>
      </c>
      <c r="AD70" s="164" t="s">
        <v>0</v>
      </c>
      <c r="AE70" s="181">
        <f t="shared" si="3"/>
        <v>0</v>
      </c>
      <c r="AF70" s="181">
        <f t="shared" si="3"/>
        <v>0</v>
      </c>
      <c r="AG70" s="181">
        <f t="shared" si="3"/>
        <v>0</v>
      </c>
      <c r="AH70" s="181">
        <f t="shared" si="3"/>
        <v>0</v>
      </c>
      <c r="AI70" s="181">
        <f t="shared" si="3"/>
        <v>0</v>
      </c>
      <c r="AJ70" s="181">
        <f t="shared" si="3"/>
        <v>0</v>
      </c>
      <c r="AK70" s="181">
        <f t="shared" si="3"/>
        <v>0</v>
      </c>
      <c r="AL70" s="181">
        <f t="shared" si="3"/>
        <v>0</v>
      </c>
      <c r="AM70" s="181">
        <f t="shared" si="3"/>
        <v>0</v>
      </c>
      <c r="AN70" s="181">
        <f t="shared" si="2"/>
        <v>0</v>
      </c>
      <c r="AO70" s="181">
        <f t="shared" si="2"/>
        <v>0</v>
      </c>
    </row>
    <row r="71" spans="1:41" x14ac:dyDescent="0.3">
      <c r="A71" s="158" t="str">
        <f>IF(ISBLANK(B71),"",MAX(A$6:A70)+1)</f>
        <v/>
      </c>
      <c r="C71" s="35"/>
      <c r="D71" s="35"/>
      <c r="E71" s="35"/>
      <c r="F71" s="35"/>
      <c r="G71" s="35"/>
      <c r="H71" s="27"/>
      <c r="I71" s="35"/>
      <c r="J71" s="35"/>
      <c r="K71" s="35"/>
      <c r="L71" s="35"/>
      <c r="M71" s="35"/>
      <c r="O71" s="158" t="s">
        <v>790</v>
      </c>
      <c r="Q71" s="35"/>
      <c r="R71" s="35"/>
      <c r="S71" s="35"/>
      <c r="T71" s="35"/>
      <c r="U71" s="35"/>
      <c r="V71" s="27"/>
      <c r="W71" s="35"/>
      <c r="X71" s="35"/>
      <c r="Y71" s="35"/>
      <c r="Z71" s="35"/>
      <c r="AA71" s="35"/>
      <c r="AC71" s="158" t="s">
        <v>790</v>
      </c>
      <c r="AE71" s="35">
        <f t="shared" si="3"/>
        <v>0</v>
      </c>
      <c r="AF71" s="35">
        <f t="shared" si="3"/>
        <v>0</v>
      </c>
      <c r="AG71" s="35">
        <f t="shared" si="3"/>
        <v>0</v>
      </c>
      <c r="AH71" s="35">
        <f t="shared" si="3"/>
        <v>0</v>
      </c>
      <c r="AI71" s="35">
        <f t="shared" si="3"/>
        <v>0</v>
      </c>
      <c r="AJ71" s="35">
        <f t="shared" si="3"/>
        <v>0</v>
      </c>
      <c r="AK71" s="35">
        <f t="shared" si="3"/>
        <v>0</v>
      </c>
      <c r="AL71" s="35">
        <f t="shared" si="3"/>
        <v>0</v>
      </c>
      <c r="AM71" s="35">
        <f t="shared" si="3"/>
        <v>0</v>
      </c>
      <c r="AN71" s="35">
        <f t="shared" si="2"/>
        <v>0</v>
      </c>
      <c r="AO71" s="35">
        <f t="shared" si="2"/>
        <v>0</v>
      </c>
    </row>
    <row r="72" spans="1:41" x14ac:dyDescent="0.3">
      <c r="A72" s="158">
        <f>IF(ISBLANK(B72),"",MAX(A$6:A71)+1)</f>
        <v>55</v>
      </c>
      <c r="B72" s="180" t="s">
        <v>70</v>
      </c>
      <c r="H72" s="27"/>
      <c r="O72" s="158">
        <v>55</v>
      </c>
      <c r="P72" s="180" t="s">
        <v>70</v>
      </c>
      <c r="V72" s="27"/>
      <c r="AC72" s="158">
        <v>55</v>
      </c>
      <c r="AD72" s="180" t="s">
        <v>70</v>
      </c>
      <c r="AE72" s="15">
        <f t="shared" si="3"/>
        <v>0</v>
      </c>
      <c r="AF72" s="15">
        <f t="shared" si="3"/>
        <v>0</v>
      </c>
      <c r="AG72" s="15">
        <f t="shared" si="3"/>
        <v>0</v>
      </c>
      <c r="AH72" s="15">
        <f t="shared" si="3"/>
        <v>0</v>
      </c>
      <c r="AI72" s="15">
        <f t="shared" si="3"/>
        <v>0</v>
      </c>
      <c r="AJ72" s="15">
        <f t="shared" si="3"/>
        <v>0</v>
      </c>
      <c r="AK72" s="15">
        <f t="shared" si="3"/>
        <v>0</v>
      </c>
      <c r="AL72" s="15">
        <f t="shared" si="3"/>
        <v>0</v>
      </c>
      <c r="AM72" s="15">
        <f t="shared" si="3"/>
        <v>0</v>
      </c>
      <c r="AN72" s="15">
        <f t="shared" si="2"/>
        <v>0</v>
      </c>
      <c r="AO72" s="15">
        <f t="shared" si="2"/>
        <v>0</v>
      </c>
    </row>
    <row r="73" spans="1:41" x14ac:dyDescent="0.3">
      <c r="A73" s="158">
        <f>IF(ISBLANK(B73),"",MAX(A$6:A72)+1)</f>
        <v>56</v>
      </c>
      <c r="B73" s="21" t="s">
        <v>64</v>
      </c>
      <c r="C73" s="177">
        <v>-270203768.24207133</v>
      </c>
      <c r="D73" s="177"/>
      <c r="E73" s="177"/>
      <c r="F73" s="177"/>
      <c r="G73" s="177">
        <v>-270203768.24207133</v>
      </c>
      <c r="H73" s="26"/>
      <c r="I73" s="177"/>
      <c r="J73" s="177"/>
      <c r="K73" s="177"/>
      <c r="L73" s="177"/>
      <c r="M73" s="177">
        <v>0</v>
      </c>
      <c r="O73" s="158">
        <v>56</v>
      </c>
      <c r="P73" s="21" t="s">
        <v>64</v>
      </c>
      <c r="Q73" s="177">
        <v>-270203768.24207133</v>
      </c>
      <c r="R73" s="177"/>
      <c r="S73" s="177"/>
      <c r="T73" s="177"/>
      <c r="U73" s="177">
        <v>-270203768.24207133</v>
      </c>
      <c r="V73" s="26"/>
      <c r="W73" s="177"/>
      <c r="X73" s="177"/>
      <c r="Y73" s="177"/>
      <c r="Z73" s="177"/>
      <c r="AA73" s="177">
        <v>0</v>
      </c>
      <c r="AC73" s="158">
        <v>56</v>
      </c>
      <c r="AD73" s="21" t="s">
        <v>64</v>
      </c>
      <c r="AE73" s="177">
        <f t="shared" si="3"/>
        <v>0</v>
      </c>
      <c r="AF73" s="177">
        <f t="shared" si="3"/>
        <v>0</v>
      </c>
      <c r="AG73" s="177">
        <f t="shared" si="3"/>
        <v>0</v>
      </c>
      <c r="AH73" s="177">
        <f t="shared" si="3"/>
        <v>0</v>
      </c>
      <c r="AI73" s="177">
        <f t="shared" si="3"/>
        <v>0</v>
      </c>
      <c r="AJ73" s="177">
        <f t="shared" si="3"/>
        <v>0</v>
      </c>
      <c r="AK73" s="177">
        <f t="shared" si="3"/>
        <v>0</v>
      </c>
      <c r="AL73" s="177">
        <f t="shared" si="3"/>
        <v>0</v>
      </c>
      <c r="AM73" s="177">
        <f t="shared" si="3"/>
        <v>0</v>
      </c>
      <c r="AN73" s="177">
        <f t="shared" si="2"/>
        <v>0</v>
      </c>
      <c r="AO73" s="177">
        <f t="shared" si="2"/>
        <v>0</v>
      </c>
    </row>
    <row r="74" spans="1:41" x14ac:dyDescent="0.3">
      <c r="A74" s="158">
        <f>IF(ISBLANK(B74),"",MAX(A$6:A73)+1)</f>
        <v>57</v>
      </c>
      <c r="B74" s="21" t="s">
        <v>65</v>
      </c>
      <c r="C74" s="162">
        <v>-77896904.817563176</v>
      </c>
      <c r="D74" s="162"/>
      <c r="E74" s="162"/>
      <c r="F74" s="162"/>
      <c r="G74" s="162">
        <v>-77896904.817563176</v>
      </c>
      <c r="H74" s="182"/>
      <c r="I74" s="162"/>
      <c r="J74" s="162"/>
      <c r="K74" s="162"/>
      <c r="L74" s="162"/>
      <c r="M74" s="162">
        <v>0</v>
      </c>
      <c r="O74" s="158">
        <v>57</v>
      </c>
      <c r="P74" s="21" t="s">
        <v>65</v>
      </c>
      <c r="Q74" s="162">
        <v>-77896904.817563176</v>
      </c>
      <c r="R74" s="162"/>
      <c r="S74" s="162"/>
      <c r="T74" s="162"/>
      <c r="U74" s="162">
        <v>-77896904.817563176</v>
      </c>
      <c r="V74" s="182"/>
      <c r="W74" s="162"/>
      <c r="X74" s="162"/>
      <c r="Y74" s="162"/>
      <c r="Z74" s="162"/>
      <c r="AA74" s="162">
        <v>0</v>
      </c>
      <c r="AC74" s="158">
        <v>57</v>
      </c>
      <c r="AD74" s="21" t="s">
        <v>65</v>
      </c>
      <c r="AE74" s="162">
        <f t="shared" si="3"/>
        <v>0</v>
      </c>
      <c r="AF74" s="162">
        <f t="shared" si="3"/>
        <v>0</v>
      </c>
      <c r="AG74" s="162">
        <f t="shared" si="3"/>
        <v>0</v>
      </c>
      <c r="AH74" s="162">
        <f t="shared" ref="AH74:AO114" si="4">+F74-T74</f>
        <v>0</v>
      </c>
      <c r="AI74" s="162">
        <f t="shared" si="4"/>
        <v>0</v>
      </c>
      <c r="AJ74" s="162">
        <f t="shared" si="4"/>
        <v>0</v>
      </c>
      <c r="AK74" s="162">
        <f t="shared" si="4"/>
        <v>0</v>
      </c>
      <c r="AL74" s="162">
        <f t="shared" si="4"/>
        <v>0</v>
      </c>
      <c r="AM74" s="162">
        <f t="shared" si="4"/>
        <v>0</v>
      </c>
      <c r="AN74" s="162">
        <f t="shared" si="2"/>
        <v>0</v>
      </c>
      <c r="AO74" s="162">
        <f t="shared" si="2"/>
        <v>0</v>
      </c>
    </row>
    <row r="75" spans="1:41" x14ac:dyDescent="0.3">
      <c r="A75" s="158">
        <f>IF(ISBLANK(B75),"",MAX(A$6:A74)+1)</f>
        <v>58</v>
      </c>
      <c r="B75" s="21" t="s">
        <v>66</v>
      </c>
      <c r="C75" s="35">
        <v>-361910119.91365826</v>
      </c>
      <c r="D75" s="35"/>
      <c r="E75" s="35">
        <v>2798356.0552379121</v>
      </c>
      <c r="F75" s="35"/>
      <c r="G75" s="35">
        <v>-359111763.85842037</v>
      </c>
      <c r="H75" s="182"/>
      <c r="I75" s="35"/>
      <c r="J75" s="35"/>
      <c r="K75" s="35"/>
      <c r="L75" s="35"/>
      <c r="M75" s="35">
        <v>0</v>
      </c>
      <c r="O75" s="158">
        <v>58</v>
      </c>
      <c r="P75" s="21" t="s">
        <v>66</v>
      </c>
      <c r="Q75" s="35">
        <v>-361910119.91365826</v>
      </c>
      <c r="R75" s="35"/>
      <c r="S75" s="35">
        <v>2798356.0552379121</v>
      </c>
      <c r="T75" s="35"/>
      <c r="U75" s="35">
        <v>-359111763.85842037</v>
      </c>
      <c r="V75" s="182"/>
      <c r="W75" s="35"/>
      <c r="X75" s="35"/>
      <c r="Y75" s="35"/>
      <c r="Z75" s="35"/>
      <c r="AA75" s="35">
        <v>0</v>
      </c>
      <c r="AC75" s="158">
        <v>58</v>
      </c>
      <c r="AD75" s="21" t="s">
        <v>66</v>
      </c>
      <c r="AE75" s="35">
        <f t="shared" ref="AE75:AL116" si="5">+C75-Q75</f>
        <v>0</v>
      </c>
      <c r="AF75" s="35">
        <f t="shared" si="5"/>
        <v>0</v>
      </c>
      <c r="AG75" s="35">
        <f t="shared" si="5"/>
        <v>0</v>
      </c>
      <c r="AH75" s="35">
        <f t="shared" si="4"/>
        <v>0</v>
      </c>
      <c r="AI75" s="35">
        <f t="shared" si="4"/>
        <v>0</v>
      </c>
      <c r="AJ75" s="35">
        <f t="shared" si="4"/>
        <v>0</v>
      </c>
      <c r="AK75" s="35">
        <f t="shared" si="4"/>
        <v>0</v>
      </c>
      <c r="AL75" s="35">
        <f t="shared" si="4"/>
        <v>0</v>
      </c>
      <c r="AM75" s="35">
        <f t="shared" si="4"/>
        <v>0</v>
      </c>
      <c r="AN75" s="35">
        <f t="shared" si="2"/>
        <v>0</v>
      </c>
      <c r="AO75" s="35">
        <f t="shared" si="2"/>
        <v>0</v>
      </c>
    </row>
    <row r="76" spans="1:41" x14ac:dyDescent="0.3">
      <c r="A76" s="158">
        <f>IF(ISBLANK(B76),"",MAX(A$6:A75)+1)</f>
        <v>59</v>
      </c>
      <c r="B76" s="21" t="s">
        <v>67</v>
      </c>
      <c r="C76" s="35">
        <v>-3945447.1849596915</v>
      </c>
      <c r="D76" s="35"/>
      <c r="E76" s="35"/>
      <c r="F76" s="35">
        <v>1816393.2000356747</v>
      </c>
      <c r="G76" s="35">
        <v>-2129053.9849240165</v>
      </c>
      <c r="H76" s="182"/>
      <c r="I76" s="35"/>
      <c r="J76" s="35"/>
      <c r="K76" s="35"/>
      <c r="L76" s="35"/>
      <c r="M76" s="35">
        <v>0</v>
      </c>
      <c r="O76" s="158">
        <v>59</v>
      </c>
      <c r="P76" s="21" t="s">
        <v>67</v>
      </c>
      <c r="Q76" s="35">
        <v>-3945447.1849596915</v>
      </c>
      <c r="R76" s="35"/>
      <c r="S76" s="35"/>
      <c r="T76" s="35">
        <v>1816393.2000356747</v>
      </c>
      <c r="U76" s="35">
        <v>-2129053.9849240165</v>
      </c>
      <c r="V76" s="182"/>
      <c r="W76" s="35"/>
      <c r="X76" s="35"/>
      <c r="Y76" s="35"/>
      <c r="Z76" s="35"/>
      <c r="AA76" s="35">
        <v>0</v>
      </c>
      <c r="AC76" s="158">
        <v>59</v>
      </c>
      <c r="AD76" s="21" t="s">
        <v>67</v>
      </c>
      <c r="AE76" s="35">
        <f t="shared" si="5"/>
        <v>0</v>
      </c>
      <c r="AF76" s="35">
        <f t="shared" si="5"/>
        <v>0</v>
      </c>
      <c r="AG76" s="35">
        <f t="shared" si="5"/>
        <v>0</v>
      </c>
      <c r="AH76" s="35">
        <f t="shared" si="4"/>
        <v>0</v>
      </c>
      <c r="AI76" s="35">
        <f t="shared" si="4"/>
        <v>0</v>
      </c>
      <c r="AJ76" s="35">
        <f t="shared" si="4"/>
        <v>0</v>
      </c>
      <c r="AK76" s="35">
        <f t="shared" si="4"/>
        <v>0</v>
      </c>
      <c r="AL76" s="35">
        <f t="shared" si="4"/>
        <v>0</v>
      </c>
      <c r="AM76" s="35">
        <f t="shared" si="4"/>
        <v>0</v>
      </c>
      <c r="AN76" s="35">
        <f t="shared" si="2"/>
        <v>0</v>
      </c>
      <c r="AO76" s="35">
        <f t="shared" si="2"/>
        <v>0</v>
      </c>
    </row>
    <row r="77" spans="1:41" x14ac:dyDescent="0.3">
      <c r="A77" s="158">
        <f>IF(ISBLANK(B77),"",MAX(A$6:A76)+1)</f>
        <v>60</v>
      </c>
      <c r="B77" s="21" t="s">
        <v>68</v>
      </c>
      <c r="C77" s="35">
        <v>-5327313.3915682975</v>
      </c>
      <c r="D77" s="35"/>
      <c r="E77" s="35"/>
      <c r="F77" s="35"/>
      <c r="G77" s="35">
        <v>-5327313.3915682975</v>
      </c>
      <c r="H77" s="182"/>
      <c r="I77" s="35"/>
      <c r="J77" s="35"/>
      <c r="K77" s="35"/>
      <c r="L77" s="35"/>
      <c r="M77" s="35">
        <v>0</v>
      </c>
      <c r="O77" s="158">
        <v>60</v>
      </c>
      <c r="P77" s="21" t="s">
        <v>68</v>
      </c>
      <c r="Q77" s="35">
        <v>-5327313.3915682975</v>
      </c>
      <c r="R77" s="35"/>
      <c r="S77" s="35"/>
      <c r="T77" s="35"/>
      <c r="U77" s="35">
        <v>-5327313.3915682975</v>
      </c>
      <c r="V77" s="182"/>
      <c r="W77" s="35"/>
      <c r="X77" s="35"/>
      <c r="Y77" s="35"/>
      <c r="Z77" s="35"/>
      <c r="AA77" s="35">
        <v>0</v>
      </c>
      <c r="AC77" s="158">
        <v>60</v>
      </c>
      <c r="AD77" s="21" t="s">
        <v>68</v>
      </c>
      <c r="AE77" s="35">
        <f t="shared" si="5"/>
        <v>0</v>
      </c>
      <c r="AF77" s="35">
        <f t="shared" si="5"/>
        <v>0</v>
      </c>
      <c r="AG77" s="35">
        <f t="shared" si="5"/>
        <v>0</v>
      </c>
      <c r="AH77" s="35">
        <f t="shared" si="4"/>
        <v>0</v>
      </c>
      <c r="AI77" s="35">
        <f t="shared" si="4"/>
        <v>0</v>
      </c>
      <c r="AJ77" s="35">
        <f t="shared" si="4"/>
        <v>0</v>
      </c>
      <c r="AK77" s="35">
        <f t="shared" si="4"/>
        <v>0</v>
      </c>
      <c r="AL77" s="35">
        <f t="shared" si="4"/>
        <v>0</v>
      </c>
      <c r="AM77" s="35">
        <f t="shared" si="4"/>
        <v>0</v>
      </c>
      <c r="AN77" s="35">
        <f t="shared" si="2"/>
        <v>0</v>
      </c>
      <c r="AO77" s="35">
        <f t="shared" si="2"/>
        <v>0</v>
      </c>
    </row>
    <row r="78" spans="1:41" x14ac:dyDescent="0.3">
      <c r="A78" s="158">
        <f>IF(ISBLANK(B78),"",MAX(A$6:A77)+1)</f>
        <v>61</v>
      </c>
      <c r="B78" s="164" t="s">
        <v>0</v>
      </c>
      <c r="C78" s="181">
        <v>-719283553.54982078</v>
      </c>
      <c r="D78" s="181">
        <v>0</v>
      </c>
      <c r="E78" s="181">
        <v>2798356.0552379121</v>
      </c>
      <c r="F78" s="181">
        <v>1816393.2000356747</v>
      </c>
      <c r="G78" s="181">
        <v>-714668804.29454708</v>
      </c>
      <c r="H78" s="27"/>
      <c r="I78" s="181">
        <v>0</v>
      </c>
      <c r="J78" s="181">
        <v>0</v>
      </c>
      <c r="K78" s="181">
        <v>0</v>
      </c>
      <c r="L78" s="181">
        <v>0</v>
      </c>
      <c r="M78" s="181">
        <v>0</v>
      </c>
      <c r="O78" s="158">
        <v>61</v>
      </c>
      <c r="P78" s="164" t="s">
        <v>0</v>
      </c>
      <c r="Q78" s="181">
        <v>-719283553.54982078</v>
      </c>
      <c r="R78" s="181">
        <v>0</v>
      </c>
      <c r="S78" s="181">
        <v>2798356.0552379121</v>
      </c>
      <c r="T78" s="181">
        <v>1816393.2000356747</v>
      </c>
      <c r="U78" s="181">
        <v>-714668804.29454708</v>
      </c>
      <c r="V78" s="27"/>
      <c r="W78" s="181">
        <v>0</v>
      </c>
      <c r="X78" s="181">
        <v>0</v>
      </c>
      <c r="Y78" s="181">
        <v>0</v>
      </c>
      <c r="Z78" s="181">
        <v>0</v>
      </c>
      <c r="AA78" s="181">
        <v>0</v>
      </c>
      <c r="AC78" s="158">
        <v>61</v>
      </c>
      <c r="AD78" s="164" t="s">
        <v>0</v>
      </c>
      <c r="AE78" s="181">
        <f t="shared" si="5"/>
        <v>0</v>
      </c>
      <c r="AF78" s="181">
        <f t="shared" si="5"/>
        <v>0</v>
      </c>
      <c r="AG78" s="181">
        <f t="shared" si="5"/>
        <v>0</v>
      </c>
      <c r="AH78" s="181">
        <f t="shared" si="4"/>
        <v>0</v>
      </c>
      <c r="AI78" s="181">
        <f t="shared" si="4"/>
        <v>0</v>
      </c>
      <c r="AJ78" s="181">
        <f t="shared" si="4"/>
        <v>0</v>
      </c>
      <c r="AK78" s="181">
        <f t="shared" si="4"/>
        <v>0</v>
      </c>
      <c r="AL78" s="181">
        <f t="shared" si="4"/>
        <v>0</v>
      </c>
      <c r="AM78" s="181">
        <f t="shared" si="4"/>
        <v>0</v>
      </c>
      <c r="AN78" s="181">
        <f t="shared" si="2"/>
        <v>0</v>
      </c>
      <c r="AO78" s="181">
        <f t="shared" si="2"/>
        <v>0</v>
      </c>
    </row>
    <row r="79" spans="1:41" x14ac:dyDescent="0.3">
      <c r="A79" s="158" t="str">
        <f>IF(ISBLANK(B79),"",MAX(A$6:A78)+1)</f>
        <v/>
      </c>
      <c r="H79" s="27"/>
      <c r="O79" s="158" t="s">
        <v>790</v>
      </c>
      <c r="V79" s="27"/>
      <c r="AC79" s="158" t="s">
        <v>790</v>
      </c>
      <c r="AE79" s="15">
        <f t="shared" si="5"/>
        <v>0</v>
      </c>
      <c r="AF79" s="15">
        <f t="shared" si="5"/>
        <v>0</v>
      </c>
      <c r="AG79" s="15">
        <f t="shared" si="5"/>
        <v>0</v>
      </c>
      <c r="AH79" s="15">
        <f t="shared" si="4"/>
        <v>0</v>
      </c>
      <c r="AI79" s="15">
        <f t="shared" si="4"/>
        <v>0</v>
      </c>
      <c r="AJ79" s="15">
        <f t="shared" si="4"/>
        <v>0</v>
      </c>
      <c r="AK79" s="15">
        <f t="shared" si="4"/>
        <v>0</v>
      </c>
      <c r="AL79" s="15">
        <f t="shared" si="4"/>
        <v>0</v>
      </c>
      <c r="AM79" s="15">
        <f t="shared" si="4"/>
        <v>0</v>
      </c>
      <c r="AN79" s="15">
        <f t="shared" si="2"/>
        <v>0</v>
      </c>
      <c r="AO79" s="15">
        <f t="shared" si="2"/>
        <v>0</v>
      </c>
    </row>
    <row r="80" spans="1:41" x14ac:dyDescent="0.3">
      <c r="A80" s="158">
        <f>IF(ISBLANK(B80),"",MAX(A$6:A79)+1)</f>
        <v>62</v>
      </c>
      <c r="B80" s="180" t="s">
        <v>71</v>
      </c>
      <c r="H80" s="25"/>
      <c r="O80" s="158">
        <v>62</v>
      </c>
      <c r="P80" s="180" t="s">
        <v>71</v>
      </c>
      <c r="V80" s="25"/>
      <c r="AC80" s="158">
        <v>62</v>
      </c>
      <c r="AD80" s="180" t="s">
        <v>71</v>
      </c>
      <c r="AE80" s="15">
        <f t="shared" si="5"/>
        <v>0</v>
      </c>
      <c r="AF80" s="15">
        <f t="shared" si="5"/>
        <v>0</v>
      </c>
      <c r="AG80" s="15">
        <f t="shared" si="5"/>
        <v>0</v>
      </c>
      <c r="AH80" s="15">
        <f t="shared" si="4"/>
        <v>0</v>
      </c>
      <c r="AI80" s="15">
        <f t="shared" si="4"/>
        <v>0</v>
      </c>
      <c r="AJ80" s="15">
        <f t="shared" si="4"/>
        <v>0</v>
      </c>
      <c r="AK80" s="15">
        <f t="shared" si="4"/>
        <v>0</v>
      </c>
      <c r="AL80" s="15">
        <f t="shared" si="4"/>
        <v>0</v>
      </c>
      <c r="AM80" s="15">
        <f t="shared" si="4"/>
        <v>0</v>
      </c>
      <c r="AN80" s="15">
        <f t="shared" si="2"/>
        <v>0</v>
      </c>
      <c r="AO80" s="15">
        <f t="shared" si="2"/>
        <v>0</v>
      </c>
    </row>
    <row r="81" spans="1:41" x14ac:dyDescent="0.3">
      <c r="A81" s="158">
        <f>IF(ISBLANK(B81),"",MAX(A$6:A80)+1)</f>
        <v>63</v>
      </c>
      <c r="B81" s="21" t="s">
        <v>64</v>
      </c>
      <c r="C81" s="177">
        <v>-262616542.75874937</v>
      </c>
      <c r="D81" s="177"/>
      <c r="E81" s="177"/>
      <c r="F81" s="177"/>
      <c r="G81" s="177">
        <v>-262616542.75874937</v>
      </c>
      <c r="H81" s="26"/>
      <c r="I81" s="177"/>
      <c r="J81" s="177"/>
      <c r="K81" s="177"/>
      <c r="L81" s="177"/>
      <c r="M81" s="177">
        <v>0</v>
      </c>
      <c r="O81" s="158">
        <v>63</v>
      </c>
      <c r="P81" s="21" t="s">
        <v>64</v>
      </c>
      <c r="Q81" s="177">
        <v>-262616542.75874937</v>
      </c>
      <c r="R81" s="177"/>
      <c r="S81" s="177"/>
      <c r="T81" s="177"/>
      <c r="U81" s="177">
        <v>-262616542.75874937</v>
      </c>
      <c r="V81" s="26"/>
      <c r="W81" s="177"/>
      <c r="X81" s="177"/>
      <c r="Y81" s="177"/>
      <c r="Z81" s="177"/>
      <c r="AA81" s="177">
        <v>0</v>
      </c>
      <c r="AC81" s="158">
        <v>63</v>
      </c>
      <c r="AD81" s="21" t="s">
        <v>64</v>
      </c>
      <c r="AE81" s="177">
        <f t="shared" si="5"/>
        <v>0</v>
      </c>
      <c r="AF81" s="177">
        <f t="shared" si="5"/>
        <v>0</v>
      </c>
      <c r="AG81" s="177">
        <f t="shared" si="5"/>
        <v>0</v>
      </c>
      <c r="AH81" s="177">
        <f t="shared" si="4"/>
        <v>0</v>
      </c>
      <c r="AI81" s="177">
        <f t="shared" si="4"/>
        <v>0</v>
      </c>
      <c r="AJ81" s="177">
        <f t="shared" si="4"/>
        <v>0</v>
      </c>
      <c r="AK81" s="177">
        <f t="shared" si="4"/>
        <v>0</v>
      </c>
      <c r="AL81" s="177">
        <f t="shared" si="4"/>
        <v>0</v>
      </c>
      <c r="AM81" s="177">
        <f t="shared" si="4"/>
        <v>0</v>
      </c>
      <c r="AN81" s="177">
        <f t="shared" si="2"/>
        <v>0</v>
      </c>
      <c r="AO81" s="177">
        <f t="shared" si="2"/>
        <v>0</v>
      </c>
    </row>
    <row r="82" spans="1:41" x14ac:dyDescent="0.3">
      <c r="A82" s="158">
        <f>IF(ISBLANK(B82),"",MAX(A$6:A81)+1)</f>
        <v>64</v>
      </c>
      <c r="B82" s="21" t="s">
        <v>65</v>
      </c>
      <c r="C82" s="162">
        <v>-75475354.295997649</v>
      </c>
      <c r="D82" s="162"/>
      <c r="E82" s="162"/>
      <c r="F82" s="162"/>
      <c r="G82" s="162">
        <v>-75475354.295997649</v>
      </c>
      <c r="H82" s="182"/>
      <c r="I82" s="162"/>
      <c r="J82" s="162"/>
      <c r="K82" s="162"/>
      <c r="L82" s="162"/>
      <c r="M82" s="162">
        <v>0</v>
      </c>
      <c r="O82" s="158">
        <v>64</v>
      </c>
      <c r="P82" s="21" t="s">
        <v>65</v>
      </c>
      <c r="Q82" s="162">
        <v>-75475354.295997649</v>
      </c>
      <c r="R82" s="162"/>
      <c r="S82" s="162"/>
      <c r="T82" s="162"/>
      <c r="U82" s="162">
        <v>-75475354.295997649</v>
      </c>
      <c r="V82" s="182"/>
      <c r="W82" s="162"/>
      <c r="X82" s="162"/>
      <c r="Y82" s="162"/>
      <c r="Z82" s="162"/>
      <c r="AA82" s="162">
        <v>0</v>
      </c>
      <c r="AC82" s="158">
        <v>64</v>
      </c>
      <c r="AD82" s="21" t="s">
        <v>65</v>
      </c>
      <c r="AE82" s="162">
        <f t="shared" si="5"/>
        <v>0</v>
      </c>
      <c r="AF82" s="162">
        <f t="shared" si="5"/>
        <v>0</v>
      </c>
      <c r="AG82" s="162">
        <f t="shared" si="5"/>
        <v>0</v>
      </c>
      <c r="AH82" s="162">
        <f t="shared" si="4"/>
        <v>0</v>
      </c>
      <c r="AI82" s="162">
        <f t="shared" si="4"/>
        <v>0</v>
      </c>
      <c r="AJ82" s="162">
        <f t="shared" si="4"/>
        <v>0</v>
      </c>
      <c r="AK82" s="162">
        <f t="shared" si="4"/>
        <v>0</v>
      </c>
      <c r="AL82" s="162">
        <f t="shared" si="4"/>
        <v>0</v>
      </c>
      <c r="AM82" s="162">
        <f t="shared" si="4"/>
        <v>0</v>
      </c>
      <c r="AN82" s="162">
        <f t="shared" si="2"/>
        <v>0</v>
      </c>
      <c r="AO82" s="162">
        <f t="shared" si="2"/>
        <v>0</v>
      </c>
    </row>
    <row r="83" spans="1:41" x14ac:dyDescent="0.3">
      <c r="A83" s="158">
        <f>IF(ISBLANK(B83),"",MAX(A$6:A82)+1)</f>
        <v>65</v>
      </c>
      <c r="B83" s="21" t="s">
        <v>66</v>
      </c>
      <c r="C83" s="35">
        <v>-350659561.99111593</v>
      </c>
      <c r="D83" s="35"/>
      <c r="E83" s="35"/>
      <c r="F83" s="35"/>
      <c r="G83" s="35">
        <v>-350659561.99111593</v>
      </c>
      <c r="H83" s="182"/>
      <c r="I83" s="35"/>
      <c r="J83" s="35"/>
      <c r="K83" s="35"/>
      <c r="L83" s="35"/>
      <c r="M83" s="35">
        <v>0</v>
      </c>
      <c r="O83" s="158">
        <v>65</v>
      </c>
      <c r="P83" s="21" t="s">
        <v>66</v>
      </c>
      <c r="Q83" s="35">
        <v>-350659561.99111593</v>
      </c>
      <c r="R83" s="35"/>
      <c r="S83" s="35"/>
      <c r="T83" s="35"/>
      <c r="U83" s="35">
        <v>-350659561.99111593</v>
      </c>
      <c r="V83" s="182"/>
      <c r="W83" s="35"/>
      <c r="X83" s="35"/>
      <c r="Y83" s="35"/>
      <c r="Z83" s="35"/>
      <c r="AA83" s="35">
        <v>0</v>
      </c>
      <c r="AC83" s="158">
        <v>65</v>
      </c>
      <c r="AD83" s="21" t="s">
        <v>66</v>
      </c>
      <c r="AE83" s="35">
        <f t="shared" si="5"/>
        <v>0</v>
      </c>
      <c r="AF83" s="35">
        <f t="shared" si="5"/>
        <v>0</v>
      </c>
      <c r="AG83" s="35">
        <f t="shared" si="5"/>
        <v>0</v>
      </c>
      <c r="AH83" s="35">
        <f t="shared" si="4"/>
        <v>0</v>
      </c>
      <c r="AI83" s="35">
        <f t="shared" si="4"/>
        <v>0</v>
      </c>
      <c r="AJ83" s="35">
        <f t="shared" si="4"/>
        <v>0</v>
      </c>
      <c r="AK83" s="35">
        <f t="shared" si="4"/>
        <v>0</v>
      </c>
      <c r="AL83" s="35">
        <f t="shared" si="4"/>
        <v>0</v>
      </c>
      <c r="AM83" s="35">
        <f t="shared" si="4"/>
        <v>0</v>
      </c>
      <c r="AN83" s="35">
        <f t="shared" si="2"/>
        <v>0</v>
      </c>
      <c r="AO83" s="35">
        <f t="shared" si="2"/>
        <v>0</v>
      </c>
    </row>
    <row r="84" spans="1:41" x14ac:dyDescent="0.3">
      <c r="A84" s="158">
        <f>IF(ISBLANK(B84),"",MAX(A$6:A83)+1)</f>
        <v>66</v>
      </c>
      <c r="B84" s="21" t="s">
        <v>67</v>
      </c>
      <c r="C84" s="35">
        <v>-3806886.5463951686</v>
      </c>
      <c r="D84" s="35"/>
      <c r="E84" s="35"/>
      <c r="F84" s="35"/>
      <c r="G84" s="35">
        <v>-3806886.5463951686</v>
      </c>
      <c r="H84" s="182"/>
      <c r="I84" s="35"/>
      <c r="J84" s="35"/>
      <c r="K84" s="35"/>
      <c r="L84" s="35"/>
      <c r="M84" s="35">
        <v>0</v>
      </c>
      <c r="O84" s="158">
        <v>66</v>
      </c>
      <c r="P84" s="21" t="s">
        <v>67</v>
      </c>
      <c r="Q84" s="35">
        <v>-3806886.5463951686</v>
      </c>
      <c r="R84" s="35"/>
      <c r="S84" s="35"/>
      <c r="T84" s="35"/>
      <c r="U84" s="35">
        <v>-3806886.5463951686</v>
      </c>
      <c r="V84" s="182"/>
      <c r="W84" s="35"/>
      <c r="X84" s="35"/>
      <c r="Y84" s="35"/>
      <c r="Z84" s="35"/>
      <c r="AA84" s="35">
        <v>0</v>
      </c>
      <c r="AC84" s="158">
        <v>66</v>
      </c>
      <c r="AD84" s="21" t="s">
        <v>67</v>
      </c>
      <c r="AE84" s="35">
        <f t="shared" si="5"/>
        <v>0</v>
      </c>
      <c r="AF84" s="35">
        <f t="shared" si="5"/>
        <v>0</v>
      </c>
      <c r="AG84" s="35">
        <f t="shared" si="5"/>
        <v>0</v>
      </c>
      <c r="AH84" s="35">
        <f t="shared" si="4"/>
        <v>0</v>
      </c>
      <c r="AI84" s="35">
        <f t="shared" si="4"/>
        <v>0</v>
      </c>
      <c r="AJ84" s="35">
        <f t="shared" si="4"/>
        <v>0</v>
      </c>
      <c r="AK84" s="35">
        <f t="shared" si="4"/>
        <v>0</v>
      </c>
      <c r="AL84" s="35">
        <f t="shared" si="4"/>
        <v>0</v>
      </c>
      <c r="AM84" s="35">
        <f t="shared" si="4"/>
        <v>0</v>
      </c>
      <c r="AN84" s="35">
        <f t="shared" si="2"/>
        <v>0</v>
      </c>
      <c r="AO84" s="35">
        <f t="shared" si="2"/>
        <v>0</v>
      </c>
    </row>
    <row r="85" spans="1:41" x14ac:dyDescent="0.3">
      <c r="A85" s="158">
        <f>IF(ISBLANK(B85),"",MAX(A$6:A84)+1)</f>
        <v>67</v>
      </c>
      <c r="B85" s="21" t="s">
        <v>68</v>
      </c>
      <c r="C85" s="35">
        <v>-5161705.5755225085</v>
      </c>
      <c r="D85" s="35"/>
      <c r="E85" s="35"/>
      <c r="F85" s="35"/>
      <c r="G85" s="35">
        <v>-5161705.5755225085</v>
      </c>
      <c r="H85" s="182"/>
      <c r="I85" s="35"/>
      <c r="J85" s="35"/>
      <c r="K85" s="35"/>
      <c r="L85" s="35"/>
      <c r="M85" s="35">
        <v>0</v>
      </c>
      <c r="O85" s="158">
        <v>67</v>
      </c>
      <c r="P85" s="21" t="s">
        <v>68</v>
      </c>
      <c r="Q85" s="35">
        <v>-5161705.5755225085</v>
      </c>
      <c r="R85" s="35"/>
      <c r="S85" s="35"/>
      <c r="T85" s="35"/>
      <c r="U85" s="35">
        <v>-5161705.5755225085</v>
      </c>
      <c r="V85" s="182"/>
      <c r="W85" s="35"/>
      <c r="X85" s="35"/>
      <c r="Y85" s="35"/>
      <c r="Z85" s="35"/>
      <c r="AA85" s="35">
        <v>0</v>
      </c>
      <c r="AC85" s="158">
        <v>67</v>
      </c>
      <c r="AD85" s="21" t="s">
        <v>68</v>
      </c>
      <c r="AE85" s="35">
        <f t="shared" si="5"/>
        <v>0</v>
      </c>
      <c r="AF85" s="35">
        <f t="shared" si="5"/>
        <v>0</v>
      </c>
      <c r="AG85" s="35">
        <f t="shared" si="5"/>
        <v>0</v>
      </c>
      <c r="AH85" s="35">
        <f t="shared" si="4"/>
        <v>0</v>
      </c>
      <c r="AI85" s="35">
        <f t="shared" si="4"/>
        <v>0</v>
      </c>
      <c r="AJ85" s="35">
        <f t="shared" si="4"/>
        <v>0</v>
      </c>
      <c r="AK85" s="35">
        <f t="shared" si="4"/>
        <v>0</v>
      </c>
      <c r="AL85" s="35">
        <f t="shared" si="4"/>
        <v>0</v>
      </c>
      <c r="AM85" s="35">
        <f t="shared" si="4"/>
        <v>0</v>
      </c>
      <c r="AN85" s="35">
        <f t="shared" si="2"/>
        <v>0</v>
      </c>
      <c r="AO85" s="35">
        <f t="shared" si="2"/>
        <v>0</v>
      </c>
    </row>
    <row r="86" spans="1:41" x14ac:dyDescent="0.3">
      <c r="A86" s="158">
        <f>IF(ISBLANK(B86),"",MAX(A$6:A85)+1)</f>
        <v>68</v>
      </c>
      <c r="B86" s="164" t="s">
        <v>0</v>
      </c>
      <c r="C86" s="181">
        <v>-697720051.16778064</v>
      </c>
      <c r="D86" s="181">
        <v>0</v>
      </c>
      <c r="E86" s="181">
        <v>0</v>
      </c>
      <c r="F86" s="181">
        <v>0</v>
      </c>
      <c r="G86" s="181">
        <v>-697720051.16778064</v>
      </c>
      <c r="H86" s="27"/>
      <c r="I86" s="181">
        <v>0</v>
      </c>
      <c r="J86" s="181">
        <v>0</v>
      </c>
      <c r="K86" s="181">
        <v>0</v>
      </c>
      <c r="L86" s="181">
        <v>0</v>
      </c>
      <c r="M86" s="181">
        <v>0</v>
      </c>
      <c r="O86" s="158">
        <v>68</v>
      </c>
      <c r="P86" s="164" t="s">
        <v>0</v>
      </c>
      <c r="Q86" s="181">
        <v>-697720051.16778064</v>
      </c>
      <c r="R86" s="181">
        <v>0</v>
      </c>
      <c r="S86" s="181">
        <v>0</v>
      </c>
      <c r="T86" s="181">
        <v>0</v>
      </c>
      <c r="U86" s="181">
        <v>-697720051.16778064</v>
      </c>
      <c r="V86" s="27"/>
      <c r="W86" s="181">
        <v>0</v>
      </c>
      <c r="X86" s="181">
        <v>0</v>
      </c>
      <c r="Y86" s="181">
        <v>0</v>
      </c>
      <c r="Z86" s="181">
        <v>0</v>
      </c>
      <c r="AA86" s="181">
        <v>0</v>
      </c>
      <c r="AC86" s="158">
        <v>68</v>
      </c>
      <c r="AD86" s="164" t="s">
        <v>0</v>
      </c>
      <c r="AE86" s="181">
        <f t="shared" si="5"/>
        <v>0</v>
      </c>
      <c r="AF86" s="181">
        <f t="shared" si="5"/>
        <v>0</v>
      </c>
      <c r="AG86" s="181">
        <f t="shared" si="5"/>
        <v>0</v>
      </c>
      <c r="AH86" s="181">
        <f t="shared" si="4"/>
        <v>0</v>
      </c>
      <c r="AI86" s="181">
        <f t="shared" si="4"/>
        <v>0</v>
      </c>
      <c r="AJ86" s="181">
        <f t="shared" si="4"/>
        <v>0</v>
      </c>
      <c r="AK86" s="181">
        <f t="shared" si="4"/>
        <v>0</v>
      </c>
      <c r="AL86" s="181">
        <f t="shared" si="4"/>
        <v>0</v>
      </c>
      <c r="AM86" s="181">
        <f t="shared" si="4"/>
        <v>0</v>
      </c>
      <c r="AN86" s="181">
        <f t="shared" si="2"/>
        <v>0</v>
      </c>
      <c r="AO86" s="181">
        <f t="shared" si="2"/>
        <v>0</v>
      </c>
    </row>
    <row r="87" spans="1:41" x14ac:dyDescent="0.3">
      <c r="A87" s="158" t="str">
        <f>IF(ISBLANK(B87),"",MAX(A$6:A86)+1)</f>
        <v/>
      </c>
      <c r="B87" s="21"/>
      <c r="H87" s="25"/>
      <c r="O87" s="158" t="s">
        <v>790</v>
      </c>
      <c r="P87" s="21"/>
      <c r="V87" s="25"/>
      <c r="AC87" s="158" t="s">
        <v>790</v>
      </c>
      <c r="AD87" s="21"/>
      <c r="AE87" s="15">
        <f t="shared" si="5"/>
        <v>0</v>
      </c>
      <c r="AF87" s="15">
        <f t="shared" si="5"/>
        <v>0</v>
      </c>
      <c r="AG87" s="15">
        <f t="shared" si="5"/>
        <v>0</v>
      </c>
      <c r="AH87" s="15">
        <f t="shared" si="4"/>
        <v>0</v>
      </c>
      <c r="AI87" s="15">
        <f t="shared" si="4"/>
        <v>0</v>
      </c>
      <c r="AJ87" s="15">
        <f t="shared" si="4"/>
        <v>0</v>
      </c>
      <c r="AK87" s="15">
        <f t="shared" si="4"/>
        <v>0</v>
      </c>
      <c r="AL87" s="15">
        <f t="shared" si="4"/>
        <v>0</v>
      </c>
      <c r="AM87" s="15">
        <f t="shared" si="4"/>
        <v>0</v>
      </c>
      <c r="AN87" s="15">
        <f t="shared" si="2"/>
        <v>0</v>
      </c>
      <c r="AO87" s="15">
        <f t="shared" si="2"/>
        <v>0</v>
      </c>
    </row>
    <row r="88" spans="1:41" x14ac:dyDescent="0.3">
      <c r="A88" s="158">
        <f>IF(ISBLANK(B88),"",MAX(A$6:A87)+1)</f>
        <v>69</v>
      </c>
      <c r="B88" s="180" t="s">
        <v>72</v>
      </c>
      <c r="H88" s="25"/>
      <c r="O88" s="158">
        <v>69</v>
      </c>
      <c r="P88" s="180" t="s">
        <v>72</v>
      </c>
      <c r="V88" s="25"/>
      <c r="AC88" s="158">
        <v>69</v>
      </c>
      <c r="AD88" s="180" t="s">
        <v>72</v>
      </c>
      <c r="AE88" s="15">
        <f t="shared" si="5"/>
        <v>0</v>
      </c>
      <c r="AF88" s="15">
        <f t="shared" si="5"/>
        <v>0</v>
      </c>
      <c r="AG88" s="15">
        <f t="shared" si="5"/>
        <v>0</v>
      </c>
      <c r="AH88" s="15">
        <f t="shared" si="4"/>
        <v>0</v>
      </c>
      <c r="AI88" s="15">
        <f t="shared" si="4"/>
        <v>0</v>
      </c>
      <c r="AJ88" s="15">
        <f t="shared" si="4"/>
        <v>0</v>
      </c>
      <c r="AK88" s="15">
        <f t="shared" si="4"/>
        <v>0</v>
      </c>
      <c r="AL88" s="15">
        <f t="shared" si="4"/>
        <v>0</v>
      </c>
      <c r="AM88" s="15">
        <f t="shared" si="4"/>
        <v>0</v>
      </c>
      <c r="AN88" s="15">
        <f t="shared" si="2"/>
        <v>0</v>
      </c>
      <c r="AO88" s="15">
        <f t="shared" si="2"/>
        <v>0</v>
      </c>
    </row>
    <row r="89" spans="1:41" x14ac:dyDescent="0.3">
      <c r="A89" s="158">
        <f>IF(ISBLANK(B89),"",MAX(A$6:A88)+1)</f>
        <v>70</v>
      </c>
      <c r="B89" s="21" t="s">
        <v>64</v>
      </c>
      <c r="C89" s="177">
        <v>-532820311.0008207</v>
      </c>
      <c r="D89" s="177">
        <v>0</v>
      </c>
      <c r="E89" s="177">
        <v>0</v>
      </c>
      <c r="F89" s="177">
        <v>0</v>
      </c>
      <c r="G89" s="177">
        <v>-532820311.0008207</v>
      </c>
      <c r="H89" s="26"/>
      <c r="I89" s="177">
        <v>-436596793.54790342</v>
      </c>
      <c r="J89" s="177"/>
      <c r="K89" s="177"/>
      <c r="L89" s="177"/>
      <c r="M89" s="177">
        <v>-436596793.54790342</v>
      </c>
      <c r="O89" s="158">
        <v>70</v>
      </c>
      <c r="P89" s="21" t="s">
        <v>64</v>
      </c>
      <c r="Q89" s="177">
        <v>-532820311.0008207</v>
      </c>
      <c r="R89" s="177">
        <v>0</v>
      </c>
      <c r="S89" s="177">
        <v>0</v>
      </c>
      <c r="T89" s="177">
        <v>0</v>
      </c>
      <c r="U89" s="177">
        <v>-532820311.0008207</v>
      </c>
      <c r="V89" s="26"/>
      <c r="W89" s="177">
        <v>-436596793.54790342</v>
      </c>
      <c r="X89" s="177"/>
      <c r="Y89" s="177"/>
      <c r="Z89" s="177"/>
      <c r="AA89" s="177">
        <v>-436596793.54790342</v>
      </c>
      <c r="AC89" s="158">
        <v>70</v>
      </c>
      <c r="AD89" s="21" t="s">
        <v>64</v>
      </c>
      <c r="AE89" s="177">
        <f t="shared" si="5"/>
        <v>0</v>
      </c>
      <c r="AF89" s="177">
        <f t="shared" si="5"/>
        <v>0</v>
      </c>
      <c r="AG89" s="177">
        <f t="shared" si="5"/>
        <v>0</v>
      </c>
      <c r="AH89" s="177">
        <f t="shared" si="4"/>
        <v>0</v>
      </c>
      <c r="AI89" s="177">
        <f t="shared" si="4"/>
        <v>0</v>
      </c>
      <c r="AJ89" s="177">
        <f t="shared" si="4"/>
        <v>0</v>
      </c>
      <c r="AK89" s="177">
        <f t="shared" si="4"/>
        <v>0</v>
      </c>
      <c r="AL89" s="177">
        <f t="shared" si="4"/>
        <v>0</v>
      </c>
      <c r="AM89" s="177">
        <f t="shared" si="4"/>
        <v>0</v>
      </c>
      <c r="AN89" s="177">
        <f t="shared" si="2"/>
        <v>0</v>
      </c>
      <c r="AO89" s="177">
        <f t="shared" si="2"/>
        <v>0</v>
      </c>
    </row>
    <row r="90" spans="1:41" x14ac:dyDescent="0.3">
      <c r="A90" s="158">
        <f>IF(ISBLANK(B90),"",MAX(A$6:A89)+1)</f>
        <v>71</v>
      </c>
      <c r="B90" s="21" t="s">
        <v>65</v>
      </c>
      <c r="C90" s="162">
        <v>-153372259.11356083</v>
      </c>
      <c r="D90" s="162">
        <v>0</v>
      </c>
      <c r="E90" s="162">
        <v>0</v>
      </c>
      <c r="F90" s="162">
        <v>0</v>
      </c>
      <c r="G90" s="162">
        <v>-153372259.11356083</v>
      </c>
      <c r="H90" s="182"/>
      <c r="I90" s="162">
        <v>-153103968.86182827</v>
      </c>
      <c r="J90" s="162"/>
      <c r="K90" s="162"/>
      <c r="L90" s="162"/>
      <c r="M90" s="162">
        <v>-153103968.86182827</v>
      </c>
      <c r="O90" s="158">
        <v>71</v>
      </c>
      <c r="P90" s="21" t="s">
        <v>65</v>
      </c>
      <c r="Q90" s="162">
        <v>-153372259.11356083</v>
      </c>
      <c r="R90" s="162">
        <v>0</v>
      </c>
      <c r="S90" s="162">
        <v>0</v>
      </c>
      <c r="T90" s="162">
        <v>0</v>
      </c>
      <c r="U90" s="162">
        <v>-153372259.11356083</v>
      </c>
      <c r="V90" s="182"/>
      <c r="W90" s="162">
        <v>-153103968.86182827</v>
      </c>
      <c r="X90" s="162"/>
      <c r="Y90" s="162"/>
      <c r="Z90" s="162"/>
      <c r="AA90" s="162">
        <v>-153103968.86182827</v>
      </c>
      <c r="AC90" s="158">
        <v>71</v>
      </c>
      <c r="AD90" s="21" t="s">
        <v>65</v>
      </c>
      <c r="AE90" s="162">
        <f t="shared" si="5"/>
        <v>0</v>
      </c>
      <c r="AF90" s="162">
        <f t="shared" si="5"/>
        <v>0</v>
      </c>
      <c r="AG90" s="162">
        <f t="shared" si="5"/>
        <v>0</v>
      </c>
      <c r="AH90" s="162">
        <f t="shared" si="4"/>
        <v>0</v>
      </c>
      <c r="AI90" s="162">
        <f t="shared" si="4"/>
        <v>0</v>
      </c>
      <c r="AJ90" s="162">
        <f t="shared" si="4"/>
        <v>0</v>
      </c>
      <c r="AK90" s="162">
        <f t="shared" si="4"/>
        <v>0</v>
      </c>
      <c r="AL90" s="162">
        <f t="shared" si="4"/>
        <v>0</v>
      </c>
      <c r="AM90" s="162">
        <f t="shared" si="4"/>
        <v>0</v>
      </c>
      <c r="AN90" s="162">
        <f t="shared" si="2"/>
        <v>0</v>
      </c>
      <c r="AO90" s="162">
        <f t="shared" si="2"/>
        <v>0</v>
      </c>
    </row>
    <row r="91" spans="1:41" x14ac:dyDescent="0.3">
      <c r="A91" s="158">
        <f>IF(ISBLANK(B91),"",MAX(A$6:A90)+1)</f>
        <v>72</v>
      </c>
      <c r="B91" s="21" t="s">
        <v>66</v>
      </c>
      <c r="C91" s="35">
        <v>-712569681.90477419</v>
      </c>
      <c r="D91" s="35">
        <v>0</v>
      </c>
      <c r="E91" s="35">
        <v>2798356.0552379121</v>
      </c>
      <c r="F91" s="35">
        <v>0</v>
      </c>
      <c r="G91" s="35">
        <v>-709771325.8495363</v>
      </c>
      <c r="H91" s="182"/>
      <c r="I91" s="162">
        <v>-622000195.29598176</v>
      </c>
      <c r="J91" s="35">
        <v>-8820726.9787761793</v>
      </c>
      <c r="K91" s="35"/>
      <c r="L91" s="35"/>
      <c r="M91" s="35">
        <v>-630820922.27475798</v>
      </c>
      <c r="O91" s="158">
        <v>72</v>
      </c>
      <c r="P91" s="21" t="s">
        <v>66</v>
      </c>
      <c r="Q91" s="35">
        <v>-712569681.90477419</v>
      </c>
      <c r="R91" s="35">
        <v>0</v>
      </c>
      <c r="S91" s="35">
        <v>2798356.0552379121</v>
      </c>
      <c r="T91" s="35">
        <v>0</v>
      </c>
      <c r="U91" s="35">
        <v>-709771325.8495363</v>
      </c>
      <c r="V91" s="182"/>
      <c r="W91" s="162">
        <v>-622000195.29598176</v>
      </c>
      <c r="X91" s="35">
        <v>-8820726.9787761793</v>
      </c>
      <c r="Y91" s="35"/>
      <c r="Z91" s="35"/>
      <c r="AA91" s="35">
        <v>-630820922.27475798</v>
      </c>
      <c r="AC91" s="158">
        <v>72</v>
      </c>
      <c r="AD91" s="21" t="s">
        <v>66</v>
      </c>
      <c r="AE91" s="35">
        <f t="shared" si="5"/>
        <v>0</v>
      </c>
      <c r="AF91" s="35">
        <f t="shared" si="5"/>
        <v>0</v>
      </c>
      <c r="AG91" s="35">
        <f t="shared" si="5"/>
        <v>0</v>
      </c>
      <c r="AH91" s="35">
        <f t="shared" si="4"/>
        <v>0</v>
      </c>
      <c r="AI91" s="35">
        <f t="shared" si="4"/>
        <v>0</v>
      </c>
      <c r="AJ91" s="35">
        <f t="shared" si="4"/>
        <v>0</v>
      </c>
      <c r="AK91" s="35">
        <f t="shared" si="4"/>
        <v>0</v>
      </c>
      <c r="AL91" s="35">
        <f t="shared" si="4"/>
        <v>0</v>
      </c>
      <c r="AM91" s="35">
        <f t="shared" si="4"/>
        <v>0</v>
      </c>
      <c r="AN91" s="35">
        <f t="shared" si="2"/>
        <v>0</v>
      </c>
      <c r="AO91" s="35">
        <f t="shared" si="2"/>
        <v>0</v>
      </c>
    </row>
    <row r="92" spans="1:41" x14ac:dyDescent="0.3">
      <c r="A92" s="158">
        <f>IF(ISBLANK(B92),"",MAX(A$6:A91)+1)</f>
        <v>73</v>
      </c>
      <c r="B92" s="21" t="s">
        <v>67</v>
      </c>
      <c r="C92" s="35">
        <v>-7752333.7313548606</v>
      </c>
      <c r="D92" s="35">
        <v>0</v>
      </c>
      <c r="E92" s="35">
        <v>0</v>
      </c>
      <c r="F92" s="35">
        <v>1816393.2000356747</v>
      </c>
      <c r="G92" s="35">
        <v>-5935940.5313191852</v>
      </c>
      <c r="H92" s="182"/>
      <c r="I92" s="162">
        <v>2631312.9067449397</v>
      </c>
      <c r="J92" s="35"/>
      <c r="K92" s="35">
        <v>-13230005.209756112</v>
      </c>
      <c r="L92" s="35"/>
      <c r="M92" s="35">
        <v>-10598692.303011172</v>
      </c>
      <c r="O92" s="158">
        <v>73</v>
      </c>
      <c r="P92" s="21" t="s">
        <v>67</v>
      </c>
      <c r="Q92" s="35">
        <v>-7752333.7313548606</v>
      </c>
      <c r="R92" s="35">
        <v>0</v>
      </c>
      <c r="S92" s="35">
        <v>0</v>
      </c>
      <c r="T92" s="35">
        <v>1816393.2000356747</v>
      </c>
      <c r="U92" s="35">
        <v>-5935940.5313191852</v>
      </c>
      <c r="V92" s="182"/>
      <c r="W92" s="162">
        <v>2631312.9067449397</v>
      </c>
      <c r="X92" s="35"/>
      <c r="Y92" s="35">
        <v>-13230005.209756112</v>
      </c>
      <c r="Z92" s="35"/>
      <c r="AA92" s="35">
        <v>-10598692.303011172</v>
      </c>
      <c r="AC92" s="158">
        <v>73</v>
      </c>
      <c r="AD92" s="21" t="s">
        <v>67</v>
      </c>
      <c r="AE92" s="35">
        <f t="shared" si="5"/>
        <v>0</v>
      </c>
      <c r="AF92" s="35">
        <f t="shared" si="5"/>
        <v>0</v>
      </c>
      <c r="AG92" s="35">
        <f t="shared" si="5"/>
        <v>0</v>
      </c>
      <c r="AH92" s="35">
        <f t="shared" si="4"/>
        <v>0</v>
      </c>
      <c r="AI92" s="35">
        <f t="shared" si="4"/>
        <v>0</v>
      </c>
      <c r="AJ92" s="35">
        <f t="shared" si="4"/>
        <v>0</v>
      </c>
      <c r="AK92" s="35">
        <f t="shared" si="4"/>
        <v>0</v>
      </c>
      <c r="AL92" s="35">
        <f t="shared" si="4"/>
        <v>0</v>
      </c>
      <c r="AM92" s="35">
        <f t="shared" si="4"/>
        <v>0</v>
      </c>
      <c r="AN92" s="35">
        <f t="shared" si="2"/>
        <v>0</v>
      </c>
      <c r="AO92" s="35">
        <f t="shared" si="2"/>
        <v>0</v>
      </c>
    </row>
    <row r="93" spans="1:41" x14ac:dyDescent="0.3">
      <c r="A93" s="158">
        <f>IF(ISBLANK(B93),"",MAX(A$6:A92)+1)</f>
        <v>74</v>
      </c>
      <c r="B93" s="21" t="s">
        <v>68</v>
      </c>
      <c r="C93" s="35">
        <v>-10489018.967090806</v>
      </c>
      <c r="D93" s="35">
        <v>0</v>
      </c>
      <c r="E93" s="35">
        <v>0</v>
      </c>
      <c r="F93" s="35">
        <v>0</v>
      </c>
      <c r="G93" s="35">
        <v>-10489018.967090806</v>
      </c>
      <c r="H93" s="182"/>
      <c r="I93" s="162">
        <v>-71188417.784562543</v>
      </c>
      <c r="J93" s="35"/>
      <c r="K93" s="35"/>
      <c r="L93" s="35"/>
      <c r="M93" s="35">
        <v>-71188417.784562543</v>
      </c>
      <c r="O93" s="158">
        <v>74</v>
      </c>
      <c r="P93" s="21" t="s">
        <v>68</v>
      </c>
      <c r="Q93" s="35">
        <v>-10489018.967090806</v>
      </c>
      <c r="R93" s="35">
        <v>0</v>
      </c>
      <c r="S93" s="35">
        <v>0</v>
      </c>
      <c r="T93" s="35">
        <v>0</v>
      </c>
      <c r="U93" s="35">
        <v>-10489018.967090806</v>
      </c>
      <c r="V93" s="182"/>
      <c r="W93" s="162">
        <v>-71188417.784562543</v>
      </c>
      <c r="X93" s="35"/>
      <c r="Y93" s="35"/>
      <c r="Z93" s="35"/>
      <c r="AA93" s="35">
        <v>-71188417.784562543</v>
      </c>
      <c r="AC93" s="158">
        <v>74</v>
      </c>
      <c r="AD93" s="21" t="s">
        <v>68</v>
      </c>
      <c r="AE93" s="35">
        <f t="shared" si="5"/>
        <v>0</v>
      </c>
      <c r="AF93" s="35">
        <f t="shared" si="5"/>
        <v>0</v>
      </c>
      <c r="AG93" s="35">
        <f t="shared" si="5"/>
        <v>0</v>
      </c>
      <c r="AH93" s="35">
        <f t="shared" si="4"/>
        <v>0</v>
      </c>
      <c r="AI93" s="35">
        <f t="shared" si="4"/>
        <v>0</v>
      </c>
      <c r="AJ93" s="35">
        <f t="shared" si="4"/>
        <v>0</v>
      </c>
      <c r="AK93" s="35">
        <f t="shared" si="4"/>
        <v>0</v>
      </c>
      <c r="AL93" s="35">
        <f t="shared" si="4"/>
        <v>0</v>
      </c>
      <c r="AM93" s="35">
        <f t="shared" si="4"/>
        <v>0</v>
      </c>
      <c r="AN93" s="35">
        <f t="shared" si="2"/>
        <v>0</v>
      </c>
      <c r="AO93" s="35">
        <f t="shared" si="2"/>
        <v>0</v>
      </c>
    </row>
    <row r="94" spans="1:41" x14ac:dyDescent="0.3">
      <c r="A94" s="158">
        <f>IF(ISBLANK(B94),"",MAX(A$6:A93)+1)</f>
        <v>75</v>
      </c>
      <c r="B94" s="164" t="s">
        <v>0</v>
      </c>
      <c r="C94" s="181">
        <v>-1417003604.7176015</v>
      </c>
      <c r="D94" s="181">
        <v>0</v>
      </c>
      <c r="E94" s="181">
        <v>2798356.0552379121</v>
      </c>
      <c r="F94" s="181">
        <v>1816393.2000356747</v>
      </c>
      <c r="G94" s="181">
        <v>-1412388855.4623277</v>
      </c>
      <c r="H94" s="27"/>
      <c r="I94" s="181">
        <v>-1280258062.5835309</v>
      </c>
      <c r="J94" s="181">
        <v>-8820726.9787761793</v>
      </c>
      <c r="K94" s="181">
        <v>-13230005.209756112</v>
      </c>
      <c r="L94" s="181">
        <v>0</v>
      </c>
      <c r="M94" s="181">
        <v>-1302308794.7720635</v>
      </c>
      <c r="O94" s="158">
        <v>75</v>
      </c>
      <c r="P94" s="164" t="s">
        <v>0</v>
      </c>
      <c r="Q94" s="181">
        <v>-1417003604.7176015</v>
      </c>
      <c r="R94" s="181">
        <v>0</v>
      </c>
      <c r="S94" s="181">
        <v>2798356.0552379121</v>
      </c>
      <c r="T94" s="181">
        <v>1816393.2000356747</v>
      </c>
      <c r="U94" s="181">
        <v>-1412388855.4623277</v>
      </c>
      <c r="V94" s="27"/>
      <c r="W94" s="181">
        <v>-1280258062.5835309</v>
      </c>
      <c r="X94" s="181">
        <v>-8820726.9787761793</v>
      </c>
      <c r="Y94" s="181">
        <v>-13230005.209756112</v>
      </c>
      <c r="Z94" s="181">
        <v>0</v>
      </c>
      <c r="AA94" s="181">
        <v>-1302308794.7720635</v>
      </c>
      <c r="AC94" s="158">
        <v>75</v>
      </c>
      <c r="AD94" s="164" t="s">
        <v>0</v>
      </c>
      <c r="AE94" s="181">
        <f t="shared" si="5"/>
        <v>0</v>
      </c>
      <c r="AF94" s="181">
        <f t="shared" si="5"/>
        <v>0</v>
      </c>
      <c r="AG94" s="181">
        <f t="shared" si="5"/>
        <v>0</v>
      </c>
      <c r="AH94" s="181">
        <f t="shared" si="4"/>
        <v>0</v>
      </c>
      <c r="AI94" s="181">
        <f t="shared" si="4"/>
        <v>0</v>
      </c>
      <c r="AJ94" s="181">
        <f t="shared" si="4"/>
        <v>0</v>
      </c>
      <c r="AK94" s="181">
        <f t="shared" si="4"/>
        <v>0</v>
      </c>
      <c r="AL94" s="181">
        <f t="shared" si="4"/>
        <v>0</v>
      </c>
      <c r="AM94" s="181">
        <f t="shared" si="4"/>
        <v>0</v>
      </c>
      <c r="AN94" s="181">
        <f t="shared" si="2"/>
        <v>0</v>
      </c>
      <c r="AO94" s="181">
        <f t="shared" si="2"/>
        <v>0</v>
      </c>
    </row>
    <row r="95" spans="1:41" x14ac:dyDescent="0.3">
      <c r="A95" s="158" t="str">
        <f>IF(ISBLANK(B95),"",MAX(A$6:A94)+1)</f>
        <v/>
      </c>
      <c r="B95" s="21"/>
      <c r="C95" s="35"/>
      <c r="D95" s="35"/>
      <c r="E95" s="35"/>
      <c r="F95" s="35"/>
      <c r="G95" s="35"/>
      <c r="H95" s="25"/>
      <c r="I95" s="35"/>
      <c r="J95" s="35"/>
      <c r="K95" s="35"/>
      <c r="L95" s="35"/>
      <c r="M95" s="35"/>
      <c r="O95" s="158" t="s">
        <v>790</v>
      </c>
      <c r="P95" s="21"/>
      <c r="Q95" s="35"/>
      <c r="R95" s="35"/>
      <c r="S95" s="35"/>
      <c r="T95" s="35"/>
      <c r="U95" s="35"/>
      <c r="V95" s="25"/>
      <c r="W95" s="35"/>
      <c r="X95" s="35"/>
      <c r="Y95" s="35"/>
      <c r="Z95" s="35"/>
      <c r="AA95" s="35"/>
      <c r="AC95" s="158" t="s">
        <v>790</v>
      </c>
      <c r="AD95" s="21"/>
      <c r="AE95" s="35">
        <f t="shared" si="5"/>
        <v>0</v>
      </c>
      <c r="AF95" s="35">
        <f t="shared" si="5"/>
        <v>0</v>
      </c>
      <c r="AG95" s="35">
        <f t="shared" si="5"/>
        <v>0</v>
      </c>
      <c r="AH95" s="35">
        <f t="shared" si="4"/>
        <v>0</v>
      </c>
      <c r="AI95" s="35">
        <f t="shared" si="4"/>
        <v>0</v>
      </c>
      <c r="AJ95" s="35">
        <f t="shared" si="4"/>
        <v>0</v>
      </c>
      <c r="AK95" s="35">
        <f t="shared" si="4"/>
        <v>0</v>
      </c>
      <c r="AL95" s="35">
        <f t="shared" si="4"/>
        <v>0</v>
      </c>
      <c r="AM95" s="35">
        <f t="shared" si="4"/>
        <v>0</v>
      </c>
      <c r="AN95" s="35">
        <f t="shared" si="2"/>
        <v>0</v>
      </c>
      <c r="AO95" s="35">
        <f t="shared" si="2"/>
        <v>0</v>
      </c>
    </row>
    <row r="96" spans="1:41" x14ac:dyDescent="0.3">
      <c r="A96" s="158">
        <f>IF(ISBLANK(B96),"",MAX(A$6:A95)+1)</f>
        <v>76</v>
      </c>
      <c r="B96" s="180" t="s">
        <v>73</v>
      </c>
      <c r="C96" s="35"/>
      <c r="D96" s="35"/>
      <c r="E96" s="35"/>
      <c r="F96" s="35"/>
      <c r="G96" s="35"/>
      <c r="H96" s="25"/>
      <c r="I96" s="35"/>
      <c r="J96" s="35"/>
      <c r="K96" s="35"/>
      <c r="L96" s="35"/>
      <c r="M96" s="35"/>
      <c r="O96" s="158">
        <v>76</v>
      </c>
      <c r="P96" s="180" t="s">
        <v>73</v>
      </c>
      <c r="Q96" s="35"/>
      <c r="R96" s="35"/>
      <c r="S96" s="35"/>
      <c r="T96" s="35"/>
      <c r="U96" s="35"/>
      <c r="V96" s="25"/>
      <c r="W96" s="35"/>
      <c r="X96" s="35"/>
      <c r="Y96" s="35"/>
      <c r="Z96" s="35"/>
      <c r="AA96" s="35"/>
      <c r="AC96" s="158">
        <v>76</v>
      </c>
      <c r="AD96" s="180" t="s">
        <v>73</v>
      </c>
      <c r="AE96" s="35">
        <f t="shared" si="5"/>
        <v>0</v>
      </c>
      <c r="AF96" s="35">
        <f t="shared" si="5"/>
        <v>0</v>
      </c>
      <c r="AG96" s="35">
        <f t="shared" si="5"/>
        <v>0</v>
      </c>
      <c r="AH96" s="35">
        <f t="shared" si="4"/>
        <v>0</v>
      </c>
      <c r="AI96" s="35">
        <f t="shared" si="4"/>
        <v>0</v>
      </c>
      <c r="AJ96" s="35">
        <f t="shared" si="4"/>
        <v>0</v>
      </c>
      <c r="AK96" s="35">
        <f t="shared" si="4"/>
        <v>0</v>
      </c>
      <c r="AL96" s="35">
        <f t="shared" si="4"/>
        <v>0</v>
      </c>
      <c r="AM96" s="35">
        <f t="shared" si="4"/>
        <v>0</v>
      </c>
      <c r="AN96" s="35">
        <f t="shared" si="2"/>
        <v>0</v>
      </c>
      <c r="AO96" s="35">
        <f t="shared" si="2"/>
        <v>0</v>
      </c>
    </row>
    <row r="97" spans="1:41" x14ac:dyDescent="0.3">
      <c r="A97" s="158">
        <f>IF(ISBLANK(B97),"",MAX(A$6:A96)+1)</f>
        <v>77</v>
      </c>
      <c r="B97" s="21" t="s">
        <v>64</v>
      </c>
      <c r="C97" s="177">
        <v>1726657062.6082206</v>
      </c>
      <c r="D97" s="177">
        <v>0</v>
      </c>
      <c r="E97" s="177">
        <v>0</v>
      </c>
      <c r="F97" s="177">
        <v>0</v>
      </c>
      <c r="G97" s="177">
        <v>1726657062.6082206</v>
      </c>
      <c r="H97" s="26"/>
      <c r="I97" s="177">
        <v>1632183594.391304</v>
      </c>
      <c r="J97" s="177">
        <v>0</v>
      </c>
      <c r="K97" s="177">
        <v>0</v>
      </c>
      <c r="L97" s="177">
        <v>0</v>
      </c>
      <c r="M97" s="177">
        <v>1632183594.391304</v>
      </c>
      <c r="O97" s="158">
        <v>77</v>
      </c>
      <c r="P97" s="21" t="s">
        <v>64</v>
      </c>
      <c r="Q97" s="177">
        <v>1726657062.6082206</v>
      </c>
      <c r="R97" s="177">
        <v>0</v>
      </c>
      <c r="S97" s="177">
        <v>0</v>
      </c>
      <c r="T97" s="177">
        <v>0</v>
      </c>
      <c r="U97" s="177">
        <v>1726657062.6082206</v>
      </c>
      <c r="V97" s="26"/>
      <c r="W97" s="177">
        <v>1632183594.391304</v>
      </c>
      <c r="X97" s="177">
        <v>0</v>
      </c>
      <c r="Y97" s="177">
        <v>0</v>
      </c>
      <c r="Z97" s="177">
        <v>0</v>
      </c>
      <c r="AA97" s="177">
        <v>1632183594.391304</v>
      </c>
      <c r="AC97" s="158">
        <v>77</v>
      </c>
      <c r="AD97" s="21" t="s">
        <v>64</v>
      </c>
      <c r="AE97" s="177">
        <f t="shared" si="5"/>
        <v>0</v>
      </c>
      <c r="AF97" s="177">
        <f t="shared" si="5"/>
        <v>0</v>
      </c>
      <c r="AG97" s="177">
        <f t="shared" si="5"/>
        <v>0</v>
      </c>
      <c r="AH97" s="177">
        <f t="shared" si="4"/>
        <v>0</v>
      </c>
      <c r="AI97" s="177">
        <f t="shared" si="4"/>
        <v>0</v>
      </c>
      <c r="AJ97" s="177">
        <f t="shared" si="4"/>
        <v>0</v>
      </c>
      <c r="AK97" s="177">
        <f t="shared" si="4"/>
        <v>0</v>
      </c>
      <c r="AL97" s="177">
        <f t="shared" si="4"/>
        <v>0</v>
      </c>
      <c r="AM97" s="177">
        <f t="shared" si="4"/>
        <v>0</v>
      </c>
      <c r="AN97" s="177">
        <f t="shared" si="2"/>
        <v>0</v>
      </c>
      <c r="AO97" s="177">
        <f t="shared" si="2"/>
        <v>0</v>
      </c>
    </row>
    <row r="98" spans="1:41" x14ac:dyDescent="0.3">
      <c r="A98" s="158">
        <f>IF(ISBLANK(B98),"",MAX(A$6:A97)+1)</f>
        <v>78</v>
      </c>
      <c r="B98" s="21" t="s">
        <v>65</v>
      </c>
      <c r="C98" s="162">
        <v>880299629.19970214</v>
      </c>
      <c r="D98" s="162">
        <v>0</v>
      </c>
      <c r="E98" s="162">
        <v>0</v>
      </c>
      <c r="F98" s="162">
        <v>0</v>
      </c>
      <c r="G98" s="162">
        <v>880299629.19970214</v>
      </c>
      <c r="H98" s="182"/>
      <c r="I98" s="162">
        <v>995440756.24045706</v>
      </c>
      <c r="J98" s="162">
        <v>0</v>
      </c>
      <c r="K98" s="162">
        <v>0</v>
      </c>
      <c r="L98" s="162">
        <v>0</v>
      </c>
      <c r="M98" s="162">
        <v>995440756.24045706</v>
      </c>
      <c r="O98" s="158">
        <v>78</v>
      </c>
      <c r="P98" s="21" t="s">
        <v>65</v>
      </c>
      <c r="Q98" s="162">
        <v>880299629.19970214</v>
      </c>
      <c r="R98" s="162">
        <v>0</v>
      </c>
      <c r="S98" s="162">
        <v>0</v>
      </c>
      <c r="T98" s="162">
        <v>0</v>
      </c>
      <c r="U98" s="162">
        <v>880299629.19970214</v>
      </c>
      <c r="V98" s="182"/>
      <c r="W98" s="162">
        <v>995440756.24045706</v>
      </c>
      <c r="X98" s="162">
        <v>0</v>
      </c>
      <c r="Y98" s="162">
        <v>0</v>
      </c>
      <c r="Z98" s="162">
        <v>0</v>
      </c>
      <c r="AA98" s="162">
        <v>995440756.24045706</v>
      </c>
      <c r="AC98" s="158">
        <v>78</v>
      </c>
      <c r="AD98" s="21" t="s">
        <v>65</v>
      </c>
      <c r="AE98" s="162">
        <f t="shared" si="5"/>
        <v>0</v>
      </c>
      <c r="AF98" s="162">
        <f t="shared" si="5"/>
        <v>0</v>
      </c>
      <c r="AG98" s="162">
        <f t="shared" si="5"/>
        <v>0</v>
      </c>
      <c r="AH98" s="162">
        <f t="shared" si="4"/>
        <v>0</v>
      </c>
      <c r="AI98" s="162">
        <f t="shared" si="4"/>
        <v>0</v>
      </c>
      <c r="AJ98" s="162">
        <f t="shared" si="4"/>
        <v>0</v>
      </c>
      <c r="AK98" s="162">
        <f t="shared" si="4"/>
        <v>0</v>
      </c>
      <c r="AL98" s="162">
        <f t="shared" si="4"/>
        <v>0</v>
      </c>
      <c r="AM98" s="162">
        <f t="shared" si="4"/>
        <v>0</v>
      </c>
      <c r="AN98" s="162">
        <f t="shared" si="2"/>
        <v>0</v>
      </c>
      <c r="AO98" s="162">
        <f t="shared" si="2"/>
        <v>0</v>
      </c>
    </row>
    <row r="99" spans="1:41" x14ac:dyDescent="0.3">
      <c r="A99" s="158">
        <f>IF(ISBLANK(B99),"",MAX(A$6:A98)+1)</f>
        <v>79</v>
      </c>
      <c r="B99" s="21" t="s">
        <v>66</v>
      </c>
      <c r="C99" s="35">
        <v>1732215393.0162663</v>
      </c>
      <c r="D99" s="35">
        <v>0</v>
      </c>
      <c r="E99" s="35">
        <v>-37487757.953703716</v>
      </c>
      <c r="F99" s="35">
        <v>0</v>
      </c>
      <c r="G99" s="35">
        <v>1694727635.0625625</v>
      </c>
      <c r="H99" s="182"/>
      <c r="I99" s="35">
        <v>1826103551.0342817</v>
      </c>
      <c r="J99" s="35">
        <v>134304559.37698671</v>
      </c>
      <c r="K99" s="35">
        <v>0</v>
      </c>
      <c r="L99" s="35">
        <v>0</v>
      </c>
      <c r="M99" s="35">
        <v>1960408110.4112682</v>
      </c>
      <c r="O99" s="158">
        <v>79</v>
      </c>
      <c r="P99" s="21" t="s">
        <v>66</v>
      </c>
      <c r="Q99" s="35">
        <v>1732215393.0162663</v>
      </c>
      <c r="R99" s="35">
        <v>0</v>
      </c>
      <c r="S99" s="35">
        <v>-37487757.953703716</v>
      </c>
      <c r="T99" s="35">
        <v>0</v>
      </c>
      <c r="U99" s="35">
        <v>1694727635.0625625</v>
      </c>
      <c r="V99" s="182"/>
      <c r="W99" s="35">
        <v>1826103551.0342817</v>
      </c>
      <c r="X99" s="35">
        <v>134304559.37698671</v>
      </c>
      <c r="Y99" s="35">
        <v>0</v>
      </c>
      <c r="Z99" s="35">
        <v>0</v>
      </c>
      <c r="AA99" s="35">
        <v>1960408110.4112682</v>
      </c>
      <c r="AC99" s="158">
        <v>79</v>
      </c>
      <c r="AD99" s="21" t="s">
        <v>66</v>
      </c>
      <c r="AE99" s="35">
        <f t="shared" si="5"/>
        <v>0</v>
      </c>
      <c r="AF99" s="35">
        <f t="shared" si="5"/>
        <v>0</v>
      </c>
      <c r="AG99" s="35">
        <f t="shared" si="5"/>
        <v>0</v>
      </c>
      <c r="AH99" s="35">
        <f t="shared" si="4"/>
        <v>0</v>
      </c>
      <c r="AI99" s="35">
        <f t="shared" si="4"/>
        <v>0</v>
      </c>
      <c r="AJ99" s="35">
        <f t="shared" si="4"/>
        <v>0</v>
      </c>
      <c r="AK99" s="35">
        <f t="shared" si="4"/>
        <v>0</v>
      </c>
      <c r="AL99" s="35">
        <f t="shared" si="4"/>
        <v>0</v>
      </c>
      <c r="AM99" s="35">
        <f t="shared" si="4"/>
        <v>0</v>
      </c>
      <c r="AN99" s="35">
        <f t="shared" si="2"/>
        <v>0</v>
      </c>
      <c r="AO99" s="35">
        <f t="shared" si="2"/>
        <v>0</v>
      </c>
    </row>
    <row r="100" spans="1:41" x14ac:dyDescent="0.3">
      <c r="A100" s="158">
        <f>IF(ISBLANK(B100),"",MAX(A$6:A99)+1)</f>
        <v>80</v>
      </c>
      <c r="B100" s="21" t="s">
        <v>67</v>
      </c>
      <c r="C100" s="35">
        <v>245266539.42247504</v>
      </c>
      <c r="D100" s="35">
        <v>0</v>
      </c>
      <c r="E100" s="35">
        <v>0</v>
      </c>
      <c r="F100" s="35">
        <v>-27876144.997406568</v>
      </c>
      <c r="G100" s="35">
        <v>217390394.4250685</v>
      </c>
      <c r="H100" s="182"/>
      <c r="I100" s="35">
        <v>191298157.05797598</v>
      </c>
      <c r="J100" s="35">
        <v>0</v>
      </c>
      <c r="K100" s="35">
        <v>112328774.41348831</v>
      </c>
      <c r="L100" s="35">
        <v>0</v>
      </c>
      <c r="M100" s="35">
        <v>303626931.47146422</v>
      </c>
      <c r="O100" s="158">
        <v>80</v>
      </c>
      <c r="P100" s="21" t="s">
        <v>67</v>
      </c>
      <c r="Q100" s="35">
        <v>245266539.42247504</v>
      </c>
      <c r="R100" s="35">
        <v>0</v>
      </c>
      <c r="S100" s="35">
        <v>0</v>
      </c>
      <c r="T100" s="35">
        <v>-27876144.997406568</v>
      </c>
      <c r="U100" s="35">
        <v>217390394.4250685</v>
      </c>
      <c r="V100" s="182"/>
      <c r="W100" s="35">
        <v>191298157.05797598</v>
      </c>
      <c r="X100" s="35">
        <v>0</v>
      </c>
      <c r="Y100" s="35">
        <v>112328774.41348831</v>
      </c>
      <c r="Z100" s="35">
        <v>0</v>
      </c>
      <c r="AA100" s="35">
        <v>303626931.47146422</v>
      </c>
      <c r="AC100" s="158">
        <v>80</v>
      </c>
      <c r="AD100" s="21" t="s">
        <v>67</v>
      </c>
      <c r="AE100" s="35">
        <f t="shared" si="5"/>
        <v>0</v>
      </c>
      <c r="AF100" s="35">
        <f t="shared" si="5"/>
        <v>0</v>
      </c>
      <c r="AG100" s="35">
        <f t="shared" si="5"/>
        <v>0</v>
      </c>
      <c r="AH100" s="35">
        <f t="shared" si="4"/>
        <v>0</v>
      </c>
      <c r="AI100" s="35">
        <f t="shared" si="4"/>
        <v>0</v>
      </c>
      <c r="AJ100" s="35">
        <f t="shared" si="4"/>
        <v>0</v>
      </c>
      <c r="AK100" s="35">
        <f t="shared" si="4"/>
        <v>0</v>
      </c>
      <c r="AL100" s="35">
        <f t="shared" si="4"/>
        <v>0</v>
      </c>
      <c r="AM100" s="35">
        <f t="shared" si="4"/>
        <v>0</v>
      </c>
      <c r="AN100" s="35">
        <f t="shared" si="2"/>
        <v>0</v>
      </c>
      <c r="AO100" s="35">
        <f t="shared" si="2"/>
        <v>0</v>
      </c>
    </row>
    <row r="101" spans="1:41" x14ac:dyDescent="0.3">
      <c r="A101" s="158">
        <f>IF(ISBLANK(B101),"",MAX(A$6:A100)+1)</f>
        <v>81</v>
      </c>
      <c r="B101" s="21" t="s">
        <v>68</v>
      </c>
      <c r="C101" s="35">
        <v>322797048.67021996</v>
      </c>
      <c r="D101" s="35">
        <v>0</v>
      </c>
      <c r="E101" s="35">
        <v>0</v>
      </c>
      <c r="F101" s="35">
        <v>0</v>
      </c>
      <c r="G101" s="35">
        <v>322797048.67021996</v>
      </c>
      <c r="H101" s="182"/>
      <c r="I101" s="35">
        <v>329275868.90638149</v>
      </c>
      <c r="J101" s="35">
        <v>0</v>
      </c>
      <c r="K101" s="35">
        <v>0</v>
      </c>
      <c r="L101" s="35">
        <v>0</v>
      </c>
      <c r="M101" s="35">
        <v>329275868.90638149</v>
      </c>
      <c r="O101" s="158">
        <v>81</v>
      </c>
      <c r="P101" s="21" t="s">
        <v>68</v>
      </c>
      <c r="Q101" s="35">
        <v>322797048.67021996</v>
      </c>
      <c r="R101" s="35">
        <v>0</v>
      </c>
      <c r="S101" s="35">
        <v>0</v>
      </c>
      <c r="T101" s="35">
        <v>0</v>
      </c>
      <c r="U101" s="35">
        <v>322797048.67021996</v>
      </c>
      <c r="V101" s="182"/>
      <c r="W101" s="35">
        <v>329275868.90638149</v>
      </c>
      <c r="X101" s="35">
        <v>0</v>
      </c>
      <c r="Y101" s="35">
        <v>0</v>
      </c>
      <c r="Z101" s="35">
        <v>0</v>
      </c>
      <c r="AA101" s="35">
        <v>329275868.90638149</v>
      </c>
      <c r="AC101" s="158">
        <v>81</v>
      </c>
      <c r="AD101" s="21" t="s">
        <v>68</v>
      </c>
      <c r="AE101" s="35">
        <f t="shared" si="5"/>
        <v>0</v>
      </c>
      <c r="AF101" s="35">
        <f t="shared" si="5"/>
        <v>0</v>
      </c>
      <c r="AG101" s="35">
        <f t="shared" si="5"/>
        <v>0</v>
      </c>
      <c r="AH101" s="35">
        <f t="shared" si="4"/>
        <v>0</v>
      </c>
      <c r="AI101" s="35">
        <f t="shared" si="4"/>
        <v>0</v>
      </c>
      <c r="AJ101" s="35">
        <f t="shared" si="4"/>
        <v>0</v>
      </c>
      <c r="AK101" s="35">
        <f t="shared" si="4"/>
        <v>0</v>
      </c>
      <c r="AL101" s="35">
        <f t="shared" si="4"/>
        <v>0</v>
      </c>
      <c r="AM101" s="35">
        <f t="shared" si="4"/>
        <v>0</v>
      </c>
      <c r="AN101" s="35">
        <f t="shared" si="2"/>
        <v>0</v>
      </c>
      <c r="AO101" s="35">
        <f t="shared" si="2"/>
        <v>0</v>
      </c>
    </row>
    <row r="102" spans="1:41" x14ac:dyDescent="0.3">
      <c r="A102" s="158">
        <f>IF(ISBLANK(B102),"",MAX(A$6:A101)+1)</f>
        <v>82</v>
      </c>
      <c r="B102" s="164" t="s">
        <v>0</v>
      </c>
      <c r="C102" s="181">
        <v>4907235672.9168844</v>
      </c>
      <c r="D102" s="181">
        <v>0</v>
      </c>
      <c r="E102" s="181">
        <v>-37487757.953703716</v>
      </c>
      <c r="F102" s="181">
        <v>-27876144.997406568</v>
      </c>
      <c r="G102" s="181">
        <v>4841871769.9657745</v>
      </c>
      <c r="H102" s="27"/>
      <c r="I102" s="181">
        <v>4974301927.6303997</v>
      </c>
      <c r="J102" s="181">
        <v>134304559.37698671</v>
      </c>
      <c r="K102" s="181">
        <v>112328774.41348831</v>
      </c>
      <c r="L102" s="181">
        <v>0</v>
      </c>
      <c r="M102" s="181">
        <v>5220935261.4208755</v>
      </c>
      <c r="O102" s="158">
        <v>82</v>
      </c>
      <c r="P102" s="164" t="s">
        <v>0</v>
      </c>
      <c r="Q102" s="181">
        <v>4907235672.9168844</v>
      </c>
      <c r="R102" s="181">
        <v>0</v>
      </c>
      <c r="S102" s="181">
        <v>-37487757.953703716</v>
      </c>
      <c r="T102" s="181">
        <v>-27876144.997406568</v>
      </c>
      <c r="U102" s="181">
        <v>4841871769.9657745</v>
      </c>
      <c r="V102" s="27"/>
      <c r="W102" s="181">
        <v>4974301927.6303997</v>
      </c>
      <c r="X102" s="181">
        <v>134304559.37698671</v>
      </c>
      <c r="Y102" s="181">
        <v>112328774.41348831</v>
      </c>
      <c r="Z102" s="181">
        <v>0</v>
      </c>
      <c r="AA102" s="181">
        <v>5220935261.4208755</v>
      </c>
      <c r="AC102" s="158">
        <v>82</v>
      </c>
      <c r="AD102" s="164" t="s">
        <v>0</v>
      </c>
      <c r="AE102" s="181">
        <f t="shared" si="5"/>
        <v>0</v>
      </c>
      <c r="AF102" s="181">
        <f t="shared" si="5"/>
        <v>0</v>
      </c>
      <c r="AG102" s="181">
        <f t="shared" si="5"/>
        <v>0</v>
      </c>
      <c r="AH102" s="181">
        <f t="shared" si="4"/>
        <v>0</v>
      </c>
      <c r="AI102" s="181">
        <f t="shared" si="4"/>
        <v>0</v>
      </c>
      <c r="AJ102" s="181">
        <f t="shared" si="4"/>
        <v>0</v>
      </c>
      <c r="AK102" s="181">
        <f t="shared" si="4"/>
        <v>0</v>
      </c>
      <c r="AL102" s="181">
        <f t="shared" si="4"/>
        <v>0</v>
      </c>
      <c r="AM102" s="181">
        <f t="shared" si="4"/>
        <v>0</v>
      </c>
      <c r="AN102" s="181">
        <f t="shared" si="2"/>
        <v>0</v>
      </c>
      <c r="AO102" s="181">
        <f t="shared" si="2"/>
        <v>0</v>
      </c>
    </row>
    <row r="103" spans="1:41" x14ac:dyDescent="0.3">
      <c r="A103" s="158" t="str">
        <f>IF(ISBLANK(B103),"",MAX(A$6:A102)+1)</f>
        <v/>
      </c>
      <c r="B103" s="169"/>
      <c r="C103" s="177"/>
      <c r="D103" s="177"/>
      <c r="E103" s="177"/>
      <c r="F103" s="177"/>
      <c r="G103" s="177"/>
      <c r="H103" s="25"/>
      <c r="I103" s="177"/>
      <c r="J103" s="177"/>
      <c r="K103" s="177"/>
      <c r="L103" s="177"/>
      <c r="M103" s="177"/>
      <c r="O103" s="158" t="s">
        <v>790</v>
      </c>
      <c r="P103" s="169"/>
      <c r="Q103" s="177"/>
      <c r="R103" s="177"/>
      <c r="S103" s="177"/>
      <c r="T103" s="177"/>
      <c r="U103" s="177"/>
      <c r="V103" s="25"/>
      <c r="W103" s="177"/>
      <c r="X103" s="177"/>
      <c r="Y103" s="177"/>
      <c r="Z103" s="177"/>
      <c r="AA103" s="177"/>
      <c r="AC103" s="158" t="s">
        <v>790</v>
      </c>
      <c r="AD103" s="169"/>
      <c r="AE103" s="177">
        <f t="shared" si="5"/>
        <v>0</v>
      </c>
      <c r="AF103" s="177">
        <f t="shared" si="5"/>
        <v>0</v>
      </c>
      <c r="AG103" s="177">
        <f t="shared" si="5"/>
        <v>0</v>
      </c>
      <c r="AH103" s="177">
        <f t="shared" si="4"/>
        <v>0</v>
      </c>
      <c r="AI103" s="177">
        <f t="shared" si="4"/>
        <v>0</v>
      </c>
      <c r="AJ103" s="177">
        <f t="shared" si="4"/>
        <v>0</v>
      </c>
      <c r="AK103" s="177">
        <f t="shared" si="4"/>
        <v>0</v>
      </c>
      <c r="AL103" s="177">
        <f t="shared" si="4"/>
        <v>0</v>
      </c>
      <c r="AM103" s="177">
        <f t="shared" si="4"/>
        <v>0</v>
      </c>
      <c r="AN103" s="177">
        <f t="shared" si="2"/>
        <v>0</v>
      </c>
      <c r="AO103" s="177">
        <f t="shared" si="2"/>
        <v>0</v>
      </c>
    </row>
    <row r="104" spans="1:41" x14ac:dyDescent="0.3">
      <c r="A104" s="158">
        <f>IF(ISBLANK(B104),"",MAX(A$6:A102)+1)</f>
        <v>83</v>
      </c>
      <c r="B104" s="169" t="s">
        <v>74</v>
      </c>
      <c r="C104" s="177">
        <v>-23695575.657928072</v>
      </c>
      <c r="D104" s="177"/>
      <c r="E104" s="177"/>
      <c r="F104" s="177"/>
      <c r="G104" s="177">
        <v>-23695575.657928072</v>
      </c>
      <c r="H104" s="59"/>
      <c r="I104" s="177">
        <v>-23695575.657928072</v>
      </c>
      <c r="J104" s="177"/>
      <c r="K104" s="177"/>
      <c r="L104" s="177"/>
      <c r="M104" s="177">
        <v>-23695575.657928072</v>
      </c>
      <c r="O104" s="158">
        <v>83</v>
      </c>
      <c r="P104" s="169" t="s">
        <v>74</v>
      </c>
      <c r="Q104" s="177">
        <v>-23695575.657928072</v>
      </c>
      <c r="R104" s="177"/>
      <c r="S104" s="177"/>
      <c r="T104" s="177"/>
      <c r="U104" s="177">
        <v>-23695575.657928072</v>
      </c>
      <c r="V104" s="59"/>
      <c r="W104" s="177">
        <v>-23695575.657928072</v>
      </c>
      <c r="X104" s="177"/>
      <c r="Y104" s="177"/>
      <c r="Z104" s="177"/>
      <c r="AA104" s="177">
        <v>-23695575.657928072</v>
      </c>
      <c r="AC104" s="158">
        <v>83</v>
      </c>
      <c r="AD104" s="169" t="s">
        <v>74</v>
      </c>
      <c r="AE104" s="177">
        <f t="shared" si="5"/>
        <v>0</v>
      </c>
      <c r="AF104" s="177">
        <f t="shared" si="5"/>
        <v>0</v>
      </c>
      <c r="AG104" s="177">
        <f t="shared" si="5"/>
        <v>0</v>
      </c>
      <c r="AH104" s="177">
        <f t="shared" si="4"/>
        <v>0</v>
      </c>
      <c r="AI104" s="177">
        <f t="shared" si="4"/>
        <v>0</v>
      </c>
      <c r="AJ104" s="177">
        <f t="shared" si="4"/>
        <v>0</v>
      </c>
      <c r="AK104" s="177">
        <f t="shared" si="4"/>
        <v>0</v>
      </c>
      <c r="AL104" s="177">
        <f t="shared" si="4"/>
        <v>0</v>
      </c>
      <c r="AM104" s="177">
        <f t="shared" si="4"/>
        <v>0</v>
      </c>
      <c r="AN104" s="177">
        <f t="shared" si="2"/>
        <v>0</v>
      </c>
      <c r="AO104" s="177">
        <f t="shared" si="2"/>
        <v>0</v>
      </c>
    </row>
    <row r="105" spans="1:41" x14ac:dyDescent="0.3">
      <c r="A105" s="158">
        <f>IF(ISBLANK(B105),"",MAX(A$6:A103)+1)</f>
        <v>83</v>
      </c>
      <c r="B105" s="76" t="s">
        <v>75</v>
      </c>
      <c r="C105" s="162">
        <v>281073578.47439861</v>
      </c>
      <c r="D105" s="162"/>
      <c r="E105" s="162"/>
      <c r="F105" s="162"/>
      <c r="G105" s="162">
        <v>281073578.47439861</v>
      </c>
      <c r="H105" s="182"/>
      <c r="I105" s="162">
        <v>281073578.47439861</v>
      </c>
      <c r="J105" s="162"/>
      <c r="K105" s="162"/>
      <c r="L105" s="162"/>
      <c r="M105" s="162">
        <v>281073578.47439861</v>
      </c>
      <c r="O105" s="158">
        <v>83</v>
      </c>
      <c r="P105" s="76" t="s">
        <v>75</v>
      </c>
      <c r="Q105" s="162">
        <v>281073578.47439861</v>
      </c>
      <c r="R105" s="162"/>
      <c r="S105" s="162"/>
      <c r="T105" s="162"/>
      <c r="U105" s="162">
        <v>281073578.47439861</v>
      </c>
      <c r="V105" s="182"/>
      <c r="W105" s="162">
        <v>281073578.47439861</v>
      </c>
      <c r="X105" s="162"/>
      <c r="Y105" s="162"/>
      <c r="Z105" s="162"/>
      <c r="AA105" s="162">
        <v>281073578.47439861</v>
      </c>
      <c r="AC105" s="158">
        <v>83</v>
      </c>
      <c r="AD105" s="76" t="s">
        <v>75</v>
      </c>
      <c r="AE105" s="162">
        <f t="shared" si="5"/>
        <v>0</v>
      </c>
      <c r="AF105" s="162">
        <f t="shared" si="5"/>
        <v>0</v>
      </c>
      <c r="AG105" s="162">
        <f t="shared" si="5"/>
        <v>0</v>
      </c>
      <c r="AH105" s="162">
        <f t="shared" si="4"/>
        <v>0</v>
      </c>
      <c r="AI105" s="162">
        <f t="shared" si="4"/>
        <v>0</v>
      </c>
      <c r="AJ105" s="162">
        <f t="shared" si="4"/>
        <v>0</v>
      </c>
      <c r="AK105" s="162">
        <f t="shared" si="4"/>
        <v>0</v>
      </c>
      <c r="AL105" s="162">
        <f t="shared" si="4"/>
        <v>0</v>
      </c>
      <c r="AM105" s="162">
        <f t="shared" si="4"/>
        <v>0</v>
      </c>
      <c r="AN105" s="162">
        <f t="shared" si="2"/>
        <v>0</v>
      </c>
      <c r="AO105" s="162">
        <f t="shared" si="2"/>
        <v>0</v>
      </c>
    </row>
    <row r="106" spans="1:41" x14ac:dyDescent="0.3">
      <c r="A106" s="158">
        <f>IF(ISBLANK(B106),"",MAX(A$6:A105)+1)</f>
        <v>84</v>
      </c>
      <c r="B106" s="76" t="s">
        <v>76</v>
      </c>
      <c r="C106" s="162">
        <v>145303204.9988502</v>
      </c>
      <c r="D106" s="162"/>
      <c r="E106" s="162"/>
      <c r="F106" s="162"/>
      <c r="G106" s="162">
        <v>145303204.9988502</v>
      </c>
      <c r="H106" s="182"/>
      <c r="I106" s="162">
        <v>145303204.9988502</v>
      </c>
      <c r="J106" s="162"/>
      <c r="K106" s="162"/>
      <c r="L106" s="162"/>
      <c r="M106" s="162">
        <v>145303204.9988502</v>
      </c>
      <c r="O106" s="158">
        <v>84</v>
      </c>
      <c r="P106" s="76" t="s">
        <v>76</v>
      </c>
      <c r="Q106" s="162">
        <v>145303204.9988502</v>
      </c>
      <c r="R106" s="162"/>
      <c r="S106" s="162"/>
      <c r="T106" s="162"/>
      <c r="U106" s="162">
        <v>145303204.9988502</v>
      </c>
      <c r="V106" s="182"/>
      <c r="W106" s="162">
        <v>145303204.9988502</v>
      </c>
      <c r="X106" s="162"/>
      <c r="Y106" s="162"/>
      <c r="Z106" s="162"/>
      <c r="AA106" s="162">
        <v>145303204.9988502</v>
      </c>
      <c r="AC106" s="158">
        <v>84</v>
      </c>
      <c r="AD106" s="76" t="s">
        <v>76</v>
      </c>
      <c r="AE106" s="162">
        <f t="shared" si="5"/>
        <v>0</v>
      </c>
      <c r="AF106" s="162">
        <f t="shared" si="5"/>
        <v>0</v>
      </c>
      <c r="AG106" s="162">
        <f t="shared" si="5"/>
        <v>0</v>
      </c>
      <c r="AH106" s="162">
        <f t="shared" si="4"/>
        <v>0</v>
      </c>
      <c r="AI106" s="162">
        <f t="shared" si="4"/>
        <v>0</v>
      </c>
      <c r="AJ106" s="162">
        <f t="shared" si="4"/>
        <v>0</v>
      </c>
      <c r="AK106" s="162">
        <f t="shared" si="4"/>
        <v>0</v>
      </c>
      <c r="AL106" s="162">
        <f t="shared" si="4"/>
        <v>0</v>
      </c>
      <c r="AM106" s="162">
        <f t="shared" si="4"/>
        <v>0</v>
      </c>
      <c r="AN106" s="162">
        <f t="shared" si="2"/>
        <v>0</v>
      </c>
      <c r="AO106" s="162">
        <f t="shared" si="2"/>
        <v>0</v>
      </c>
    </row>
    <row r="107" spans="1:41" x14ac:dyDescent="0.3">
      <c r="A107" s="158">
        <f>IF(ISBLANK(B107),"",MAX(A$6:A106)+1)</f>
        <v>85</v>
      </c>
      <c r="B107" s="76" t="s">
        <v>77</v>
      </c>
      <c r="C107" s="162">
        <v>-106223263.53024991</v>
      </c>
      <c r="D107" s="162"/>
      <c r="E107" s="162"/>
      <c r="F107" s="162"/>
      <c r="G107" s="162">
        <v>-106223263.53024991</v>
      </c>
      <c r="H107" s="182"/>
      <c r="I107" s="162">
        <v>-106223263.53024991</v>
      </c>
      <c r="J107" s="162"/>
      <c r="K107" s="162"/>
      <c r="L107" s="162"/>
      <c r="M107" s="162">
        <v>-106223263.53024991</v>
      </c>
      <c r="O107" s="158">
        <v>85</v>
      </c>
      <c r="P107" s="76" t="s">
        <v>77</v>
      </c>
      <c r="Q107" s="162">
        <v>-106223263.53024991</v>
      </c>
      <c r="R107" s="162"/>
      <c r="S107" s="162"/>
      <c r="T107" s="162"/>
      <c r="U107" s="162">
        <v>-106223263.53024991</v>
      </c>
      <c r="V107" s="182"/>
      <c r="W107" s="162">
        <v>-106223263.53024991</v>
      </c>
      <c r="X107" s="162"/>
      <c r="Y107" s="162"/>
      <c r="Z107" s="162"/>
      <c r="AA107" s="162">
        <v>-106223263.53024991</v>
      </c>
      <c r="AC107" s="158">
        <v>85</v>
      </c>
      <c r="AD107" s="76" t="s">
        <v>77</v>
      </c>
      <c r="AE107" s="162">
        <f t="shared" si="5"/>
        <v>0</v>
      </c>
      <c r="AF107" s="162">
        <f t="shared" si="5"/>
        <v>0</v>
      </c>
      <c r="AG107" s="162">
        <f t="shared" si="5"/>
        <v>0</v>
      </c>
      <c r="AH107" s="162">
        <f t="shared" si="4"/>
        <v>0</v>
      </c>
      <c r="AI107" s="162">
        <f t="shared" si="4"/>
        <v>0</v>
      </c>
      <c r="AJ107" s="162">
        <f t="shared" si="4"/>
        <v>0</v>
      </c>
      <c r="AK107" s="162">
        <f t="shared" si="4"/>
        <v>0</v>
      </c>
      <c r="AL107" s="162">
        <f t="shared" si="4"/>
        <v>0</v>
      </c>
      <c r="AM107" s="162">
        <f t="shared" si="4"/>
        <v>0</v>
      </c>
      <c r="AN107" s="162">
        <f t="shared" si="2"/>
        <v>0</v>
      </c>
      <c r="AO107" s="162">
        <f t="shared" si="2"/>
        <v>0</v>
      </c>
    </row>
    <row r="108" spans="1:41" ht="15" thickBot="1" x14ac:dyDescent="0.35">
      <c r="A108" s="158">
        <f>IF(ISBLANK(B108),"",MAX(A$6:A107)+1)</f>
        <v>86</v>
      </c>
      <c r="B108" s="183" t="s">
        <v>62</v>
      </c>
      <c r="C108" s="184">
        <v>5203693617.2019548</v>
      </c>
      <c r="D108" s="184">
        <v>0</v>
      </c>
      <c r="E108" s="184">
        <v>-37487757.953703716</v>
      </c>
      <c r="F108" s="184">
        <v>-27876144.997406568</v>
      </c>
      <c r="G108" s="184">
        <v>5138329714.250845</v>
      </c>
      <c r="H108" s="16"/>
      <c r="I108" s="184">
        <v>5270759871.9154701</v>
      </c>
      <c r="J108" s="184">
        <v>134304559.37698671</v>
      </c>
      <c r="K108" s="184">
        <v>112328774.41348831</v>
      </c>
      <c r="L108" s="184">
        <v>0</v>
      </c>
      <c r="M108" s="184">
        <v>5517393205.705946</v>
      </c>
      <c r="O108" s="158">
        <v>86</v>
      </c>
      <c r="P108" s="183" t="s">
        <v>62</v>
      </c>
      <c r="Q108" s="184">
        <v>5203693617.2019548</v>
      </c>
      <c r="R108" s="184">
        <v>0</v>
      </c>
      <c r="S108" s="184">
        <v>-37487757.953703716</v>
      </c>
      <c r="T108" s="184">
        <v>-27876144.997406568</v>
      </c>
      <c r="U108" s="184">
        <v>5138329714.250845</v>
      </c>
      <c r="V108" s="16"/>
      <c r="W108" s="184">
        <v>5270759871.9154701</v>
      </c>
      <c r="X108" s="184">
        <v>134304559.37698671</v>
      </c>
      <c r="Y108" s="184">
        <v>112328774.41348831</v>
      </c>
      <c r="Z108" s="184">
        <v>0</v>
      </c>
      <c r="AA108" s="184">
        <v>5517393205.705946</v>
      </c>
      <c r="AC108" s="158">
        <v>86</v>
      </c>
      <c r="AD108" s="183" t="s">
        <v>62</v>
      </c>
      <c r="AE108" s="184">
        <f t="shared" si="5"/>
        <v>0</v>
      </c>
      <c r="AF108" s="184">
        <f t="shared" si="5"/>
        <v>0</v>
      </c>
      <c r="AG108" s="184">
        <f t="shared" si="5"/>
        <v>0</v>
      </c>
      <c r="AH108" s="184">
        <f t="shared" si="4"/>
        <v>0</v>
      </c>
      <c r="AI108" s="184">
        <f t="shared" si="4"/>
        <v>0</v>
      </c>
      <c r="AJ108" s="184">
        <f t="shared" si="4"/>
        <v>0</v>
      </c>
      <c r="AK108" s="184">
        <f t="shared" si="4"/>
        <v>0</v>
      </c>
      <c r="AL108" s="184">
        <f t="shared" si="4"/>
        <v>0</v>
      </c>
      <c r="AM108" s="184">
        <f t="shared" si="4"/>
        <v>0</v>
      </c>
      <c r="AN108" s="184">
        <f t="shared" si="2"/>
        <v>0</v>
      </c>
      <c r="AO108" s="184">
        <f t="shared" si="2"/>
        <v>0</v>
      </c>
    </row>
    <row r="109" spans="1:41" ht="15" thickTop="1" x14ac:dyDescent="0.3">
      <c r="A109" s="158" t="str">
        <f>IF(ISBLANK(B109),"",MAX(A$6:A108)+1)</f>
        <v/>
      </c>
      <c r="O109" s="158" t="s">
        <v>790</v>
      </c>
      <c r="AC109" s="158" t="s">
        <v>790</v>
      </c>
      <c r="AE109" s="15">
        <f t="shared" si="5"/>
        <v>0</v>
      </c>
      <c r="AF109" s="15">
        <f t="shared" si="5"/>
        <v>0</v>
      </c>
      <c r="AG109" s="15">
        <f t="shared" si="5"/>
        <v>0</v>
      </c>
      <c r="AH109" s="15">
        <f t="shared" si="4"/>
        <v>0</v>
      </c>
      <c r="AI109" s="15">
        <f t="shared" si="4"/>
        <v>0</v>
      </c>
      <c r="AJ109" s="15">
        <f t="shared" si="4"/>
        <v>0</v>
      </c>
      <c r="AK109" s="15">
        <f t="shared" si="4"/>
        <v>0</v>
      </c>
      <c r="AL109" s="15">
        <f t="shared" si="4"/>
        <v>0</v>
      </c>
      <c r="AM109" s="15">
        <f t="shared" si="4"/>
        <v>0</v>
      </c>
      <c r="AN109" s="15">
        <f t="shared" si="4"/>
        <v>0</v>
      </c>
      <c r="AO109" s="15">
        <f t="shared" si="4"/>
        <v>0</v>
      </c>
    </row>
    <row r="110" spans="1:41" x14ac:dyDescent="0.3">
      <c r="A110" s="158">
        <f>IF(ISBLANK(B110),"",MAX(A$6:A109)+1)</f>
        <v>87</v>
      </c>
      <c r="B110" s="15" t="s">
        <v>78</v>
      </c>
      <c r="M110" s="52">
        <v>7.4800000000000005E-2</v>
      </c>
      <c r="N110" s="52">
        <f>+AO110</f>
        <v>0</v>
      </c>
      <c r="O110" s="158">
        <v>87</v>
      </c>
      <c r="P110" s="15" t="s">
        <v>78</v>
      </c>
      <c r="AA110" s="52">
        <v>7.4800000000000005E-2</v>
      </c>
      <c r="AC110" s="158">
        <v>87</v>
      </c>
      <c r="AD110" s="15" t="s">
        <v>78</v>
      </c>
      <c r="AE110" s="15">
        <f t="shared" si="5"/>
        <v>0</v>
      </c>
      <c r="AF110" s="15">
        <f t="shared" si="5"/>
        <v>0</v>
      </c>
      <c r="AG110" s="15">
        <f t="shared" si="5"/>
        <v>0</v>
      </c>
      <c r="AH110" s="15">
        <f t="shared" si="4"/>
        <v>0</v>
      </c>
      <c r="AI110" s="15">
        <f t="shared" si="4"/>
        <v>0</v>
      </c>
      <c r="AJ110" s="15">
        <f t="shared" si="4"/>
        <v>0</v>
      </c>
      <c r="AK110" s="15">
        <f t="shared" si="4"/>
        <v>0</v>
      </c>
      <c r="AL110" s="15">
        <f t="shared" si="4"/>
        <v>0</v>
      </c>
      <c r="AM110" s="15">
        <f t="shared" si="4"/>
        <v>0</v>
      </c>
      <c r="AN110" s="15">
        <f t="shared" si="4"/>
        <v>0</v>
      </c>
      <c r="AO110" s="52">
        <f t="shared" si="4"/>
        <v>0</v>
      </c>
    </row>
    <row r="111" spans="1:41" x14ac:dyDescent="0.3">
      <c r="A111" s="158">
        <f>IF(ISBLANK(B111),"",MAX(A$6:A110)+1)</f>
        <v>88</v>
      </c>
      <c r="B111" s="15" t="s">
        <v>79</v>
      </c>
      <c r="M111" s="185">
        <v>412701011.7868048</v>
      </c>
      <c r="N111" s="185">
        <f t="shared" ref="N111:N116" si="6">+AO111</f>
        <v>0</v>
      </c>
      <c r="O111" s="158">
        <v>88</v>
      </c>
      <c r="P111" s="15" t="s">
        <v>79</v>
      </c>
      <c r="AA111" s="185">
        <v>412701011.7868048</v>
      </c>
      <c r="AC111" s="158">
        <v>88</v>
      </c>
      <c r="AD111" s="15" t="s">
        <v>79</v>
      </c>
      <c r="AE111" s="15">
        <f t="shared" si="5"/>
        <v>0</v>
      </c>
      <c r="AF111" s="15">
        <f t="shared" si="5"/>
        <v>0</v>
      </c>
      <c r="AG111" s="15">
        <f t="shared" si="5"/>
        <v>0</v>
      </c>
      <c r="AH111" s="15">
        <f t="shared" si="4"/>
        <v>0</v>
      </c>
      <c r="AI111" s="15">
        <f t="shared" si="4"/>
        <v>0</v>
      </c>
      <c r="AJ111" s="15">
        <f t="shared" si="4"/>
        <v>0</v>
      </c>
      <c r="AK111" s="15">
        <f t="shared" si="4"/>
        <v>0</v>
      </c>
      <c r="AL111" s="15">
        <f t="shared" si="4"/>
        <v>0</v>
      </c>
      <c r="AM111" s="15">
        <f t="shared" si="4"/>
        <v>0</v>
      </c>
      <c r="AN111" s="15">
        <f t="shared" si="4"/>
        <v>0</v>
      </c>
      <c r="AO111" s="185">
        <f t="shared" si="4"/>
        <v>0</v>
      </c>
    </row>
    <row r="112" spans="1:41" x14ac:dyDescent="0.3">
      <c r="A112" s="158">
        <f>IF(ISBLANK(B112),"",MAX(A$6:A111)+1)</f>
        <v>89</v>
      </c>
      <c r="B112" s="15" t="s">
        <v>80</v>
      </c>
      <c r="M112" s="185">
        <v>64234534.444901466</v>
      </c>
      <c r="N112" s="185">
        <f t="shared" si="6"/>
        <v>63128.011388063431</v>
      </c>
      <c r="O112" s="158">
        <v>89</v>
      </c>
      <c r="P112" s="15" t="s">
        <v>80</v>
      </c>
      <c r="AA112" s="185">
        <v>64171406.433513403</v>
      </c>
      <c r="AC112" s="158">
        <v>89</v>
      </c>
      <c r="AD112" s="15" t="s">
        <v>80</v>
      </c>
      <c r="AE112" s="15">
        <f t="shared" si="5"/>
        <v>0</v>
      </c>
      <c r="AF112" s="15">
        <f t="shared" si="5"/>
        <v>0</v>
      </c>
      <c r="AG112" s="15">
        <f t="shared" si="5"/>
        <v>0</v>
      </c>
      <c r="AH112" s="15">
        <f t="shared" si="4"/>
        <v>0</v>
      </c>
      <c r="AI112" s="15">
        <f t="shared" si="4"/>
        <v>0</v>
      </c>
      <c r="AJ112" s="15">
        <f t="shared" si="4"/>
        <v>0</v>
      </c>
      <c r="AK112" s="15">
        <f t="shared" si="4"/>
        <v>0</v>
      </c>
      <c r="AL112" s="15">
        <f t="shared" si="4"/>
        <v>0</v>
      </c>
      <c r="AM112" s="15">
        <f t="shared" si="4"/>
        <v>0</v>
      </c>
      <c r="AN112" s="15">
        <f t="shared" si="4"/>
        <v>0</v>
      </c>
      <c r="AO112" s="185">
        <f t="shared" si="4"/>
        <v>63128.011388063431</v>
      </c>
    </row>
    <row r="113" spans="1:41" x14ac:dyDescent="0.3">
      <c r="A113" s="158">
        <f>IF(ISBLANK(B113),"",MAX(A$6:A112)+1)</f>
        <v>90</v>
      </c>
      <c r="B113" s="15" t="s">
        <v>81</v>
      </c>
      <c r="M113" s="23">
        <v>0.75138099999999997</v>
      </c>
      <c r="N113" s="23">
        <f t="shared" si="6"/>
        <v>0</v>
      </c>
      <c r="O113" s="158">
        <v>90</v>
      </c>
      <c r="P113" s="15" t="s">
        <v>81</v>
      </c>
      <c r="AA113" s="23">
        <v>0.75138099999999997</v>
      </c>
      <c r="AC113" s="158">
        <v>90</v>
      </c>
      <c r="AD113" s="15" t="s">
        <v>81</v>
      </c>
      <c r="AE113" s="15">
        <f t="shared" si="5"/>
        <v>0</v>
      </c>
      <c r="AF113" s="15">
        <f t="shared" si="5"/>
        <v>0</v>
      </c>
      <c r="AG113" s="15">
        <f t="shared" si="5"/>
        <v>0</v>
      </c>
      <c r="AH113" s="15">
        <f t="shared" si="4"/>
        <v>0</v>
      </c>
      <c r="AI113" s="15">
        <f t="shared" si="4"/>
        <v>0</v>
      </c>
      <c r="AJ113" s="15">
        <f t="shared" si="4"/>
        <v>0</v>
      </c>
      <c r="AK113" s="15">
        <f t="shared" si="4"/>
        <v>0</v>
      </c>
      <c r="AL113" s="15">
        <f t="shared" si="4"/>
        <v>0</v>
      </c>
      <c r="AM113" s="15">
        <f t="shared" si="4"/>
        <v>0</v>
      </c>
      <c r="AN113" s="15">
        <f t="shared" si="4"/>
        <v>0</v>
      </c>
      <c r="AO113" s="23">
        <f t="shared" si="4"/>
        <v>0</v>
      </c>
    </row>
    <row r="114" spans="1:41" x14ac:dyDescent="0.3">
      <c r="A114" s="158">
        <f>IF(ISBLANK(B114),"",MAX(A$6:A113)+1)</f>
        <v>91</v>
      </c>
      <c r="B114" s="15" t="s">
        <v>82</v>
      </c>
      <c r="L114" s="185"/>
      <c r="M114" s="185">
        <v>85488632.857234165</v>
      </c>
      <c r="N114" s="185">
        <f>+N112/M113</f>
        <v>84015.980425461166</v>
      </c>
      <c r="O114" s="158">
        <v>91</v>
      </c>
      <c r="P114" s="15" t="s">
        <v>82</v>
      </c>
      <c r="AA114" s="185">
        <v>85404616.876808718</v>
      </c>
      <c r="AC114" s="158">
        <v>91</v>
      </c>
      <c r="AD114" s="15" t="s">
        <v>82</v>
      </c>
      <c r="AE114" s="15">
        <f t="shared" si="5"/>
        <v>0</v>
      </c>
      <c r="AF114" s="15">
        <f t="shared" si="5"/>
        <v>0</v>
      </c>
      <c r="AG114" s="15">
        <f t="shared" si="5"/>
        <v>0</v>
      </c>
      <c r="AH114" s="15">
        <f t="shared" si="4"/>
        <v>0</v>
      </c>
      <c r="AI114" s="15">
        <f t="shared" si="4"/>
        <v>0</v>
      </c>
      <c r="AJ114" s="15">
        <f t="shared" si="4"/>
        <v>0</v>
      </c>
      <c r="AK114" s="15">
        <f t="shared" si="4"/>
        <v>0</v>
      </c>
      <c r="AL114" s="15">
        <f t="shared" si="4"/>
        <v>0</v>
      </c>
      <c r="AM114" s="15">
        <f t="shared" ref="AM114:AO116" si="7">+K114-Y114</f>
        <v>0</v>
      </c>
      <c r="AN114" s="15">
        <f t="shared" si="7"/>
        <v>0</v>
      </c>
      <c r="AO114" s="185">
        <f t="shared" si="7"/>
        <v>84015.980425447226</v>
      </c>
    </row>
    <row r="115" spans="1:41" x14ac:dyDescent="0.3">
      <c r="A115" s="158">
        <f>IF(ISBLANK(B115),"",MAX(A$6:A114)+1)</f>
        <v>92</v>
      </c>
      <c r="B115" s="15" t="s">
        <v>83</v>
      </c>
      <c r="M115" s="13">
        <v>1.0141644325272383</v>
      </c>
      <c r="N115" s="13">
        <f t="shared" si="6"/>
        <v>-4.1363812944883449E-4</v>
      </c>
      <c r="O115" s="158">
        <v>92</v>
      </c>
      <c r="P115" s="15" t="s">
        <v>83</v>
      </c>
      <c r="AA115" s="13">
        <v>1.0145780706566871</v>
      </c>
      <c r="AC115" s="158">
        <v>92</v>
      </c>
      <c r="AD115" s="15" t="s">
        <v>83</v>
      </c>
      <c r="AE115" s="15">
        <f t="shared" si="5"/>
        <v>0</v>
      </c>
      <c r="AF115" s="15">
        <f t="shared" si="5"/>
        <v>0</v>
      </c>
      <c r="AG115" s="15">
        <f t="shared" si="5"/>
        <v>0</v>
      </c>
      <c r="AH115" s="15">
        <f t="shared" si="5"/>
        <v>0</v>
      </c>
      <c r="AI115" s="15">
        <f t="shared" si="5"/>
        <v>0</v>
      </c>
      <c r="AJ115" s="15">
        <f t="shared" si="5"/>
        <v>0</v>
      </c>
      <c r="AK115" s="15">
        <f t="shared" si="5"/>
        <v>0</v>
      </c>
      <c r="AL115" s="15">
        <f t="shared" si="5"/>
        <v>0</v>
      </c>
      <c r="AM115" s="15">
        <f t="shared" si="7"/>
        <v>0</v>
      </c>
      <c r="AN115" s="15">
        <f t="shared" si="7"/>
        <v>0</v>
      </c>
      <c r="AO115" s="13">
        <f t="shared" si="7"/>
        <v>-4.1363812944883449E-4</v>
      </c>
    </row>
    <row r="116" spans="1:41" x14ac:dyDescent="0.3">
      <c r="A116" s="158">
        <f>IF(ISBLANK(B116),"",MAX(A$6:A115)+1)</f>
        <v>93</v>
      </c>
      <c r="B116" s="15" t="s">
        <v>84</v>
      </c>
      <c r="M116" s="185">
        <v>84294647.017152339</v>
      </c>
      <c r="N116" s="185">
        <f t="shared" si="6"/>
        <v>117175.27115800977</v>
      </c>
      <c r="O116" s="158">
        <v>93</v>
      </c>
      <c r="P116" s="15" t="s">
        <v>84</v>
      </c>
      <c r="AA116" s="185">
        <v>84177471.745994329</v>
      </c>
      <c r="AC116" s="158">
        <v>93</v>
      </c>
      <c r="AD116" s="15" t="s">
        <v>84</v>
      </c>
      <c r="AE116" s="15">
        <f t="shared" si="5"/>
        <v>0</v>
      </c>
      <c r="AF116" s="15">
        <f t="shared" si="5"/>
        <v>0</v>
      </c>
      <c r="AG116" s="15">
        <f t="shared" si="5"/>
        <v>0</v>
      </c>
      <c r="AH116" s="15">
        <f t="shared" si="5"/>
        <v>0</v>
      </c>
      <c r="AI116" s="15">
        <f t="shared" si="5"/>
        <v>0</v>
      </c>
      <c r="AJ116" s="15">
        <f t="shared" si="5"/>
        <v>0</v>
      </c>
      <c r="AK116" s="15">
        <f t="shared" si="5"/>
        <v>0</v>
      </c>
      <c r="AL116" s="15">
        <f t="shared" si="5"/>
        <v>0</v>
      </c>
      <c r="AM116" s="15">
        <f t="shared" si="7"/>
        <v>0</v>
      </c>
      <c r="AN116" s="15">
        <f t="shared" si="7"/>
        <v>0</v>
      </c>
      <c r="AO116" s="185">
        <f t="shared" si="7"/>
        <v>117175.27115800977</v>
      </c>
    </row>
    <row r="117" spans="1:41" x14ac:dyDescent="0.3">
      <c r="M117" s="95"/>
      <c r="N117" s="60">
        <f>+N116-N112</f>
        <v>54047.259769946337</v>
      </c>
    </row>
    <row r="118" spans="1:41" x14ac:dyDescent="0.3">
      <c r="C118" s="16"/>
      <c r="M118" s="95"/>
      <c r="N118" s="186"/>
    </row>
    <row r="119" spans="1:41" x14ac:dyDescent="0.3">
      <c r="C119" s="35"/>
      <c r="M119" s="95">
        <v>84294647.017152339</v>
      </c>
      <c r="N119" s="81">
        <f>+M114/AA115</f>
        <v>84260280.53405641</v>
      </c>
      <c r="O119" s="95">
        <f>+M119-N119</f>
        <v>34366.483095929027</v>
      </c>
    </row>
    <row r="120" spans="1:41" x14ac:dyDescent="0.3">
      <c r="O120" s="15" t="s">
        <v>791</v>
      </c>
    </row>
    <row r="123" spans="1:41" x14ac:dyDescent="0.3">
      <c r="C123" s="35"/>
      <c r="D123" s="35"/>
      <c r="E123" s="35"/>
      <c r="F123" s="35"/>
      <c r="G123" s="35"/>
      <c r="I123" s="35"/>
      <c r="J123" s="35"/>
      <c r="K123" s="35"/>
      <c r="L123" s="35"/>
    </row>
  </sheetData>
  <printOptions horizontalCentered="1"/>
  <pageMargins left="0.2" right="0.2" top="0.5" bottom="0.5" header="0.2" footer="0.2"/>
  <pageSetup scale="58" fitToWidth="2" fitToHeight="2" orientation="landscape" horizontalDpi="1200" verticalDpi="1200" r:id="rId1"/>
  <headerFooter>
    <oddHeader>&amp;RExh. RJA-8
Page &amp;P of &amp;N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2"/>
  <sheetViews>
    <sheetView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.109375" style="15" bestFit="1" customWidth="1"/>
    <col min="3" max="3" width="14" style="15" customWidth="1"/>
    <col min="4" max="4" width="14.33203125" style="15" customWidth="1"/>
    <col min="5" max="5" width="15" style="15" customWidth="1"/>
    <col min="6" max="6" width="11.88671875" style="15" customWidth="1"/>
    <col min="7" max="7" width="9.33203125" style="15" bestFit="1" customWidth="1"/>
    <col min="8" max="12" width="9.109375" style="15"/>
    <col min="13" max="13" width="18" style="15" bestFit="1" customWidth="1"/>
    <col min="14" max="17" width="9.33203125" style="15" bestFit="1" customWidth="1"/>
    <col min="18" max="18" width="11" style="15" bestFit="1" customWidth="1"/>
    <col min="19" max="20" width="9.109375" style="15"/>
    <col min="21" max="21" width="12" style="15" bestFit="1" customWidth="1"/>
    <col min="22" max="22" width="12.109375" style="15" bestFit="1" customWidth="1"/>
    <col min="23" max="16384" width="9.109375" style="15"/>
  </cols>
  <sheetData>
    <row r="5" spans="2:23" ht="28.8" x14ac:dyDescent="0.3">
      <c r="B5" s="64" t="s">
        <v>112</v>
      </c>
      <c r="C5" s="119" t="s">
        <v>142</v>
      </c>
      <c r="D5" s="119" t="s">
        <v>174</v>
      </c>
      <c r="E5" s="119" t="str">
        <f>"Ln("&amp;D5&amp;")"</f>
        <v>Ln(CBR TOTI)</v>
      </c>
      <c r="F5" s="119" t="s">
        <v>114</v>
      </c>
    </row>
    <row r="6" spans="2:23" x14ac:dyDescent="0.3">
      <c r="B6" s="15">
        <v>2008</v>
      </c>
      <c r="D6" s="162">
        <f ca="1">OFFSET(Gas_CBR!$C$113,0,$B6-$B$6)</f>
        <v>17659937.692946836</v>
      </c>
      <c r="E6" s="425">
        <f ca="1">LN(D6/$D$6)</f>
        <v>0</v>
      </c>
      <c r="T6" s="15" t="s">
        <v>115</v>
      </c>
      <c r="U6" s="60">
        <f t="array" aca="1" ref="U6:V10" ca="1">LINEST(D7:D16,C7:C16,,TRUE)</f>
        <v>566922.3203764864</v>
      </c>
      <c r="V6" s="60">
        <f ca="1"/>
        <v>18641470.560745388</v>
      </c>
      <c r="W6" s="15" t="s">
        <v>116</v>
      </c>
    </row>
    <row r="7" spans="2:23" x14ac:dyDescent="0.3">
      <c r="B7" s="15">
        <v>2009</v>
      </c>
      <c r="C7" s="15">
        <v>0</v>
      </c>
      <c r="D7" s="162">
        <f ca="1">OFFSET(Gas_CBR!$C$113,0,$B7-$B$6)</f>
        <v>20007061.028600488</v>
      </c>
      <c r="E7" s="425">
        <f t="shared" ref="E7:E16" ca="1" si="0">LN(D7/$D$6)</f>
        <v>0.12478659565213987</v>
      </c>
      <c r="F7" s="15">
        <v>1</v>
      </c>
      <c r="T7" s="15" t="s">
        <v>117</v>
      </c>
      <c r="U7" s="60">
        <f ca="1"/>
        <v>144165.42890847521</v>
      </c>
      <c r="V7" s="60">
        <f ca="1"/>
        <v>769632.78284672333</v>
      </c>
      <c r="W7" s="15" t="s">
        <v>118</v>
      </c>
    </row>
    <row r="8" spans="2:23" x14ac:dyDescent="0.3">
      <c r="B8" s="15">
        <f>B7+1</f>
        <v>2010</v>
      </c>
      <c r="C8" s="15">
        <v>1</v>
      </c>
      <c r="D8" s="162">
        <f ca="1">OFFSET(Gas_CBR!$C$113,0,$B8-$B$6)</f>
        <v>19082234.246211726</v>
      </c>
      <c r="E8" s="425">
        <f t="shared" ca="1" si="0"/>
        <v>7.7459090998777097E-2</v>
      </c>
      <c r="F8" s="15">
        <v>2</v>
      </c>
      <c r="T8" s="15" t="s">
        <v>119</v>
      </c>
      <c r="U8" s="95">
        <f ca="1"/>
        <v>0.65905372455445566</v>
      </c>
      <c r="V8" s="60">
        <f ca="1"/>
        <v>1309447.535650085</v>
      </c>
      <c r="W8" s="15" t="s">
        <v>120</v>
      </c>
    </row>
    <row r="9" spans="2:23" x14ac:dyDescent="0.3">
      <c r="B9" s="15">
        <f t="shared" ref="B9:B20" si="1">B8+1</f>
        <v>2011</v>
      </c>
      <c r="C9" s="15">
        <v>2</v>
      </c>
      <c r="D9" s="162">
        <f ca="1">OFFSET(Gas_CBR!$C$113,0,$B9-$B$6)</f>
        <v>19575746.854746263</v>
      </c>
      <c r="E9" s="425">
        <f t="shared" ca="1" si="0"/>
        <v>0.10299272762432683</v>
      </c>
      <c r="F9" s="15">
        <v>3</v>
      </c>
      <c r="T9" s="15" t="s">
        <v>121</v>
      </c>
      <c r="U9" s="95">
        <f ca="1"/>
        <v>15.464107327600807</v>
      </c>
      <c r="V9" s="15">
        <f ca="1"/>
        <v>8</v>
      </c>
      <c r="W9" s="15" t="s">
        <v>122</v>
      </c>
    </row>
    <row r="10" spans="2:23" x14ac:dyDescent="0.3">
      <c r="B10" s="15">
        <f t="shared" si="1"/>
        <v>2012</v>
      </c>
      <c r="C10" s="15">
        <v>3</v>
      </c>
      <c r="D10" s="162">
        <f ca="1">OFFSET(Gas_CBR!$C$113,0,$B10-$B$6)</f>
        <v>20235683.761130918</v>
      </c>
      <c r="E10" s="425">
        <f t="shared" ca="1" si="0"/>
        <v>0.13614890174519426</v>
      </c>
      <c r="F10" s="15">
        <v>4</v>
      </c>
      <c r="T10" s="15" t="s">
        <v>123</v>
      </c>
      <c r="U10" s="15">
        <f ca="1"/>
        <v>26515575680637.391</v>
      </c>
      <c r="V10" s="15">
        <f ca="1"/>
        <v>13717222788960.646</v>
      </c>
      <c r="W10" s="15" t="s">
        <v>124</v>
      </c>
    </row>
    <row r="11" spans="2:23" x14ac:dyDescent="0.3">
      <c r="B11" s="15">
        <f t="shared" si="1"/>
        <v>2013</v>
      </c>
      <c r="C11" s="15">
        <v>4</v>
      </c>
      <c r="D11" s="162">
        <f ca="1">OFFSET(Gas_CBR!$C$113,0,$B11-$B$6)</f>
        <v>21012774.011171669</v>
      </c>
      <c r="E11" s="425">
        <f t="shared" ca="1" si="0"/>
        <v>0.1738318720147202</v>
      </c>
      <c r="F11" s="15">
        <v>5</v>
      </c>
    </row>
    <row r="12" spans="2:23" x14ac:dyDescent="0.3">
      <c r="B12" s="15">
        <f t="shared" si="1"/>
        <v>2014</v>
      </c>
      <c r="C12" s="15">
        <v>5</v>
      </c>
      <c r="D12" s="162">
        <f ca="1">OFFSET(Gas_CBR!$C$113,0,$B12-$B$6)</f>
        <v>19970302.908914473</v>
      </c>
      <c r="E12" s="425">
        <f t="shared" ca="1" si="0"/>
        <v>0.12294764848682432</v>
      </c>
      <c r="F12" s="15">
        <v>6</v>
      </c>
    </row>
    <row r="13" spans="2:23" x14ac:dyDescent="0.3">
      <c r="B13" s="15">
        <f t="shared" si="1"/>
        <v>2015</v>
      </c>
      <c r="C13" s="15">
        <v>6</v>
      </c>
      <c r="D13" s="162">
        <f ca="1">OFFSET(Gas_CBR!$C$113,0,$B13-$B$6)</f>
        <v>20637909.425541107</v>
      </c>
      <c r="E13" s="425">
        <f t="shared" ca="1" si="0"/>
        <v>0.15583098093731704</v>
      </c>
      <c r="F13" s="15">
        <v>7</v>
      </c>
      <c r="T13" s="15" t="s">
        <v>115</v>
      </c>
      <c r="U13" s="13">
        <f t="array" aca="1" ref="U13:V17" ca="1">LINEST(E7:E16,F7:F16,FALSE,TRUE)</f>
        <v>3.0988577779086226E-2</v>
      </c>
      <c r="V13" s="13">
        <f ca="1"/>
        <v>0</v>
      </c>
      <c r="W13" s="15" t="s">
        <v>116</v>
      </c>
    </row>
    <row r="14" spans="2:23" x14ac:dyDescent="0.3">
      <c r="B14" s="15">
        <f t="shared" si="1"/>
        <v>2016</v>
      </c>
      <c r="C14" s="15">
        <v>7</v>
      </c>
      <c r="D14" s="162">
        <f ca="1">OFFSET(Gas_CBR!$C$113,0,$B14-$B$6)</f>
        <v>21588064.362922579</v>
      </c>
      <c r="E14" s="425">
        <f t="shared" ca="1" si="0"/>
        <v>0.20084191914934707</v>
      </c>
      <c r="F14" s="15">
        <v>8</v>
      </c>
      <c r="T14" s="15" t="s">
        <v>117</v>
      </c>
      <c r="U14" s="13">
        <f ca="1"/>
        <v>2.8832703879977761E-3</v>
      </c>
      <c r="V14" s="13" t="e">
        <f ca="1"/>
        <v>#N/A</v>
      </c>
      <c r="W14" s="15" t="s">
        <v>118</v>
      </c>
    </row>
    <row r="15" spans="2:23" x14ac:dyDescent="0.3">
      <c r="B15" s="15">
        <f t="shared" si="1"/>
        <v>2017</v>
      </c>
      <c r="C15" s="15">
        <v>8</v>
      </c>
      <c r="D15" s="162">
        <f ca="1">OFFSET(Gas_CBR!$C$113,0,$B15-$B$6)</f>
        <v>25696161.207628537</v>
      </c>
      <c r="E15" s="425">
        <f t="shared" ca="1" si="0"/>
        <v>0.37504294436760188</v>
      </c>
      <c r="F15" s="15">
        <v>9</v>
      </c>
      <c r="T15" s="15" t="s">
        <v>119</v>
      </c>
      <c r="U15" s="15">
        <f ca="1"/>
        <v>0.92771865072198367</v>
      </c>
      <c r="V15" s="15">
        <f ca="1"/>
        <v>5.6573850232836072E-2</v>
      </c>
      <c r="W15" s="15" t="s">
        <v>120</v>
      </c>
    </row>
    <row r="16" spans="2:23" x14ac:dyDescent="0.3">
      <c r="B16" s="15">
        <f t="shared" si="1"/>
        <v>2018</v>
      </c>
      <c r="C16" s="15">
        <v>9</v>
      </c>
      <c r="D16" s="162">
        <f ca="1">OFFSET(Gas_CBR!$C$113,0,$B16-$B$6)</f>
        <v>24120272.217528</v>
      </c>
      <c r="E16" s="425">
        <f t="shared" ca="1" si="0"/>
        <v>0.31175399073857857</v>
      </c>
      <c r="F16" s="15">
        <v>10</v>
      </c>
      <c r="T16" s="15" t="s">
        <v>121</v>
      </c>
      <c r="U16" s="15">
        <f ca="1"/>
        <v>115.51344765830571</v>
      </c>
      <c r="V16" s="15">
        <f ca="1"/>
        <v>9</v>
      </c>
      <c r="W16" s="15" t="s">
        <v>122</v>
      </c>
    </row>
    <row r="17" spans="2:23" x14ac:dyDescent="0.3">
      <c r="B17" s="15">
        <f t="shared" si="1"/>
        <v>2019</v>
      </c>
      <c r="C17" s="15">
        <v>10</v>
      </c>
      <c r="D17" s="162"/>
      <c r="T17" s="15" t="s">
        <v>123</v>
      </c>
      <c r="U17" s="15">
        <f ca="1"/>
        <v>0.36971240181663351</v>
      </c>
      <c r="V17" s="15">
        <f ca="1"/>
        <v>2.8805404771506293E-2</v>
      </c>
      <c r="W17" s="15" t="s">
        <v>124</v>
      </c>
    </row>
    <row r="18" spans="2:23" x14ac:dyDescent="0.3">
      <c r="B18" s="15">
        <f t="shared" si="1"/>
        <v>2020</v>
      </c>
      <c r="C18" s="15">
        <v>11</v>
      </c>
      <c r="D18" s="162"/>
    </row>
    <row r="19" spans="2:23" x14ac:dyDescent="0.3">
      <c r="B19" s="15">
        <f t="shared" si="1"/>
        <v>2021</v>
      </c>
      <c r="C19" s="15">
        <v>12</v>
      </c>
      <c r="D19" s="162"/>
    </row>
    <row r="20" spans="2:23" x14ac:dyDescent="0.3">
      <c r="B20" s="15">
        <f t="shared" si="1"/>
        <v>2022</v>
      </c>
      <c r="C20" s="15">
        <v>13</v>
      </c>
      <c r="D20" s="162"/>
    </row>
    <row r="25" spans="2:23" x14ac:dyDescent="0.3">
      <c r="B25" s="15" t="s">
        <v>2</v>
      </c>
      <c r="D25" s="52">
        <f ca="1">RATE(3,,-D13,D16)</f>
        <v>5.3348709657656271E-2</v>
      </c>
      <c r="E25" s="52"/>
    </row>
    <row r="26" spans="2:23" x14ac:dyDescent="0.3">
      <c r="B26" s="15" t="s">
        <v>3</v>
      </c>
      <c r="D26" s="52">
        <f ca="1">RATE(5,,-D11,D16)</f>
        <v>2.7968396385530614E-2</v>
      </c>
      <c r="E26" s="52"/>
    </row>
    <row r="27" spans="2:23" x14ac:dyDescent="0.3">
      <c r="B27" s="15" t="s">
        <v>4</v>
      </c>
      <c r="D27" s="52">
        <f ca="1">RATE(10,,-D6,D16)</f>
        <v>3.166644135627069E-2</v>
      </c>
      <c r="E27" s="52"/>
    </row>
    <row r="28" spans="2:23" x14ac:dyDescent="0.3">
      <c r="B28" s="15" t="s">
        <v>5</v>
      </c>
      <c r="D28" s="52">
        <f ca="1">$C$52/D16</f>
        <v>2.3503976873217404E-2</v>
      </c>
      <c r="E28" s="52"/>
    </row>
    <row r="29" spans="2:23" x14ac:dyDescent="0.3">
      <c r="B29" s="15" t="s">
        <v>6</v>
      </c>
      <c r="D29" s="52">
        <f ca="1">$C$52/AVERAGE(D7:D16)</f>
        <v>2.6750929972806356E-2</v>
      </c>
      <c r="E29" s="52"/>
    </row>
    <row r="30" spans="2:23" x14ac:dyDescent="0.3">
      <c r="B30" s="15" t="s">
        <v>7</v>
      </c>
      <c r="D30" s="52">
        <f ca="1">EXP(N52)-1</f>
        <v>3.1473722098515289E-2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0.81182123928513694</v>
      </c>
      <c r="M38" s="426" t="s">
        <v>127</v>
      </c>
      <c r="N38" s="7">
        <f ca="1">N39^0.5</f>
        <v>0.96318152532219159</v>
      </c>
    </row>
    <row r="39" spans="2:18" x14ac:dyDescent="0.3">
      <c r="B39" s="426" t="s">
        <v>128</v>
      </c>
      <c r="C39" s="7">
        <f ca="1">U8</f>
        <v>0.65905372455445566</v>
      </c>
      <c r="M39" s="426" t="s">
        <v>128</v>
      </c>
      <c r="N39" s="7">
        <f ca="1">U15</f>
        <v>0.92771865072198367</v>
      </c>
    </row>
    <row r="40" spans="2:18" x14ac:dyDescent="0.3">
      <c r="B40" s="426" t="s">
        <v>129</v>
      </c>
      <c r="C40" s="7">
        <f ca="1">1-(1-C39)*(C42-1)/(C42-2)</f>
        <v>0.61643544012376261</v>
      </c>
      <c r="M40" s="426" t="s">
        <v>129</v>
      </c>
      <c r="N40" s="7">
        <f ca="1">1-(1-N39)*(N42-1)/(N42-2)</f>
        <v>0.9186834820622316</v>
      </c>
    </row>
    <row r="41" spans="2:18" x14ac:dyDescent="0.3">
      <c r="B41" s="426" t="s">
        <v>120</v>
      </c>
      <c r="C41" s="8">
        <f ca="1">V8</f>
        <v>1309447.535650085</v>
      </c>
      <c r="M41" s="426" t="s">
        <v>120</v>
      </c>
      <c r="N41" s="6">
        <f ca="1">V15</f>
        <v>5.6573850232836072E-2</v>
      </c>
    </row>
    <row r="42" spans="2:18" ht="15" thickBot="1" x14ac:dyDescent="0.35">
      <c r="B42" s="427" t="s">
        <v>130</v>
      </c>
      <c r="C42" s="9">
        <f ca="1">V9+2</f>
        <v>10</v>
      </c>
      <c r="M42" s="427" t="s">
        <v>130</v>
      </c>
      <c r="N42" s="9">
        <f ca="1">V16+1</f>
        <v>10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26515575680637.391</v>
      </c>
      <c r="E46" s="428">
        <f ca="1">D46/C46</f>
        <v>26515575680637.391</v>
      </c>
      <c r="F46" s="6">
        <f ca="1">E46/E47</f>
        <v>15.464107327600807</v>
      </c>
      <c r="G46" s="426">
        <f ca="1">FDIST(F46,C46,C47)</f>
        <v>4.3417501245991835E-3</v>
      </c>
      <c r="M46" s="426" t="s">
        <v>137</v>
      </c>
      <c r="N46" s="60">
        <v>1</v>
      </c>
      <c r="O46" s="428">
        <f ca="1">U17</f>
        <v>0.36971240181663351</v>
      </c>
      <c r="P46" s="428">
        <f ca="1">O46/N46</f>
        <v>0.36971240181663351</v>
      </c>
      <c r="Q46" s="6">
        <f ca="1">P46/P47</f>
        <v>115.51344765830571</v>
      </c>
      <c r="R46" s="426">
        <f ca="1">FDIST(Q46,N46,N47)</f>
        <v>1.9572971687679169E-6</v>
      </c>
    </row>
    <row r="47" spans="2:18" x14ac:dyDescent="0.3">
      <c r="B47" s="426" t="s">
        <v>138</v>
      </c>
      <c r="C47" s="8">
        <f ca="1">C42-C46-1</f>
        <v>8</v>
      </c>
      <c r="D47" s="428">
        <f ca="1">V10</f>
        <v>13717222788960.646</v>
      </c>
      <c r="E47" s="428">
        <f ca="1">D47/C47</f>
        <v>1714652848620.0808</v>
      </c>
      <c r="F47" s="426"/>
      <c r="G47" s="426"/>
      <c r="M47" s="426" t="s">
        <v>138</v>
      </c>
      <c r="N47" s="60">
        <f ca="1">N42-N46</f>
        <v>9</v>
      </c>
      <c r="O47" s="428">
        <f ca="1">V17</f>
        <v>2.8805404771506293E-2</v>
      </c>
      <c r="P47" s="428">
        <f ca="1">O47/N47</f>
        <v>3.2006005301673658E-3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9</v>
      </c>
      <c r="D48" s="429">
        <f ca="1">D46+D47</f>
        <v>40232798469598.039</v>
      </c>
      <c r="E48" s="427"/>
      <c r="F48" s="427"/>
      <c r="G48" s="427"/>
      <c r="M48" s="427" t="s">
        <v>0</v>
      </c>
      <c r="N48" s="60">
        <f ca="1">N46+N47</f>
        <v>10</v>
      </c>
      <c r="O48" s="429">
        <f ca="1">O46+O47</f>
        <v>0.39851780658813979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18641470.560745388</v>
      </c>
      <c r="D51" s="8">
        <f ca="1">V7</f>
        <v>769632.78284672333</v>
      </c>
      <c r="E51" s="6">
        <f ca="1">C51/D51</f>
        <v>24.221253273274275</v>
      </c>
      <c r="F51" s="7">
        <f ca="1">TDIST(ABS(E51),C47,2)</f>
        <v>9.0046528162247097E-9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566922.3203764864</v>
      </c>
      <c r="D52" s="9">
        <f ca="1">U7</f>
        <v>144165.42890847521</v>
      </c>
      <c r="E52" s="427">
        <f ca="1">C52/D52</f>
        <v>3.9324429210861811</v>
      </c>
      <c r="F52" s="11">
        <f ca="1">TDIST(ABS(E52),C47,2)</f>
        <v>4.3417501245991766E-3</v>
      </c>
      <c r="M52" s="427" t="s">
        <v>114</v>
      </c>
      <c r="N52" s="10">
        <f ca="1">U13</f>
        <v>3.0988577779086226E-2</v>
      </c>
      <c r="O52" s="9">
        <f ca="1">U14</f>
        <v>2.8832703879977761E-3</v>
      </c>
      <c r="P52" s="430">
        <f ca="1">N52/O52</f>
        <v>10.747718253578556</v>
      </c>
      <c r="Q52" s="11">
        <f ca="1">TDIST(ABS(P52),N47,2)</f>
        <v>1.9572971687679169E-6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1"/>
  <sheetViews>
    <sheetView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8.6640625" defaultRowHeight="13.2" x14ac:dyDescent="0.25"/>
  <cols>
    <col min="1" max="1" width="18.6640625" style="197" bestFit="1" customWidth="1"/>
    <col min="2" max="2" width="2.44140625" style="197" bestFit="1" customWidth="1"/>
    <col min="3" max="3" width="15.33203125" style="197" bestFit="1" customWidth="1"/>
    <col min="4" max="4" width="14.44140625" style="197" bestFit="1" customWidth="1"/>
    <col min="5" max="5" width="14.109375" style="197" bestFit="1" customWidth="1"/>
    <col min="6" max="6" width="15.109375" style="197" bestFit="1" customWidth="1"/>
    <col min="7" max="7" width="1.44140625" style="197" customWidth="1"/>
    <col min="8" max="8" width="15.44140625" style="197" bestFit="1" customWidth="1"/>
    <col min="9" max="9" width="16.5546875" style="197" customWidth="1"/>
    <col min="10" max="10" width="14.109375" style="197" bestFit="1" customWidth="1"/>
    <col min="11" max="11" width="15.109375" style="197" bestFit="1" customWidth="1"/>
    <col min="12" max="12" width="1.44140625" style="197" customWidth="1"/>
    <col min="13" max="13" width="15.33203125" style="197" bestFit="1" customWidth="1"/>
    <col min="14" max="14" width="15.88671875" style="197" bestFit="1" customWidth="1"/>
    <col min="15" max="15" width="14.109375" style="197" bestFit="1" customWidth="1"/>
    <col min="16" max="16" width="15.109375" style="197" bestFit="1" customWidth="1"/>
    <col min="17" max="17" width="1.44140625" style="197" customWidth="1"/>
    <col min="18" max="18" width="15.33203125" style="197" bestFit="1" customWidth="1"/>
    <col min="19" max="19" width="15.88671875" style="197" bestFit="1" customWidth="1"/>
    <col min="20" max="20" width="14.109375" style="197" bestFit="1" customWidth="1"/>
    <col min="21" max="21" width="15.6640625" style="197" bestFit="1" customWidth="1"/>
    <col min="22" max="22" width="1.44140625" style="197" customWidth="1"/>
    <col min="23" max="23" width="15.33203125" style="197" bestFit="1" customWidth="1"/>
    <col min="24" max="24" width="16" style="197" bestFit="1" customWidth="1"/>
    <col min="25" max="25" width="14.109375" style="197" bestFit="1" customWidth="1"/>
    <col min="26" max="26" width="15.109375" style="197" bestFit="1" customWidth="1"/>
    <col min="27" max="27" width="1.44140625" style="197" customWidth="1"/>
    <col min="28" max="28" width="15.33203125" style="197" bestFit="1" customWidth="1"/>
    <col min="29" max="29" width="16" style="197" bestFit="1" customWidth="1"/>
    <col min="30" max="31" width="15.6640625" style="197" bestFit="1" customWidth="1"/>
    <col min="32" max="32" width="1.44140625" style="197" customWidth="1"/>
    <col min="33" max="33" width="15.33203125" style="197" bestFit="1" customWidth="1"/>
    <col min="34" max="34" width="16" style="197" bestFit="1" customWidth="1"/>
    <col min="35" max="36" width="15.6640625" style="197" bestFit="1" customWidth="1"/>
    <col min="37" max="37" width="1.44140625" style="197" customWidth="1"/>
    <col min="38" max="38" width="15.33203125" style="197" bestFit="1" customWidth="1"/>
    <col min="39" max="39" width="16" style="197" bestFit="1" customWidth="1"/>
    <col min="40" max="41" width="15.6640625" style="197" bestFit="1" customWidth="1"/>
    <col min="42" max="42" width="1.44140625" style="197" customWidth="1"/>
    <col min="43" max="43" width="15.33203125" style="197" bestFit="1" customWidth="1"/>
    <col min="44" max="44" width="16" style="197" bestFit="1" customWidth="1"/>
    <col min="45" max="46" width="15.6640625" style="197" bestFit="1" customWidth="1"/>
    <col min="47" max="47" width="1.44140625" style="197" customWidth="1"/>
    <col min="48" max="48" width="16.33203125" style="197" bestFit="1" customWidth="1"/>
    <col min="49" max="49" width="16" style="197" bestFit="1" customWidth="1"/>
    <col min="50" max="51" width="15.6640625" style="197" bestFit="1" customWidth="1"/>
    <col min="52" max="52" width="1.44140625" style="197" customWidth="1"/>
    <col min="53" max="53" width="16.109375" style="197" bestFit="1" customWidth="1"/>
    <col min="54" max="54" width="16" style="197" bestFit="1" customWidth="1"/>
    <col min="55" max="55" width="15.5546875" style="197" customWidth="1"/>
    <col min="56" max="56" width="15.109375" style="197" bestFit="1" customWidth="1"/>
    <col min="57" max="16384" width="8.6640625" style="197"/>
  </cols>
  <sheetData>
    <row r="1" spans="1:61" x14ac:dyDescent="0.25">
      <c r="A1" s="352"/>
      <c r="C1" s="420">
        <v>2008</v>
      </c>
      <c r="D1" s="420"/>
      <c r="E1" s="420"/>
      <c r="F1" s="420"/>
      <c r="H1" s="420">
        <f>C1+1</f>
        <v>2009</v>
      </c>
      <c r="I1" s="420"/>
      <c r="J1" s="420"/>
      <c r="K1" s="420"/>
      <c r="M1" s="420">
        <f>H1+1</f>
        <v>2010</v>
      </c>
      <c r="N1" s="420"/>
      <c r="O1" s="420"/>
      <c r="P1" s="420"/>
      <c r="R1" s="420">
        <f>M1+1</f>
        <v>2011</v>
      </c>
      <c r="S1" s="420"/>
      <c r="T1" s="420"/>
      <c r="U1" s="420"/>
      <c r="W1" s="420">
        <f>R1+1</f>
        <v>2012</v>
      </c>
      <c r="X1" s="420"/>
      <c r="Y1" s="420"/>
      <c r="Z1" s="420"/>
      <c r="AB1" s="420">
        <f>W1+1</f>
        <v>2013</v>
      </c>
      <c r="AC1" s="420"/>
      <c r="AD1" s="420"/>
      <c r="AE1" s="420"/>
      <c r="AG1" s="420">
        <f>AB1+1</f>
        <v>2014</v>
      </c>
      <c r="AH1" s="420"/>
      <c r="AI1" s="420"/>
      <c r="AJ1" s="420"/>
      <c r="AL1" s="420">
        <f>AG1+1</f>
        <v>2015</v>
      </c>
      <c r="AM1" s="420"/>
      <c r="AN1" s="420"/>
      <c r="AO1" s="420"/>
      <c r="AQ1" s="420">
        <f>AL1+1</f>
        <v>2016</v>
      </c>
      <c r="AR1" s="420"/>
      <c r="AS1" s="420"/>
      <c r="AT1" s="420"/>
      <c r="AV1" s="420">
        <f>AQ1+1</f>
        <v>2017</v>
      </c>
      <c r="AW1" s="420"/>
      <c r="AX1" s="420"/>
      <c r="AY1" s="420"/>
      <c r="BA1" s="420">
        <f>AV1+1</f>
        <v>2018</v>
      </c>
      <c r="BB1" s="420"/>
      <c r="BC1" s="420"/>
      <c r="BD1" s="420"/>
    </row>
    <row r="2" spans="1:61" ht="14.4" x14ac:dyDescent="0.25">
      <c r="A2" s="352"/>
      <c r="C2" s="337"/>
      <c r="D2" s="337" t="s">
        <v>287</v>
      </c>
      <c r="E2" s="337"/>
      <c r="F2" s="337" t="s">
        <v>288</v>
      </c>
      <c r="H2" s="337"/>
      <c r="I2" s="337" t="s">
        <v>287</v>
      </c>
      <c r="J2" s="337"/>
      <c r="K2" s="337" t="s">
        <v>288</v>
      </c>
      <c r="M2" s="337"/>
      <c r="N2" s="337" t="s">
        <v>287</v>
      </c>
      <c r="O2" s="337"/>
      <c r="P2" s="337" t="s">
        <v>288</v>
      </c>
      <c r="R2" s="337"/>
      <c r="S2" s="337" t="s">
        <v>287</v>
      </c>
      <c r="T2" s="337"/>
      <c r="U2" s="337" t="s">
        <v>288</v>
      </c>
      <c r="W2" s="337"/>
      <c r="X2" s="337" t="s">
        <v>287</v>
      </c>
      <c r="Y2" s="337"/>
      <c r="Z2" s="337" t="s">
        <v>288</v>
      </c>
      <c r="AB2" s="337"/>
      <c r="AC2" s="337" t="s">
        <v>287</v>
      </c>
      <c r="AD2" s="337"/>
      <c r="AE2" s="337" t="s">
        <v>288</v>
      </c>
      <c r="AG2" s="337"/>
      <c r="AH2" s="337" t="s">
        <v>287</v>
      </c>
      <c r="AI2" s="337"/>
      <c r="AJ2" s="337" t="s">
        <v>288</v>
      </c>
      <c r="AL2" s="337"/>
      <c r="AM2" s="337" t="s">
        <v>287</v>
      </c>
      <c r="AN2" s="337"/>
      <c r="AO2" s="337" t="s">
        <v>288</v>
      </c>
      <c r="AQ2" s="337"/>
      <c r="AR2" s="337" t="s">
        <v>287</v>
      </c>
      <c r="AS2" s="337"/>
      <c r="AT2" s="337" t="s">
        <v>288</v>
      </c>
      <c r="AV2" s="337"/>
      <c r="AW2" s="337" t="s">
        <v>287</v>
      </c>
      <c r="AX2" s="337"/>
      <c r="AY2" s="337" t="s">
        <v>288</v>
      </c>
      <c r="BA2" s="337"/>
      <c r="BB2" s="337" t="s">
        <v>287</v>
      </c>
      <c r="BC2" s="337"/>
      <c r="BD2" s="337" t="s">
        <v>288</v>
      </c>
      <c r="BF2" s="317"/>
    </row>
    <row r="3" spans="1:61" ht="14.4" x14ac:dyDescent="0.25">
      <c r="A3" s="421" t="s">
        <v>289</v>
      </c>
      <c r="C3" s="421" t="s">
        <v>63</v>
      </c>
      <c r="D3" s="421" t="s">
        <v>1</v>
      </c>
      <c r="E3" s="421" t="s">
        <v>245</v>
      </c>
      <c r="F3" s="421" t="s">
        <v>236</v>
      </c>
      <c r="H3" s="421" t="s">
        <v>63</v>
      </c>
      <c r="I3" s="421" t="s">
        <v>1</v>
      </c>
      <c r="J3" s="421" t="s">
        <v>245</v>
      </c>
      <c r="K3" s="421" t="s">
        <v>236</v>
      </c>
      <c r="M3" s="421" t="s">
        <v>63</v>
      </c>
      <c r="N3" s="421" t="s">
        <v>1</v>
      </c>
      <c r="O3" s="421" t="s">
        <v>245</v>
      </c>
      <c r="P3" s="421" t="s">
        <v>236</v>
      </c>
      <c r="R3" s="421" t="s">
        <v>63</v>
      </c>
      <c r="S3" s="421" t="s">
        <v>1</v>
      </c>
      <c r="T3" s="421" t="s">
        <v>245</v>
      </c>
      <c r="U3" s="421" t="s">
        <v>236</v>
      </c>
      <c r="W3" s="421" t="s">
        <v>63</v>
      </c>
      <c r="X3" s="421" t="s">
        <v>1</v>
      </c>
      <c r="Y3" s="421" t="s">
        <v>245</v>
      </c>
      <c r="Z3" s="421" t="s">
        <v>236</v>
      </c>
      <c r="AB3" s="421" t="s">
        <v>63</v>
      </c>
      <c r="AC3" s="421" t="s">
        <v>1</v>
      </c>
      <c r="AD3" s="421" t="s">
        <v>245</v>
      </c>
      <c r="AE3" s="421" t="s">
        <v>236</v>
      </c>
      <c r="AG3" s="421" t="s">
        <v>63</v>
      </c>
      <c r="AH3" s="421" t="s">
        <v>1</v>
      </c>
      <c r="AI3" s="421" t="s">
        <v>245</v>
      </c>
      <c r="AJ3" s="421" t="s">
        <v>236</v>
      </c>
      <c r="AL3" s="421" t="s">
        <v>63</v>
      </c>
      <c r="AM3" s="421" t="s">
        <v>1</v>
      </c>
      <c r="AN3" s="421" t="s">
        <v>245</v>
      </c>
      <c r="AO3" s="421" t="s">
        <v>236</v>
      </c>
      <c r="AQ3" s="421" t="s">
        <v>63</v>
      </c>
      <c r="AR3" s="421" t="s">
        <v>1</v>
      </c>
      <c r="AS3" s="421" t="s">
        <v>245</v>
      </c>
      <c r="AT3" s="421" t="s">
        <v>236</v>
      </c>
      <c r="AV3" s="421" t="s">
        <v>63</v>
      </c>
      <c r="AW3" s="421" t="s">
        <v>1</v>
      </c>
      <c r="AX3" s="421" t="s">
        <v>245</v>
      </c>
      <c r="AY3" s="421" t="s">
        <v>236</v>
      </c>
      <c r="BA3" s="421" t="s">
        <v>63</v>
      </c>
      <c r="BB3" s="421" t="s">
        <v>1</v>
      </c>
      <c r="BC3" s="421" t="s">
        <v>245</v>
      </c>
      <c r="BD3" s="421" t="s">
        <v>236</v>
      </c>
      <c r="BF3" s="317"/>
    </row>
    <row r="4" spans="1:61" ht="14.4" x14ac:dyDescent="0.25">
      <c r="BF4" s="317"/>
    </row>
    <row r="5" spans="1:61" ht="14.4" x14ac:dyDescent="0.25">
      <c r="A5" s="335" t="s">
        <v>290</v>
      </c>
      <c r="BF5" s="317"/>
    </row>
    <row r="6" spans="1:61" ht="14.4" x14ac:dyDescent="0.25">
      <c r="A6" s="197" t="s">
        <v>64</v>
      </c>
      <c r="B6" s="344" t="s">
        <v>291</v>
      </c>
      <c r="C6" s="352">
        <f>SUMIF('GasGross Plant Data'!$C$12:$C$46,$B6,'GasGross Plant Data'!$D$12:$D$46)</f>
        <v>46230348</v>
      </c>
      <c r="D6" s="352">
        <f>SUMIF('Gas Accum Dep Data'!$C$12:$C$37,$B6,'Gas Accum Dep Data'!$D$12:$D$37)</f>
        <v>-18663396.192499999</v>
      </c>
      <c r="E6" s="352">
        <f>Funct_Plant_Rel_DFIT_Detail!H90</f>
        <v>0</v>
      </c>
      <c r="F6" s="352">
        <f>SUM(C6:E6)</f>
        <v>27566951.807500001</v>
      </c>
      <c r="G6" s="352"/>
      <c r="H6" s="352">
        <f>SUMIF('GasGross Plant Data'!$C$12:$C$46,$B6,'GasGross Plant Data'!$E$12:$E$46)</f>
        <v>61528345</v>
      </c>
      <c r="I6" s="352">
        <f>SUMIF('Gas Accum Dep Data'!$C$12:$C$37,$B6,'Gas Accum Dep Data'!$E$12:$E$37)</f>
        <v>-21313700.674699999</v>
      </c>
      <c r="J6" s="352">
        <f>Funct_Plant_Rel_DFIT_Detail!L90</f>
        <v>0</v>
      </c>
      <c r="K6" s="352">
        <f>SUM(H6:J6)</f>
        <v>40214644.325300001</v>
      </c>
      <c r="L6" s="352"/>
      <c r="M6" s="352">
        <f>SUMIF('GasGross Plant Data'!$C$12:$C$46,$B6,'GasGross Plant Data'!$F$12:$F$46)</f>
        <v>61387121</v>
      </c>
      <c r="N6" s="352">
        <f>SUMIF('Gas Accum Dep Data'!$C$12:$C$37,$B6,'Gas Accum Dep Data'!$F$12:$F$37)</f>
        <v>-22928967.052299999</v>
      </c>
      <c r="O6" s="352">
        <f>Funct_Plant_Rel_DFIT_Detail!P90</f>
        <v>0</v>
      </c>
      <c r="P6" s="352">
        <f>SUM(M6:O6)</f>
        <v>38458153.947700001</v>
      </c>
      <c r="Q6" s="352"/>
      <c r="R6" s="352">
        <f>SUMIF('GasGross Plant Data'!$C$12:$C$46,$B6,'GasGross Plant Data'!$G$12:$G$46)</f>
        <v>61918608</v>
      </c>
      <c r="S6" s="352">
        <f>SUMIF('Gas Accum Dep Data'!$C$12:$C$37,$B6,'Gas Accum Dep Data'!$G$12:$G$37)</f>
        <v>-23527712.647</v>
      </c>
      <c r="T6" s="352">
        <f>Funct_Plant_Rel_DFIT_Detail!T90</f>
        <v>0</v>
      </c>
      <c r="U6" s="352">
        <f>SUM(R6:T6)</f>
        <v>38390895.353</v>
      </c>
      <c r="V6" s="352"/>
      <c r="W6" s="352">
        <f>SUMIF('GasGross Plant Data'!$C$12:$C$46,$B6,'GasGross Plant Data'!$H$12:$H$46)</f>
        <v>62168166</v>
      </c>
      <c r="X6" s="352">
        <f>SUMIF('Gas Accum Dep Data'!$C$12:$C$37,$B6,'Gas Accum Dep Data'!$H$12:$H$37)</f>
        <v>-23212129.017299999</v>
      </c>
      <c r="Y6" s="352">
        <f>Funct_Plant_Rel_DFIT_Detail!X90</f>
        <v>0</v>
      </c>
      <c r="Z6" s="352">
        <f>SUM(W6:Y6)</f>
        <v>38956036.982700005</v>
      </c>
      <c r="AA6" s="352"/>
      <c r="AB6" s="352">
        <f>SUMIF('GasGross Plant Data'!$C$12:$C$46,$B6,'GasGross Plant Data'!$I$12:$I$46)</f>
        <v>62548742</v>
      </c>
      <c r="AC6" s="352">
        <f>SUMIF('Gas Accum Dep Data'!$C$12:$C$37,$B6,'Gas Accum Dep Data'!$I$12:$I$37)</f>
        <v>-24585272.364799999</v>
      </c>
      <c r="AD6" s="352">
        <f>Funct_Plant_Rel_DFIT_Detail!AB90</f>
        <v>0</v>
      </c>
      <c r="AE6" s="352">
        <f>SUM(AB6:AD6)</f>
        <v>37963469.635200001</v>
      </c>
      <c r="AF6" s="352"/>
      <c r="AG6" s="352">
        <f>SUMIF('GasGross Plant Data'!$C$12:$C$46,$B6,'GasGross Plant Data'!$J$12:$J$46)</f>
        <v>63228168</v>
      </c>
      <c r="AH6" s="352">
        <f>SUMIF('Gas Accum Dep Data'!$C$12:$C$37,$B6,'Gas Accum Dep Data'!$J$12:$J$37)</f>
        <v>-25326197.853500001</v>
      </c>
      <c r="AI6" s="352">
        <f>Funct_Plant_Rel_DFIT_Detail!AF90</f>
        <v>0</v>
      </c>
      <c r="AJ6" s="352">
        <f>SUM(AG6:AI6)</f>
        <v>37901970.146499999</v>
      </c>
      <c r="AK6" s="352"/>
      <c r="AL6" s="352">
        <f>SUMIF('GasGross Plant Data'!$C$12:$C$46,$B6,'GasGross Plant Data'!$K$12:$K$46)</f>
        <v>63762538</v>
      </c>
      <c r="AM6" s="352">
        <f>SUMIF('Gas Accum Dep Data'!$C$12:$C$37,$B6,'Gas Accum Dep Data'!$K$12:$K$37)</f>
        <v>-27211533.853799999</v>
      </c>
      <c r="AN6" s="352">
        <f>Funct_Plant_Rel_DFIT_Detail!AJ90</f>
        <v>0</v>
      </c>
      <c r="AO6" s="352">
        <f>SUM(AL6:AN6)</f>
        <v>36551004.146200001</v>
      </c>
      <c r="AP6" s="352"/>
      <c r="AQ6" s="352">
        <f>SUMIF('GasGross Plant Data'!$C$12:$C$46,$B6,'GasGross Plant Data'!$L$12:$L$46)</f>
        <v>64718360</v>
      </c>
      <c r="AR6" s="352">
        <f>SUMIF('Gas Accum Dep Data'!$C$12:$C$37,$B6,'Gas Accum Dep Data'!$L$12:$L$37)</f>
        <v>-26398328.982999999</v>
      </c>
      <c r="AS6" s="352">
        <f>Funct_Plant_Rel_DFIT_Detail!AN90</f>
        <v>0</v>
      </c>
      <c r="AT6" s="352">
        <f>SUM(AQ6:AS6)</f>
        <v>38320031.017000005</v>
      </c>
      <c r="AU6" s="352"/>
      <c r="AV6" s="352">
        <f>SUMIF('GasGross Plant Data'!$C$12:$C$46,$B6,'GasGross Plant Data'!$M$12:$M$46)</f>
        <v>65657582</v>
      </c>
      <c r="AW6" s="352">
        <f>SUMIF('Gas Accum Dep Data'!$C$12:$C$37,$B6,'Gas Accum Dep Data'!$M$12:$M$37)</f>
        <v>-25920054.635499999</v>
      </c>
      <c r="AX6" s="352">
        <f>Funct_Plant_Rel_DFIT_Detail!AR90</f>
        <v>0</v>
      </c>
      <c r="AY6" s="352">
        <f>SUM(AV6:AX6)</f>
        <v>39737527.364500001</v>
      </c>
      <c r="AZ6" s="352"/>
      <c r="BA6" s="352">
        <f>SUMIF('GasGross Plant Data'!$C$12:$C$46,$B6,'GasGross Plant Data'!$N$12:$N$46)</f>
        <v>67819845</v>
      </c>
      <c r="BB6" s="352">
        <f>SUMIF('Gas Accum Dep Data'!$C$12:$C$37,$B6,'Gas Accum Dep Data'!$N$12:$N$37)</f>
        <v>-33125037.959271803</v>
      </c>
      <c r="BC6" s="352">
        <f>Funct_Plant_Rel_DFIT_Detail!AV90</f>
        <v>0</v>
      </c>
      <c r="BD6" s="352">
        <f>SUM(BA6:BC6)</f>
        <v>34694807.040728197</v>
      </c>
      <c r="BE6" s="352"/>
      <c r="BF6" s="317"/>
      <c r="BG6" s="352"/>
      <c r="BH6" s="352"/>
      <c r="BI6" s="352"/>
    </row>
    <row r="7" spans="1:61" x14ac:dyDescent="0.25">
      <c r="A7" s="197" t="s">
        <v>65</v>
      </c>
      <c r="B7" s="344" t="s">
        <v>292</v>
      </c>
      <c r="C7" s="258">
        <f>SUMIF('GasGross Plant Data'!$C$12:$C$46,$B7,'GasGross Plant Data'!$D$12:$D$46)</f>
        <v>-3358</v>
      </c>
      <c r="D7" s="258">
        <f>SUMIF('Gas Accum Dep Data'!$C$12:$C$37,$B7,'Gas Accum Dep Data'!$D$12:$D$37)</f>
        <v>-48</v>
      </c>
      <c r="E7" s="258">
        <f>Funct_Plant_Rel_DFIT_Detail!H91</f>
        <v>0</v>
      </c>
      <c r="F7" s="258">
        <f t="shared" ref="F7:F10" si="0">SUM(C7:E7)</f>
        <v>-3406</v>
      </c>
      <c r="G7" s="258"/>
      <c r="H7" s="258">
        <f>SUMIF('GasGross Plant Data'!$C$12:$C$46,$B7,'GasGross Plant Data'!$E$12:$E$46)</f>
        <v>0</v>
      </c>
      <c r="I7" s="258">
        <f>SUMIF('Gas Accum Dep Data'!$C$12:$C$37,$B7,'Gas Accum Dep Data'!$E$12:$E$37)</f>
        <v>-2</v>
      </c>
      <c r="J7" s="258">
        <f>Funct_Plant_Rel_DFIT_Detail!L91</f>
        <v>0</v>
      </c>
      <c r="K7" s="258">
        <f t="shared" ref="K7:K10" si="1">SUM(H7:J7)</f>
        <v>-2</v>
      </c>
      <c r="L7" s="258"/>
      <c r="M7" s="258">
        <f>SUMIF('GasGross Plant Data'!$C$12:$C$46,$B7,'GasGross Plant Data'!$F$12:$F$46)</f>
        <v>0.33489999999999998</v>
      </c>
      <c r="N7" s="258">
        <f>SUMIF('Gas Accum Dep Data'!$C$12:$C$37,$B7,'Gas Accum Dep Data'!$F$12:$F$37)</f>
        <v>0</v>
      </c>
      <c r="O7" s="258">
        <f>Funct_Plant_Rel_DFIT_Detail!P91</f>
        <v>0</v>
      </c>
      <c r="P7" s="258">
        <f t="shared" ref="P7:P10" si="2">SUM(M7:O7)</f>
        <v>0.33489999999999998</v>
      </c>
      <c r="Q7" s="258"/>
      <c r="R7" s="258">
        <f>SUMIF('GasGross Plant Data'!$C$12:$C$46,$B7,'GasGross Plant Data'!$G$12:$G$46)</f>
        <v>0</v>
      </c>
      <c r="S7" s="258">
        <f>SUMIF('Gas Accum Dep Data'!$C$12:$C$37,$B7,'Gas Accum Dep Data'!$G$12:$G$37)</f>
        <v>0</v>
      </c>
      <c r="T7" s="258">
        <f>Funct_Plant_Rel_DFIT_Detail!T91</f>
        <v>0</v>
      </c>
      <c r="U7" s="258">
        <f t="shared" ref="U7:U10" si="3">SUM(R7:T7)</f>
        <v>0</v>
      </c>
      <c r="V7" s="258"/>
      <c r="W7" s="258">
        <f>SUMIF('GasGross Plant Data'!$C$12:$C$46,$B7,'GasGross Plant Data'!$H$12:$H$46)</f>
        <v>0.32890000000000003</v>
      </c>
      <c r="X7" s="258">
        <f>SUMIF('Gas Accum Dep Data'!$C$12:$C$37,$B7,'Gas Accum Dep Data'!$H$12:$H$37)</f>
        <v>0</v>
      </c>
      <c r="Y7" s="258">
        <f>Funct_Plant_Rel_DFIT_Detail!X91</f>
        <v>0</v>
      </c>
      <c r="Z7" s="258">
        <f t="shared" ref="Z7:Z10" si="4">SUM(W7:Y7)</f>
        <v>0.32890000000000003</v>
      </c>
      <c r="AA7" s="258"/>
      <c r="AB7" s="258">
        <f>SUMIF('GasGross Plant Data'!$C$12:$C$46,$B7,'GasGross Plant Data'!$I$12:$I$46)</f>
        <v>0.32019999999999998</v>
      </c>
      <c r="AC7" s="258">
        <f>SUMIF('Gas Accum Dep Data'!$C$12:$C$37,$B7,'Gas Accum Dep Data'!$I$12:$I$37)</f>
        <v>0</v>
      </c>
      <c r="AD7" s="258">
        <f>Funct_Plant_Rel_DFIT_Detail!AB91</f>
        <v>0</v>
      </c>
      <c r="AE7" s="258">
        <f t="shared" ref="AE7:AE10" si="5">SUM(AB7:AD7)</f>
        <v>0.32019999999999998</v>
      </c>
      <c r="AF7" s="258"/>
      <c r="AG7" s="258">
        <f>SUMIF('GasGross Plant Data'!$C$12:$C$46,$B7,'GasGross Plant Data'!$J$12:$J$46)</f>
        <v>0.3145</v>
      </c>
      <c r="AH7" s="258">
        <f>SUMIF('Gas Accum Dep Data'!$C$12:$C$37,$B7,'Gas Accum Dep Data'!$J$12:$J$37)</f>
        <v>0</v>
      </c>
      <c r="AI7" s="258">
        <f>Funct_Plant_Rel_DFIT_Detail!AF91</f>
        <v>0</v>
      </c>
      <c r="AJ7" s="258">
        <f t="shared" ref="AJ7:AJ10" si="6">SUM(AG7:AI7)</f>
        <v>0.3145</v>
      </c>
      <c r="AK7" s="258"/>
      <c r="AL7" s="258">
        <f>SUMIF('GasGross Plant Data'!$C$12:$C$46,$B7,'GasGross Plant Data'!$K$12:$K$46)</f>
        <v>0</v>
      </c>
      <c r="AM7" s="258">
        <f>SUMIF('Gas Accum Dep Data'!$C$12:$C$37,$B7,'Gas Accum Dep Data'!$K$12:$K$37)</f>
        <v>0</v>
      </c>
      <c r="AN7" s="258">
        <f>Funct_Plant_Rel_DFIT_Detail!AJ91</f>
        <v>0</v>
      </c>
      <c r="AO7" s="258">
        <f t="shared" ref="AO7:AO10" si="7">SUM(AL7:AN7)</f>
        <v>0</v>
      </c>
      <c r="AP7" s="258"/>
      <c r="AQ7" s="258">
        <f>SUMIF('GasGross Plant Data'!$C$12:$C$46,$B7,'GasGross Plant Data'!$L$12:$L$46)</f>
        <v>0</v>
      </c>
      <c r="AR7" s="258">
        <f>SUMIF('Gas Accum Dep Data'!$C$12:$C$37,$B7,'Gas Accum Dep Data'!$L$12:$L$37)</f>
        <v>0</v>
      </c>
      <c r="AS7" s="258">
        <f>Funct_Plant_Rel_DFIT_Detail!AN91</f>
        <v>0</v>
      </c>
      <c r="AT7" s="258">
        <f t="shared" ref="AT7:AT10" si="8">SUM(AQ7:AS7)</f>
        <v>0</v>
      </c>
      <c r="AU7" s="258"/>
      <c r="AV7" s="258">
        <f>SUMIF('GasGross Plant Data'!$C$12:$C$46,$B7,'GasGross Plant Data'!$M$12:$M$46)</f>
        <v>0</v>
      </c>
      <c r="AW7" s="258">
        <f>SUMIF('Gas Accum Dep Data'!$C$12:$C$37,$B7,'Gas Accum Dep Data'!$M$12:$M$37)</f>
        <v>0</v>
      </c>
      <c r="AX7" s="258">
        <f>Funct_Plant_Rel_DFIT_Detail!AR91</f>
        <v>0</v>
      </c>
      <c r="AY7" s="258">
        <f t="shared" ref="AY7:AY10" si="9">SUM(AV7:AX7)</f>
        <v>0</v>
      </c>
      <c r="AZ7" s="258"/>
      <c r="BA7" s="258">
        <f>SUMIF('GasGross Plant Data'!$C$12:$C$46,$B7,'GasGross Plant Data'!$N$12:$N$46)</f>
        <v>0</v>
      </c>
      <c r="BB7" s="258">
        <f>SUMIF('Gas Accum Dep Data'!$C$12:$C$37,$B7,'Gas Accum Dep Data'!$N$12:$N$37)</f>
        <v>0</v>
      </c>
      <c r="BC7" s="258">
        <f>Funct_Plant_Rel_DFIT_Detail!AV91</f>
        <v>0</v>
      </c>
      <c r="BD7" s="258">
        <f t="shared" ref="BD7:BD10" si="10">SUM(BA7:BC7)</f>
        <v>0</v>
      </c>
    </row>
    <row r="8" spans="1:61" x14ac:dyDescent="0.25">
      <c r="A8" s="197" t="s">
        <v>66</v>
      </c>
      <c r="B8" s="344" t="s">
        <v>214</v>
      </c>
      <c r="C8" s="258">
        <f>SUMIF('GasGross Plant Data'!$C$12:$C$46,$B8,'GasGross Plant Data'!$D$12:$D$46)</f>
        <v>2210764633</v>
      </c>
      <c r="D8" s="258">
        <f>SUMIF('Gas Accum Dep Data'!$C$12:$C$37,$B8,'Gas Accum Dep Data'!$D$12:$D$37)</f>
        <v>-687515984</v>
      </c>
      <c r="E8" s="258">
        <f>Funct_Plant_Rel_DFIT_Detail!H92</f>
        <v>-172999286.22298464</v>
      </c>
      <c r="F8" s="258">
        <f t="shared" si="0"/>
        <v>1350249362.7770154</v>
      </c>
      <c r="H8" s="258">
        <f>SUMIF('GasGross Plant Data'!$C$12:$C$46,$B8,'GasGross Plant Data'!$E$12:$E$46)</f>
        <v>2385288050</v>
      </c>
      <c r="I8" s="258">
        <f>SUMIF('Gas Accum Dep Data'!$C$12:$C$37,$B8,'Gas Accum Dep Data'!$E$12:$E$37)</f>
        <v>-753186569</v>
      </c>
      <c r="J8" s="258">
        <f>Funct_Plant_Rel_DFIT_Detail!L92</f>
        <v>-221941060.61387354</v>
      </c>
      <c r="K8" s="258">
        <f t="shared" si="1"/>
        <v>1410160420.3861265</v>
      </c>
      <c r="M8" s="258">
        <f>SUMIF('GasGross Plant Data'!$C$12:$C$46,$B8,'GasGross Plant Data'!$F$12:$F$46)</f>
        <v>2530004412</v>
      </c>
      <c r="N8" s="258">
        <f>SUMIF('Gas Accum Dep Data'!$C$12:$C$37,$B8,'Gas Accum Dep Data'!$F$12:$F$37)</f>
        <v>-823796903</v>
      </c>
      <c r="O8" s="258">
        <f>Funct_Plant_Rel_DFIT_Detail!P92</f>
        <v>-235367342.02444157</v>
      </c>
      <c r="P8" s="258">
        <f t="shared" si="2"/>
        <v>1470840166.9755585</v>
      </c>
      <c r="R8" s="258">
        <f>SUMIF('GasGross Plant Data'!$C$12:$C$46,$B8,'GasGross Plant Data'!$G$12:$G$46)</f>
        <v>2635752747</v>
      </c>
      <c r="S8" s="258">
        <f>SUMIF('Gas Accum Dep Data'!$C$12:$C$37,$B8,'Gas Accum Dep Data'!$G$12:$G$37)</f>
        <v>-887774436</v>
      </c>
      <c r="T8" s="258">
        <f>Funct_Plant_Rel_DFIT_Detail!T92</f>
        <v>-287733623.69258755</v>
      </c>
      <c r="U8" s="258">
        <f t="shared" si="3"/>
        <v>1460244687.3074124</v>
      </c>
      <c r="W8" s="258">
        <f>SUMIF('GasGross Plant Data'!$C$12:$C$46,$B8,'GasGross Plant Data'!$H$12:$H$46)</f>
        <v>2746234653</v>
      </c>
      <c r="X8" s="258">
        <f>SUMIF('Gas Accum Dep Data'!$C$12:$C$37,$B8,'Gas Accum Dep Data'!$H$12:$H$37)</f>
        <v>-961781988</v>
      </c>
      <c r="Y8" s="258">
        <f>Funct_Plant_Rel_DFIT_Detail!X92</f>
        <v>-338783978.22139591</v>
      </c>
      <c r="Z8" s="258">
        <f t="shared" si="4"/>
        <v>1445668686.778604</v>
      </c>
      <c r="AB8" s="258">
        <f>SUMIF('GasGross Plant Data'!$C$12:$C$46,$B8,'GasGross Plant Data'!$I$12:$I$46)</f>
        <v>2879940210</v>
      </c>
      <c r="AC8" s="258">
        <f>SUMIF('Gas Accum Dep Data'!$C$12:$C$37,$B8,'Gas Accum Dep Data'!$I$12:$I$37)</f>
        <v>-1034510627</v>
      </c>
      <c r="AD8" s="258">
        <f>Funct_Plant_Rel_DFIT_Detail!AB92</f>
        <v>-367193490.54528856</v>
      </c>
      <c r="AE8" s="258">
        <f t="shared" si="5"/>
        <v>1478236092.4547114</v>
      </c>
      <c r="AG8" s="258">
        <f>SUMIF('GasGross Plant Data'!$C$12:$C$46,$B8,'GasGross Plant Data'!$J$12:$J$46)</f>
        <v>3022548886</v>
      </c>
      <c r="AH8" s="258">
        <f>SUMIF('Gas Accum Dep Data'!$C$12:$C$37,$B8,'Gas Accum Dep Data'!$J$12:$J$37)</f>
        <v>-1115183940.3789999</v>
      </c>
      <c r="AI8" s="258">
        <f>Funct_Plant_Rel_DFIT_Detail!AF92</f>
        <v>-403895136.0109446</v>
      </c>
      <c r="AJ8" s="258">
        <f t="shared" si="6"/>
        <v>1503469809.6100554</v>
      </c>
      <c r="AL8" s="258">
        <f>SUMIF('GasGross Plant Data'!$C$12:$C$46,$B8,'GasGross Plant Data'!$K$12:$K$46)</f>
        <v>3162774259.7674999</v>
      </c>
      <c r="AM8" s="258">
        <f>SUMIF('Gas Accum Dep Data'!$C$12:$C$37,$B8,'Gas Accum Dep Data'!$K$12:$K$37)</f>
        <v>-1188656313</v>
      </c>
      <c r="AN8" s="258">
        <f>Funct_Plant_Rel_DFIT_Detail!AJ92</f>
        <v>-435213425.46897882</v>
      </c>
      <c r="AO8" s="258">
        <f t="shared" si="7"/>
        <v>1538904521.298521</v>
      </c>
      <c r="AQ8" s="258">
        <f>SUMIF('GasGross Plant Data'!$C$12:$C$46,$B8,'GasGross Plant Data'!$L$12:$L$46)</f>
        <v>3310238970</v>
      </c>
      <c r="AR8" s="258">
        <f>SUMIF('Gas Accum Dep Data'!$C$12:$C$37,$B8,'Gas Accum Dep Data'!$L$12:$L$37)</f>
        <v>-1271567693</v>
      </c>
      <c r="AS8" s="258">
        <f>Funct_Plant_Rel_DFIT_Detail!AN92</f>
        <v>-469724604.1223672</v>
      </c>
      <c r="AT8" s="258">
        <f t="shared" si="8"/>
        <v>1568946672.8776329</v>
      </c>
      <c r="AV8" s="258">
        <f>SUMIF('GasGross Plant Data'!$C$12:$C$46,$B8,'GasGross Plant Data'!$M$12:$M$46)</f>
        <v>3497293008</v>
      </c>
      <c r="AW8" s="258">
        <f>SUMIF('Gas Accum Dep Data'!$C$12:$C$37,$B8,'Gas Accum Dep Data'!$M$12:$M$37)</f>
        <v>-1361667453</v>
      </c>
      <c r="AX8" s="258">
        <f>Funct_Plant_Rel_DFIT_Detail!AR92</f>
        <v>-506786403.39104867</v>
      </c>
      <c r="AY8" s="258">
        <f t="shared" si="9"/>
        <v>1628839151.6089513</v>
      </c>
      <c r="BA8" s="258">
        <f>SUMIF('GasGross Plant Data'!$C$12:$C$46,$B8,'GasGross Plant Data'!$N$12:$N$46)</f>
        <v>3710993361</v>
      </c>
      <c r="BB8" s="258">
        <f>SUMIF('Gas Accum Dep Data'!$C$12:$C$37,$B8,'Gas Accum Dep Data'!$N$12:$N$37)</f>
        <v>-1433137826.69191</v>
      </c>
      <c r="BC8" s="258">
        <f>Funct_Plant_Rel_DFIT_Detail!AV92</f>
        <v>-526707582.46769381</v>
      </c>
      <c r="BD8" s="258">
        <f t="shared" si="10"/>
        <v>1751147951.8403964</v>
      </c>
    </row>
    <row r="9" spans="1:61" x14ac:dyDescent="0.25">
      <c r="A9" s="197" t="s">
        <v>67</v>
      </c>
      <c r="B9" s="344" t="s">
        <v>217</v>
      </c>
      <c r="C9" s="258">
        <f>SUMIF('GasGross Plant Data'!$C$12:$C$46,$B9,'GasGross Plant Data'!$D$12:$D$46)</f>
        <v>114148670.88149999</v>
      </c>
      <c r="D9" s="258">
        <f>SUMIF('Gas Accum Dep Data'!$C$12:$C$37,$B9,'Gas Accum Dep Data'!$D$12:$D$37)</f>
        <v>-83160038.114500001</v>
      </c>
      <c r="E9" s="258">
        <f>Funct_Plant_Rel_DFIT_Detail!H$94*(C9/SUM(C$9:C$10))</f>
        <v>-16151191.953472473</v>
      </c>
      <c r="F9" s="258">
        <f t="shared" si="0"/>
        <v>14837440.813527517</v>
      </c>
      <c r="H9" s="258">
        <f>SUMIF('GasGross Plant Data'!$C$12:$C$46,$B9,'GasGross Plant Data'!$E$12:$E$46)</f>
        <v>121231461.78160001</v>
      </c>
      <c r="I9" s="258">
        <f>SUMIF('Gas Accum Dep Data'!$C$12:$C$37,$B9,'Gas Accum Dep Data'!$E$12:$E$37)</f>
        <v>-97084868.988900006</v>
      </c>
      <c r="J9" s="258">
        <f>Funct_Plant_Rel_DFIT_Detail!L$94*(H9/SUM(H$9:H$10))</f>
        <v>-19101141.995922808</v>
      </c>
      <c r="K9" s="258">
        <f t="shared" si="1"/>
        <v>5045450.7967772</v>
      </c>
      <c r="M9" s="258">
        <f>SUMIF('GasGross Plant Data'!$C$12:$C$46,$B9,'GasGross Plant Data'!$F$12:$F$46)</f>
        <v>70084907.687299997</v>
      </c>
      <c r="N9" s="258">
        <f>SUMIF('Gas Accum Dep Data'!$C$12:$C$37,$B9,'Gas Accum Dep Data'!$F$12:$F$37)</f>
        <v>-50080267.300899997</v>
      </c>
      <c r="O9" s="258">
        <f>Funct_Plant_Rel_DFIT_Detail!P$94*(M9/SUM(M$9:M$10))</f>
        <v>-14642302.253231956</v>
      </c>
      <c r="P9" s="258">
        <f t="shared" si="2"/>
        <v>5362338.1331680436</v>
      </c>
      <c r="R9" s="258">
        <f>SUMIF('GasGross Plant Data'!$C$12:$C$46,$B9,'GasGross Plant Data'!$G$12:$G$46)</f>
        <v>41706701.205000006</v>
      </c>
      <c r="S9" s="258">
        <f>SUMIF('Gas Accum Dep Data'!$C$12:$C$37,$B9,'Gas Accum Dep Data'!$G$12:$G$37)</f>
        <v>-23190663.291000001</v>
      </c>
      <c r="T9" s="258">
        <f>Funct_Plant_Rel_DFIT_Detail!T$94*(R9/SUM(R$9:R$10))</f>
        <v>-11918887.766737301</v>
      </c>
      <c r="U9" s="258">
        <f t="shared" si="3"/>
        <v>6597150.1472627036</v>
      </c>
      <c r="W9" s="258">
        <f>SUMIF('GasGross Plant Data'!$C$12:$C$46,$B9,'GasGross Plant Data'!$H$12:$H$46)</f>
        <v>43400851.394299999</v>
      </c>
      <c r="X9" s="258">
        <f>SUMIF('Gas Accum Dep Data'!$C$12:$C$37,$B9,'Gas Accum Dep Data'!$H$12:$H$37)</f>
        <v>-23118598.882900003</v>
      </c>
      <c r="Y9" s="258">
        <f>Funct_Plant_Rel_DFIT_Detail!X$94*(W9/SUM(W$9:W$10))</f>
        <v>-13930791.963434672</v>
      </c>
      <c r="Z9" s="258">
        <f t="shared" si="4"/>
        <v>6351460.5479653236</v>
      </c>
      <c r="AB9" s="258">
        <f>SUMIF('GasGross Plant Data'!$C$12:$C$46,$B9,'GasGross Plant Data'!$I$12:$I$46)</f>
        <v>65902921.046799995</v>
      </c>
      <c r="AC9" s="258">
        <f>SUMIF('Gas Accum Dep Data'!$C$12:$C$37,$B9,'Gas Accum Dep Data'!$I$12:$I$37)</f>
        <v>-19139586.0176</v>
      </c>
      <c r="AD9" s="258">
        <f>Funct_Plant_Rel_DFIT_Detail!AB$94*(AB9/SUM(AB$9:AB$10))</f>
        <v>-19469239.006562844</v>
      </c>
      <c r="AE9" s="258">
        <f t="shared" si="5"/>
        <v>27294096.022637151</v>
      </c>
      <c r="AG9" s="258">
        <f>SUMIF('GasGross Plant Data'!$C$12:$C$46,$B9,'GasGross Plant Data'!$J$12:$J$46)</f>
        <v>68391619.282000005</v>
      </c>
      <c r="AH9" s="258">
        <f>SUMIF('Gas Accum Dep Data'!$C$12:$C$37,$B9,'Gas Accum Dep Data'!$J$12:$J$37)</f>
        <v>-21566544.754000001</v>
      </c>
      <c r="AI9" s="258">
        <f>Funct_Plant_Rel_DFIT_Detail!AF$94*(AG9/SUM(AG$9:AG$10))</f>
        <v>-21347260.499947537</v>
      </c>
      <c r="AJ9" s="258">
        <f t="shared" si="6"/>
        <v>25477814.028052468</v>
      </c>
      <c r="AL9" s="258">
        <f>SUMIF('GasGross Plant Data'!$C$12:$C$46,$B9,'GasGross Plant Data'!$K$12:$K$46)</f>
        <v>67129385.447400004</v>
      </c>
      <c r="AM9" s="258">
        <f>SUMIF('Gas Accum Dep Data'!$C$12:$C$37,$B9,'Gas Accum Dep Data'!$K$12:$K$37)</f>
        <v>-23612206.0264</v>
      </c>
      <c r="AN9" s="258">
        <f>Funct_Plant_Rel_DFIT_Detail!AJ$94*(AL9/SUM(AL$9:AL$10))</f>
        <v>-20489326.587828081</v>
      </c>
      <c r="AO9" s="258">
        <f t="shared" si="7"/>
        <v>23027852.833171923</v>
      </c>
      <c r="AQ9" s="258">
        <f>SUMIF('GasGross Plant Data'!$C$12:$C$46,$B9,'GasGross Plant Data'!$L$12:$L$46)</f>
        <v>69120516.147399992</v>
      </c>
      <c r="AR9" s="258">
        <f>SUMIF('Gas Accum Dep Data'!$C$12:$C$37,$B9,'Gas Accum Dep Data'!$L$12:$L$37)</f>
        <v>-25347121.292599998</v>
      </c>
      <c r="AS9" s="258">
        <f>Funct_Plant_Rel_DFIT_Detail!AN$94*(AQ9/SUM(AQ$9:AQ$10))</f>
        <v>-20864908.157813523</v>
      </c>
      <c r="AT9" s="258">
        <f t="shared" si="8"/>
        <v>22908486.69698647</v>
      </c>
      <c r="AV9" s="258">
        <f>SUMIF('GasGross Plant Data'!$C$12:$C$46,$B9,'GasGross Plant Data'!$M$12:$M$46)</f>
        <v>101394126.5713</v>
      </c>
      <c r="AW9" s="258">
        <f>SUMIF('Gas Accum Dep Data'!$C$12:$C$37,$B9,'Gas Accum Dep Data'!$M$12:$M$37)</f>
        <v>-34803383.951900005</v>
      </c>
      <c r="AX9" s="258">
        <f>Funct_Plant_Rel_DFIT_Detail!AR$94*(AV9/SUM(AV$9:AV$10))</f>
        <v>-27283837.672347087</v>
      </c>
      <c r="AY9" s="258">
        <f t="shared" si="9"/>
        <v>39306904.947052911</v>
      </c>
      <c r="BA9" s="258">
        <f>SUMIF('GasGross Plant Data'!$C$12:$C$46,$B9,'GasGross Plant Data'!$N$12:$N$46)</f>
        <v>139531979.72830001</v>
      </c>
      <c r="BB9" s="258">
        <f>SUMIF('Gas Accum Dep Data'!$C$12:$C$37,$B9,'Gas Accum Dep Data'!$N$12:$N$37)</f>
        <v>-47274087.95805271</v>
      </c>
      <c r="BC9" s="258">
        <f>Funct_Plant_Rel_DFIT_Detail!AV$94*(BA9/SUM(BA$9:BA$10))</f>
        <v>-32807221.184665538</v>
      </c>
      <c r="BD9" s="258">
        <f t="shared" si="10"/>
        <v>59450670.585581757</v>
      </c>
    </row>
    <row r="10" spans="1:61" x14ac:dyDescent="0.25">
      <c r="A10" s="197" t="s">
        <v>68</v>
      </c>
      <c r="B10" s="344" t="s">
        <v>216</v>
      </c>
      <c r="C10" s="258">
        <f>SUMIF('GasGross Plant Data'!$C$12:$C$46,$B10,'GasGross Plant Data'!$D$12:$D$46)</f>
        <v>118696576.11549999</v>
      </c>
      <c r="D10" s="258">
        <f>SUMIF('Gas Accum Dep Data'!$C$12:$C$37,$B10,'Gas Accum Dep Data'!$D$12:$D$37)</f>
        <v>-47980577.646999992</v>
      </c>
      <c r="E10" s="258">
        <f>Funct_Plant_Rel_DFIT_Detail!H$94*(C10/SUM(C$9:C$10))</f>
        <v>-16794686.878584567</v>
      </c>
      <c r="F10" s="258">
        <f t="shared" si="0"/>
        <v>53921311.589915425</v>
      </c>
      <c r="H10" s="258">
        <f>SUMIF('GasGross Plant Data'!$C$12:$C$46,$B10,'GasGross Plant Data'!$E$12:$E$46)</f>
        <v>129156192.27540001</v>
      </c>
      <c r="I10" s="258">
        <f>SUMIF('Gas Accum Dep Data'!$C$12:$C$37,$B10,'Gas Accum Dep Data'!$E$12:$E$37)</f>
        <v>-46877315.157300003</v>
      </c>
      <c r="J10" s="258">
        <f>Funct_Plant_Rel_DFIT_Detail!L$94*(H10/SUM(H$9:H$10))</f>
        <v>-20349756.837457847</v>
      </c>
      <c r="K10" s="258">
        <f t="shared" si="1"/>
        <v>61929120.280642167</v>
      </c>
      <c r="M10" s="258">
        <f>SUMIF('GasGross Plant Data'!$C$12:$C$46,$B10,'GasGross Plant Data'!$F$12:$F$46)</f>
        <v>126435015.6074</v>
      </c>
      <c r="N10" s="258">
        <f>SUMIF('Gas Accum Dep Data'!$C$12:$C$37,$B10,'Gas Accum Dep Data'!$F$12:$F$37)</f>
        <v>-27231957.375399996</v>
      </c>
      <c r="O10" s="258">
        <f>Funct_Plant_Rel_DFIT_Detail!P$94*(M10/SUM(M$9:M$10))</f>
        <v>-26415098.128910314</v>
      </c>
      <c r="P10" s="258">
        <f t="shared" si="2"/>
        <v>72787960.10308969</v>
      </c>
      <c r="R10" s="258">
        <f>SUMIF('GasGross Plant Data'!$C$12:$C$46,$B10,'GasGross Plant Data'!$G$12:$G$46)</f>
        <v>137632999.74449998</v>
      </c>
      <c r="S10" s="258">
        <f>SUMIF('Gas Accum Dep Data'!$C$12:$C$37,$B10,'Gas Accum Dep Data'!$G$12:$G$37)</f>
        <v>-41441414.330499999</v>
      </c>
      <c r="T10" s="258">
        <f>Funct_Plant_Rel_DFIT_Detail!T$94*(R10/SUM(R$9:R$10))</f>
        <v>-39332582.763880059</v>
      </c>
      <c r="U10" s="258">
        <f t="shared" si="3"/>
        <v>56859002.650119916</v>
      </c>
      <c r="W10" s="258">
        <f>SUMIF('GasGross Plant Data'!$C$12:$C$46,$B10,'GasGross Plant Data'!$H$12:$H$46)</f>
        <v>135464946.27630004</v>
      </c>
      <c r="X10" s="258">
        <f>SUMIF('Gas Accum Dep Data'!$C$12:$C$37,$B10,'Gas Accum Dep Data'!$H$12:$H$37)</f>
        <v>-53138974.0524</v>
      </c>
      <c r="Y10" s="258">
        <f>Funct_Plant_Rel_DFIT_Detail!X$94*(W10/SUM(W$9:W$10))</f>
        <v>-43481496.889732331</v>
      </c>
      <c r="Z10" s="258">
        <f t="shared" si="4"/>
        <v>38844475.334167719</v>
      </c>
      <c r="AB10" s="258">
        <f>SUMIF('GasGross Plant Data'!$C$12:$C$46,$B10,'GasGross Plant Data'!$I$12:$I$46)</f>
        <v>143608515.2482</v>
      </c>
      <c r="AC10" s="258">
        <f>SUMIF('Gas Accum Dep Data'!$C$12:$C$37,$B10,'Gas Accum Dep Data'!$I$12:$I$37)</f>
        <v>-64772857.713999994</v>
      </c>
      <c r="AD10" s="258">
        <f>Funct_Plant_Rel_DFIT_Detail!AB$94*(AB10/SUM(AB$9:AB$10))</f>
        <v>-42425259.189335912</v>
      </c>
      <c r="AE10" s="258">
        <f t="shared" si="5"/>
        <v>36410398.3448641</v>
      </c>
      <c r="AG10" s="258">
        <f>SUMIF('GasGross Plant Data'!$C$12:$C$46,$B10,'GasGross Plant Data'!$J$12:$J$46)</f>
        <v>129914450.40399997</v>
      </c>
      <c r="AH10" s="258">
        <f>SUMIF('Gas Accum Dep Data'!$C$12:$C$37,$B10,'Gas Accum Dep Data'!$J$12:$J$37)</f>
        <v>-55702796.055500001</v>
      </c>
      <c r="AI10" s="258">
        <f>Funct_Plant_Rel_DFIT_Detail!AF$94*(AG10/SUM(AG$9:AG$10))</f>
        <v>-40550547.634300731</v>
      </c>
      <c r="AJ10" s="258">
        <f t="shared" si="6"/>
        <v>33661106.714199238</v>
      </c>
      <c r="AL10" s="258">
        <f>SUMIF('GasGross Plant Data'!$C$12:$C$46,$B10,'GasGross Plant Data'!$K$12:$K$46)</f>
        <v>126404124.12360011</v>
      </c>
      <c r="AM10" s="258">
        <f>SUMIF('Gas Accum Dep Data'!$C$12:$C$37,$B10,'Gas Accum Dep Data'!$K$12:$K$37)</f>
        <v>-55168625.826500006</v>
      </c>
      <c r="AN10" s="258">
        <f>Funct_Plant_Rel_DFIT_Detail!AJ$94*(AL10/SUM(AL$9:AL$10))</f>
        <v>-38581246.706722409</v>
      </c>
      <c r="AO10" s="258">
        <f t="shared" si="7"/>
        <v>32654251.590377688</v>
      </c>
      <c r="AQ10" s="258">
        <f>SUMIF('GasGross Plant Data'!$C$12:$C$46,$B10,'GasGross Plant Data'!$L$12:$L$46)</f>
        <v>141717024.96720004</v>
      </c>
      <c r="AR10" s="258">
        <f>SUMIF('Gas Accum Dep Data'!$C$12:$C$37,$B10,'Gas Accum Dep Data'!$L$12:$L$37)</f>
        <v>-65438933.525899999</v>
      </c>
      <c r="AS10" s="258">
        <f>Funct_Plant_Rel_DFIT_Detail!AN$94*(AQ10/SUM(AQ$9:AQ$10))</f>
        <v>-42779088.976036541</v>
      </c>
      <c r="AT10" s="258">
        <f t="shared" si="8"/>
        <v>33499002.465263493</v>
      </c>
      <c r="AV10" s="258">
        <f>SUMIF('GasGross Plant Data'!$C$12:$C$46,$B10,'GasGross Plant Data'!$M$12:$M$46)</f>
        <v>159860485.64300001</v>
      </c>
      <c r="AW10" s="258">
        <f>SUMIF('Gas Accum Dep Data'!$C$12:$C$37,$B10,'Gas Accum Dep Data'!$M$12:$M$37)</f>
        <v>-71048197.753600001</v>
      </c>
      <c r="AX10" s="258">
        <f>Funct_Plant_Rel_DFIT_Detail!AR$94*(AV10/SUM(AV$9:AV$10))</f>
        <v>-43016372.722922139</v>
      </c>
      <c r="AY10" s="258">
        <f t="shared" si="9"/>
        <v>45795915.166477866</v>
      </c>
      <c r="BA10" s="258">
        <f>SUMIF('GasGross Plant Data'!$C$12:$C$46,$B10,'GasGross Plant Data'!$N$12:$N$46)</f>
        <v>173600529.71380004</v>
      </c>
      <c r="BB10" s="258">
        <f>SUMIF('Gas Accum Dep Data'!$C$12:$C$37,$B10,'Gas Accum Dep Data'!$N$12:$N$37)</f>
        <v>-56258222.169565432</v>
      </c>
      <c r="BC10" s="258">
        <f>Funct_Plant_Rel_DFIT_Detail!AV$94*(BA10/SUM(BA$9:BA$10))</f>
        <v>-40817531.487662278</v>
      </c>
      <c r="BD10" s="258">
        <f t="shared" si="10"/>
        <v>76524776.056572318</v>
      </c>
    </row>
    <row r="11" spans="1:61" x14ac:dyDescent="0.25">
      <c r="C11" s="422"/>
      <c r="D11" s="422"/>
      <c r="E11" s="422"/>
      <c r="F11" s="422"/>
      <c r="H11" s="422"/>
      <c r="I11" s="422"/>
      <c r="J11" s="422"/>
      <c r="K11" s="422"/>
      <c r="M11" s="422"/>
      <c r="N11" s="422"/>
      <c r="O11" s="422"/>
      <c r="P11" s="422"/>
      <c r="R11" s="422"/>
      <c r="S11" s="422"/>
      <c r="T11" s="422"/>
      <c r="U11" s="422"/>
      <c r="W11" s="422"/>
      <c r="X11" s="422"/>
      <c r="Y11" s="422"/>
      <c r="Z11" s="422"/>
      <c r="AB11" s="422"/>
      <c r="AC11" s="422"/>
      <c r="AD11" s="422"/>
      <c r="AE11" s="422"/>
      <c r="AG11" s="422"/>
      <c r="AH11" s="422"/>
      <c r="AI11" s="422"/>
      <c r="AJ11" s="422"/>
      <c r="AL11" s="422"/>
      <c r="AM11" s="422"/>
      <c r="AN11" s="422"/>
      <c r="AO11" s="422"/>
      <c r="AQ11" s="422"/>
      <c r="AR11" s="422"/>
      <c r="AS11" s="422"/>
      <c r="AT11" s="422"/>
      <c r="AV11" s="422"/>
      <c r="AW11" s="422"/>
      <c r="AX11" s="422"/>
      <c r="AY11" s="422"/>
      <c r="BA11" s="422"/>
      <c r="BB11" s="422"/>
      <c r="BC11" s="422"/>
      <c r="BD11" s="422"/>
    </row>
    <row r="12" spans="1:61" ht="13.8" thickBot="1" x14ac:dyDescent="0.3">
      <c r="A12" s="197" t="s">
        <v>293</v>
      </c>
      <c r="C12" s="387">
        <f>SUM(C6:C11)</f>
        <v>2489836869.9969997</v>
      </c>
      <c r="D12" s="387">
        <f t="shared" ref="D12:F12" si="11">SUM(D6:D11)</f>
        <v>-837320043.954</v>
      </c>
      <c r="E12" s="387">
        <f t="shared" si="11"/>
        <v>-205945165.05504167</v>
      </c>
      <c r="F12" s="387">
        <f t="shared" si="11"/>
        <v>1446571660.9879584</v>
      </c>
      <c r="G12" s="352"/>
      <c r="H12" s="387">
        <f>SUM(H6:H11)</f>
        <v>2697204049.0570002</v>
      </c>
      <c r="I12" s="387">
        <f t="shared" ref="I12:J12" si="12">SUM(I6:I11)</f>
        <v>-918462455.82089996</v>
      </c>
      <c r="J12" s="387">
        <f t="shared" si="12"/>
        <v>-261391959.44725418</v>
      </c>
      <c r="K12" s="387">
        <f t="shared" ref="K12" si="13">SUM(K6:K11)</f>
        <v>1517349633.788846</v>
      </c>
      <c r="L12" s="352"/>
      <c r="M12" s="387">
        <f>SUM(M6:M11)</f>
        <v>2787911456.6296</v>
      </c>
      <c r="N12" s="387">
        <f t="shared" ref="N12:O12" si="14">SUM(N6:N11)</f>
        <v>-924038094.72859991</v>
      </c>
      <c r="O12" s="387">
        <f t="shared" si="14"/>
        <v>-276424742.40658385</v>
      </c>
      <c r="P12" s="387">
        <f t="shared" ref="P12" si="15">SUM(P6:P11)</f>
        <v>1587448619.4944162</v>
      </c>
      <c r="Q12" s="352"/>
      <c r="R12" s="387">
        <f>SUM(R6:R11)</f>
        <v>2877011055.9495001</v>
      </c>
      <c r="S12" s="387">
        <f t="shared" ref="S12:T12" si="16">SUM(S6:S11)</f>
        <v>-975934226.26849997</v>
      </c>
      <c r="T12" s="387">
        <f t="shared" si="16"/>
        <v>-338985094.22320491</v>
      </c>
      <c r="U12" s="387">
        <f t="shared" ref="U12" si="17">SUM(U6:U11)</f>
        <v>1562091735.4577951</v>
      </c>
      <c r="V12" s="352"/>
      <c r="W12" s="387">
        <f>SUM(W6:W11)</f>
        <v>2987268616.9994998</v>
      </c>
      <c r="X12" s="387">
        <f t="shared" ref="X12:Y12" si="18">SUM(X6:X11)</f>
        <v>-1061251689.9526</v>
      </c>
      <c r="Y12" s="387">
        <f t="shared" si="18"/>
        <v>-396196267.07456291</v>
      </c>
      <c r="Z12" s="387">
        <f t="shared" ref="Z12" si="19">SUM(Z6:Z11)</f>
        <v>1529820659.972337</v>
      </c>
      <c r="AA12" s="352"/>
      <c r="AB12" s="387">
        <f>SUM(AB6:AB11)</f>
        <v>3152000388.6152</v>
      </c>
      <c r="AC12" s="387">
        <f t="shared" ref="AC12:AD12" si="20">SUM(AC6:AC11)</f>
        <v>-1143008343.0964</v>
      </c>
      <c r="AD12" s="387">
        <f t="shared" si="20"/>
        <v>-429087988.74118733</v>
      </c>
      <c r="AE12" s="387">
        <f t="shared" ref="AE12" si="21">SUM(AE6:AE11)</f>
        <v>1579904056.7776127</v>
      </c>
      <c r="AF12" s="352"/>
      <c r="AG12" s="387">
        <f>SUM(AG6:AG11)</f>
        <v>3284083124.0004997</v>
      </c>
      <c r="AH12" s="387">
        <f t="shared" ref="AH12:AI12" si="22">SUM(AH6:AH11)</f>
        <v>-1217779479.0419998</v>
      </c>
      <c r="AI12" s="387">
        <f t="shared" si="22"/>
        <v>-465792944.14519286</v>
      </c>
      <c r="AJ12" s="387">
        <f t="shared" ref="AJ12" si="23">SUM(AJ6:AJ11)</f>
        <v>1600510700.8133073</v>
      </c>
      <c r="AK12" s="352"/>
      <c r="AL12" s="387">
        <f>SUM(AL6:AL11)</f>
        <v>3420070307.3385</v>
      </c>
      <c r="AM12" s="387">
        <f t="shared" ref="AM12:AN12" si="24">SUM(AM6:AM11)</f>
        <v>-1294648678.7067001</v>
      </c>
      <c r="AN12" s="387">
        <f t="shared" si="24"/>
        <v>-494283998.7635293</v>
      </c>
      <c r="AO12" s="387">
        <f t="shared" ref="AO12" si="25">SUM(AO6:AO11)</f>
        <v>1631137629.8682704</v>
      </c>
      <c r="AP12" s="352"/>
      <c r="AQ12" s="387">
        <f>SUM(AQ6:AQ11)</f>
        <v>3585794871.1146002</v>
      </c>
      <c r="AR12" s="387">
        <f t="shared" ref="AR12:AS12" si="26">SUM(AR6:AR11)</f>
        <v>-1388752076.8014998</v>
      </c>
      <c r="AS12" s="387">
        <f t="shared" si="26"/>
        <v>-533368601.2562173</v>
      </c>
      <c r="AT12" s="387">
        <f t="shared" ref="AT12" si="27">SUM(AT6:AT11)</f>
        <v>1663674193.0568829</v>
      </c>
      <c r="AU12" s="352"/>
      <c r="AV12" s="387">
        <f>SUM(AV6:AV11)</f>
        <v>3824205202.2143002</v>
      </c>
      <c r="AW12" s="387">
        <f t="shared" ref="AW12:AX12" si="28">SUM(AW6:AW11)</f>
        <v>-1493439089.3410001</v>
      </c>
      <c r="AX12" s="387">
        <f t="shared" si="28"/>
        <v>-577086613.78631783</v>
      </c>
      <c r="AY12" s="387">
        <f t="shared" ref="AY12" si="29">SUM(AY6:AY11)</f>
        <v>1753679499.0869823</v>
      </c>
      <c r="AZ12" s="352"/>
      <c r="BA12" s="387">
        <f>SUM(BA6:BA11)</f>
        <v>4091945715.4421</v>
      </c>
      <c r="BB12" s="387">
        <f t="shared" ref="BB12:BC12" si="30">SUM(BB6:BB11)</f>
        <v>-1569795174.7788</v>
      </c>
      <c r="BC12" s="387">
        <f t="shared" si="30"/>
        <v>-600332335.14002168</v>
      </c>
      <c r="BD12" s="387">
        <f t="shared" ref="BD12" si="31">SUM(BD6:BD11)</f>
        <v>1921818205.5232787</v>
      </c>
      <c r="BE12" s="352"/>
      <c r="BF12" s="352"/>
      <c r="BG12" s="352"/>
      <c r="BH12" s="352"/>
      <c r="BI12" s="352"/>
    </row>
    <row r="13" spans="1:61" ht="13.8" thickTop="1" x14ac:dyDescent="0.25">
      <c r="C13" s="352"/>
      <c r="D13" s="258"/>
      <c r="E13" s="258"/>
      <c r="H13" s="258"/>
      <c r="I13" s="258"/>
      <c r="J13" s="258"/>
      <c r="M13" s="258"/>
      <c r="N13" s="258"/>
      <c r="O13" s="258"/>
      <c r="R13" s="258"/>
      <c r="S13" s="258"/>
      <c r="T13" s="258"/>
      <c r="W13" s="258"/>
      <c r="X13" s="258"/>
      <c r="Y13" s="258"/>
      <c r="AB13" s="258"/>
      <c r="AC13" s="258"/>
      <c r="AD13" s="258"/>
      <c r="AG13" s="258"/>
      <c r="AH13" s="258"/>
      <c r="AI13" s="258"/>
      <c r="AL13" s="258"/>
      <c r="AM13" s="258"/>
      <c r="AN13" s="258"/>
      <c r="AQ13" s="258"/>
      <c r="AR13" s="258"/>
      <c r="AS13" s="258"/>
      <c r="AV13" s="258"/>
      <c r="AW13" s="258"/>
      <c r="AX13" s="258"/>
      <c r="BA13" s="258"/>
      <c r="BB13" s="258"/>
      <c r="BC13" s="258"/>
    </row>
    <row r="15" spans="1:61" x14ac:dyDescent="0.25">
      <c r="E15" s="258"/>
      <c r="F15" s="258"/>
      <c r="J15" s="258"/>
      <c r="K15" s="258"/>
      <c r="O15" s="258"/>
      <c r="P15" s="258"/>
      <c r="T15" s="258"/>
      <c r="U15" s="258"/>
      <c r="Y15" s="258"/>
      <c r="Z15" s="258"/>
      <c r="AD15" s="258"/>
      <c r="AE15" s="258"/>
      <c r="AI15" s="258"/>
      <c r="AJ15" s="258"/>
      <c r="AN15" s="258"/>
      <c r="AO15" s="258"/>
      <c r="AS15" s="258"/>
      <c r="AT15" s="258"/>
      <c r="AX15" s="258"/>
      <c r="AY15" s="258"/>
      <c r="BB15" s="258"/>
      <c r="BC15" s="258"/>
      <c r="BD15" s="258"/>
    </row>
    <row r="16" spans="1:61" x14ac:dyDescent="0.25">
      <c r="E16" s="258"/>
      <c r="F16" s="258"/>
      <c r="J16" s="258"/>
      <c r="K16" s="258"/>
      <c r="O16" s="258"/>
      <c r="P16" s="258"/>
      <c r="T16" s="258"/>
      <c r="U16" s="258"/>
      <c r="Y16" s="258"/>
      <c r="Z16" s="258"/>
      <c r="AD16" s="258"/>
      <c r="AE16" s="258"/>
      <c r="AI16" s="258"/>
      <c r="AJ16" s="258"/>
      <c r="AN16" s="258"/>
      <c r="AO16" s="258"/>
      <c r="AS16" s="258"/>
      <c r="AT16" s="258"/>
      <c r="AX16" s="258"/>
      <c r="AY16" s="258"/>
      <c r="BB16" s="258"/>
      <c r="BC16" s="258"/>
      <c r="BD16" s="258"/>
    </row>
    <row r="17" spans="1:61" x14ac:dyDescent="0.25">
      <c r="A17" s="335" t="s">
        <v>294</v>
      </c>
      <c r="E17" s="258"/>
      <c r="F17" s="258"/>
      <c r="J17" s="258"/>
      <c r="K17" s="258"/>
      <c r="O17" s="258"/>
      <c r="P17" s="258"/>
      <c r="T17" s="258"/>
      <c r="U17" s="258"/>
      <c r="Y17" s="258"/>
      <c r="Z17" s="258"/>
      <c r="AD17" s="258"/>
      <c r="AE17" s="258"/>
      <c r="AI17" s="258"/>
      <c r="AJ17" s="258"/>
      <c r="AN17" s="258"/>
      <c r="AO17" s="258"/>
      <c r="AS17" s="258"/>
      <c r="AT17" s="258"/>
      <c r="AX17" s="258"/>
      <c r="AY17" s="258"/>
      <c r="BB17" s="258"/>
      <c r="BC17" s="258"/>
      <c r="BD17" s="258"/>
    </row>
    <row r="18" spans="1:61" x14ac:dyDescent="0.25">
      <c r="A18" s="197" t="s">
        <v>64</v>
      </c>
      <c r="B18" s="344" t="s">
        <v>291</v>
      </c>
      <c r="C18" s="352">
        <f>C6</f>
        <v>46230348</v>
      </c>
      <c r="D18" s="352">
        <f>D6</f>
        <v>-18663396.192499999</v>
      </c>
      <c r="E18" s="352">
        <f>Funct_Plant_Rel_DFIT_Detail!H98</f>
        <v>0</v>
      </c>
      <c r="F18" s="352">
        <v>27566951.807500001</v>
      </c>
      <c r="G18" s="352"/>
      <c r="H18" s="352">
        <f>H6</f>
        <v>61528345</v>
      </c>
      <c r="I18" s="352">
        <f>I6</f>
        <v>-21313700.674699999</v>
      </c>
      <c r="J18" s="352">
        <f>Funct_Plant_Rel_DFIT_Detail!L98</f>
        <v>0</v>
      </c>
      <c r="K18" s="352">
        <v>27566951.807500001</v>
      </c>
      <c r="L18" s="352"/>
      <c r="M18" s="352">
        <f>M6</f>
        <v>61387121</v>
      </c>
      <c r="N18" s="352">
        <f>N6</f>
        <v>-22928967.052299999</v>
      </c>
      <c r="O18" s="352">
        <f>Funct_Plant_Rel_DFIT_Detail!P98</f>
        <v>0</v>
      </c>
      <c r="P18" s="352">
        <v>27566951.807500001</v>
      </c>
      <c r="Q18" s="352"/>
      <c r="R18" s="352">
        <f>R6</f>
        <v>61918608</v>
      </c>
      <c r="S18" s="352">
        <f>S6</f>
        <v>-23527712.647</v>
      </c>
      <c r="T18" s="352">
        <f>Funct_Plant_Rel_DFIT_Detail!T98</f>
        <v>0</v>
      </c>
      <c r="U18" s="352">
        <v>27566951.807500001</v>
      </c>
      <c r="V18" s="352"/>
      <c r="W18" s="352">
        <f>W6</f>
        <v>62168166</v>
      </c>
      <c r="X18" s="352">
        <f>X6</f>
        <v>-23212129.017299999</v>
      </c>
      <c r="Y18" s="352">
        <f>Funct_Plant_Rel_DFIT_Detail!X98</f>
        <v>0</v>
      </c>
      <c r="Z18" s="352">
        <v>27566951.807500001</v>
      </c>
      <c r="AA18" s="352"/>
      <c r="AB18" s="352">
        <f>AB6</f>
        <v>62548742</v>
      </c>
      <c r="AC18" s="352">
        <f>AC6</f>
        <v>-24585272.364799999</v>
      </c>
      <c r="AD18" s="352">
        <f>Funct_Plant_Rel_DFIT_Detail!AB98</f>
        <v>0</v>
      </c>
      <c r="AE18" s="352">
        <v>27566951.807500001</v>
      </c>
      <c r="AF18" s="352"/>
      <c r="AG18" s="352">
        <f>AG6</f>
        <v>63228168</v>
      </c>
      <c r="AH18" s="352">
        <f>AH6</f>
        <v>-25326197.853500001</v>
      </c>
      <c r="AI18" s="352">
        <f>Funct_Plant_Rel_DFIT_Detail!AF98</f>
        <v>0</v>
      </c>
      <c r="AJ18" s="352">
        <v>27566951.807500001</v>
      </c>
      <c r="AK18" s="352"/>
      <c r="AL18" s="352">
        <f>AL6</f>
        <v>63762538</v>
      </c>
      <c r="AM18" s="352">
        <f>AM6</f>
        <v>-27211533.853799999</v>
      </c>
      <c r="AN18" s="352">
        <f>Funct_Plant_Rel_DFIT_Detail!AJ98</f>
        <v>0</v>
      </c>
      <c r="AO18" s="352">
        <v>27566951.807500001</v>
      </c>
      <c r="AP18" s="352"/>
      <c r="AQ18" s="352">
        <f>AQ6</f>
        <v>64718360</v>
      </c>
      <c r="AR18" s="352">
        <f>AR6</f>
        <v>-26398328.982999999</v>
      </c>
      <c r="AS18" s="352">
        <f>Funct_Plant_Rel_DFIT_Detail!AN98</f>
        <v>0</v>
      </c>
      <c r="AT18" s="352">
        <v>27566951.807500001</v>
      </c>
      <c r="AU18" s="352"/>
      <c r="AV18" s="352">
        <f>AV6</f>
        <v>65657582</v>
      </c>
      <c r="AW18" s="352">
        <f>AW6</f>
        <v>-25920054.635499999</v>
      </c>
      <c r="AX18" s="352">
        <f>Funct_Plant_Rel_DFIT_Detail!AR98</f>
        <v>0</v>
      </c>
      <c r="AY18" s="352">
        <v>27566951.807500001</v>
      </c>
      <c r="AZ18" s="352"/>
      <c r="BA18" s="352">
        <f>BA6</f>
        <v>67819845</v>
      </c>
      <c r="BB18" s="352">
        <f>BB6</f>
        <v>-33125037.959271803</v>
      </c>
      <c r="BC18" s="352">
        <f>Funct_Plant_Rel_DFIT_Detail!AV98</f>
        <v>0</v>
      </c>
      <c r="BD18" s="352">
        <v>27566951.807500001</v>
      </c>
      <c r="BE18" s="352"/>
      <c r="BF18" s="352"/>
      <c r="BG18" s="352"/>
      <c r="BH18" s="352"/>
      <c r="BI18" s="352"/>
    </row>
    <row r="19" spans="1:61" x14ac:dyDescent="0.25">
      <c r="A19" s="197" t="s">
        <v>65</v>
      </c>
      <c r="B19" s="344" t="s">
        <v>292</v>
      </c>
      <c r="C19" s="258">
        <f t="shared" ref="C19:D19" si="32">C7</f>
        <v>-3358</v>
      </c>
      <c r="D19" s="258">
        <f t="shared" si="32"/>
        <v>-48</v>
      </c>
      <c r="E19" s="258">
        <f>Funct_Plant_Rel_DFIT_Detail!H99</f>
        <v>0</v>
      </c>
      <c r="F19" s="258">
        <v>-3406</v>
      </c>
      <c r="H19" s="258">
        <f t="shared" ref="H19:I19" si="33">H7</f>
        <v>0</v>
      </c>
      <c r="I19" s="258">
        <f t="shared" si="33"/>
        <v>-2</v>
      </c>
      <c r="J19" s="258">
        <f>Funct_Plant_Rel_DFIT_Detail!L99</f>
        <v>0</v>
      </c>
      <c r="K19" s="258">
        <v>-3406</v>
      </c>
      <c r="M19" s="258">
        <f t="shared" ref="M19:N19" si="34">M7</f>
        <v>0.33489999999999998</v>
      </c>
      <c r="N19" s="258">
        <f t="shared" si="34"/>
        <v>0</v>
      </c>
      <c r="O19" s="258">
        <f>Funct_Plant_Rel_DFIT_Detail!P99</f>
        <v>0</v>
      </c>
      <c r="P19" s="258">
        <v>-3406</v>
      </c>
      <c r="R19" s="258">
        <f t="shared" ref="R19:S19" si="35">R7</f>
        <v>0</v>
      </c>
      <c r="S19" s="258">
        <f t="shared" si="35"/>
        <v>0</v>
      </c>
      <c r="T19" s="258">
        <f>Funct_Plant_Rel_DFIT_Detail!T99</f>
        <v>0</v>
      </c>
      <c r="U19" s="258">
        <v>-3406</v>
      </c>
      <c r="W19" s="258">
        <f t="shared" ref="W19:X19" si="36">W7</f>
        <v>0.32890000000000003</v>
      </c>
      <c r="X19" s="258">
        <f t="shared" si="36"/>
        <v>0</v>
      </c>
      <c r="Y19" s="258">
        <f>Funct_Plant_Rel_DFIT_Detail!X99</f>
        <v>0</v>
      </c>
      <c r="Z19" s="258">
        <v>-3406</v>
      </c>
      <c r="AB19" s="258">
        <f t="shared" ref="AB19:AC19" si="37">AB7</f>
        <v>0.32019999999999998</v>
      </c>
      <c r="AC19" s="258">
        <f t="shared" si="37"/>
        <v>0</v>
      </c>
      <c r="AD19" s="258">
        <f>Funct_Plant_Rel_DFIT_Detail!AB99</f>
        <v>0</v>
      </c>
      <c r="AE19" s="258">
        <v>-3406</v>
      </c>
      <c r="AG19" s="258">
        <f t="shared" ref="AG19:AH19" si="38">AG7</f>
        <v>0.3145</v>
      </c>
      <c r="AH19" s="258">
        <f t="shared" si="38"/>
        <v>0</v>
      </c>
      <c r="AI19" s="258">
        <f>Funct_Plant_Rel_DFIT_Detail!AF99</f>
        <v>0</v>
      </c>
      <c r="AJ19" s="258">
        <v>-3406</v>
      </c>
      <c r="AL19" s="258">
        <f t="shared" ref="AL19:AM19" si="39">AL7</f>
        <v>0</v>
      </c>
      <c r="AM19" s="258">
        <f t="shared" si="39"/>
        <v>0</v>
      </c>
      <c r="AN19" s="258">
        <f>Funct_Plant_Rel_DFIT_Detail!AJ99</f>
        <v>0</v>
      </c>
      <c r="AO19" s="258">
        <v>-3406</v>
      </c>
      <c r="AQ19" s="258">
        <f t="shared" ref="AQ19:AR19" si="40">AQ7</f>
        <v>0</v>
      </c>
      <c r="AR19" s="258">
        <f t="shared" si="40"/>
        <v>0</v>
      </c>
      <c r="AS19" s="258">
        <f>Funct_Plant_Rel_DFIT_Detail!AN99</f>
        <v>0</v>
      </c>
      <c r="AT19" s="258">
        <v>-3406</v>
      </c>
      <c r="AV19" s="258">
        <f t="shared" ref="AV19:AW19" si="41">AV7</f>
        <v>0</v>
      </c>
      <c r="AW19" s="258">
        <f t="shared" si="41"/>
        <v>0</v>
      </c>
      <c r="AX19" s="258">
        <f>Funct_Plant_Rel_DFIT_Detail!AR99</f>
        <v>0</v>
      </c>
      <c r="AY19" s="258">
        <v>-3406</v>
      </c>
      <c r="BA19" s="258">
        <f t="shared" ref="BA19:BB19" si="42">BA7</f>
        <v>0</v>
      </c>
      <c r="BB19" s="258">
        <f t="shared" si="42"/>
        <v>0</v>
      </c>
      <c r="BC19" s="258">
        <f>Funct_Plant_Rel_DFIT_Detail!AV99</f>
        <v>0</v>
      </c>
      <c r="BD19" s="258">
        <v>-3406</v>
      </c>
    </row>
    <row r="20" spans="1:61" x14ac:dyDescent="0.25">
      <c r="A20" s="197" t="s">
        <v>66</v>
      </c>
      <c r="B20" s="344" t="s">
        <v>214</v>
      </c>
      <c r="C20" s="258">
        <f t="shared" ref="C20:D20" si="43">C8</f>
        <v>2210764633</v>
      </c>
      <c r="D20" s="258">
        <f t="shared" si="43"/>
        <v>-687515984</v>
      </c>
      <c r="E20" s="258">
        <f>Funct_Plant_Rel_DFIT_Detail!H100</f>
        <v>-113387644.88128516</v>
      </c>
      <c r="F20" s="258">
        <v>1409861004.1187148</v>
      </c>
      <c r="G20" s="258"/>
      <c r="H20" s="258">
        <f t="shared" ref="H20:I20" si="44">H8</f>
        <v>2385288050</v>
      </c>
      <c r="I20" s="258">
        <f t="shared" si="44"/>
        <v>-753186569</v>
      </c>
      <c r="J20" s="258">
        <f>Funct_Plant_Rel_DFIT_Detail!L100</f>
        <v>-150203841.0813269</v>
      </c>
      <c r="K20" s="258">
        <v>1409861004.1187148</v>
      </c>
      <c r="L20" s="258"/>
      <c r="M20" s="258">
        <f t="shared" ref="M20:N20" si="45">M8</f>
        <v>2530004412</v>
      </c>
      <c r="N20" s="258">
        <f t="shared" si="45"/>
        <v>-823796903</v>
      </c>
      <c r="O20" s="258">
        <f>Funct_Plant_Rel_DFIT_Detail!P100</f>
        <v>-139263101.69928172</v>
      </c>
      <c r="P20" s="258">
        <v>1409861004.1187148</v>
      </c>
      <c r="Q20" s="258"/>
      <c r="R20" s="258">
        <f t="shared" ref="R20:S20" si="46">R8</f>
        <v>2635752747</v>
      </c>
      <c r="S20" s="258">
        <f t="shared" si="46"/>
        <v>-887774436</v>
      </c>
      <c r="T20" s="258">
        <f>Funct_Plant_Rel_DFIT_Detail!T100</f>
        <v>-166563311.0188151</v>
      </c>
      <c r="U20" s="258">
        <v>1409861004.1187148</v>
      </c>
      <c r="V20" s="258"/>
      <c r="W20" s="258">
        <f t="shared" ref="W20:X20" si="47">W8</f>
        <v>2746234653</v>
      </c>
      <c r="X20" s="258">
        <f t="shared" si="47"/>
        <v>-961781988</v>
      </c>
      <c r="Y20" s="258">
        <f>Funct_Plant_Rel_DFIT_Detail!X100</f>
        <v>-197100439.25508639</v>
      </c>
      <c r="Z20" s="258">
        <v>1409861004.1187148</v>
      </c>
      <c r="AA20" s="258"/>
      <c r="AB20" s="258">
        <f t="shared" ref="AB20:AC20" si="48">AB8</f>
        <v>2879940210</v>
      </c>
      <c r="AC20" s="258">
        <f t="shared" si="48"/>
        <v>-1034510627</v>
      </c>
      <c r="AD20" s="258">
        <f>Funct_Plant_Rel_DFIT_Detail!AB100</f>
        <v>-210463453.40057045</v>
      </c>
      <c r="AE20" s="258">
        <v>1409861004.1187148</v>
      </c>
      <c r="AF20" s="258"/>
      <c r="AG20" s="258">
        <f t="shared" ref="AG20:AH20" si="49">AG8</f>
        <v>3022548886</v>
      </c>
      <c r="AH20" s="258">
        <f t="shared" si="49"/>
        <v>-1115183940.3789999</v>
      </c>
      <c r="AI20" s="258">
        <f>Funct_Plant_Rel_DFIT_Detail!AF100</f>
        <v>-227627125.59399733</v>
      </c>
      <c r="AJ20" s="258">
        <v>1409861004.1187148</v>
      </c>
      <c r="AK20" s="258"/>
      <c r="AL20" s="258">
        <f t="shared" ref="AL20:AM20" si="50">AL8</f>
        <v>3162774259.7674999</v>
      </c>
      <c r="AM20" s="258">
        <f t="shared" si="50"/>
        <v>-1188656313</v>
      </c>
      <c r="AN20" s="258">
        <f>Funct_Plant_Rel_DFIT_Detail!AJ100</f>
        <v>-242300735.49897844</v>
      </c>
      <c r="AO20" s="258">
        <v>1409861004.1187148</v>
      </c>
      <c r="AP20" s="258"/>
      <c r="AQ20" s="258">
        <f t="shared" ref="AQ20:AR20" si="51">AQ8</f>
        <v>3310238970</v>
      </c>
      <c r="AR20" s="258">
        <f t="shared" si="51"/>
        <v>-1271567693</v>
      </c>
      <c r="AS20" s="258">
        <f>Funct_Plant_Rel_DFIT_Detail!AN100</f>
        <v>-261680156.1878852</v>
      </c>
      <c r="AT20" s="258">
        <v>1409861004.1187148</v>
      </c>
      <c r="AU20" s="258"/>
      <c r="AV20" s="258">
        <f t="shared" ref="AV20:AW20" si="52">AV8</f>
        <v>3497293008</v>
      </c>
      <c r="AW20" s="258">
        <f t="shared" si="52"/>
        <v>-1361667453</v>
      </c>
      <c r="AX20" s="258">
        <f>Funct_Plant_Rel_DFIT_Detail!AR100</f>
        <v>-269792646.81823689</v>
      </c>
      <c r="AY20" s="258">
        <v>1409861004.1187148</v>
      </c>
      <c r="AZ20" s="258"/>
      <c r="BA20" s="258">
        <f t="shared" ref="BA20:BB20" si="53">BA8</f>
        <v>3710993361</v>
      </c>
      <c r="BB20" s="258">
        <f t="shared" si="53"/>
        <v>-1433137826.69191</v>
      </c>
      <c r="BC20" s="258">
        <f>Funct_Plant_Rel_DFIT_Detail!AV100</f>
        <v>-271846932.69267762</v>
      </c>
      <c r="BD20" s="258">
        <v>1409861004.1187148</v>
      </c>
    </row>
    <row r="21" spans="1:61" x14ac:dyDescent="0.25">
      <c r="A21" s="197" t="s">
        <v>67</v>
      </c>
      <c r="B21" s="344" t="s">
        <v>217</v>
      </c>
      <c r="C21" s="258">
        <f t="shared" ref="C21:D21" si="54">C9</f>
        <v>114148670.88149999</v>
      </c>
      <c r="D21" s="258">
        <f t="shared" si="54"/>
        <v>-83160038.114500001</v>
      </c>
      <c r="E21" s="258">
        <f>Funct_Plant_Rel_DFIT_Detail!H$102*(C21/SUM(C$9:C$10))</f>
        <v>-10585856.494629253</v>
      </c>
      <c r="F21" s="258">
        <v>20402776.272370737</v>
      </c>
      <c r="G21" s="258"/>
      <c r="H21" s="258">
        <f t="shared" ref="H21:I21" si="55">H9</f>
        <v>121231461.78160001</v>
      </c>
      <c r="I21" s="258">
        <f t="shared" si="55"/>
        <v>-97084868.988900006</v>
      </c>
      <c r="J21" s="258">
        <f>Funct_Plant_Rel_DFIT_Detail!L$102*(H21/SUM(H$9:H$10))</f>
        <v>-12927147.815243447</v>
      </c>
      <c r="K21" s="258">
        <v>20402776.272370737</v>
      </c>
      <c r="L21" s="258"/>
      <c r="M21" s="258">
        <f t="shared" ref="M21:N21" si="56">M9</f>
        <v>70084907.687299997</v>
      </c>
      <c r="N21" s="258">
        <f t="shared" si="56"/>
        <v>-50080267.300899997</v>
      </c>
      <c r="O21" s="258">
        <f>Funct_Plant_Rel_DFIT_Detail!P$102*(M21/SUM(M$9:M$10))</f>
        <v>-8663616.6694345865</v>
      </c>
      <c r="P21" s="258">
        <v>20402776.272370737</v>
      </c>
      <c r="Q21" s="258"/>
      <c r="R21" s="258">
        <f t="shared" ref="R21:S21" si="57">R9</f>
        <v>41706701.205000006</v>
      </c>
      <c r="S21" s="258">
        <f t="shared" si="57"/>
        <v>-23190663.291000001</v>
      </c>
      <c r="T21" s="258">
        <f>Funct_Plant_Rel_DFIT_Detail!T$102*(R21/SUM(R$9:R$10))</f>
        <v>-6899608.6888004486</v>
      </c>
      <c r="U21" s="258">
        <v>20402776.272370737</v>
      </c>
      <c r="V21" s="258"/>
      <c r="W21" s="258">
        <f t="shared" ref="W21:X21" si="58">W9</f>
        <v>43400851.394299999</v>
      </c>
      <c r="X21" s="258">
        <f t="shared" si="58"/>
        <v>-23118598.882900003</v>
      </c>
      <c r="Y21" s="258">
        <f>Funct_Plant_Rel_DFIT_Detail!X$102*(W21/SUM(W$9:W$10))</f>
        <v>-8104767.0246372726</v>
      </c>
      <c r="Z21" s="258">
        <v>20402776.272370737</v>
      </c>
      <c r="AA21" s="258"/>
      <c r="AB21" s="258">
        <f t="shared" ref="AB21:AC21" si="59">AB9</f>
        <v>65902921.046799995</v>
      </c>
      <c r="AC21" s="258">
        <f t="shared" si="59"/>
        <v>-19139586.0176</v>
      </c>
      <c r="AD21" s="258">
        <f>Funct_Plant_Rel_DFIT_Detail!AB$102*(AB21/SUM(AB$9:AB$10))</f>
        <v>-11159139.20564702</v>
      </c>
      <c r="AE21" s="258">
        <v>20402776.272370737</v>
      </c>
      <c r="AF21" s="258"/>
      <c r="AG21" s="258">
        <f t="shared" ref="AG21:AH21" si="60">AG9</f>
        <v>68391619.282000005</v>
      </c>
      <c r="AH21" s="258">
        <f t="shared" si="60"/>
        <v>-21566544.754000001</v>
      </c>
      <c r="AI21" s="258">
        <f>Funct_Plant_Rel_DFIT_Detail!AF$102*(AG21/SUM(AG$9:AG$10))</f>
        <v>-12030884.043074146</v>
      </c>
      <c r="AJ21" s="258">
        <v>20402776.272370737</v>
      </c>
      <c r="AK21" s="258"/>
      <c r="AL21" s="258">
        <f t="shared" ref="AL21:AM21" si="61">AL9</f>
        <v>67129385.447400004</v>
      </c>
      <c r="AM21" s="258">
        <f t="shared" si="61"/>
        <v>-23612206.0264</v>
      </c>
      <c r="AN21" s="258">
        <f>Funct_Plant_Rel_DFIT_Detail!AJ$102*(AL21/SUM(AL$9:AL$10))</f>
        <v>-11407228.296690917</v>
      </c>
      <c r="AO21" s="258">
        <v>20402776.272370737</v>
      </c>
      <c r="AP21" s="258"/>
      <c r="AQ21" s="258">
        <f t="shared" ref="AQ21:AR21" si="62">AQ9</f>
        <v>69120516.147399992</v>
      </c>
      <c r="AR21" s="258">
        <f t="shared" si="62"/>
        <v>-25347121.292599998</v>
      </c>
      <c r="AS21" s="258">
        <f>Funct_Plant_Rel_DFIT_Detail!AN$102*(AQ21/SUM(AQ$9:AQ$10))</f>
        <v>-11623688.386057302</v>
      </c>
      <c r="AT21" s="258">
        <v>20402776.272370737</v>
      </c>
      <c r="AU21" s="258"/>
      <c r="AV21" s="258">
        <f t="shared" ref="AV21:AW21" si="63">AV9</f>
        <v>101394126.5713</v>
      </c>
      <c r="AW21" s="258">
        <f t="shared" si="63"/>
        <v>-34803383.951900005</v>
      </c>
      <c r="AX21" s="258">
        <f>Funct_Plant_Rel_DFIT_Detail!AR$102*(AV21/SUM(AV$9:AV$10))</f>
        <v>-14524815.053693803</v>
      </c>
      <c r="AY21" s="258">
        <v>20402776.272370737</v>
      </c>
      <c r="AZ21" s="258"/>
      <c r="BA21" s="258">
        <f t="shared" ref="BA21:BB21" si="64">BA9</f>
        <v>139531979.72830001</v>
      </c>
      <c r="BB21" s="258">
        <f t="shared" si="64"/>
        <v>-47274087.95805271</v>
      </c>
      <c r="BC21" s="258">
        <f>Funct_Plant_Rel_DFIT_Detail!AV$102*(BA21/SUM(BA$9:BA$10))</f>
        <v>-16932625.893549934</v>
      </c>
      <c r="BD21" s="258">
        <v>20402776.272370737</v>
      </c>
    </row>
    <row r="22" spans="1:61" x14ac:dyDescent="0.25">
      <c r="A22" s="197" t="s">
        <v>68</v>
      </c>
      <c r="B22" s="344" t="s">
        <v>216</v>
      </c>
      <c r="C22" s="258">
        <f t="shared" ref="C22:D22" si="65">C10</f>
        <v>118696576.11549999</v>
      </c>
      <c r="D22" s="258">
        <f t="shared" si="65"/>
        <v>-47980577.646999992</v>
      </c>
      <c r="E22" s="258">
        <f>Funct_Plant_Rel_DFIT_Detail!H$102*(C22/SUM(C$9:C$10))</f>
        <v>-11007617.622345544</v>
      </c>
      <c r="F22" s="258">
        <v>59708380.846154444</v>
      </c>
      <c r="G22" s="258"/>
      <c r="H22" s="258">
        <f t="shared" ref="H22:I22" si="66">H10</f>
        <v>129156192.27540001</v>
      </c>
      <c r="I22" s="258">
        <f t="shared" si="66"/>
        <v>-46877315.157300003</v>
      </c>
      <c r="J22" s="258">
        <f>Funct_Plant_Rel_DFIT_Detail!L$102*(H22/SUM(H$9:H$10))</f>
        <v>-13772177.323127089</v>
      </c>
      <c r="K22" s="258">
        <v>59708380.846154444</v>
      </c>
      <c r="L22" s="258"/>
      <c r="M22" s="258">
        <f t="shared" ref="M22:N22" si="67">M10</f>
        <v>126435015.6074</v>
      </c>
      <c r="N22" s="258">
        <f t="shared" si="67"/>
        <v>-27231957.375399996</v>
      </c>
      <c r="O22" s="258">
        <f>Funct_Plant_Rel_DFIT_Detail!P$102*(M22/SUM(M$9:M$10))</f>
        <v>-15629392.189596703</v>
      </c>
      <c r="P22" s="258">
        <v>59708380.846154444</v>
      </c>
      <c r="Q22" s="258"/>
      <c r="R22" s="258">
        <f t="shared" ref="R22:S22" si="68">R10</f>
        <v>137632999.74449998</v>
      </c>
      <c r="S22" s="258">
        <f t="shared" si="68"/>
        <v>-41441414.330499999</v>
      </c>
      <c r="T22" s="258">
        <f>Funct_Plant_Rel_DFIT_Detail!T$102*(R22/SUM(R$9:R$10))</f>
        <v>-22768855.20710944</v>
      </c>
      <c r="U22" s="258">
        <v>59708380.846154444</v>
      </c>
      <c r="V22" s="258"/>
      <c r="W22" s="258">
        <f t="shared" ref="W22:X22" si="69">W10</f>
        <v>135464946.27630004</v>
      </c>
      <c r="X22" s="258">
        <f t="shared" si="69"/>
        <v>-53138974.0524</v>
      </c>
      <c r="Y22" s="258">
        <f>Funct_Plant_Rel_DFIT_Detail!X$102*(W22/SUM(W$9:W$10))</f>
        <v>-25297011.33279172</v>
      </c>
      <c r="Z22" s="258">
        <v>59708380.846154444</v>
      </c>
      <c r="AA22" s="258"/>
      <c r="AB22" s="258">
        <f t="shared" ref="AB22:AC22" si="70">AB10</f>
        <v>143608515.2482</v>
      </c>
      <c r="AC22" s="258">
        <f t="shared" si="70"/>
        <v>-64772857.713999994</v>
      </c>
      <c r="AD22" s="258">
        <f>Funct_Plant_Rel_DFIT_Detail!AB$102*(AB22/SUM(AB$9:AB$10))</f>
        <v>-24316788.805657353</v>
      </c>
      <c r="AE22" s="258">
        <v>59708380.846154444</v>
      </c>
      <c r="AF22" s="258"/>
      <c r="AG22" s="258">
        <f t="shared" ref="AG22:AH22" si="71">AG10</f>
        <v>129914450.40399997</v>
      </c>
      <c r="AH22" s="258">
        <f t="shared" si="71"/>
        <v>-55702796.055500001</v>
      </c>
      <c r="AI22" s="258">
        <f>Funct_Plant_Rel_DFIT_Detail!AF$102*(AG22/SUM(AG$9:AG$10))</f>
        <v>-22853468.081893962</v>
      </c>
      <c r="AJ22" s="258">
        <v>59708380.846154444</v>
      </c>
      <c r="AK22" s="258"/>
      <c r="AL22" s="258">
        <f t="shared" ref="AL22:AM22" si="72">AL10</f>
        <v>126404124.12360011</v>
      </c>
      <c r="AM22" s="258">
        <f t="shared" si="72"/>
        <v>-55168625.826500006</v>
      </c>
      <c r="AN22" s="258">
        <f>Funct_Plant_Rel_DFIT_Detail!AJ$102*(AL22/SUM(AL$9:AL$10))</f>
        <v>-21479724.444237549</v>
      </c>
      <c r="AO22" s="258">
        <v>59708380.846154444</v>
      </c>
      <c r="AP22" s="258"/>
      <c r="AQ22" s="258">
        <f t="shared" ref="AQ22:AR22" si="73">AQ10</f>
        <v>141717024.96720004</v>
      </c>
      <c r="AR22" s="258">
        <f t="shared" si="73"/>
        <v>-65438933.525899999</v>
      </c>
      <c r="AS22" s="258">
        <f>Funct_Plant_Rel_DFIT_Detail!AN$102*(AQ22/SUM(AQ$9:AQ$10))</f>
        <v>-23831918.929902248</v>
      </c>
      <c r="AT22" s="258">
        <v>59708380.846154444</v>
      </c>
      <c r="AU22" s="258"/>
      <c r="AV22" s="258">
        <f t="shared" ref="AV22:AW22" si="74">AV10</f>
        <v>159860485.64300001</v>
      </c>
      <c r="AW22" s="258">
        <f t="shared" si="74"/>
        <v>-71048197.753600001</v>
      </c>
      <c r="AX22" s="258">
        <f>Funct_Plant_Rel_DFIT_Detail!AR$102*(AV22/SUM(AV$9:AV$10))</f>
        <v>-22900182.356474716</v>
      </c>
      <c r="AY22" s="258">
        <v>59708380.846154444</v>
      </c>
      <c r="AZ22" s="258"/>
      <c r="BA22" s="258">
        <f t="shared" ref="BA22:BB22" si="75">BA10</f>
        <v>173600529.71380004</v>
      </c>
      <c r="BB22" s="258">
        <f t="shared" si="75"/>
        <v>-56258222.169565432</v>
      </c>
      <c r="BC22" s="258">
        <f>Funct_Plant_Rel_DFIT_Detail!AV$102*(BA22/SUM(BA$9:BA$10))</f>
        <v>-21066947.020244144</v>
      </c>
      <c r="BD22" s="258">
        <v>59708380.846154444</v>
      </c>
    </row>
    <row r="23" spans="1:61" x14ac:dyDescent="0.25">
      <c r="C23" s="422"/>
      <c r="D23" s="422"/>
      <c r="E23" s="422"/>
      <c r="F23" s="422"/>
      <c r="H23" s="422"/>
      <c r="I23" s="422"/>
      <c r="J23" s="422"/>
      <c r="K23" s="422"/>
      <c r="M23" s="422"/>
      <c r="N23" s="422"/>
      <c r="O23" s="422"/>
      <c r="P23" s="422"/>
      <c r="R23" s="422"/>
      <c r="S23" s="422"/>
      <c r="T23" s="422"/>
      <c r="U23" s="422"/>
      <c r="W23" s="422"/>
      <c r="X23" s="422"/>
      <c r="Y23" s="422"/>
      <c r="Z23" s="422"/>
      <c r="AB23" s="422"/>
      <c r="AC23" s="422"/>
      <c r="AD23" s="422"/>
      <c r="AE23" s="422"/>
      <c r="AG23" s="422"/>
      <c r="AH23" s="422"/>
      <c r="AI23" s="422"/>
      <c r="AJ23" s="422"/>
      <c r="AL23" s="422"/>
      <c r="AM23" s="422"/>
      <c r="AN23" s="422"/>
      <c r="AO23" s="422"/>
      <c r="AQ23" s="422"/>
      <c r="AR23" s="422"/>
      <c r="AS23" s="422"/>
      <c r="AT23" s="422"/>
      <c r="AV23" s="422"/>
      <c r="AW23" s="422"/>
      <c r="AX23" s="422"/>
      <c r="AY23" s="422"/>
      <c r="BA23" s="422"/>
      <c r="BB23" s="422"/>
      <c r="BC23" s="422"/>
      <c r="BD23" s="422"/>
    </row>
    <row r="24" spans="1:61" ht="13.8" thickBot="1" x14ac:dyDescent="0.3">
      <c r="A24" s="197" t="s">
        <v>293</v>
      </c>
      <c r="C24" s="387">
        <f>SUM(C18:C23)</f>
        <v>2489836869.9969997</v>
      </c>
      <c r="D24" s="387">
        <f t="shared" ref="D24" si="76">SUM(D18:D23)</f>
        <v>-837320043.954</v>
      </c>
      <c r="E24" s="387">
        <f t="shared" ref="E24" si="77">SUM(E18:E23)</f>
        <v>-134981118.99825996</v>
      </c>
      <c r="F24" s="387">
        <f t="shared" ref="F24" si="78">SUM(F18:F23)</f>
        <v>1517535707.04474</v>
      </c>
      <c r="G24" s="352"/>
      <c r="H24" s="387">
        <f>SUM(H18:H23)</f>
        <v>2697204049.0570002</v>
      </c>
      <c r="I24" s="387">
        <f t="shared" ref="I24:J24" si="79">SUM(I18:I23)</f>
        <v>-918462455.82089996</v>
      </c>
      <c r="J24" s="387">
        <f t="shared" si="79"/>
        <v>-176903166.21969745</v>
      </c>
      <c r="K24" s="387">
        <f t="shared" ref="K24" si="80">SUM(K18:K23)</f>
        <v>1517535707.04474</v>
      </c>
      <c r="L24" s="352"/>
      <c r="M24" s="387">
        <f>SUM(M18:M23)</f>
        <v>2787911456.6296</v>
      </c>
      <c r="N24" s="387">
        <f t="shared" ref="N24:O24" si="81">SUM(N18:N23)</f>
        <v>-924038094.72859991</v>
      </c>
      <c r="O24" s="387">
        <f t="shared" si="81"/>
        <v>-163556110.55831301</v>
      </c>
      <c r="P24" s="387">
        <f t="shared" ref="P24" si="82">SUM(P18:P23)</f>
        <v>1517535707.04474</v>
      </c>
      <c r="Q24" s="352"/>
      <c r="R24" s="387">
        <f>SUM(R18:R23)</f>
        <v>2877011055.9495001</v>
      </c>
      <c r="S24" s="387">
        <f t="shared" ref="S24:T24" si="83">SUM(S18:S23)</f>
        <v>-975934226.26849997</v>
      </c>
      <c r="T24" s="387">
        <f t="shared" si="83"/>
        <v>-196231774.91472501</v>
      </c>
      <c r="U24" s="387">
        <f t="shared" ref="U24" si="84">SUM(U18:U23)</f>
        <v>1517535707.04474</v>
      </c>
      <c r="V24" s="352"/>
      <c r="W24" s="387">
        <f>SUM(W18:W23)</f>
        <v>2987268616.9994998</v>
      </c>
      <c r="X24" s="387">
        <f t="shared" ref="X24:Y24" si="85">SUM(X18:X23)</f>
        <v>-1061251689.9526</v>
      </c>
      <c r="Y24" s="387">
        <f t="shared" si="85"/>
        <v>-230502217.61251539</v>
      </c>
      <c r="Z24" s="387">
        <f t="shared" ref="Z24" si="86">SUM(Z18:Z23)</f>
        <v>1517535707.04474</v>
      </c>
      <c r="AA24" s="352"/>
      <c r="AB24" s="387">
        <f>SUM(AB18:AB23)</f>
        <v>3152000388.6152</v>
      </c>
      <c r="AC24" s="387">
        <f t="shared" ref="AC24:AD24" si="87">SUM(AC18:AC23)</f>
        <v>-1143008343.0964</v>
      </c>
      <c r="AD24" s="387">
        <f t="shared" si="87"/>
        <v>-245939381.41187483</v>
      </c>
      <c r="AE24" s="387">
        <f t="shared" ref="AE24" si="88">SUM(AE18:AE23)</f>
        <v>1517535707.04474</v>
      </c>
      <c r="AF24" s="352"/>
      <c r="AG24" s="387">
        <f>SUM(AG18:AG23)</f>
        <v>3284083124.0004997</v>
      </c>
      <c r="AH24" s="387">
        <f t="shared" ref="AH24:AI24" si="89">SUM(AH18:AH23)</f>
        <v>-1217779479.0419998</v>
      </c>
      <c r="AI24" s="387">
        <f t="shared" si="89"/>
        <v>-262511477.71896544</v>
      </c>
      <c r="AJ24" s="387">
        <f t="shared" ref="AJ24" si="90">SUM(AJ18:AJ23)</f>
        <v>1517535707.04474</v>
      </c>
      <c r="AK24" s="352"/>
      <c r="AL24" s="387">
        <f>SUM(AL18:AL23)</f>
        <v>3420070307.3385</v>
      </c>
      <c r="AM24" s="387">
        <f t="shared" ref="AM24:AN24" si="91">SUM(AM18:AM23)</f>
        <v>-1294648678.7067001</v>
      </c>
      <c r="AN24" s="387">
        <f t="shared" si="91"/>
        <v>-275187688.23990691</v>
      </c>
      <c r="AO24" s="387">
        <f t="shared" ref="AO24" si="92">SUM(AO18:AO23)</f>
        <v>1517535707.04474</v>
      </c>
      <c r="AP24" s="352"/>
      <c r="AQ24" s="387">
        <f>SUM(AQ18:AQ23)</f>
        <v>3585794871.1146002</v>
      </c>
      <c r="AR24" s="387">
        <f t="shared" ref="AR24:AS24" si="93">SUM(AR18:AR23)</f>
        <v>-1388752076.8014998</v>
      </c>
      <c r="AS24" s="387">
        <f t="shared" si="93"/>
        <v>-297135763.50384474</v>
      </c>
      <c r="AT24" s="387">
        <f t="shared" ref="AT24" si="94">SUM(AT18:AT23)</f>
        <v>1517535707.04474</v>
      </c>
      <c r="AU24" s="352"/>
      <c r="AV24" s="387">
        <f>SUM(AV18:AV23)</f>
        <v>3824205202.2143002</v>
      </c>
      <c r="AW24" s="387">
        <f t="shared" ref="AW24:AX24" si="95">SUM(AW18:AW23)</f>
        <v>-1493439089.3410001</v>
      </c>
      <c r="AX24" s="387">
        <f t="shared" si="95"/>
        <v>-307217644.22840542</v>
      </c>
      <c r="AY24" s="387">
        <f t="shared" ref="AY24" si="96">SUM(AY18:AY23)</f>
        <v>1517535707.04474</v>
      </c>
      <c r="AZ24" s="352"/>
      <c r="BA24" s="387">
        <f>SUM(BA18:BA23)</f>
        <v>4091945715.4421</v>
      </c>
      <c r="BB24" s="387">
        <f t="shared" ref="BB24:BC24" si="97">SUM(BB18:BB23)</f>
        <v>-1569795174.7788</v>
      </c>
      <c r="BC24" s="387">
        <f t="shared" si="97"/>
        <v>-309846505.60647166</v>
      </c>
      <c r="BD24" s="387">
        <f t="shared" ref="BD24" si="98">SUM(BD18:BD23)</f>
        <v>1517535707.04474</v>
      </c>
      <c r="BE24" s="352"/>
      <c r="BF24" s="352"/>
      <c r="BG24" s="352"/>
      <c r="BH24" s="352"/>
      <c r="BI24" s="352"/>
    </row>
    <row r="25" spans="1:61" s="359" customFormat="1" ht="10.8" thickTop="1" x14ac:dyDescent="0.2">
      <c r="A25" s="423" t="s">
        <v>295</v>
      </c>
      <c r="E25" s="381">
        <v>0</v>
      </c>
      <c r="J25" s="381">
        <v>0</v>
      </c>
      <c r="M25" s="424"/>
      <c r="N25" s="424"/>
      <c r="O25" s="381">
        <v>0</v>
      </c>
      <c r="R25" s="424"/>
      <c r="S25" s="424"/>
      <c r="T25" s="381">
        <v>0</v>
      </c>
      <c r="Y25" s="381">
        <v>0</v>
      </c>
      <c r="AD25" s="381">
        <v>0</v>
      </c>
      <c r="AI25" s="381">
        <v>0</v>
      </c>
      <c r="AN25" s="381">
        <v>0</v>
      </c>
      <c r="AS25" s="381">
        <v>0</v>
      </c>
      <c r="AX25" s="381">
        <v>0</v>
      </c>
      <c r="BA25" s="424"/>
      <c r="BB25" s="381"/>
      <c r="BC25" s="381">
        <v>0</v>
      </c>
    </row>
    <row r="26" spans="1:61" x14ac:dyDescent="0.25">
      <c r="BB26" s="258"/>
      <c r="BC26" s="258"/>
    </row>
    <row r="28" spans="1:61" s="15" customFormat="1" ht="14.4" x14ac:dyDescent="0.3">
      <c r="A28" s="15" t="s">
        <v>538</v>
      </c>
      <c r="B28" s="281"/>
      <c r="C28" s="16">
        <v>6692694</v>
      </c>
      <c r="D28" s="16"/>
      <c r="E28" s="16"/>
      <c r="F28" s="16"/>
      <c r="G28" s="16"/>
      <c r="H28" s="16">
        <v>7252173</v>
      </c>
      <c r="I28" s="16"/>
      <c r="J28" s="16"/>
      <c r="K28" s="16"/>
      <c r="L28" s="16"/>
      <c r="M28" s="16">
        <v>7815443</v>
      </c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>
        <v>8654564</v>
      </c>
      <c r="AH28" s="16"/>
      <c r="AI28" s="16"/>
      <c r="AJ28" s="16"/>
      <c r="AK28" s="16"/>
      <c r="AL28" s="16">
        <v>8654564</v>
      </c>
      <c r="AM28" s="16"/>
      <c r="AN28" s="16"/>
      <c r="AO28" s="16"/>
      <c r="AP28" s="16"/>
      <c r="AQ28" s="16">
        <v>8654564</v>
      </c>
      <c r="AR28" s="16"/>
      <c r="AS28" s="16"/>
      <c r="AT28" s="16"/>
      <c r="AU28" s="16"/>
      <c r="AV28" s="16">
        <v>8654564.4700000007</v>
      </c>
      <c r="AW28" s="16"/>
      <c r="AX28" s="16"/>
      <c r="AY28" s="16"/>
      <c r="AZ28" s="16"/>
      <c r="BA28" s="16">
        <v>8654564.4700000007</v>
      </c>
      <c r="BB28" s="16"/>
      <c r="BC28" s="16"/>
      <c r="BD28" s="16"/>
      <c r="BE28" s="16"/>
      <c r="BF28" s="16"/>
      <c r="BG28" s="16"/>
      <c r="BH28" s="16"/>
      <c r="BI28" s="16"/>
    </row>
    <row r="29" spans="1:61" s="15" customFormat="1" ht="14.4" x14ac:dyDescent="0.3">
      <c r="A29" s="15" t="s">
        <v>539</v>
      </c>
      <c r="C29" s="16">
        <f>C12+C28</f>
        <v>2496529563.9969997</v>
      </c>
      <c r="D29" s="16">
        <f>D12+D28</f>
        <v>-837320043.954</v>
      </c>
      <c r="H29" s="16">
        <f>H12+H28</f>
        <v>2704456222.0570002</v>
      </c>
      <c r="I29" s="16">
        <f>I12+I28</f>
        <v>-918462455.82089996</v>
      </c>
      <c r="M29" s="16">
        <f>M12+M28</f>
        <v>2795726899.6296</v>
      </c>
      <c r="N29" s="16">
        <f>N12+N28</f>
        <v>-924038094.72859991</v>
      </c>
      <c r="R29" s="16">
        <f>R12+R28</f>
        <v>2877011055.9495001</v>
      </c>
      <c r="S29" s="16">
        <f>S12+S28</f>
        <v>-975934226.26849997</v>
      </c>
      <c r="W29" s="16">
        <f>W12+W28</f>
        <v>2987268616.9994998</v>
      </c>
      <c r="X29" s="16">
        <f>X12+X28</f>
        <v>-1061251689.9526</v>
      </c>
      <c r="AB29" s="16">
        <f t="shared" ref="AB29:AC29" si="99">AB12+AB28</f>
        <v>3152000388.6152</v>
      </c>
      <c r="AC29" s="16">
        <f t="shared" si="99"/>
        <v>-1143008343.0964</v>
      </c>
      <c r="AG29" s="16">
        <f t="shared" ref="AG29:AH29" si="100">AG12+AG28</f>
        <v>3292737688.0004997</v>
      </c>
      <c r="AH29" s="16">
        <f t="shared" si="100"/>
        <v>-1217779479.0419998</v>
      </c>
      <c r="AL29" s="16">
        <f t="shared" ref="AL29:AM29" si="101">AL12+AL28</f>
        <v>3428724871.3385</v>
      </c>
      <c r="AM29" s="16">
        <f t="shared" si="101"/>
        <v>-1294648678.7067001</v>
      </c>
      <c r="AQ29" s="16">
        <f t="shared" ref="AQ29:AR29" si="102">AQ12+AQ28</f>
        <v>3594449435.1146002</v>
      </c>
      <c r="AR29" s="16">
        <f t="shared" si="102"/>
        <v>-1388752076.8014998</v>
      </c>
      <c r="AV29" s="16">
        <f t="shared" ref="AV29:AW29" si="103">AV12+AV28</f>
        <v>3832859766.6842999</v>
      </c>
      <c r="AW29" s="16">
        <f t="shared" si="103"/>
        <v>-1493439089.3410001</v>
      </c>
      <c r="BA29" s="16">
        <f t="shared" ref="BA29:BB29" si="104">BA12+BA28</f>
        <v>4100600279.9120998</v>
      </c>
      <c r="BB29" s="16">
        <f t="shared" si="104"/>
        <v>-1569795174.7788</v>
      </c>
    </row>
    <row r="30" spans="1:61" s="15" customFormat="1" ht="14.4" x14ac:dyDescent="0.3">
      <c r="C30" s="16">
        <f>+C29-C28</f>
        <v>2489836869.9969997</v>
      </c>
    </row>
    <row r="31" spans="1:61" x14ac:dyDescent="0.25">
      <c r="R31" s="352">
        <v>8298080</v>
      </c>
      <c r="S31" s="352"/>
      <c r="T31" s="352"/>
      <c r="U31" s="352"/>
      <c r="V31" s="352"/>
      <c r="W31" s="352">
        <v>8599111</v>
      </c>
      <c r="X31" s="352"/>
      <c r="Y31" s="352"/>
      <c r="Z31" s="352"/>
      <c r="AA31" s="352"/>
      <c r="AB31" s="352">
        <v>8654564</v>
      </c>
      <c r="AC31" s="352"/>
      <c r="AD31" s="352"/>
      <c r="AE31" s="352"/>
      <c r="AF31" s="352"/>
      <c r="AG31" s="352"/>
      <c r="AH31" s="352"/>
      <c r="AI31" s="352"/>
      <c r="AJ31" s="352"/>
      <c r="AK31" s="352"/>
      <c r="AL31" s="352"/>
      <c r="AM31" s="352"/>
      <c r="AN31" s="352"/>
      <c r="AO31" s="352"/>
      <c r="AP31" s="352"/>
      <c r="AQ31" s="352"/>
      <c r="AR31" s="352"/>
      <c r="AS31" s="352"/>
      <c r="AT31" s="352"/>
      <c r="AU31" s="352"/>
      <c r="AV31" s="352"/>
      <c r="AW31" s="352"/>
      <c r="AX31" s="352"/>
      <c r="AY31" s="352"/>
      <c r="AZ31" s="352"/>
      <c r="BA31" s="352"/>
      <c r="BB31" s="352"/>
      <c r="BC31" s="352"/>
      <c r="BD31" s="352"/>
    </row>
  </sheetData>
  <pageMargins left="0.7" right="0.7" top="0.75" bottom="0.75" header="0.3" footer="0.3"/>
  <pageSetup orientation="portrait" horizontalDpi="1200" verticalDpi="1200"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59"/>
  <sheetViews>
    <sheetView workbookViewId="0">
      <selection sqref="A1:XFD1048576"/>
    </sheetView>
  </sheetViews>
  <sheetFormatPr defaultColWidth="9.109375" defaultRowHeight="14.4" x14ac:dyDescent="0.3"/>
  <cols>
    <col min="1" max="1" width="4.109375" style="15" customWidth="1"/>
    <col min="2" max="2" width="9.33203125" style="24" bestFit="1" customWidth="1"/>
    <col min="3" max="3" width="16.109375" style="24" bestFit="1" customWidth="1"/>
    <col min="4" max="4" width="14.44140625" style="24" bestFit="1" customWidth="1"/>
    <col min="5" max="5" width="15.44140625" style="24" bestFit="1" customWidth="1"/>
    <col min="6" max="6" width="13.6640625" style="24" bestFit="1" customWidth="1"/>
    <col min="7" max="7" width="13.44140625" style="24" bestFit="1" customWidth="1"/>
    <col min="8" max="8" width="13.33203125" style="24" customWidth="1"/>
    <col min="9" max="10" width="15.44140625" style="24" bestFit="1" customWidth="1"/>
    <col min="11" max="11" width="12.5546875" style="24" customWidth="1"/>
    <col min="12" max="12" width="14.44140625" style="24" bestFit="1" customWidth="1"/>
    <col min="13" max="13" width="14.5546875" style="35" bestFit="1" customWidth="1"/>
    <col min="14" max="15" width="15.44140625" style="35" bestFit="1" customWidth="1"/>
    <col min="16" max="16" width="7.44140625" style="35" bestFit="1" customWidth="1"/>
    <col min="17" max="18" width="9.33203125" style="35" bestFit="1" customWidth="1"/>
    <col min="19" max="19" width="12.33203125" style="35" bestFit="1" customWidth="1"/>
    <col min="20" max="20" width="12" style="35" bestFit="1" customWidth="1"/>
    <col min="21" max="21" width="9.109375" style="15"/>
    <col min="22" max="22" width="14.33203125" style="35" bestFit="1" customWidth="1"/>
    <col min="23" max="23" width="12.5546875" style="35" bestFit="1" customWidth="1"/>
    <col min="24" max="16384" width="9.109375" style="15"/>
  </cols>
  <sheetData>
    <row r="1" spans="1:23" ht="18" x14ac:dyDescent="0.35">
      <c r="A1" s="67" t="s">
        <v>642</v>
      </c>
    </row>
    <row r="2" spans="1:23" ht="18" x14ac:dyDescent="0.35">
      <c r="A2" s="67" t="s">
        <v>641</v>
      </c>
    </row>
    <row r="3" spans="1:23" ht="18" x14ac:dyDescent="0.35">
      <c r="A3" s="67"/>
    </row>
    <row r="4" spans="1:23" ht="18.600000000000001" thickBot="1" x14ac:dyDescent="0.4">
      <c r="A4" s="67"/>
    </row>
    <row r="5" spans="1:23" s="66" customFormat="1" ht="15.75" customHeight="1" thickBot="1" x14ac:dyDescent="0.35">
      <c r="B5" s="64"/>
      <c r="C5" s="506" t="s">
        <v>8</v>
      </c>
      <c r="D5" s="507"/>
      <c r="E5" s="507"/>
      <c r="F5" s="507"/>
      <c r="G5" s="507"/>
      <c r="H5" s="507"/>
      <c r="I5" s="508"/>
      <c r="J5" s="506" t="s">
        <v>10</v>
      </c>
      <c r="K5" s="507"/>
      <c r="L5" s="508"/>
      <c r="M5" s="509" t="s">
        <v>638</v>
      </c>
      <c r="N5" s="509" t="s">
        <v>637</v>
      </c>
      <c r="O5" s="509" t="s">
        <v>636</v>
      </c>
      <c r="P5" s="45"/>
      <c r="Q5" s="45"/>
      <c r="R5" s="45"/>
      <c r="S5" s="45"/>
      <c r="T5" s="45"/>
      <c r="V5" s="45"/>
      <c r="W5" s="45"/>
    </row>
    <row r="6" spans="1:23" s="24" customFormat="1" ht="29.4" thickBot="1" x14ac:dyDescent="0.35">
      <c r="B6" s="65" t="s">
        <v>112</v>
      </c>
      <c r="C6" s="43" t="s">
        <v>185</v>
      </c>
      <c r="D6" s="41" t="s">
        <v>65</v>
      </c>
      <c r="E6" s="41" t="s">
        <v>66</v>
      </c>
      <c r="F6" s="41" t="s">
        <v>635</v>
      </c>
      <c r="G6" s="41" t="s">
        <v>629</v>
      </c>
      <c r="H6" s="41" t="s">
        <v>628</v>
      </c>
      <c r="I6" s="42" t="s">
        <v>627</v>
      </c>
      <c r="J6" s="41" t="s">
        <v>66</v>
      </c>
      <c r="K6" s="41" t="s">
        <v>77</v>
      </c>
      <c r="L6" s="40" t="s">
        <v>626</v>
      </c>
      <c r="M6" s="510"/>
      <c r="N6" s="510"/>
      <c r="O6" s="510"/>
      <c r="P6" s="36" t="s">
        <v>634</v>
      </c>
      <c r="Q6" s="36"/>
      <c r="R6" s="36"/>
      <c r="S6" s="36"/>
      <c r="T6" s="36"/>
      <c r="V6" s="36"/>
      <c r="W6" s="36"/>
    </row>
    <row r="7" spans="1:23" s="24" customFormat="1" ht="15" thickBot="1" x14ac:dyDescent="0.35">
      <c r="B7" s="75">
        <v>2007</v>
      </c>
      <c r="C7" s="74"/>
      <c r="D7" s="74"/>
      <c r="E7" s="74"/>
      <c r="F7" s="74"/>
      <c r="G7" s="74"/>
      <c r="H7" s="74"/>
      <c r="I7" s="127"/>
      <c r="J7" s="74"/>
      <c r="K7" s="74"/>
      <c r="L7" s="128"/>
      <c r="M7" s="129"/>
      <c r="N7" s="129"/>
      <c r="O7" s="129"/>
      <c r="P7" s="36"/>
      <c r="Q7" s="36"/>
      <c r="R7" s="36"/>
      <c r="S7" s="36"/>
      <c r="T7" s="36"/>
      <c r="V7" s="36"/>
      <c r="W7" s="36"/>
    </row>
    <row r="8" spans="1:23" s="24" customFormat="1" x14ac:dyDescent="0.3">
      <c r="A8" s="64" t="s">
        <v>631</v>
      </c>
      <c r="B8" s="64">
        <v>2008</v>
      </c>
      <c r="C8" s="36">
        <v>200764854.79535913</v>
      </c>
      <c r="D8" s="36">
        <v>55745701.675906241</v>
      </c>
      <c r="E8" s="36">
        <v>362738039.98106241</v>
      </c>
      <c r="F8" s="36">
        <v>-46717847.382135198</v>
      </c>
      <c r="G8" s="36">
        <v>15993726.531652041</v>
      </c>
      <c r="H8" s="36">
        <v>-107145.60184477615</v>
      </c>
      <c r="I8" s="48">
        <f t="shared" ref="I8:I18" si="0">SUM(C8:H8)</f>
        <v>588417329.99999988</v>
      </c>
      <c r="J8" s="36">
        <v>195034254.93583822</v>
      </c>
      <c r="K8" s="36">
        <v>30889121.734161761</v>
      </c>
      <c r="L8" s="51">
        <f t="shared" ref="L8:L18" si="1">SUM(J8:K8)</f>
        <v>225923376.66999999</v>
      </c>
      <c r="M8" s="36">
        <v>17674062</v>
      </c>
      <c r="N8" s="51">
        <f t="shared" ref="N8:N18" si="2">SUM(I8,L8,M8)</f>
        <v>832014768.66999984</v>
      </c>
      <c r="O8" s="50">
        <v>832014768.66999996</v>
      </c>
      <c r="P8" s="35">
        <f t="shared" ref="P8:P18" si="3">O8-N8</f>
        <v>0</v>
      </c>
      <c r="Q8" s="36"/>
      <c r="R8" s="36"/>
      <c r="S8" s="36"/>
      <c r="T8" s="36"/>
      <c r="V8" s="36"/>
      <c r="W8" s="36"/>
    </row>
    <row r="9" spans="1:23" s="24" customFormat="1" x14ac:dyDescent="0.3">
      <c r="A9" s="64" t="s">
        <v>631</v>
      </c>
      <c r="B9" s="64">
        <v>2009</v>
      </c>
      <c r="C9" s="36">
        <v>244980152.21647069</v>
      </c>
      <c r="D9" s="36">
        <v>68022814.530450165</v>
      </c>
      <c r="E9" s="36">
        <v>450853285.99963009</v>
      </c>
      <c r="F9" s="36">
        <v>-57006717.508237332</v>
      </c>
      <c r="G9" s="36">
        <v>19516092.914900433</v>
      </c>
      <c r="H9" s="36">
        <v>-130742.73321400763</v>
      </c>
      <c r="I9" s="48">
        <f t="shared" si="0"/>
        <v>726234885.41999996</v>
      </c>
      <c r="J9" s="36">
        <v>248677136.34695476</v>
      </c>
      <c r="K9" s="36">
        <v>37691964.323045269</v>
      </c>
      <c r="L9" s="48">
        <f t="shared" si="1"/>
        <v>286369100.67000002</v>
      </c>
      <c r="M9" s="36">
        <v>11551623</v>
      </c>
      <c r="N9" s="48">
        <f t="shared" si="2"/>
        <v>1024155609.0899999</v>
      </c>
      <c r="O9" s="49">
        <v>1024155609.09</v>
      </c>
      <c r="P9" s="35">
        <f t="shared" si="3"/>
        <v>0</v>
      </c>
      <c r="Q9" s="36"/>
      <c r="R9" s="36"/>
      <c r="S9" s="36"/>
      <c r="T9" s="36"/>
      <c r="V9" s="36"/>
      <c r="W9" s="36"/>
    </row>
    <row r="10" spans="1:23" s="24" customFormat="1" x14ac:dyDescent="0.3">
      <c r="A10" s="64" t="s">
        <v>631</v>
      </c>
      <c r="B10" s="64">
        <v>2010</v>
      </c>
      <c r="C10" s="36">
        <v>285257592.97469872</v>
      </c>
      <c r="D10" s="36">
        <v>79206515.97593379</v>
      </c>
      <c r="E10" s="36">
        <v>527411100.79421955</v>
      </c>
      <c r="F10" s="36">
        <v>-66379251.023647159</v>
      </c>
      <c r="G10" s="36">
        <v>22724753.980297253</v>
      </c>
      <c r="H10" s="36">
        <v>-152238.2815021108</v>
      </c>
      <c r="I10" s="48">
        <f t="shared" si="0"/>
        <v>848068474.41999996</v>
      </c>
      <c r="J10" s="36">
        <v>286900204.42328322</v>
      </c>
      <c r="K10" s="36">
        <v>43888939.24671679</v>
      </c>
      <c r="L10" s="48">
        <f t="shared" si="1"/>
        <v>330789143.67000002</v>
      </c>
      <c r="M10" s="36">
        <v>23817229</v>
      </c>
      <c r="N10" s="48">
        <f t="shared" si="2"/>
        <v>1202674847.0899999</v>
      </c>
      <c r="O10" s="49">
        <v>1202674847.0899999</v>
      </c>
      <c r="P10" s="35">
        <f t="shared" si="3"/>
        <v>0</v>
      </c>
      <c r="Q10" s="36"/>
      <c r="R10" s="36"/>
      <c r="S10" s="36"/>
      <c r="T10" s="36"/>
      <c r="V10" s="36"/>
      <c r="W10" s="36"/>
    </row>
    <row r="11" spans="1:23" x14ac:dyDescent="0.3">
      <c r="B11" s="24">
        <v>2011</v>
      </c>
      <c r="C11" s="36">
        <v>291854565</v>
      </c>
      <c r="D11" s="36">
        <v>81038275</v>
      </c>
      <c r="E11" s="36">
        <v>475398523.41999996</v>
      </c>
      <c r="F11" s="36">
        <v>-67914362</v>
      </c>
      <c r="G11" s="36">
        <v>23250295</v>
      </c>
      <c r="H11" s="36">
        <v>-155759</v>
      </c>
      <c r="I11" s="48">
        <f t="shared" si="0"/>
        <v>803471537.41999996</v>
      </c>
      <c r="J11" s="36">
        <v>323534225.67000002</v>
      </c>
      <c r="K11" s="36">
        <v>44903931</v>
      </c>
      <c r="L11" s="48">
        <f t="shared" si="1"/>
        <v>368438156.67000002</v>
      </c>
      <c r="M11" s="36">
        <v>34739214</v>
      </c>
      <c r="N11" s="48">
        <f t="shared" si="2"/>
        <v>1206648908.0899999</v>
      </c>
      <c r="O11" s="48">
        <v>1206648908.0899999</v>
      </c>
      <c r="P11" s="35">
        <f t="shared" si="3"/>
        <v>0</v>
      </c>
    </row>
    <row r="12" spans="1:23" x14ac:dyDescent="0.3">
      <c r="B12" s="24">
        <v>2012</v>
      </c>
      <c r="C12" s="36">
        <v>411003800</v>
      </c>
      <c r="D12" s="36">
        <v>91933354</v>
      </c>
      <c r="E12" s="36">
        <v>526690527</v>
      </c>
      <c r="F12" s="36">
        <v>-67299582</v>
      </c>
      <c r="G12" s="36">
        <v>27093326</v>
      </c>
      <c r="H12" s="36">
        <v>-156188</v>
      </c>
      <c r="I12" s="48">
        <f t="shared" si="0"/>
        <v>989265237</v>
      </c>
      <c r="J12" s="36">
        <v>350878791.94</v>
      </c>
      <c r="K12" s="36">
        <v>49391189</v>
      </c>
      <c r="L12" s="48">
        <f t="shared" si="1"/>
        <v>400269980.94</v>
      </c>
      <c r="M12" s="36">
        <v>26053743</v>
      </c>
      <c r="N12" s="48">
        <f t="shared" si="2"/>
        <v>1415588960.9400001</v>
      </c>
      <c r="O12" s="48">
        <v>1415588960.9400001</v>
      </c>
      <c r="P12" s="35">
        <f t="shared" si="3"/>
        <v>0</v>
      </c>
    </row>
    <row r="13" spans="1:23" x14ac:dyDescent="0.3">
      <c r="B13" s="24">
        <v>2013</v>
      </c>
      <c r="C13" s="36">
        <v>511765691</v>
      </c>
      <c r="D13" s="36">
        <v>103261715</v>
      </c>
      <c r="E13" s="36">
        <v>562971747.00999999</v>
      </c>
      <c r="F13" s="36">
        <v>-69209156</v>
      </c>
      <c r="G13" s="36">
        <v>39784929</v>
      </c>
      <c r="H13" s="36">
        <v>-152987</v>
      </c>
      <c r="I13" s="48">
        <f t="shared" si="0"/>
        <v>1148421939.01</v>
      </c>
      <c r="J13" s="36">
        <v>388918836.60000002</v>
      </c>
      <c r="K13" s="36">
        <v>53703907</v>
      </c>
      <c r="L13" s="48">
        <f t="shared" si="1"/>
        <v>442622743.60000002</v>
      </c>
      <c r="M13" s="36">
        <v>41422598.289999999</v>
      </c>
      <c r="N13" s="48">
        <f t="shared" si="2"/>
        <v>1632467280.9000001</v>
      </c>
      <c r="O13" s="48">
        <v>1632467280.9000001</v>
      </c>
      <c r="P13" s="35">
        <f t="shared" si="3"/>
        <v>0</v>
      </c>
    </row>
    <row r="14" spans="1:23" x14ac:dyDescent="0.3">
      <c r="B14" s="24">
        <v>2014</v>
      </c>
      <c r="C14" s="36">
        <v>527929569</v>
      </c>
      <c r="D14" s="36">
        <v>125317539</v>
      </c>
      <c r="E14" s="36">
        <v>571007696.63000011</v>
      </c>
      <c r="F14" s="36">
        <v>-61279958</v>
      </c>
      <c r="G14" s="36">
        <v>43989777</v>
      </c>
      <c r="H14" s="36">
        <v>-294712</v>
      </c>
      <c r="I14" s="48">
        <f t="shared" si="0"/>
        <v>1206669911.6300001</v>
      </c>
      <c r="J14" s="36">
        <v>433496944.44</v>
      </c>
      <c r="K14" s="36">
        <v>45730928</v>
      </c>
      <c r="L14" s="48">
        <f t="shared" si="1"/>
        <v>479227872.44</v>
      </c>
      <c r="M14" s="36">
        <v>43163005.329999998</v>
      </c>
      <c r="N14" s="48">
        <f t="shared" si="2"/>
        <v>1729060789.4000001</v>
      </c>
      <c r="O14" s="48">
        <v>1729060789.4000001</v>
      </c>
      <c r="P14" s="35">
        <f t="shared" si="3"/>
        <v>0</v>
      </c>
    </row>
    <row r="15" spans="1:23" x14ac:dyDescent="0.3">
      <c r="B15" s="24">
        <v>2015</v>
      </c>
      <c r="C15" s="36">
        <v>513553793</v>
      </c>
      <c r="D15" s="36">
        <v>127929530</v>
      </c>
      <c r="E15" s="36">
        <v>634820878.83999991</v>
      </c>
      <c r="F15" s="36">
        <v>-66831596</v>
      </c>
      <c r="G15" s="36">
        <v>43069133</v>
      </c>
      <c r="H15" s="36">
        <v>-64643</v>
      </c>
      <c r="I15" s="48">
        <f t="shared" si="0"/>
        <v>1252477095.8399999</v>
      </c>
      <c r="J15" s="36">
        <v>454136774.61000001</v>
      </c>
      <c r="K15" s="36">
        <v>47350815</v>
      </c>
      <c r="L15" s="48">
        <f t="shared" si="1"/>
        <v>501487589.61000001</v>
      </c>
      <c r="M15" s="36">
        <v>43557015.049999997</v>
      </c>
      <c r="N15" s="48">
        <f t="shared" si="2"/>
        <v>1797521700.4999998</v>
      </c>
      <c r="O15" s="48">
        <v>1797521700.5</v>
      </c>
      <c r="P15" s="35">
        <f t="shared" si="3"/>
        <v>0</v>
      </c>
    </row>
    <row r="16" spans="1:23" x14ac:dyDescent="0.3">
      <c r="B16" s="24">
        <v>2016</v>
      </c>
      <c r="C16" s="36">
        <v>530168227</v>
      </c>
      <c r="D16" s="36">
        <v>137231216</v>
      </c>
      <c r="E16" s="36">
        <v>666004662.94000006</v>
      </c>
      <c r="F16" s="36">
        <v>-67288910</v>
      </c>
      <c r="G16" s="36">
        <v>43327109</v>
      </c>
      <c r="H16" s="36">
        <v>-30134</v>
      </c>
      <c r="I16" s="48">
        <f t="shared" si="0"/>
        <v>1309412170.9400001</v>
      </c>
      <c r="J16" s="36">
        <v>484712976.02999997</v>
      </c>
      <c r="K16" s="36">
        <v>49008092</v>
      </c>
      <c r="L16" s="48">
        <f t="shared" si="1"/>
        <v>533721068.02999997</v>
      </c>
      <c r="M16" s="36">
        <v>49274358.609999999</v>
      </c>
      <c r="N16" s="48">
        <f t="shared" si="2"/>
        <v>1892407597.5799999</v>
      </c>
      <c r="O16" s="48">
        <v>1892407597.5799999</v>
      </c>
      <c r="P16" s="35">
        <f t="shared" si="3"/>
        <v>0</v>
      </c>
    </row>
    <row r="17" spans="1:23" x14ac:dyDescent="0.3">
      <c r="B17" s="24">
        <v>2017</v>
      </c>
      <c r="C17" s="36">
        <v>544654068</v>
      </c>
      <c r="D17" s="36">
        <v>152778477</v>
      </c>
      <c r="E17" s="36">
        <v>711925770.5999999</v>
      </c>
      <c r="F17" s="36">
        <v>-66043334</v>
      </c>
      <c r="G17" s="36">
        <v>41128707</v>
      </c>
      <c r="H17" s="36">
        <v>-158040</v>
      </c>
      <c r="I17" s="48">
        <f t="shared" si="0"/>
        <v>1384285648.5999999</v>
      </c>
      <c r="J17" s="36">
        <v>528951320.05999994</v>
      </c>
      <c r="K17" s="36">
        <v>50285364</v>
      </c>
      <c r="L17" s="48">
        <f t="shared" si="1"/>
        <v>579236684.05999994</v>
      </c>
      <c r="M17" s="36">
        <v>70806013.290000007</v>
      </c>
      <c r="N17" s="48">
        <f t="shared" si="2"/>
        <v>2034328345.9499998</v>
      </c>
      <c r="O17" s="48">
        <v>2034328345.95</v>
      </c>
      <c r="P17" s="35">
        <f t="shared" si="3"/>
        <v>0</v>
      </c>
    </row>
    <row r="18" spans="1:23" s="35" customFormat="1" x14ac:dyDescent="0.3">
      <c r="A18" s="15"/>
      <c r="B18" s="24">
        <v>2018</v>
      </c>
      <c r="C18" s="36">
        <v>520139750</v>
      </c>
      <c r="D18" s="36">
        <v>153240671</v>
      </c>
      <c r="E18" s="36">
        <v>709843512.8900001</v>
      </c>
      <c r="F18" s="36">
        <v>-65727430</v>
      </c>
      <c r="G18" s="36">
        <v>36301669</v>
      </c>
      <c r="H18" s="36">
        <v>-130406</v>
      </c>
      <c r="I18" s="48">
        <f t="shared" si="0"/>
        <v>1353667766.8900001</v>
      </c>
      <c r="J18" s="36">
        <v>527424187.41999996</v>
      </c>
      <c r="K18" s="36">
        <v>50865821</v>
      </c>
      <c r="L18" s="48">
        <f t="shared" si="1"/>
        <v>578290008.41999996</v>
      </c>
      <c r="M18" s="35">
        <v>66763125.520000003</v>
      </c>
      <c r="N18" s="48">
        <f t="shared" si="2"/>
        <v>1998720900.8299999</v>
      </c>
      <c r="O18" s="48">
        <v>1998720900.8299999</v>
      </c>
      <c r="P18" s="35">
        <f t="shared" si="3"/>
        <v>0</v>
      </c>
    </row>
    <row r="19" spans="1:23" s="35" customFormat="1" ht="15" thickBot="1" x14ac:dyDescent="0.35">
      <c r="A19" s="15"/>
      <c r="B19" s="24"/>
      <c r="C19" s="36"/>
      <c r="D19" s="36"/>
      <c r="E19" s="36"/>
      <c r="F19" s="36"/>
      <c r="G19" s="36"/>
      <c r="H19" s="36"/>
      <c r="I19" s="46">
        <f>SUM(I8:I18)</f>
        <v>11610391997.17</v>
      </c>
      <c r="J19" s="36"/>
      <c r="K19" s="15"/>
      <c r="L19" s="46">
        <f>SUM(L8:L18)</f>
        <v>4726375724.7799997</v>
      </c>
      <c r="M19" s="46">
        <f>SUM(M8:M18)</f>
        <v>428821987.09000003</v>
      </c>
      <c r="N19" s="46">
        <f>SUM(N8:N18)</f>
        <v>16765589709.039999</v>
      </c>
      <c r="O19" s="46">
        <f>SUM(O8:O18)</f>
        <v>16765589709.039999</v>
      </c>
      <c r="P19" s="35">
        <f>SUM(P8:P18)</f>
        <v>0</v>
      </c>
    </row>
    <row r="20" spans="1:23" s="35" customFormat="1" ht="15" thickTop="1" x14ac:dyDescent="0.3">
      <c r="A20" s="15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</row>
    <row r="21" spans="1:23" s="35" customFormat="1" x14ac:dyDescent="0.3">
      <c r="A21" s="15"/>
      <c r="B21" s="2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45"/>
      <c r="N21" s="45"/>
    </row>
    <row r="22" spans="1:23" s="35" customFormat="1" x14ac:dyDescent="0.3">
      <c r="A22" s="64" t="s">
        <v>631</v>
      </c>
      <c r="B22" s="281" t="s">
        <v>640</v>
      </c>
      <c r="C22" s="24"/>
      <c r="D22" s="24"/>
      <c r="E22" s="24"/>
      <c r="F22" s="24"/>
      <c r="G22" s="24"/>
      <c r="H22" s="24"/>
      <c r="I22" s="24"/>
      <c r="J22" s="24"/>
      <c r="K22" s="24"/>
      <c r="L22" s="24"/>
    </row>
    <row r="24" spans="1:23" s="35" customFormat="1" x14ac:dyDescent="0.3">
      <c r="A24" s="15"/>
      <c r="B24" s="24"/>
      <c r="C24" s="24"/>
      <c r="D24" s="24"/>
      <c r="E24" s="24"/>
      <c r="F24" s="24"/>
      <c r="G24" s="24"/>
      <c r="H24" s="36"/>
      <c r="I24" s="36"/>
      <c r="J24" s="24"/>
      <c r="K24" s="36"/>
      <c r="L24" s="36"/>
    </row>
    <row r="25" spans="1:23" s="35" customFormat="1" x14ac:dyDescent="0.3">
      <c r="A25" s="15"/>
      <c r="B25" s="24" t="s">
        <v>639</v>
      </c>
      <c r="C25" s="24"/>
      <c r="D25" s="24"/>
      <c r="E25" s="24"/>
      <c r="F25" s="24"/>
      <c r="G25" s="24"/>
      <c r="H25" s="36"/>
      <c r="I25" s="36"/>
      <c r="J25" s="24"/>
      <c r="K25" s="36"/>
      <c r="L25" s="36"/>
    </row>
    <row r="26" spans="1:23" s="35" customFormat="1" ht="15" thickBot="1" x14ac:dyDescent="0.35">
      <c r="A26" s="15"/>
      <c r="B26" s="24"/>
      <c r="C26" s="24"/>
      <c r="D26" s="24"/>
      <c r="E26" s="24"/>
      <c r="F26" s="24"/>
      <c r="G26" s="24"/>
      <c r="H26" s="36"/>
      <c r="I26" s="36"/>
      <c r="J26" s="24"/>
      <c r="K26" s="36"/>
      <c r="L26" s="36"/>
    </row>
    <row r="27" spans="1:23" s="66" customFormat="1" ht="15.75" customHeight="1" thickBot="1" x14ac:dyDescent="0.35">
      <c r="B27" s="64"/>
      <c r="C27" s="506" t="s">
        <v>8</v>
      </c>
      <c r="D27" s="507"/>
      <c r="E27" s="507"/>
      <c r="F27" s="507"/>
      <c r="G27" s="507"/>
      <c r="H27" s="507"/>
      <c r="I27" s="508"/>
      <c r="J27" s="506" t="s">
        <v>10</v>
      </c>
      <c r="K27" s="507"/>
      <c r="L27" s="508"/>
      <c r="M27" s="509" t="s">
        <v>638</v>
      </c>
      <c r="N27" s="509" t="s">
        <v>637</v>
      </c>
      <c r="O27" s="509" t="s">
        <v>636</v>
      </c>
      <c r="P27" s="45"/>
      <c r="Q27" s="45"/>
      <c r="R27" s="45"/>
      <c r="S27" s="45"/>
      <c r="T27" s="45"/>
      <c r="V27" s="45"/>
      <c r="W27" s="45"/>
    </row>
    <row r="28" spans="1:23" s="24" customFormat="1" ht="43.8" thickBot="1" x14ac:dyDescent="0.35">
      <c r="B28" s="65" t="s">
        <v>112</v>
      </c>
      <c r="C28" s="43" t="s">
        <v>185</v>
      </c>
      <c r="D28" s="41" t="s">
        <v>65</v>
      </c>
      <c r="E28" s="41" t="s">
        <v>66</v>
      </c>
      <c r="F28" s="41" t="s">
        <v>635</v>
      </c>
      <c r="G28" s="41" t="s">
        <v>629</v>
      </c>
      <c r="H28" s="41" t="s">
        <v>628</v>
      </c>
      <c r="I28" s="42" t="s">
        <v>627</v>
      </c>
      <c r="J28" s="41" t="s">
        <v>66</v>
      </c>
      <c r="K28" s="41" t="s">
        <v>77</v>
      </c>
      <c r="L28" s="40" t="s">
        <v>626</v>
      </c>
      <c r="M28" s="510"/>
      <c r="N28" s="510"/>
      <c r="O28" s="510"/>
      <c r="P28" s="36" t="s">
        <v>634</v>
      </c>
      <c r="S28" s="39" t="s">
        <v>633</v>
      </c>
      <c r="T28" s="39" t="s">
        <v>632</v>
      </c>
      <c r="V28" s="39" t="s">
        <v>318</v>
      </c>
      <c r="W28" s="39" t="s">
        <v>336</v>
      </c>
    </row>
    <row r="29" spans="1:23" s="24" customFormat="1" ht="15" thickBot="1" x14ac:dyDescent="0.35">
      <c r="B29" s="75">
        <v>2007</v>
      </c>
      <c r="C29" s="74"/>
      <c r="D29" s="74"/>
      <c r="E29" s="74"/>
      <c r="F29" s="74"/>
      <c r="G29" s="74"/>
      <c r="H29" s="74"/>
      <c r="I29" s="127"/>
      <c r="J29" s="74"/>
      <c r="K29" s="74"/>
      <c r="L29" s="128"/>
      <c r="M29" s="129"/>
      <c r="N29" s="129"/>
      <c r="O29" s="129"/>
      <c r="P29" s="36"/>
      <c r="Q29" s="36"/>
      <c r="R29" s="36"/>
      <c r="S29" s="36"/>
      <c r="T29" s="36"/>
      <c r="V29" s="36"/>
      <c r="W29" s="36"/>
    </row>
    <row r="30" spans="1:23" s="24" customFormat="1" x14ac:dyDescent="0.3">
      <c r="A30" s="64" t="s">
        <v>631</v>
      </c>
      <c r="B30" s="64">
        <v>2008</v>
      </c>
      <c r="C30" s="36">
        <f t="shared" ref="C30:O30" si="4">C8</f>
        <v>200764854.79535913</v>
      </c>
      <c r="D30" s="36">
        <f t="shared" si="4"/>
        <v>55745701.675906241</v>
      </c>
      <c r="E30" s="36">
        <f t="shared" si="4"/>
        <v>362738039.98106241</v>
      </c>
      <c r="F30" s="36">
        <f t="shared" si="4"/>
        <v>-46717847.382135198</v>
      </c>
      <c r="G30" s="36">
        <f t="shared" si="4"/>
        <v>15993726.531652041</v>
      </c>
      <c r="H30" s="36">
        <f t="shared" si="4"/>
        <v>-107145.60184477615</v>
      </c>
      <c r="I30" s="48">
        <f t="shared" si="4"/>
        <v>588417329.99999988</v>
      </c>
      <c r="J30" s="36">
        <f t="shared" si="4"/>
        <v>195034254.93583822</v>
      </c>
      <c r="K30" s="36">
        <f t="shared" si="4"/>
        <v>30889121.734161761</v>
      </c>
      <c r="L30" s="51">
        <f t="shared" si="4"/>
        <v>225923376.66999999</v>
      </c>
      <c r="M30" s="36">
        <f t="shared" si="4"/>
        <v>17674062</v>
      </c>
      <c r="N30" s="51">
        <f t="shared" si="4"/>
        <v>832014768.66999984</v>
      </c>
      <c r="O30" s="50">
        <f t="shared" si="4"/>
        <v>832014768.66999996</v>
      </c>
      <c r="P30" s="35">
        <f t="shared" ref="P30:P40" si="5">O30-N30</f>
        <v>0</v>
      </c>
      <c r="Q30" s="47">
        <v>0.6462</v>
      </c>
      <c r="R30" s="47">
        <f t="shared" ref="R30:R40" si="6">1-Q30</f>
        <v>0.3538</v>
      </c>
      <c r="S30" s="36">
        <f t="shared" ref="S30:S40" si="7">SUM(F30:G30)+(M30*Q30)</f>
        <v>-19303141.986083157</v>
      </c>
      <c r="T30" s="36">
        <f t="shared" ref="T30:T40" si="8">K30+(M30*R30)</f>
        <v>37142204.869761758</v>
      </c>
      <c r="V30" s="36">
        <f t="shared" ref="V30:V40" si="9">I30+(M30*Q30)</f>
        <v>599838308.86439991</v>
      </c>
      <c r="W30" s="36">
        <f t="shared" ref="W30:W40" si="10">L30+(M30*R30)</f>
        <v>232176459.80559999</v>
      </c>
    </row>
    <row r="31" spans="1:23" s="24" customFormat="1" x14ac:dyDescent="0.3">
      <c r="A31" s="64" t="s">
        <v>631</v>
      </c>
      <c r="B31" s="64">
        <v>2009</v>
      </c>
      <c r="C31" s="36">
        <f t="shared" ref="C31:O31" si="11">AVERAGE(C8:C9)</f>
        <v>222872503.50591493</v>
      </c>
      <c r="D31" s="36">
        <f t="shared" si="11"/>
        <v>61884258.103178203</v>
      </c>
      <c r="E31" s="36">
        <f t="shared" si="11"/>
        <v>406795662.99034625</v>
      </c>
      <c r="F31" s="36">
        <f t="shared" si="11"/>
        <v>-51862282.445186265</v>
      </c>
      <c r="G31" s="36">
        <f t="shared" si="11"/>
        <v>17754909.723276235</v>
      </c>
      <c r="H31" s="36">
        <f t="shared" si="11"/>
        <v>-118944.16752939188</v>
      </c>
      <c r="I31" s="48">
        <f t="shared" si="11"/>
        <v>657326107.70999992</v>
      </c>
      <c r="J31" s="36">
        <f t="shared" si="11"/>
        <v>221855695.64139649</v>
      </c>
      <c r="K31" s="36">
        <f t="shared" si="11"/>
        <v>34290543.028603517</v>
      </c>
      <c r="L31" s="48">
        <f t="shared" si="11"/>
        <v>256146238.67000002</v>
      </c>
      <c r="M31" s="36">
        <f t="shared" si="11"/>
        <v>14612842.5</v>
      </c>
      <c r="N31" s="48">
        <f t="shared" si="11"/>
        <v>928085188.87999988</v>
      </c>
      <c r="O31" s="49">
        <f t="shared" si="11"/>
        <v>928085188.88</v>
      </c>
      <c r="P31" s="35">
        <f t="shared" si="5"/>
        <v>0</v>
      </c>
      <c r="Q31" s="47">
        <v>0.64790000000000003</v>
      </c>
      <c r="R31" s="47">
        <f t="shared" si="6"/>
        <v>0.35209999999999997</v>
      </c>
      <c r="S31" s="36">
        <f t="shared" si="7"/>
        <v>-24639712.066160031</v>
      </c>
      <c r="T31" s="36">
        <f t="shared" si="8"/>
        <v>39435724.872853518</v>
      </c>
      <c r="V31" s="36">
        <f t="shared" si="9"/>
        <v>666793768.36574996</v>
      </c>
      <c r="W31" s="36">
        <f t="shared" si="10"/>
        <v>261291420.51425001</v>
      </c>
    </row>
    <row r="32" spans="1:23" s="24" customFormat="1" x14ac:dyDescent="0.3">
      <c r="A32" s="64" t="s">
        <v>631</v>
      </c>
      <c r="B32" s="64">
        <v>2010</v>
      </c>
      <c r="C32" s="36">
        <f t="shared" ref="C32:O32" si="12">AVERAGE(C9:C10)</f>
        <v>265118872.59558469</v>
      </c>
      <c r="D32" s="36">
        <f t="shared" si="12"/>
        <v>73614665.253191978</v>
      </c>
      <c r="E32" s="36">
        <f t="shared" si="12"/>
        <v>489132193.39692485</v>
      </c>
      <c r="F32" s="36">
        <f t="shared" si="12"/>
        <v>-61692984.265942246</v>
      </c>
      <c r="G32" s="36">
        <f t="shared" si="12"/>
        <v>21120423.447598845</v>
      </c>
      <c r="H32" s="36">
        <f t="shared" si="12"/>
        <v>-141490.50735805923</v>
      </c>
      <c r="I32" s="48">
        <f t="shared" si="12"/>
        <v>787151679.91999996</v>
      </c>
      <c r="J32" s="36">
        <f t="shared" si="12"/>
        <v>267788670.38511899</v>
      </c>
      <c r="K32" s="36">
        <f t="shared" si="12"/>
        <v>40790451.784881026</v>
      </c>
      <c r="L32" s="48">
        <f t="shared" si="12"/>
        <v>308579122.17000002</v>
      </c>
      <c r="M32" s="36">
        <f t="shared" si="12"/>
        <v>17684426</v>
      </c>
      <c r="N32" s="48">
        <f t="shared" si="12"/>
        <v>1113415228.0899999</v>
      </c>
      <c r="O32" s="49">
        <f t="shared" si="12"/>
        <v>1113415228.0899999</v>
      </c>
      <c r="P32" s="35">
        <f t="shared" si="5"/>
        <v>0</v>
      </c>
      <c r="Q32" s="47">
        <v>0.66510000000000002</v>
      </c>
      <c r="R32" s="47">
        <f t="shared" si="6"/>
        <v>0.33489999999999998</v>
      </c>
      <c r="S32" s="36">
        <f t="shared" si="7"/>
        <v>-28810649.085743401</v>
      </c>
      <c r="T32" s="36">
        <f t="shared" si="8"/>
        <v>46712966.052281022</v>
      </c>
      <c r="V32" s="36">
        <f t="shared" si="9"/>
        <v>798913591.65259993</v>
      </c>
      <c r="W32" s="36">
        <f t="shared" si="10"/>
        <v>314501636.43740004</v>
      </c>
    </row>
    <row r="33" spans="1:23" x14ac:dyDescent="0.3">
      <c r="B33" s="24">
        <v>2011</v>
      </c>
      <c r="C33" s="36">
        <f t="shared" ref="C33:O33" si="13">AVERAGE(C10:C11)</f>
        <v>288556078.98734939</v>
      </c>
      <c r="D33" s="36">
        <f t="shared" si="13"/>
        <v>80122395.487966895</v>
      </c>
      <c r="E33" s="36">
        <f t="shared" si="13"/>
        <v>501404812.10710979</v>
      </c>
      <c r="F33" s="36">
        <f t="shared" si="13"/>
        <v>-67146806.51182358</v>
      </c>
      <c r="G33" s="36">
        <f t="shared" si="13"/>
        <v>22987524.490148626</v>
      </c>
      <c r="H33" s="36">
        <f t="shared" si="13"/>
        <v>-153998.64075105538</v>
      </c>
      <c r="I33" s="48">
        <f t="shared" si="13"/>
        <v>825770005.91999996</v>
      </c>
      <c r="J33" s="36">
        <f t="shared" si="13"/>
        <v>305217215.04664159</v>
      </c>
      <c r="K33" s="36">
        <f t="shared" si="13"/>
        <v>44396435.123358399</v>
      </c>
      <c r="L33" s="48">
        <f t="shared" si="13"/>
        <v>349613650.17000002</v>
      </c>
      <c r="M33" s="36">
        <f t="shared" si="13"/>
        <v>29278221.5</v>
      </c>
      <c r="N33" s="48">
        <f t="shared" si="13"/>
        <v>1204661877.5899999</v>
      </c>
      <c r="O33" s="48">
        <f t="shared" si="13"/>
        <v>1204661877.5899999</v>
      </c>
      <c r="P33" s="35">
        <f t="shared" si="5"/>
        <v>0</v>
      </c>
      <c r="Q33" s="47">
        <v>0.65949999999999998</v>
      </c>
      <c r="R33" s="47">
        <f t="shared" si="6"/>
        <v>0.34050000000000002</v>
      </c>
      <c r="S33" s="36">
        <f t="shared" si="7"/>
        <v>-24850294.942424953</v>
      </c>
      <c r="T33" s="36">
        <f t="shared" si="8"/>
        <v>54365669.544108398</v>
      </c>
      <c r="V33" s="36">
        <f t="shared" si="9"/>
        <v>845078992.99924994</v>
      </c>
      <c r="W33" s="36">
        <f t="shared" si="10"/>
        <v>359582884.59075004</v>
      </c>
    </row>
    <row r="34" spans="1:23" x14ac:dyDescent="0.3">
      <c r="B34" s="24">
        <v>2012</v>
      </c>
      <c r="C34" s="36">
        <f t="shared" ref="C34:O34" si="14">AVERAGE(C11:C12)</f>
        <v>351429182.5</v>
      </c>
      <c r="D34" s="36">
        <f t="shared" si="14"/>
        <v>86485814.5</v>
      </c>
      <c r="E34" s="36">
        <f t="shared" si="14"/>
        <v>501044525.20999998</v>
      </c>
      <c r="F34" s="36">
        <f t="shared" si="14"/>
        <v>-67606972</v>
      </c>
      <c r="G34" s="36">
        <f t="shared" si="14"/>
        <v>25171810.5</v>
      </c>
      <c r="H34" s="36">
        <f t="shared" si="14"/>
        <v>-155973.5</v>
      </c>
      <c r="I34" s="48">
        <f t="shared" si="14"/>
        <v>896368387.21000004</v>
      </c>
      <c r="J34" s="36">
        <f t="shared" si="14"/>
        <v>337206508.80500001</v>
      </c>
      <c r="K34" s="36">
        <f t="shared" si="14"/>
        <v>47147560</v>
      </c>
      <c r="L34" s="48">
        <f t="shared" si="14"/>
        <v>384354068.80500001</v>
      </c>
      <c r="M34" s="36">
        <f t="shared" si="14"/>
        <v>30396478.5</v>
      </c>
      <c r="N34" s="48">
        <f t="shared" si="14"/>
        <v>1311118934.5149999</v>
      </c>
      <c r="O34" s="48">
        <f t="shared" si="14"/>
        <v>1311118934.5149999</v>
      </c>
      <c r="P34" s="35">
        <f t="shared" si="5"/>
        <v>0</v>
      </c>
      <c r="Q34" s="47">
        <v>0.67110000000000003</v>
      </c>
      <c r="R34" s="47">
        <f t="shared" si="6"/>
        <v>0.32889999999999997</v>
      </c>
      <c r="S34" s="36">
        <f t="shared" si="7"/>
        <v>-22036084.778650001</v>
      </c>
      <c r="T34" s="36">
        <f t="shared" si="8"/>
        <v>57144961.778650001</v>
      </c>
      <c r="V34" s="36">
        <f t="shared" si="9"/>
        <v>916767463.93134999</v>
      </c>
      <c r="W34" s="36">
        <f t="shared" si="10"/>
        <v>394351470.58364999</v>
      </c>
    </row>
    <row r="35" spans="1:23" x14ac:dyDescent="0.3">
      <c r="B35" s="24">
        <v>2013</v>
      </c>
      <c r="C35" s="36">
        <f t="shared" ref="C35:O35" si="15">AVERAGE(C12:C13)</f>
        <v>461384745.5</v>
      </c>
      <c r="D35" s="36">
        <f t="shared" si="15"/>
        <v>97597534.5</v>
      </c>
      <c r="E35" s="36">
        <f t="shared" si="15"/>
        <v>544831137.005</v>
      </c>
      <c r="F35" s="36">
        <f t="shared" si="15"/>
        <v>-68254369</v>
      </c>
      <c r="G35" s="36">
        <f t="shared" si="15"/>
        <v>33439127.5</v>
      </c>
      <c r="H35" s="36">
        <f t="shared" si="15"/>
        <v>-154587.5</v>
      </c>
      <c r="I35" s="48">
        <f t="shared" si="15"/>
        <v>1068843588.005</v>
      </c>
      <c r="J35" s="36">
        <f t="shared" si="15"/>
        <v>369898814.26999998</v>
      </c>
      <c r="K35" s="36">
        <f t="shared" si="15"/>
        <v>51547548</v>
      </c>
      <c r="L35" s="48">
        <f t="shared" si="15"/>
        <v>421446362.26999998</v>
      </c>
      <c r="M35" s="36">
        <f t="shared" si="15"/>
        <v>33738170.644999996</v>
      </c>
      <c r="N35" s="48">
        <f t="shared" si="15"/>
        <v>1524028120.9200001</v>
      </c>
      <c r="O35" s="48">
        <f t="shared" si="15"/>
        <v>1524028120.9200001</v>
      </c>
      <c r="P35" s="35">
        <f t="shared" si="5"/>
        <v>0</v>
      </c>
      <c r="Q35" s="47">
        <v>0.67979999999999996</v>
      </c>
      <c r="R35" s="47">
        <f t="shared" si="6"/>
        <v>0.32020000000000004</v>
      </c>
      <c r="S35" s="36">
        <f t="shared" si="7"/>
        <v>-11880033.095529005</v>
      </c>
      <c r="T35" s="36">
        <f t="shared" si="8"/>
        <v>62350510.240529001</v>
      </c>
      <c r="V35" s="36">
        <f t="shared" si="9"/>
        <v>1091778796.409471</v>
      </c>
      <c r="W35" s="36">
        <f t="shared" si="10"/>
        <v>432249324.51052898</v>
      </c>
    </row>
    <row r="36" spans="1:23" x14ac:dyDescent="0.3">
      <c r="B36" s="24">
        <v>2014</v>
      </c>
      <c r="C36" s="36">
        <f t="shared" ref="C36:O36" si="16">AVERAGE(C13:C14)</f>
        <v>519847630</v>
      </c>
      <c r="D36" s="36">
        <f t="shared" si="16"/>
        <v>114289627</v>
      </c>
      <c r="E36" s="36">
        <f t="shared" si="16"/>
        <v>566989721.82000005</v>
      </c>
      <c r="F36" s="36">
        <f t="shared" si="16"/>
        <v>-65244557</v>
      </c>
      <c r="G36" s="36">
        <f t="shared" si="16"/>
        <v>41887353</v>
      </c>
      <c r="H36" s="36">
        <f t="shared" si="16"/>
        <v>-223849.5</v>
      </c>
      <c r="I36" s="48">
        <f t="shared" si="16"/>
        <v>1177545925.3200002</v>
      </c>
      <c r="J36" s="36">
        <f t="shared" si="16"/>
        <v>411207890.51999998</v>
      </c>
      <c r="K36" s="36">
        <f t="shared" si="16"/>
        <v>49717417.5</v>
      </c>
      <c r="L36" s="48">
        <f t="shared" si="16"/>
        <v>460925308.01999998</v>
      </c>
      <c r="M36" s="36">
        <f t="shared" si="16"/>
        <v>42292801.810000002</v>
      </c>
      <c r="N36" s="48">
        <f t="shared" si="16"/>
        <v>1680764035.1500001</v>
      </c>
      <c r="O36" s="48">
        <f t="shared" si="16"/>
        <v>1680764035.1500001</v>
      </c>
      <c r="P36" s="35">
        <f t="shared" si="5"/>
        <v>0</v>
      </c>
      <c r="Q36" s="47">
        <v>0.6855</v>
      </c>
      <c r="R36" s="47">
        <f t="shared" si="6"/>
        <v>0.3145</v>
      </c>
      <c r="S36" s="36">
        <f t="shared" si="7"/>
        <v>5634511.6407550015</v>
      </c>
      <c r="T36" s="36">
        <f t="shared" si="8"/>
        <v>63018503.669245005</v>
      </c>
      <c r="V36" s="36">
        <f t="shared" si="9"/>
        <v>1206537640.9607551</v>
      </c>
      <c r="W36" s="36">
        <f t="shared" si="10"/>
        <v>474226394.18924499</v>
      </c>
    </row>
    <row r="37" spans="1:23" x14ac:dyDescent="0.3">
      <c r="B37" s="24">
        <v>2015</v>
      </c>
      <c r="C37" s="36">
        <f t="shared" ref="C37:O37" si="17">AVERAGE(C14:C15)</f>
        <v>520741681</v>
      </c>
      <c r="D37" s="36">
        <f t="shared" si="17"/>
        <v>126623534.5</v>
      </c>
      <c r="E37" s="36">
        <f t="shared" si="17"/>
        <v>602914287.73500001</v>
      </c>
      <c r="F37" s="36">
        <f t="shared" si="17"/>
        <v>-64055777</v>
      </c>
      <c r="G37" s="36">
        <f t="shared" si="17"/>
        <v>43529455</v>
      </c>
      <c r="H37" s="36">
        <f t="shared" si="17"/>
        <v>-179677.5</v>
      </c>
      <c r="I37" s="48">
        <f t="shared" si="17"/>
        <v>1229573503.7350001</v>
      </c>
      <c r="J37" s="36">
        <f t="shared" si="17"/>
        <v>443816859.52499998</v>
      </c>
      <c r="K37" s="36">
        <f t="shared" si="17"/>
        <v>46540871.5</v>
      </c>
      <c r="L37" s="48">
        <f t="shared" si="17"/>
        <v>490357731.02499998</v>
      </c>
      <c r="M37" s="36">
        <f t="shared" si="17"/>
        <v>43360010.189999998</v>
      </c>
      <c r="N37" s="48">
        <f t="shared" si="17"/>
        <v>1763291244.9499998</v>
      </c>
      <c r="O37" s="48">
        <f t="shared" si="17"/>
        <v>1763291244.95</v>
      </c>
      <c r="P37" s="35">
        <f t="shared" si="5"/>
        <v>0</v>
      </c>
      <c r="Q37" s="47">
        <v>0.68410000000000004</v>
      </c>
      <c r="R37" s="47">
        <f t="shared" si="6"/>
        <v>0.31589999999999996</v>
      </c>
      <c r="S37" s="36">
        <f t="shared" si="7"/>
        <v>9136260.9709790014</v>
      </c>
      <c r="T37" s="36">
        <f t="shared" si="8"/>
        <v>60238298.719021</v>
      </c>
      <c r="V37" s="36">
        <f t="shared" si="9"/>
        <v>1259236086.7059791</v>
      </c>
      <c r="W37" s="36">
        <f t="shared" si="10"/>
        <v>504055158.244021</v>
      </c>
    </row>
    <row r="38" spans="1:23" x14ac:dyDescent="0.3">
      <c r="B38" s="24">
        <v>2016</v>
      </c>
      <c r="C38" s="36">
        <f t="shared" ref="C38:O38" si="18">AVERAGE(C15:C16)</f>
        <v>521861010</v>
      </c>
      <c r="D38" s="36">
        <f t="shared" si="18"/>
        <v>132580373</v>
      </c>
      <c r="E38" s="36">
        <f t="shared" si="18"/>
        <v>650412770.88999999</v>
      </c>
      <c r="F38" s="36">
        <f t="shared" si="18"/>
        <v>-67060253</v>
      </c>
      <c r="G38" s="36">
        <f t="shared" si="18"/>
        <v>43198121</v>
      </c>
      <c r="H38" s="36">
        <f t="shared" si="18"/>
        <v>-47388.5</v>
      </c>
      <c r="I38" s="48">
        <f t="shared" si="18"/>
        <v>1280944633.3899999</v>
      </c>
      <c r="J38" s="36">
        <f t="shared" si="18"/>
        <v>469424875.31999999</v>
      </c>
      <c r="K38" s="36">
        <f t="shared" si="18"/>
        <v>48179453.5</v>
      </c>
      <c r="L38" s="48">
        <f t="shared" si="18"/>
        <v>517604328.81999999</v>
      </c>
      <c r="M38" s="36">
        <f t="shared" si="18"/>
        <v>46415686.829999998</v>
      </c>
      <c r="N38" s="48">
        <f t="shared" si="18"/>
        <v>1844964649.04</v>
      </c>
      <c r="O38" s="48">
        <f t="shared" si="18"/>
        <v>1844964649.04</v>
      </c>
      <c r="P38" s="35">
        <f t="shared" si="5"/>
        <v>0</v>
      </c>
      <c r="Q38" s="47">
        <v>0.66769999999999996</v>
      </c>
      <c r="R38" s="47">
        <f t="shared" si="6"/>
        <v>0.33230000000000004</v>
      </c>
      <c r="S38" s="36">
        <f t="shared" si="7"/>
        <v>7129622.0963909961</v>
      </c>
      <c r="T38" s="36">
        <f t="shared" si="8"/>
        <v>63603386.233609006</v>
      </c>
      <c r="V38" s="36">
        <f t="shared" si="9"/>
        <v>1311936387.4863908</v>
      </c>
      <c r="W38" s="36">
        <f t="shared" si="10"/>
        <v>533028261.55360901</v>
      </c>
    </row>
    <row r="39" spans="1:23" x14ac:dyDescent="0.3">
      <c r="B39" s="24">
        <v>2017</v>
      </c>
      <c r="C39" s="36">
        <f t="shared" ref="C39:O39" si="19">AVERAGE(C16:C17)</f>
        <v>537411147.5</v>
      </c>
      <c r="D39" s="36">
        <f t="shared" si="19"/>
        <v>145004846.5</v>
      </c>
      <c r="E39" s="36">
        <f t="shared" si="19"/>
        <v>688965216.76999998</v>
      </c>
      <c r="F39" s="36">
        <f t="shared" si="19"/>
        <v>-66666122</v>
      </c>
      <c r="G39" s="36">
        <f t="shared" si="19"/>
        <v>42227908</v>
      </c>
      <c r="H39" s="36">
        <f t="shared" si="19"/>
        <v>-94087</v>
      </c>
      <c r="I39" s="48">
        <f t="shared" si="19"/>
        <v>1346848909.77</v>
      </c>
      <c r="J39" s="36">
        <f t="shared" si="19"/>
        <v>506832148.04499996</v>
      </c>
      <c r="K39" s="36">
        <f t="shared" si="19"/>
        <v>49646728</v>
      </c>
      <c r="L39" s="48">
        <f t="shared" si="19"/>
        <v>556478876.04499996</v>
      </c>
      <c r="M39" s="36">
        <f t="shared" si="19"/>
        <v>60040185.950000003</v>
      </c>
      <c r="N39" s="48">
        <f t="shared" si="19"/>
        <v>1963367971.7649999</v>
      </c>
      <c r="O39" s="48">
        <f t="shared" si="19"/>
        <v>1963367971.7649999</v>
      </c>
      <c r="P39" s="35">
        <f t="shared" si="5"/>
        <v>0</v>
      </c>
      <c r="Q39" s="47">
        <v>0.65590000000000004</v>
      </c>
      <c r="R39" s="47">
        <f t="shared" si="6"/>
        <v>0.34409999999999996</v>
      </c>
      <c r="S39" s="36">
        <f t="shared" si="7"/>
        <v>14942143.964605004</v>
      </c>
      <c r="T39" s="36">
        <f t="shared" si="8"/>
        <v>70306555.985394999</v>
      </c>
      <c r="V39" s="36">
        <f t="shared" si="9"/>
        <v>1386229267.7346051</v>
      </c>
      <c r="W39" s="36">
        <f t="shared" si="10"/>
        <v>577138704.03039491</v>
      </c>
    </row>
    <row r="40" spans="1:23" s="35" customFormat="1" x14ac:dyDescent="0.3">
      <c r="A40" s="15"/>
      <c r="B40" s="24">
        <v>2018</v>
      </c>
      <c r="C40" s="36">
        <f t="shared" ref="C40:O40" si="20">AVERAGE(C17:C18)</f>
        <v>532396909</v>
      </c>
      <c r="D40" s="36">
        <f t="shared" si="20"/>
        <v>153009574</v>
      </c>
      <c r="E40" s="36">
        <f t="shared" si="20"/>
        <v>710884641.745</v>
      </c>
      <c r="F40" s="36">
        <f t="shared" si="20"/>
        <v>-65885382</v>
      </c>
      <c r="G40" s="36">
        <f t="shared" si="20"/>
        <v>38715188</v>
      </c>
      <c r="H40" s="36">
        <f t="shared" si="20"/>
        <v>-144223</v>
      </c>
      <c r="I40" s="48">
        <f t="shared" si="20"/>
        <v>1368976707.7449999</v>
      </c>
      <c r="J40" s="36">
        <f t="shared" si="20"/>
        <v>528187753.73999995</v>
      </c>
      <c r="K40" s="36">
        <f t="shared" si="20"/>
        <v>50575592.5</v>
      </c>
      <c r="L40" s="48">
        <f t="shared" si="20"/>
        <v>578763346.24000001</v>
      </c>
      <c r="M40" s="35">
        <f t="shared" si="20"/>
        <v>68784569.405000001</v>
      </c>
      <c r="N40" s="48">
        <f t="shared" si="20"/>
        <v>2016524623.3899999</v>
      </c>
      <c r="O40" s="48">
        <f t="shared" si="20"/>
        <v>2016524623.3899999</v>
      </c>
      <c r="P40" s="35">
        <f t="shared" si="5"/>
        <v>0</v>
      </c>
      <c r="Q40" s="47">
        <v>0.66190000000000004</v>
      </c>
      <c r="R40" s="47">
        <f t="shared" si="6"/>
        <v>0.33809999999999996</v>
      </c>
      <c r="S40" s="36">
        <f t="shared" si="7"/>
        <v>18358312.489169501</v>
      </c>
      <c r="T40" s="36">
        <f t="shared" si="8"/>
        <v>73831655.415830493</v>
      </c>
      <c r="V40" s="36">
        <f t="shared" si="9"/>
        <v>1414505214.2341695</v>
      </c>
      <c r="W40" s="36">
        <f t="shared" si="10"/>
        <v>602019409.1558305</v>
      </c>
    </row>
    <row r="41" spans="1:23" s="35" customFormat="1" ht="15" thickBot="1" x14ac:dyDescent="0.35">
      <c r="A41" s="15"/>
      <c r="B41" s="24"/>
      <c r="C41" s="36"/>
      <c r="D41" s="36"/>
      <c r="E41" s="36"/>
      <c r="F41" s="36"/>
      <c r="G41" s="36"/>
      <c r="H41" s="36"/>
      <c r="I41" s="46">
        <f>SUM(I30:I40)</f>
        <v>11227766778.724998</v>
      </c>
      <c r="J41" s="36"/>
      <c r="K41" s="15"/>
      <c r="L41" s="46">
        <f>SUM(L30:L40)</f>
        <v>4550192408.9050007</v>
      </c>
      <c r="M41" s="46">
        <f>SUM(M30:M40)</f>
        <v>404277455.32999992</v>
      </c>
      <c r="N41" s="46">
        <f>SUM(N30:N40)</f>
        <v>16182236642.959999</v>
      </c>
      <c r="O41" s="46">
        <f>SUM(O30:O40)</f>
        <v>16182236642.959999</v>
      </c>
      <c r="P41" s="35">
        <f>SUM(P30:P40)</f>
        <v>0</v>
      </c>
    </row>
    <row r="42" spans="1:23" ht="15" thickTop="1" x14ac:dyDescent="0.3"/>
    <row r="44" spans="1:23" x14ac:dyDescent="0.3">
      <c r="B44" s="24" t="s">
        <v>630</v>
      </c>
    </row>
    <row r="45" spans="1:23" ht="15" thickBot="1" x14ac:dyDescent="0.35">
      <c r="H45" s="36"/>
      <c r="I45" s="36"/>
      <c r="K45" s="36"/>
      <c r="L45" s="36"/>
    </row>
    <row r="46" spans="1:23" ht="15.75" customHeight="1" thickBot="1" x14ac:dyDescent="0.35">
      <c r="B46" s="64"/>
      <c r="C46" s="506" t="s">
        <v>8</v>
      </c>
      <c r="D46" s="507"/>
      <c r="E46" s="507"/>
      <c r="F46" s="507"/>
      <c r="G46" s="507"/>
      <c r="H46" s="507"/>
      <c r="I46" s="508"/>
      <c r="J46" s="506" t="s">
        <v>10</v>
      </c>
      <c r="K46" s="507"/>
      <c r="L46" s="508"/>
      <c r="V46" s="45"/>
      <c r="W46" s="45"/>
    </row>
    <row r="47" spans="1:23" ht="29.4" thickBot="1" x14ac:dyDescent="0.35">
      <c r="B47" s="65" t="s">
        <v>112</v>
      </c>
      <c r="C47" s="43" t="s">
        <v>185</v>
      </c>
      <c r="D47" s="41" t="s">
        <v>65</v>
      </c>
      <c r="E47" s="41" t="s">
        <v>66</v>
      </c>
      <c r="F47" s="41"/>
      <c r="G47" s="41" t="s">
        <v>629</v>
      </c>
      <c r="H47" s="41" t="s">
        <v>628</v>
      </c>
      <c r="I47" s="42" t="s">
        <v>627</v>
      </c>
      <c r="J47" s="41" t="s">
        <v>66</v>
      </c>
      <c r="K47" s="41" t="s">
        <v>77</v>
      </c>
      <c r="L47" s="40" t="s">
        <v>626</v>
      </c>
      <c r="V47" s="39"/>
      <c r="W47" s="39"/>
    </row>
    <row r="48" spans="1:23" ht="15" thickBot="1" x14ac:dyDescent="0.35">
      <c r="B48" s="75">
        <v>2007</v>
      </c>
      <c r="C48" s="74"/>
      <c r="D48" s="74"/>
      <c r="E48" s="74"/>
      <c r="F48" s="74"/>
      <c r="G48" s="74"/>
      <c r="H48" s="74"/>
      <c r="I48" s="127"/>
      <c r="J48" s="74"/>
      <c r="K48" s="74"/>
      <c r="L48" s="128"/>
      <c r="V48" s="36"/>
      <c r="W48" s="36"/>
    </row>
    <row r="49" spans="2:23" ht="15" thickBot="1" x14ac:dyDescent="0.35">
      <c r="B49" s="64">
        <v>2008</v>
      </c>
      <c r="C49" s="38">
        <f t="shared" ref="C49:E59" si="21">C30/$V30</f>
        <v>0.33469828756926601</v>
      </c>
      <c r="D49" s="37">
        <f t="shared" si="21"/>
        <v>9.2934547280654214E-2</v>
      </c>
      <c r="E49" s="37">
        <f t="shared" si="21"/>
        <v>0.60472636478952091</v>
      </c>
      <c r="F49" s="37"/>
      <c r="G49" s="37">
        <f t="shared" ref="G49:G59" si="22">S30/$V30</f>
        <v>-3.2180575499799975E-2</v>
      </c>
      <c r="H49" s="37">
        <f t="shared" ref="H49:H59" si="23">H30/$V30</f>
        <v>-1.7862413964126722E-4</v>
      </c>
      <c r="I49" s="418">
        <f t="shared" ref="I49:I59" si="24">SUM(C49:H49)</f>
        <v>0.99999999999999978</v>
      </c>
      <c r="J49" s="37">
        <f t="shared" ref="J49:J59" si="25">J30/$W30</f>
        <v>0.84002596602230595</v>
      </c>
      <c r="K49" s="37">
        <f t="shared" ref="K49:K59" si="26">T30/$W30</f>
        <v>0.159974033977694</v>
      </c>
      <c r="L49" s="419">
        <f t="shared" ref="L49:L59" si="27">SUM(J49:K49)</f>
        <v>1</v>
      </c>
      <c r="V49" s="36"/>
      <c r="W49" s="36"/>
    </row>
    <row r="50" spans="2:23" ht="15" thickBot="1" x14ac:dyDescent="0.35">
      <c r="B50" s="64">
        <v>2009</v>
      </c>
      <c r="C50" s="38">
        <f t="shared" si="21"/>
        <v>0.33424503059192484</v>
      </c>
      <c r="D50" s="37">
        <f t="shared" si="21"/>
        <v>9.2808692940923573E-2</v>
      </c>
      <c r="E50" s="37">
        <f t="shared" si="21"/>
        <v>0.61007718171596736</v>
      </c>
      <c r="F50" s="37"/>
      <c r="G50" s="37">
        <f t="shared" si="22"/>
        <v>-3.6952523006550726E-2</v>
      </c>
      <c r="H50" s="37">
        <f t="shared" si="23"/>
        <v>-1.7838224226497058E-4</v>
      </c>
      <c r="I50" s="418">
        <f t="shared" si="24"/>
        <v>1</v>
      </c>
      <c r="J50" s="37">
        <f t="shared" si="25"/>
        <v>0.84907378590831761</v>
      </c>
      <c r="K50" s="37">
        <f t="shared" si="26"/>
        <v>0.15092621409168241</v>
      </c>
      <c r="L50" s="419">
        <f t="shared" si="27"/>
        <v>1</v>
      </c>
      <c r="V50" s="36"/>
      <c r="W50" s="36"/>
    </row>
    <row r="51" spans="2:23" ht="15" thickBot="1" x14ac:dyDescent="0.35">
      <c r="B51" s="64">
        <v>2010</v>
      </c>
      <c r="C51" s="38">
        <f t="shared" si="21"/>
        <v>0.33184924548244404</v>
      </c>
      <c r="D51" s="37">
        <f t="shared" si="21"/>
        <v>9.2143463351168797E-2</v>
      </c>
      <c r="E51" s="37">
        <f t="shared" si="21"/>
        <v>0.6122466791247424</v>
      </c>
      <c r="F51" s="37"/>
      <c r="G51" s="37">
        <f t="shared" si="22"/>
        <v>-3.606228431556268E-2</v>
      </c>
      <c r="H51" s="37">
        <f t="shared" si="23"/>
        <v>-1.7710364279242987E-4</v>
      </c>
      <c r="I51" s="418">
        <f t="shared" si="24"/>
        <v>1.0000000000000002</v>
      </c>
      <c r="J51" s="37">
        <f t="shared" si="25"/>
        <v>0.85146987919861261</v>
      </c>
      <c r="K51" s="37">
        <f t="shared" si="26"/>
        <v>0.14853012080138731</v>
      </c>
      <c r="L51" s="419">
        <f t="shared" si="27"/>
        <v>0.99999999999999989</v>
      </c>
      <c r="V51" s="36"/>
      <c r="W51" s="36"/>
    </row>
    <row r="52" spans="2:23" ht="15" thickBot="1" x14ac:dyDescent="0.35">
      <c r="B52" s="24">
        <v>2011</v>
      </c>
      <c r="C52" s="38">
        <f t="shared" si="21"/>
        <v>0.34145456386655859</v>
      </c>
      <c r="D52" s="37">
        <f t="shared" si="21"/>
        <v>9.4810539785880124E-2</v>
      </c>
      <c r="E52" s="37">
        <f t="shared" si="21"/>
        <v>0.59332301034674373</v>
      </c>
      <c r="F52" s="37"/>
      <c r="G52" s="37">
        <f t="shared" si="22"/>
        <v>-2.9405884122417191E-2</v>
      </c>
      <c r="H52" s="37">
        <f t="shared" si="23"/>
        <v>-1.8222987676513226E-4</v>
      </c>
      <c r="I52" s="418">
        <f t="shared" si="24"/>
        <v>1.0000000000000002</v>
      </c>
      <c r="J52" s="37">
        <f t="shared" si="25"/>
        <v>0.84880907330730349</v>
      </c>
      <c r="K52" s="37">
        <f t="shared" si="26"/>
        <v>0.1511909266926964</v>
      </c>
      <c r="L52" s="419">
        <f t="shared" si="27"/>
        <v>0.99999999999999989</v>
      </c>
      <c r="V52" s="36"/>
      <c r="W52" s="36"/>
    </row>
    <row r="53" spans="2:23" ht="15" thickBot="1" x14ac:dyDescent="0.35">
      <c r="B53" s="24">
        <v>2012</v>
      </c>
      <c r="C53" s="38">
        <f t="shared" si="21"/>
        <v>0.38333513821812065</v>
      </c>
      <c r="D53" s="37">
        <f t="shared" si="21"/>
        <v>9.433778782803344E-2</v>
      </c>
      <c r="E53" s="37">
        <f t="shared" si="21"/>
        <v>0.54653393027429642</v>
      </c>
      <c r="F53" s="37"/>
      <c r="G53" s="37">
        <f t="shared" si="22"/>
        <v>-2.4036722119427357E-2</v>
      </c>
      <c r="H53" s="37">
        <f t="shared" si="23"/>
        <v>-1.7013420102317213E-4</v>
      </c>
      <c r="I53" s="418">
        <f t="shared" si="24"/>
        <v>1</v>
      </c>
      <c r="J53" s="37">
        <f t="shared" si="25"/>
        <v>0.85509129281533036</v>
      </c>
      <c r="K53" s="37">
        <f t="shared" si="26"/>
        <v>0.14490870718466964</v>
      </c>
      <c r="L53" s="419">
        <f t="shared" si="27"/>
        <v>1</v>
      </c>
      <c r="V53" s="36"/>
      <c r="W53" s="36"/>
    </row>
    <row r="54" spans="2:23" ht="15" thickBot="1" x14ac:dyDescent="0.35">
      <c r="B54" s="24">
        <v>2013</v>
      </c>
      <c r="C54" s="38">
        <f t="shared" si="21"/>
        <v>0.42259910800370398</v>
      </c>
      <c r="D54" s="37">
        <f t="shared" si="21"/>
        <v>8.9393139728458415E-2</v>
      </c>
      <c r="E54" s="37">
        <f t="shared" si="21"/>
        <v>0.49903069998866456</v>
      </c>
      <c r="F54" s="37"/>
      <c r="G54" s="37">
        <f t="shared" si="22"/>
        <v>-1.0881355394150194E-2</v>
      </c>
      <c r="H54" s="37">
        <f t="shared" si="23"/>
        <v>-1.4159232667678779E-4</v>
      </c>
      <c r="I54" s="418">
        <f t="shared" si="24"/>
        <v>0.99999999999999978</v>
      </c>
      <c r="J54" s="37">
        <f t="shared" si="25"/>
        <v>0.85575336569667626</v>
      </c>
      <c r="K54" s="37">
        <f t="shared" si="26"/>
        <v>0.14424663430332377</v>
      </c>
      <c r="L54" s="419">
        <f t="shared" si="27"/>
        <v>1</v>
      </c>
      <c r="V54" s="36"/>
      <c r="W54" s="36"/>
    </row>
    <row r="55" spans="2:23" ht="15" thickBot="1" x14ac:dyDescent="0.35">
      <c r="B55" s="24">
        <v>2014</v>
      </c>
      <c r="C55" s="38">
        <f t="shared" si="21"/>
        <v>0.43085902366547801</v>
      </c>
      <c r="D55" s="37">
        <f t="shared" si="21"/>
        <v>9.4725289224289924E-2</v>
      </c>
      <c r="E55" s="37">
        <f t="shared" si="21"/>
        <v>0.46993123344955173</v>
      </c>
      <c r="F55" s="37"/>
      <c r="G55" s="37">
        <f t="shared" si="22"/>
        <v>4.6699841343269578E-3</v>
      </c>
      <c r="H55" s="37">
        <f t="shared" si="23"/>
        <v>-1.8553047364668263E-4</v>
      </c>
      <c r="I55" s="418">
        <f t="shared" si="24"/>
        <v>1</v>
      </c>
      <c r="J55" s="37">
        <f t="shared" si="25"/>
        <v>0.86711304043507786</v>
      </c>
      <c r="K55" s="37">
        <f t="shared" si="26"/>
        <v>0.13288695956492211</v>
      </c>
      <c r="L55" s="419">
        <f t="shared" si="27"/>
        <v>1</v>
      </c>
      <c r="V55" s="36"/>
      <c r="W55" s="36"/>
    </row>
    <row r="56" spans="2:23" ht="15" thickBot="1" x14ac:dyDescent="0.35">
      <c r="B56" s="24">
        <v>2015</v>
      </c>
      <c r="C56" s="38">
        <f t="shared" si="21"/>
        <v>0.41353776825297472</v>
      </c>
      <c r="D56" s="37">
        <f t="shared" si="21"/>
        <v>0.10055583368106374</v>
      </c>
      <c r="E56" s="37">
        <f t="shared" si="21"/>
        <v>0.47879368618807328</v>
      </c>
      <c r="F56" s="37"/>
      <c r="G56" s="37">
        <f t="shared" si="22"/>
        <v>7.2553995771185683E-3</v>
      </c>
      <c r="H56" s="37">
        <f t="shared" si="23"/>
        <v>-1.426876992304249E-4</v>
      </c>
      <c r="I56" s="418">
        <f t="shared" si="24"/>
        <v>0.99999999999999989</v>
      </c>
      <c r="J56" s="37">
        <f t="shared" si="25"/>
        <v>0.88049264503338598</v>
      </c>
      <c r="K56" s="37">
        <f t="shared" si="26"/>
        <v>0.11950735496661398</v>
      </c>
      <c r="L56" s="419">
        <f t="shared" si="27"/>
        <v>1</v>
      </c>
      <c r="V56" s="36"/>
      <c r="W56" s="36"/>
    </row>
    <row r="57" spans="2:23" ht="15" thickBot="1" x14ac:dyDescent="0.35">
      <c r="B57" s="24">
        <v>2016</v>
      </c>
      <c r="C57" s="38">
        <f t="shared" si="21"/>
        <v>0.39777920254187127</v>
      </c>
      <c r="D57" s="37">
        <f t="shared" si="21"/>
        <v>0.10105701333127731</v>
      </c>
      <c r="E57" s="37">
        <f t="shared" si="21"/>
        <v>0.4957654784895178</v>
      </c>
      <c r="F57" s="37"/>
      <c r="G57" s="37">
        <f t="shared" si="22"/>
        <v>5.4344266722039939E-3</v>
      </c>
      <c r="H57" s="37">
        <f t="shared" si="23"/>
        <v>-3.6121034870291362E-5</v>
      </c>
      <c r="I57" s="418">
        <f t="shared" si="24"/>
        <v>1</v>
      </c>
      <c r="J57" s="37">
        <f t="shared" si="25"/>
        <v>0.88067539599452904</v>
      </c>
      <c r="K57" s="37">
        <f t="shared" si="26"/>
        <v>0.11932460400547097</v>
      </c>
      <c r="L57" s="419">
        <f t="shared" si="27"/>
        <v>1</v>
      </c>
      <c r="V57" s="36"/>
      <c r="W57" s="36"/>
    </row>
    <row r="58" spans="2:23" ht="15" thickBot="1" x14ac:dyDescent="0.35">
      <c r="B58" s="24">
        <v>2017</v>
      </c>
      <c r="C58" s="38">
        <f t="shared" si="21"/>
        <v>0.38767840212914034</v>
      </c>
      <c r="D58" s="37">
        <f t="shared" si="21"/>
        <v>0.10460379814153607</v>
      </c>
      <c r="E58" s="37">
        <f t="shared" si="21"/>
        <v>0.497006687714736</v>
      </c>
      <c r="F58" s="37"/>
      <c r="G58" s="37">
        <f t="shared" si="22"/>
        <v>1.0778984625698793E-2</v>
      </c>
      <c r="H58" s="37">
        <f t="shared" si="23"/>
        <v>-6.787261111126175E-5</v>
      </c>
      <c r="I58" s="418">
        <f t="shared" si="24"/>
        <v>0.99999999999999989</v>
      </c>
      <c r="J58" s="37">
        <f t="shared" si="25"/>
        <v>0.87818083331716346</v>
      </c>
      <c r="K58" s="37">
        <f t="shared" si="26"/>
        <v>0.12181916668283664</v>
      </c>
      <c r="L58" s="419">
        <f t="shared" si="27"/>
        <v>1</v>
      </c>
      <c r="V58" s="36"/>
      <c r="W58" s="36"/>
    </row>
    <row r="59" spans="2:23" x14ac:dyDescent="0.3">
      <c r="B59" s="24">
        <v>2018</v>
      </c>
      <c r="C59" s="38">
        <f t="shared" si="21"/>
        <v>0.37638384336974412</v>
      </c>
      <c r="D59" s="37">
        <f t="shared" si="21"/>
        <v>0.10817179919894553</v>
      </c>
      <c r="E59" s="37">
        <f t="shared" si="21"/>
        <v>0.50256770677927953</v>
      </c>
      <c r="F59" s="37"/>
      <c r="G59" s="37">
        <f t="shared" si="22"/>
        <v>1.2978610686217171E-2</v>
      </c>
      <c r="H59" s="37">
        <f t="shared" si="23"/>
        <v>-1.0196003418628902E-4</v>
      </c>
      <c r="I59" s="418">
        <f t="shared" si="24"/>
        <v>1</v>
      </c>
      <c r="J59" s="37">
        <f t="shared" si="25"/>
        <v>0.87736000817754445</v>
      </c>
      <c r="K59" s="37">
        <f t="shared" si="26"/>
        <v>0.12263999182245541</v>
      </c>
      <c r="L59" s="419">
        <f t="shared" si="27"/>
        <v>0.99999999999999989</v>
      </c>
      <c r="V59" s="36"/>
      <c r="W59" s="36"/>
    </row>
  </sheetData>
  <mergeCells count="12">
    <mergeCell ref="O5:O6"/>
    <mergeCell ref="C27:I27"/>
    <mergeCell ref="J27:L27"/>
    <mergeCell ref="M27:M28"/>
    <mergeCell ref="N27:N28"/>
    <mergeCell ref="O27:O28"/>
    <mergeCell ref="N5:N6"/>
    <mergeCell ref="C46:I46"/>
    <mergeCell ref="J46:L46"/>
    <mergeCell ref="C5:I5"/>
    <mergeCell ref="J5:L5"/>
    <mergeCell ref="M5:M6"/>
  </mergeCells>
  <pageMargins left="0.7" right="0.7" top="0.75" bottom="0.75" header="0.3" footer="0.3"/>
  <pageSetup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>
      <selection sqref="A1:XFD1048576"/>
    </sheetView>
  </sheetViews>
  <sheetFormatPr defaultColWidth="9.109375" defaultRowHeight="14.4" outlineLevelCol="1" x14ac:dyDescent="0.3"/>
  <cols>
    <col min="1" max="1" width="4.109375" style="15" customWidth="1"/>
    <col min="2" max="2" width="9.109375" style="24"/>
    <col min="3" max="4" width="14.33203125" style="24" bestFit="1" customWidth="1"/>
    <col min="5" max="5" width="15" style="24" bestFit="1" customWidth="1"/>
    <col min="6" max="6" width="14.44140625" style="35" bestFit="1" customWidth="1"/>
    <col min="7" max="7" width="15" style="35" bestFit="1" customWidth="1" outlineLevel="1"/>
    <col min="8" max="8" width="9.88671875" style="35" bestFit="1" customWidth="1"/>
    <col min="9" max="9" width="15.33203125" style="35" bestFit="1" customWidth="1"/>
    <col min="10" max="10" width="9.44140625" style="35" bestFit="1" customWidth="1"/>
    <col min="11" max="11" width="11.5546875" style="35" bestFit="1" customWidth="1"/>
    <col min="12" max="13" width="12.5546875" style="35" bestFit="1" customWidth="1"/>
    <col min="14" max="17" width="9.109375" style="35"/>
    <col min="18" max="16384" width="9.109375" style="15"/>
  </cols>
  <sheetData>
    <row r="1" spans="1:17" ht="18" x14ac:dyDescent="0.35">
      <c r="A1" s="67" t="s">
        <v>656</v>
      </c>
    </row>
    <row r="2" spans="1:17" ht="18" x14ac:dyDescent="0.35">
      <c r="A2" s="67" t="s">
        <v>741</v>
      </c>
      <c r="K2" s="57"/>
    </row>
    <row r="3" spans="1:17" x14ac:dyDescent="0.3">
      <c r="K3" s="52"/>
    </row>
    <row r="4" spans="1:17" s="24" customFormat="1" ht="43.2" x14ac:dyDescent="0.3">
      <c r="B4" s="65" t="s">
        <v>112</v>
      </c>
      <c r="C4" s="71" t="s">
        <v>651</v>
      </c>
      <c r="D4" s="71" t="s">
        <v>650</v>
      </c>
      <c r="E4" s="71" t="s">
        <v>649</v>
      </c>
      <c r="F4" s="71" t="s">
        <v>648</v>
      </c>
      <c r="G4" s="71" t="s">
        <v>647</v>
      </c>
      <c r="H4" s="70" t="s">
        <v>519</v>
      </c>
      <c r="I4" s="70" t="s">
        <v>646</v>
      </c>
      <c r="J4" s="71" t="s">
        <v>645</v>
      </c>
      <c r="K4" s="71" t="s">
        <v>644</v>
      </c>
      <c r="L4" s="70" t="s">
        <v>643</v>
      </c>
      <c r="M4" s="36"/>
      <c r="N4" s="36"/>
      <c r="O4" s="36"/>
      <c r="P4" s="36"/>
      <c r="Q4" s="36"/>
    </row>
    <row r="5" spans="1:17" s="24" customFormat="1" x14ac:dyDescent="0.3">
      <c r="B5" s="75"/>
      <c r="C5" s="74"/>
      <c r="D5" s="74"/>
      <c r="E5" s="74"/>
      <c r="F5" s="74"/>
      <c r="G5" s="74"/>
      <c r="H5" s="73"/>
      <c r="I5" s="73"/>
      <c r="J5" s="74"/>
      <c r="K5" s="74"/>
      <c r="L5" s="73"/>
      <c r="M5" s="36"/>
      <c r="N5" s="36"/>
      <c r="O5" s="36"/>
      <c r="P5" s="36"/>
      <c r="Q5" s="36"/>
    </row>
    <row r="6" spans="1:17" s="24" customFormat="1" x14ac:dyDescent="0.3">
      <c r="A6" s="64" t="s">
        <v>631</v>
      </c>
      <c r="B6" s="64">
        <v>2008</v>
      </c>
      <c r="C6" s="54">
        <f>F6-E6-D6</f>
        <v>154553627.26027906</v>
      </c>
      <c r="D6" s="54">
        <v>40432555.37340454</v>
      </c>
      <c r="E6" s="54">
        <f>E7</f>
        <v>-1001444</v>
      </c>
      <c r="F6" s="54">
        <f>C7</f>
        <v>193984738.63368359</v>
      </c>
      <c r="G6" s="35"/>
      <c r="H6" s="69">
        <v>0.35</v>
      </c>
      <c r="I6" s="45">
        <f t="shared" ref="I6:I16" si="0">F6*H6</f>
        <v>67894658.521789253</v>
      </c>
      <c r="J6" s="53">
        <v>0.3538</v>
      </c>
      <c r="K6" s="36">
        <v>3069387.1811925001</v>
      </c>
      <c r="L6" s="36">
        <f t="shared" ref="L6:L16" si="1">SUM(I6:K6)</f>
        <v>70964046.056781754</v>
      </c>
      <c r="M6" s="36"/>
      <c r="N6" s="36"/>
      <c r="O6" s="36"/>
      <c r="P6" s="36"/>
      <c r="Q6" s="36"/>
    </row>
    <row r="7" spans="1:17" s="24" customFormat="1" x14ac:dyDescent="0.3">
      <c r="A7" s="64" t="s">
        <v>631</v>
      </c>
      <c r="B7" s="64">
        <v>2009</v>
      </c>
      <c r="C7" s="54">
        <f>F7-E7-D7</f>
        <v>193984738.63368359</v>
      </c>
      <c r="D7" s="54">
        <v>76151524.087799937</v>
      </c>
      <c r="E7" s="54">
        <f>E8</f>
        <v>-1001444</v>
      </c>
      <c r="F7" s="54">
        <f>C8</f>
        <v>269134818.72148353</v>
      </c>
      <c r="G7" s="35">
        <f t="shared" ref="G7:G16" si="2">F7-F6</f>
        <v>75150080.087799937</v>
      </c>
      <c r="H7" s="69">
        <v>0.35</v>
      </c>
      <c r="I7" s="45">
        <f t="shared" si="0"/>
        <v>94197186.552519232</v>
      </c>
      <c r="J7" s="53">
        <v>0.35210000000000002</v>
      </c>
      <c r="K7" s="36">
        <v>3816353.4954125001</v>
      </c>
      <c r="L7" s="36">
        <f t="shared" si="1"/>
        <v>98013540.400031731</v>
      </c>
      <c r="M7" s="36"/>
      <c r="N7" s="36"/>
      <c r="O7" s="36"/>
      <c r="P7" s="36"/>
      <c r="Q7" s="36"/>
    </row>
    <row r="8" spans="1:17" s="24" customFormat="1" x14ac:dyDescent="0.3">
      <c r="A8" s="64" t="s">
        <v>631</v>
      </c>
      <c r="B8" s="64">
        <v>2010</v>
      </c>
      <c r="C8" s="54">
        <f>F8-E8-D8</f>
        <v>269134818.72148353</v>
      </c>
      <c r="D8" s="54">
        <v>81981957.278516486</v>
      </c>
      <c r="E8" s="54">
        <f>E9</f>
        <v>-1001444</v>
      </c>
      <c r="F8" s="54">
        <f>C9</f>
        <v>350115332</v>
      </c>
      <c r="G8" s="35">
        <f t="shared" si="2"/>
        <v>80980513.278516471</v>
      </c>
      <c r="H8" s="69">
        <v>0.35</v>
      </c>
      <c r="I8" s="45">
        <f t="shared" si="0"/>
        <v>122540366.19999999</v>
      </c>
      <c r="J8" s="53">
        <v>0.33489999999999998</v>
      </c>
      <c r="K8" s="36">
        <v>5183356.7788099991</v>
      </c>
      <c r="L8" s="36">
        <f t="shared" si="1"/>
        <v>127723723.31370999</v>
      </c>
      <c r="N8" s="36"/>
      <c r="O8" s="36"/>
      <c r="P8" s="36"/>
      <c r="Q8" s="36"/>
    </row>
    <row r="9" spans="1:17" x14ac:dyDescent="0.3">
      <c r="B9" s="24">
        <v>2011</v>
      </c>
      <c r="C9" s="36">
        <v>350115332</v>
      </c>
      <c r="D9" s="36">
        <v>77308696</v>
      </c>
      <c r="E9" s="36">
        <f t="shared" ref="E9:E16" si="3">F9-D9-C9</f>
        <v>-1001444</v>
      </c>
      <c r="F9" s="35">
        <v>426422584</v>
      </c>
      <c r="G9" s="35">
        <f t="shared" si="2"/>
        <v>76307252</v>
      </c>
      <c r="H9" s="68">
        <v>0.35</v>
      </c>
      <c r="I9" s="35">
        <f t="shared" si="0"/>
        <v>149247904.39999998</v>
      </c>
      <c r="J9" s="52">
        <v>0.34050000000000002</v>
      </c>
      <c r="K9" s="36">
        <v>8535010.5571499988</v>
      </c>
      <c r="L9" s="36">
        <f t="shared" si="1"/>
        <v>157782915.29764998</v>
      </c>
    </row>
    <row r="10" spans="1:17" x14ac:dyDescent="0.3">
      <c r="B10" s="24">
        <v>2012</v>
      </c>
      <c r="C10" s="36">
        <f>F9</f>
        <v>426422584</v>
      </c>
      <c r="D10" s="36">
        <v>44359145</v>
      </c>
      <c r="E10" s="36">
        <f t="shared" si="3"/>
        <v>-1009891</v>
      </c>
      <c r="F10" s="35">
        <v>469771838</v>
      </c>
      <c r="G10" s="35">
        <f t="shared" si="2"/>
        <v>43349254</v>
      </c>
      <c r="H10" s="68">
        <v>0.35</v>
      </c>
      <c r="I10" s="35">
        <f t="shared" si="0"/>
        <v>164420143.29999998</v>
      </c>
      <c r="J10" s="52">
        <v>0.32890000000000003</v>
      </c>
      <c r="K10" s="36">
        <v>9185040.0091449991</v>
      </c>
      <c r="L10" s="36">
        <f t="shared" si="1"/>
        <v>173605183.63804498</v>
      </c>
    </row>
    <row r="11" spans="1:17" x14ac:dyDescent="0.3">
      <c r="B11" s="24">
        <v>2013</v>
      </c>
      <c r="C11" s="36">
        <f>F10</f>
        <v>469771838</v>
      </c>
      <c r="D11" s="36">
        <v>38129166</v>
      </c>
      <c r="E11" s="36">
        <f t="shared" si="3"/>
        <v>-1680975</v>
      </c>
      <c r="F11" s="35">
        <v>506220029</v>
      </c>
      <c r="G11" s="35">
        <f t="shared" si="2"/>
        <v>36448191</v>
      </c>
      <c r="H11" s="68">
        <v>0.35</v>
      </c>
      <c r="I11" s="35">
        <f t="shared" si="0"/>
        <v>177177010.14999998</v>
      </c>
      <c r="J11" s="52">
        <v>0.32019999999999998</v>
      </c>
      <c r="K11" s="36">
        <v>15515020.559079999</v>
      </c>
      <c r="L11" s="36">
        <f t="shared" si="1"/>
        <v>192692031.02927998</v>
      </c>
    </row>
    <row r="12" spans="1:17" x14ac:dyDescent="0.3">
      <c r="B12" s="24">
        <v>2014</v>
      </c>
      <c r="C12" s="36">
        <f>F11</f>
        <v>506220029</v>
      </c>
      <c r="D12" s="36">
        <v>62703825</v>
      </c>
      <c r="E12" s="36">
        <f t="shared" si="3"/>
        <v>-2077654</v>
      </c>
      <c r="F12" s="35">
        <v>566846200</v>
      </c>
      <c r="G12" s="35">
        <f t="shared" si="2"/>
        <v>60626171</v>
      </c>
      <c r="H12" s="68">
        <v>0.35</v>
      </c>
      <c r="I12" s="35">
        <f t="shared" si="0"/>
        <v>198396170</v>
      </c>
      <c r="J12" s="52">
        <v>0.3145</v>
      </c>
      <c r="K12" s="36">
        <v>15474731.514374999</v>
      </c>
      <c r="L12" s="36">
        <f t="shared" si="1"/>
        <v>213870901.82887501</v>
      </c>
    </row>
    <row r="13" spans="1:17" x14ac:dyDescent="0.3">
      <c r="B13" s="24">
        <v>2015</v>
      </c>
      <c r="C13" s="36">
        <f>F12</f>
        <v>566846200</v>
      </c>
      <c r="D13" s="36">
        <v>38605263</v>
      </c>
      <c r="E13" s="36">
        <f t="shared" si="3"/>
        <v>-6495120</v>
      </c>
      <c r="F13" s="35">
        <v>598956343</v>
      </c>
      <c r="G13" s="35">
        <f t="shared" si="2"/>
        <v>32110143</v>
      </c>
      <c r="H13" s="68">
        <v>0.35</v>
      </c>
      <c r="I13" s="35">
        <f t="shared" si="0"/>
        <v>209634720.04999998</v>
      </c>
      <c r="J13" s="52">
        <v>0.31590000000000001</v>
      </c>
      <c r="K13" s="36">
        <v>14686998.85107</v>
      </c>
      <c r="L13" s="36">
        <f t="shared" si="1"/>
        <v>224321719.21696997</v>
      </c>
    </row>
    <row r="14" spans="1:17" x14ac:dyDescent="0.3">
      <c r="B14" s="24">
        <v>2016</v>
      </c>
      <c r="C14" s="36">
        <v>598956343</v>
      </c>
      <c r="D14" s="36">
        <v>76172402</v>
      </c>
      <c r="E14" s="36">
        <f t="shared" si="3"/>
        <v>-4591434</v>
      </c>
      <c r="F14" s="35">
        <v>670537311</v>
      </c>
      <c r="G14" s="35">
        <f t="shared" si="2"/>
        <v>71580968</v>
      </c>
      <c r="H14" s="68">
        <v>0.35</v>
      </c>
      <c r="I14" s="35">
        <f t="shared" si="0"/>
        <v>234688058.84999999</v>
      </c>
      <c r="J14" s="52">
        <v>0.33229999999999998</v>
      </c>
      <c r="K14" s="36">
        <v>13455897.089074999</v>
      </c>
      <c r="L14" s="36">
        <f t="shared" si="1"/>
        <v>248143956.271375</v>
      </c>
    </row>
    <row r="15" spans="1:17" x14ac:dyDescent="0.3">
      <c r="B15" s="24">
        <v>2017</v>
      </c>
      <c r="C15" s="36">
        <f>F14</f>
        <v>670537311</v>
      </c>
      <c r="D15" s="36">
        <v>101686567</v>
      </c>
      <c r="E15" s="36">
        <f t="shared" si="3"/>
        <v>-5973130</v>
      </c>
      <c r="F15" s="35">
        <v>766250748</v>
      </c>
      <c r="G15" s="35">
        <f t="shared" si="2"/>
        <v>95713437</v>
      </c>
      <c r="H15" s="68">
        <v>0.35</v>
      </c>
      <c r="I15" s="35">
        <f t="shared" si="0"/>
        <v>268187761.79999998</v>
      </c>
      <c r="J15" s="52">
        <v>0.34410000000000002</v>
      </c>
      <c r="K15" s="36">
        <v>23406220.688550003</v>
      </c>
      <c r="L15" s="36">
        <f t="shared" si="1"/>
        <v>291593982.83265001</v>
      </c>
    </row>
    <row r="16" spans="1:17" x14ac:dyDescent="0.3">
      <c r="B16" s="24">
        <v>2018</v>
      </c>
      <c r="C16" s="36">
        <f>F15</f>
        <v>766250748</v>
      </c>
      <c r="D16" s="36">
        <v>0</v>
      </c>
      <c r="E16" s="36">
        <f t="shared" si="3"/>
        <v>-2002984</v>
      </c>
      <c r="F16" s="35">
        <v>764247764</v>
      </c>
      <c r="G16" s="35">
        <f t="shared" si="2"/>
        <v>-2002984</v>
      </c>
      <c r="H16" s="68">
        <v>0.35</v>
      </c>
      <c r="I16" s="35">
        <f t="shared" si="0"/>
        <v>267486717.39999998</v>
      </c>
      <c r="J16" s="52">
        <v>0.33810000000000001</v>
      </c>
      <c r="K16" s="36">
        <v>21890958.502349999</v>
      </c>
      <c r="L16" s="36">
        <f t="shared" si="1"/>
        <v>289377676.24044997</v>
      </c>
    </row>
    <row r="17" spans="1:12" s="35" customFormat="1" x14ac:dyDescent="0.3">
      <c r="A17" s="15"/>
      <c r="B17" s="24"/>
      <c r="C17" s="36"/>
      <c r="D17" s="36"/>
      <c r="E17" s="36"/>
    </row>
    <row r="19" spans="1:12" s="35" customFormat="1" x14ac:dyDescent="0.3">
      <c r="A19" s="64" t="s">
        <v>631</v>
      </c>
      <c r="B19" s="72" t="s">
        <v>654</v>
      </c>
      <c r="C19" s="64"/>
      <c r="D19" s="64"/>
      <c r="E19" s="64"/>
      <c r="F19" s="45"/>
    </row>
    <row r="20" spans="1:12" s="35" customFormat="1" x14ac:dyDescent="0.3">
      <c r="A20" s="64" t="s">
        <v>653</v>
      </c>
      <c r="B20" s="281" t="s">
        <v>652</v>
      </c>
      <c r="C20" s="24"/>
      <c r="D20" s="24"/>
      <c r="E20" s="24"/>
    </row>
    <row r="23" spans="1:12" s="35" customFormat="1" ht="43.2" x14ac:dyDescent="0.3">
      <c r="A23" s="15"/>
      <c r="B23" s="65" t="s">
        <v>112</v>
      </c>
      <c r="C23" s="71" t="s">
        <v>651</v>
      </c>
      <c r="D23" s="71" t="s">
        <v>650</v>
      </c>
      <c r="E23" s="71" t="s">
        <v>649</v>
      </c>
      <c r="F23" s="71" t="s">
        <v>648</v>
      </c>
      <c r="G23" s="71" t="s">
        <v>647</v>
      </c>
      <c r="H23" s="70" t="s">
        <v>519</v>
      </c>
      <c r="I23" s="70" t="s">
        <v>646</v>
      </c>
      <c r="J23" s="71" t="s">
        <v>645</v>
      </c>
      <c r="K23" s="71" t="s">
        <v>644</v>
      </c>
      <c r="L23" s="70" t="s">
        <v>643</v>
      </c>
    </row>
    <row r="24" spans="1:12" s="35" customFormat="1" x14ac:dyDescent="0.3">
      <c r="A24" s="15"/>
      <c r="B24" s="75">
        <v>2007</v>
      </c>
      <c r="C24" s="74"/>
      <c r="D24" s="74"/>
      <c r="E24" s="74"/>
      <c r="F24" s="74"/>
      <c r="G24" s="74"/>
      <c r="H24" s="73"/>
      <c r="I24" s="73"/>
      <c r="J24" s="74"/>
      <c r="K24" s="74"/>
      <c r="L24" s="73"/>
    </row>
    <row r="25" spans="1:12" s="35" customFormat="1" x14ac:dyDescent="0.3">
      <c r="A25" s="15"/>
      <c r="B25" s="64">
        <v>2008</v>
      </c>
      <c r="C25" s="54">
        <f>C6</f>
        <v>154553627.26027906</v>
      </c>
      <c r="D25" s="54">
        <f>D6</f>
        <v>40432555.37340454</v>
      </c>
      <c r="E25" s="54">
        <f>E6</f>
        <v>-1001444</v>
      </c>
      <c r="F25" s="54">
        <f>F6</f>
        <v>193984738.63368359</v>
      </c>
      <c r="H25" s="69">
        <v>0.35</v>
      </c>
      <c r="I25" s="45">
        <f>I6</f>
        <v>67894658.521789253</v>
      </c>
      <c r="J25" s="53">
        <v>0.3538</v>
      </c>
      <c r="K25" s="36">
        <f>K6</f>
        <v>3069387.1811925001</v>
      </c>
      <c r="L25" s="36">
        <f>L6</f>
        <v>70964046.056781754</v>
      </c>
    </row>
    <row r="26" spans="1:12" s="35" customFormat="1" x14ac:dyDescent="0.3">
      <c r="A26" s="15"/>
      <c r="B26" s="64">
        <v>2009</v>
      </c>
      <c r="C26" s="54">
        <f t="shared" ref="C26:F35" si="4">AVERAGE(C6:C7)</f>
        <v>174269182.94698131</v>
      </c>
      <c r="D26" s="54">
        <f t="shared" si="4"/>
        <v>58292039.730602235</v>
      </c>
      <c r="E26" s="54">
        <f t="shared" si="4"/>
        <v>-1001444</v>
      </c>
      <c r="F26" s="54">
        <f t="shared" si="4"/>
        <v>231559778.67758358</v>
      </c>
      <c r="G26" s="35">
        <f t="shared" ref="G26:G35" si="5">F26-F25</f>
        <v>37575040.043899983</v>
      </c>
      <c r="H26" s="69">
        <v>0.35</v>
      </c>
      <c r="I26" s="45">
        <f t="shared" ref="I26:I35" si="6">F26*H26</f>
        <v>81045922.537154242</v>
      </c>
      <c r="J26" s="53">
        <v>0.35210000000000002</v>
      </c>
      <c r="K26" s="54">
        <f t="shared" ref="K26:K35" si="7">AVERAGE(K6:K7)</f>
        <v>3442870.3383025001</v>
      </c>
      <c r="L26" s="36">
        <f t="shared" ref="L26:L35" si="8">SUM(I26:K26)</f>
        <v>84488793.227556735</v>
      </c>
    </row>
    <row r="27" spans="1:12" s="35" customFormat="1" x14ac:dyDescent="0.3">
      <c r="A27" s="15"/>
      <c r="B27" s="64">
        <v>2010</v>
      </c>
      <c r="C27" s="54">
        <f t="shared" si="4"/>
        <v>231559778.67758358</v>
      </c>
      <c r="D27" s="54">
        <f t="shared" si="4"/>
        <v>79066740.683158219</v>
      </c>
      <c r="E27" s="54">
        <f t="shared" si="4"/>
        <v>-1001444</v>
      </c>
      <c r="F27" s="54">
        <f t="shared" si="4"/>
        <v>309625075.36074173</v>
      </c>
      <c r="G27" s="35">
        <f t="shared" si="5"/>
        <v>78065296.683158159</v>
      </c>
      <c r="H27" s="69">
        <v>0.35</v>
      </c>
      <c r="I27" s="45">
        <f t="shared" si="6"/>
        <v>108368776.3762596</v>
      </c>
      <c r="J27" s="53">
        <v>0.33489999999999998</v>
      </c>
      <c r="K27" s="36">
        <f t="shared" si="7"/>
        <v>4499855.1371112494</v>
      </c>
      <c r="L27" s="36">
        <f t="shared" si="8"/>
        <v>112868631.84827085</v>
      </c>
    </row>
    <row r="28" spans="1:12" s="35" customFormat="1" x14ac:dyDescent="0.3">
      <c r="A28" s="15"/>
      <c r="B28" s="24">
        <v>2011</v>
      </c>
      <c r="C28" s="36">
        <f t="shared" si="4"/>
        <v>309625075.36074173</v>
      </c>
      <c r="D28" s="36">
        <f t="shared" si="4"/>
        <v>79645326.639258236</v>
      </c>
      <c r="E28" s="36">
        <f t="shared" si="4"/>
        <v>-1001444</v>
      </c>
      <c r="F28" s="35">
        <f t="shared" si="4"/>
        <v>388268958</v>
      </c>
      <c r="G28" s="35">
        <f t="shared" si="5"/>
        <v>78643882.639258265</v>
      </c>
      <c r="H28" s="68">
        <v>0.35</v>
      </c>
      <c r="I28" s="35">
        <f t="shared" si="6"/>
        <v>135894135.29999998</v>
      </c>
      <c r="J28" s="52">
        <v>0.34050000000000002</v>
      </c>
      <c r="K28" s="36">
        <f t="shared" si="7"/>
        <v>6859183.6679799985</v>
      </c>
      <c r="L28" s="36">
        <f t="shared" si="8"/>
        <v>142753319.30847996</v>
      </c>
    </row>
    <row r="29" spans="1:12" s="35" customFormat="1" x14ac:dyDescent="0.3">
      <c r="A29" s="15"/>
      <c r="B29" s="24">
        <v>2012</v>
      </c>
      <c r="C29" s="36">
        <f t="shared" si="4"/>
        <v>388268958</v>
      </c>
      <c r="D29" s="36">
        <f t="shared" si="4"/>
        <v>60833920.5</v>
      </c>
      <c r="E29" s="36">
        <f t="shared" si="4"/>
        <v>-1005667.5</v>
      </c>
      <c r="F29" s="35">
        <f t="shared" si="4"/>
        <v>448097211</v>
      </c>
      <c r="G29" s="35">
        <f t="shared" si="5"/>
        <v>59828253</v>
      </c>
      <c r="H29" s="68">
        <v>0.35</v>
      </c>
      <c r="I29" s="35">
        <f t="shared" si="6"/>
        <v>156834023.84999999</v>
      </c>
      <c r="J29" s="52">
        <v>0.32890000000000003</v>
      </c>
      <c r="K29" s="36">
        <f t="shared" si="7"/>
        <v>8860025.283147499</v>
      </c>
      <c r="L29" s="36">
        <f t="shared" si="8"/>
        <v>165694049.46204752</v>
      </c>
    </row>
    <row r="30" spans="1:12" s="35" customFormat="1" x14ac:dyDescent="0.3">
      <c r="A30" s="15"/>
      <c r="B30" s="24">
        <v>2013</v>
      </c>
      <c r="C30" s="36">
        <f t="shared" si="4"/>
        <v>448097211</v>
      </c>
      <c r="D30" s="36">
        <f t="shared" si="4"/>
        <v>41244155.5</v>
      </c>
      <c r="E30" s="36">
        <f t="shared" si="4"/>
        <v>-1345433</v>
      </c>
      <c r="F30" s="35">
        <f t="shared" si="4"/>
        <v>487995933.5</v>
      </c>
      <c r="G30" s="35">
        <f t="shared" si="5"/>
        <v>39898722.5</v>
      </c>
      <c r="H30" s="68">
        <v>0.35</v>
      </c>
      <c r="I30" s="35">
        <f t="shared" si="6"/>
        <v>170798576.72499999</v>
      </c>
      <c r="J30" s="52">
        <v>0.32019999999999998</v>
      </c>
      <c r="K30" s="36">
        <f t="shared" si="7"/>
        <v>12350030.284112498</v>
      </c>
      <c r="L30" s="36">
        <f t="shared" si="8"/>
        <v>183148607.3293125</v>
      </c>
    </row>
    <row r="31" spans="1:12" s="35" customFormat="1" x14ac:dyDescent="0.3">
      <c r="A31" s="15"/>
      <c r="B31" s="24">
        <v>2014</v>
      </c>
      <c r="C31" s="36">
        <f t="shared" si="4"/>
        <v>487995933.5</v>
      </c>
      <c r="D31" s="36">
        <f t="shared" si="4"/>
        <v>50416495.5</v>
      </c>
      <c r="E31" s="36">
        <f t="shared" si="4"/>
        <v>-1879314.5</v>
      </c>
      <c r="F31" s="35">
        <f t="shared" si="4"/>
        <v>536533114.5</v>
      </c>
      <c r="G31" s="35">
        <f t="shared" si="5"/>
        <v>48537181</v>
      </c>
      <c r="H31" s="68">
        <v>0.35</v>
      </c>
      <c r="I31" s="35">
        <f t="shared" si="6"/>
        <v>187786590.07499999</v>
      </c>
      <c r="J31" s="52">
        <v>0.3145</v>
      </c>
      <c r="K31" s="36">
        <f t="shared" si="7"/>
        <v>15494876.036727499</v>
      </c>
      <c r="L31" s="36">
        <f t="shared" si="8"/>
        <v>203281466.42622748</v>
      </c>
    </row>
    <row r="32" spans="1:12" s="35" customFormat="1" x14ac:dyDescent="0.3">
      <c r="A32" s="15"/>
      <c r="B32" s="24">
        <v>2015</v>
      </c>
      <c r="C32" s="36">
        <f t="shared" si="4"/>
        <v>536533114.5</v>
      </c>
      <c r="D32" s="36">
        <f t="shared" si="4"/>
        <v>50654544</v>
      </c>
      <c r="E32" s="36">
        <f t="shared" si="4"/>
        <v>-4286387</v>
      </c>
      <c r="F32" s="35">
        <f t="shared" si="4"/>
        <v>582901271.5</v>
      </c>
      <c r="G32" s="35">
        <f t="shared" si="5"/>
        <v>46368157</v>
      </c>
      <c r="H32" s="68">
        <v>0.35</v>
      </c>
      <c r="I32" s="35">
        <f t="shared" si="6"/>
        <v>204015445.02499998</v>
      </c>
      <c r="J32" s="52">
        <v>0.31590000000000001</v>
      </c>
      <c r="K32" s="36">
        <f t="shared" si="7"/>
        <v>15080865.1827225</v>
      </c>
      <c r="L32" s="36">
        <f t="shared" si="8"/>
        <v>219096310.52362248</v>
      </c>
    </row>
    <row r="33" spans="2:12" s="35" customFormat="1" x14ac:dyDescent="0.3">
      <c r="B33" s="24">
        <v>2016</v>
      </c>
      <c r="C33" s="36">
        <f t="shared" si="4"/>
        <v>582901271.5</v>
      </c>
      <c r="D33" s="36">
        <f t="shared" si="4"/>
        <v>57388832.5</v>
      </c>
      <c r="E33" s="36">
        <f t="shared" si="4"/>
        <v>-5543277</v>
      </c>
      <c r="F33" s="35">
        <f t="shared" si="4"/>
        <v>634746827</v>
      </c>
      <c r="G33" s="35">
        <f t="shared" si="5"/>
        <v>51845555.5</v>
      </c>
      <c r="H33" s="68">
        <v>0.35</v>
      </c>
      <c r="I33" s="35">
        <f t="shared" si="6"/>
        <v>222161389.44999999</v>
      </c>
      <c r="J33" s="52">
        <v>0.33229999999999998</v>
      </c>
      <c r="K33" s="36">
        <f t="shared" si="7"/>
        <v>14071447.9700725</v>
      </c>
      <c r="L33" s="36">
        <f t="shared" si="8"/>
        <v>236232837.7523725</v>
      </c>
    </row>
    <row r="34" spans="2:12" s="35" customFormat="1" x14ac:dyDescent="0.3">
      <c r="B34" s="24">
        <v>2017</v>
      </c>
      <c r="C34" s="36">
        <f t="shared" si="4"/>
        <v>634746827</v>
      </c>
      <c r="D34" s="36">
        <f t="shared" si="4"/>
        <v>88929484.5</v>
      </c>
      <c r="E34" s="36">
        <f t="shared" si="4"/>
        <v>-5282282</v>
      </c>
      <c r="F34" s="35">
        <f t="shared" si="4"/>
        <v>718394029.5</v>
      </c>
      <c r="G34" s="35">
        <f t="shared" si="5"/>
        <v>83647202.5</v>
      </c>
      <c r="H34" s="68">
        <v>0.35</v>
      </c>
      <c r="I34" s="35">
        <f t="shared" si="6"/>
        <v>251437910.32499999</v>
      </c>
      <c r="J34" s="52">
        <v>0.34410000000000002</v>
      </c>
      <c r="K34" s="36">
        <f t="shared" si="7"/>
        <v>18431058.888812501</v>
      </c>
      <c r="L34" s="36">
        <f t="shared" si="8"/>
        <v>269868969.55791247</v>
      </c>
    </row>
    <row r="35" spans="2:12" s="35" customFormat="1" x14ac:dyDescent="0.3">
      <c r="B35" s="24">
        <v>2018</v>
      </c>
      <c r="C35" s="36">
        <f t="shared" si="4"/>
        <v>718394029.5</v>
      </c>
      <c r="D35" s="36">
        <f t="shared" si="4"/>
        <v>50843283.5</v>
      </c>
      <c r="E35" s="36">
        <f t="shared" si="4"/>
        <v>-3988057</v>
      </c>
      <c r="F35" s="35">
        <f t="shared" si="4"/>
        <v>765249256</v>
      </c>
      <c r="G35" s="35">
        <f t="shared" si="5"/>
        <v>46855226.5</v>
      </c>
      <c r="H35" s="68">
        <v>0.35</v>
      </c>
      <c r="I35" s="35">
        <f t="shared" si="6"/>
        <v>267837239.59999999</v>
      </c>
      <c r="J35" s="52">
        <v>0.33810000000000001</v>
      </c>
      <c r="K35" s="36">
        <f t="shared" si="7"/>
        <v>22648589.595449999</v>
      </c>
      <c r="L35" s="36">
        <f t="shared" si="8"/>
        <v>290485829.53354996</v>
      </c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196"/>
  <sheetViews>
    <sheetView workbookViewId="0">
      <pane xSplit="3" ySplit="7" topLeftCell="D3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3.2" outlineLevelRow="1" outlineLevelCol="1" x14ac:dyDescent="0.25"/>
  <cols>
    <col min="1" max="1" width="11.33203125" style="197" customWidth="1"/>
    <col min="2" max="2" width="48" style="197" bestFit="1" customWidth="1"/>
    <col min="3" max="3" width="8.44140625" style="200" bestFit="1" customWidth="1"/>
    <col min="4" max="9" width="15.5546875" style="197" customWidth="1" outlineLevel="1"/>
    <col min="10" max="10" width="19.6640625" style="197" customWidth="1"/>
    <col min="11" max="12" width="15.5546875" style="197" customWidth="1"/>
    <col min="13" max="14" width="16.5546875" style="197" bestFit="1" customWidth="1"/>
    <col min="15" max="15" width="15.88671875" style="197" customWidth="1"/>
    <col min="16" max="16" width="13.6640625" style="197" bestFit="1" customWidth="1"/>
    <col min="17" max="17" width="9.44140625" style="197" bestFit="1" customWidth="1"/>
    <col min="18" max="16384" width="9.109375" style="197"/>
  </cols>
  <sheetData>
    <row r="3" spans="1:14" x14ac:dyDescent="0.25">
      <c r="A3" s="335" t="s">
        <v>719</v>
      </c>
    </row>
    <row r="6" spans="1:14" x14ac:dyDescent="0.25">
      <c r="C6" s="337" t="s">
        <v>718</v>
      </c>
      <c r="D6" s="338">
        <v>0.34849999999999998</v>
      </c>
      <c r="E6" s="338">
        <v>0.35210000000000002</v>
      </c>
      <c r="F6" s="338">
        <v>0.33489999999999998</v>
      </c>
      <c r="G6" s="338">
        <v>0.34050000000000002</v>
      </c>
      <c r="H6" s="338">
        <v>0.32890000000000003</v>
      </c>
      <c r="I6" s="338">
        <v>0.32019999999999998</v>
      </c>
      <c r="J6" s="339">
        <v>0.3145</v>
      </c>
      <c r="K6" s="340">
        <v>0.31590000000000001</v>
      </c>
      <c r="L6" s="340">
        <v>0.33229999999999998</v>
      </c>
      <c r="M6" s="340">
        <v>0.34410000000000002</v>
      </c>
      <c r="N6" s="340">
        <v>0.33810000000000001</v>
      </c>
    </row>
    <row r="7" spans="1:14" x14ac:dyDescent="0.25">
      <c r="A7" s="342" t="s">
        <v>407</v>
      </c>
      <c r="B7" s="342" t="s">
        <v>289</v>
      </c>
      <c r="C7" s="342" t="s">
        <v>717</v>
      </c>
      <c r="D7" s="342">
        <v>2008</v>
      </c>
      <c r="E7" s="342">
        <v>2009</v>
      </c>
      <c r="F7" s="342">
        <v>2010</v>
      </c>
      <c r="G7" s="342">
        <v>2011</v>
      </c>
      <c r="H7" s="342">
        <v>2012</v>
      </c>
      <c r="I7" s="342">
        <v>2013</v>
      </c>
      <c r="J7" s="342">
        <v>2014</v>
      </c>
      <c r="K7" s="342">
        <v>2015</v>
      </c>
      <c r="L7" s="342">
        <v>2016</v>
      </c>
      <c r="M7" s="342">
        <v>2017</v>
      </c>
      <c r="N7" s="342">
        <v>2018</v>
      </c>
    </row>
    <row r="9" spans="1:14" x14ac:dyDescent="0.25">
      <c r="A9" s="344"/>
      <c r="B9" s="336" t="s">
        <v>185</v>
      </c>
      <c r="C9" s="345"/>
      <c r="D9" s="367">
        <v>6756415</v>
      </c>
      <c r="E9" s="367">
        <v>6766779</v>
      </c>
      <c r="F9" s="367">
        <v>6766779</v>
      </c>
      <c r="G9" s="367">
        <v>6766779</v>
      </c>
      <c r="H9" s="367">
        <v>6750694</v>
      </c>
      <c r="I9" s="367">
        <v>6737083</v>
      </c>
      <c r="J9" s="367">
        <v>6737083</v>
      </c>
      <c r="K9" s="352">
        <v>6737083</v>
      </c>
      <c r="L9" s="352">
        <v>6737083</v>
      </c>
      <c r="M9" s="352">
        <v>7211669</v>
      </c>
      <c r="N9" s="352">
        <v>9709599</v>
      </c>
    </row>
    <row r="10" spans="1:14" x14ac:dyDescent="0.25">
      <c r="A10" s="344"/>
      <c r="B10" s="336" t="s">
        <v>763</v>
      </c>
      <c r="C10" s="345"/>
      <c r="D10" s="258">
        <v>38503352</v>
      </c>
      <c r="E10" s="258">
        <v>53790985</v>
      </c>
      <c r="F10" s="258">
        <v>53649761</v>
      </c>
      <c r="G10" s="258">
        <v>54181248</v>
      </c>
      <c r="H10" s="258">
        <v>54446891</v>
      </c>
      <c r="I10" s="258">
        <v>54841078</v>
      </c>
      <c r="J10" s="258">
        <v>55520504</v>
      </c>
      <c r="K10" s="258">
        <v>56054874</v>
      </c>
      <c r="L10" s="258">
        <v>57010696</v>
      </c>
      <c r="M10" s="258">
        <v>57951761</v>
      </c>
      <c r="N10" s="258">
        <v>59937493</v>
      </c>
    </row>
    <row r="11" spans="1:14" x14ac:dyDescent="0.25">
      <c r="A11" s="344"/>
      <c r="B11" s="336" t="s">
        <v>762</v>
      </c>
      <c r="C11" s="348"/>
      <c r="D11" s="258">
        <v>970581</v>
      </c>
      <c r="E11" s="258">
        <v>970581</v>
      </c>
      <c r="F11" s="258">
        <v>970581</v>
      </c>
      <c r="G11" s="258">
        <v>970581</v>
      </c>
      <c r="H11" s="258">
        <v>970581</v>
      </c>
      <c r="I11" s="258">
        <v>970581</v>
      </c>
      <c r="J11" s="258">
        <v>970581</v>
      </c>
      <c r="K11" s="258">
        <v>970581</v>
      </c>
      <c r="L11" s="258">
        <v>970581</v>
      </c>
      <c r="M11" s="258">
        <v>970581</v>
      </c>
      <c r="N11" s="258">
        <v>1219684</v>
      </c>
    </row>
    <row r="12" spans="1:14" x14ac:dyDescent="0.25">
      <c r="A12" s="344"/>
      <c r="B12" s="349" t="s">
        <v>64</v>
      </c>
      <c r="C12" s="348" t="s">
        <v>291</v>
      </c>
      <c r="D12" s="368">
        <f t="shared" ref="D12:N12" si="0">SUM(D9:D11)</f>
        <v>46230348</v>
      </c>
      <c r="E12" s="368">
        <f t="shared" si="0"/>
        <v>61528345</v>
      </c>
      <c r="F12" s="368">
        <f t="shared" si="0"/>
        <v>61387121</v>
      </c>
      <c r="G12" s="368">
        <f t="shared" si="0"/>
        <v>61918608</v>
      </c>
      <c r="H12" s="368">
        <f t="shared" si="0"/>
        <v>62168166</v>
      </c>
      <c r="I12" s="368">
        <f t="shared" si="0"/>
        <v>62548742</v>
      </c>
      <c r="J12" s="368">
        <f t="shared" si="0"/>
        <v>63228168</v>
      </c>
      <c r="K12" s="368">
        <f t="shared" si="0"/>
        <v>63762538</v>
      </c>
      <c r="L12" s="368">
        <f t="shared" si="0"/>
        <v>64718360</v>
      </c>
      <c r="M12" s="368">
        <f t="shared" si="0"/>
        <v>66134011</v>
      </c>
      <c r="N12" s="368">
        <f t="shared" si="0"/>
        <v>70866776</v>
      </c>
    </row>
    <row r="13" spans="1:14" x14ac:dyDescent="0.25">
      <c r="A13" s="344"/>
      <c r="B13" s="351" t="s">
        <v>65</v>
      </c>
      <c r="C13" s="348" t="s">
        <v>292</v>
      </c>
      <c r="D13" s="258">
        <v>-3358</v>
      </c>
      <c r="E13" s="258">
        <v>0</v>
      </c>
      <c r="F13" s="258">
        <v>0.33489999999999998</v>
      </c>
      <c r="G13" s="258">
        <v>0</v>
      </c>
      <c r="H13" s="258">
        <v>0.32890000000000003</v>
      </c>
      <c r="I13" s="258">
        <v>0.32019999999999998</v>
      </c>
      <c r="J13" s="258">
        <v>0.3145</v>
      </c>
      <c r="K13" s="258">
        <v>0</v>
      </c>
      <c r="L13" s="258">
        <v>0</v>
      </c>
      <c r="M13" s="258"/>
      <c r="N13" s="258">
        <v>0</v>
      </c>
    </row>
    <row r="14" spans="1:14" x14ac:dyDescent="0.25">
      <c r="A14" s="344"/>
      <c r="B14" s="351" t="s">
        <v>66</v>
      </c>
      <c r="C14" s="348" t="s">
        <v>214</v>
      </c>
      <c r="D14" s="258">
        <v>2219012343</v>
      </c>
      <c r="E14" s="258">
        <v>2394728325</v>
      </c>
      <c r="F14" s="258">
        <v>2533527615</v>
      </c>
      <c r="G14" s="258">
        <v>2639163800</v>
      </c>
      <c r="H14" s="258">
        <v>2748773153</v>
      </c>
      <c r="I14" s="258">
        <v>2886763491</v>
      </c>
      <c r="J14" s="258">
        <v>3032182241</v>
      </c>
      <c r="K14" s="258">
        <v>3170218422.7674999</v>
      </c>
      <c r="L14" s="258">
        <v>3319293989</v>
      </c>
      <c r="M14" s="258">
        <v>3504147718</v>
      </c>
      <c r="N14" s="258">
        <v>3720214555</v>
      </c>
    </row>
    <row r="15" spans="1:14" x14ac:dyDescent="0.25">
      <c r="A15" s="344"/>
      <c r="B15" s="351" t="s">
        <v>67</v>
      </c>
      <c r="C15" s="348" t="s">
        <v>217</v>
      </c>
      <c r="D15" s="258">
        <v>14240977</v>
      </c>
      <c r="E15" s="258">
        <v>14219858</v>
      </c>
      <c r="F15" s="258">
        <v>10800549</v>
      </c>
      <c r="G15" s="258">
        <v>5862399</v>
      </c>
      <c r="H15" s="258">
        <v>12148679</v>
      </c>
      <c r="I15" s="258">
        <v>19071803</v>
      </c>
      <c r="J15" s="258">
        <v>18210466</v>
      </c>
      <c r="K15" s="258">
        <v>17605968</v>
      </c>
      <c r="L15" s="258">
        <v>15260522</v>
      </c>
      <c r="M15" s="258">
        <v>24832636</v>
      </c>
      <c r="N15" s="258">
        <v>26954842</v>
      </c>
    </row>
    <row r="16" spans="1:14" x14ac:dyDescent="0.25">
      <c r="A16" s="344"/>
      <c r="B16" s="369" t="s">
        <v>68</v>
      </c>
      <c r="C16" s="370" t="s">
        <v>216</v>
      </c>
      <c r="D16" s="258">
        <v>48833233</v>
      </c>
      <c r="E16" s="258">
        <v>55251006</v>
      </c>
      <c r="F16" s="258">
        <v>46549066</v>
      </c>
      <c r="G16" s="258">
        <v>38526839</v>
      </c>
      <c r="H16" s="258">
        <v>33226574</v>
      </c>
      <c r="I16" s="258">
        <v>36637831</v>
      </c>
      <c r="J16" s="371">
        <v>32663137</v>
      </c>
      <c r="K16" s="258">
        <v>32505652</v>
      </c>
      <c r="L16" s="258">
        <v>32909024</v>
      </c>
      <c r="M16" s="371">
        <v>34398937</v>
      </c>
      <c r="N16" s="371">
        <v>24731375</v>
      </c>
    </row>
    <row r="17" spans="1:17" x14ac:dyDescent="0.25">
      <c r="A17" s="344"/>
      <c r="B17" s="351" t="s">
        <v>761</v>
      </c>
      <c r="C17" s="348"/>
      <c r="D17" s="368">
        <f t="shared" ref="D17:N17" si="1">SUM(D12:D16)</f>
        <v>2328313543</v>
      </c>
      <c r="E17" s="368">
        <f t="shared" si="1"/>
        <v>2525727534</v>
      </c>
      <c r="F17" s="368">
        <f t="shared" si="1"/>
        <v>2652264351.3348999</v>
      </c>
      <c r="G17" s="368">
        <f t="shared" si="1"/>
        <v>2745471646</v>
      </c>
      <c r="H17" s="368">
        <f t="shared" si="1"/>
        <v>2856316572.3288999</v>
      </c>
      <c r="I17" s="368">
        <f t="shared" si="1"/>
        <v>3005021867.3202</v>
      </c>
      <c r="J17" s="368">
        <f t="shared" si="1"/>
        <v>3146284012.3144999</v>
      </c>
      <c r="K17" s="368">
        <f t="shared" si="1"/>
        <v>3284092580.7674999</v>
      </c>
      <c r="L17" s="368">
        <f t="shared" si="1"/>
        <v>3432181895</v>
      </c>
      <c r="M17" s="258">
        <f t="shared" si="1"/>
        <v>3629513302</v>
      </c>
      <c r="N17" s="258">
        <f t="shared" si="1"/>
        <v>3842767548</v>
      </c>
      <c r="O17" s="352">
        <v>3629513302</v>
      </c>
    </row>
    <row r="18" spans="1:17" x14ac:dyDescent="0.25">
      <c r="A18" s="344"/>
      <c r="B18" s="197" t="s">
        <v>711</v>
      </c>
      <c r="C18" s="200" t="s">
        <v>217</v>
      </c>
      <c r="D18" s="372">
        <v>99907693.881499991</v>
      </c>
      <c r="E18" s="372">
        <v>107011603.78160001</v>
      </c>
      <c r="F18" s="372">
        <v>59284358.687299997</v>
      </c>
      <c r="G18" s="372">
        <v>35844302.205000006</v>
      </c>
      <c r="H18" s="372">
        <v>31252172.394300003</v>
      </c>
      <c r="I18" s="372">
        <v>46831118.046799995</v>
      </c>
      <c r="J18" s="258">
        <v>50181153.281999998</v>
      </c>
      <c r="K18" s="372">
        <v>49523417.447400004</v>
      </c>
      <c r="L18" s="258">
        <v>53859994.147399999</v>
      </c>
      <c r="M18" s="258">
        <v>76561490.5713</v>
      </c>
      <c r="N18" s="258">
        <v>112577137.72830001</v>
      </c>
      <c r="O18" s="258">
        <f>+O17-M17</f>
        <v>0</v>
      </c>
    </row>
    <row r="19" spans="1:17" x14ac:dyDescent="0.25">
      <c r="A19" s="344"/>
      <c r="B19" s="354" t="s">
        <v>710</v>
      </c>
      <c r="C19" s="200" t="s">
        <v>216</v>
      </c>
      <c r="D19" s="372">
        <v>71400148.188999996</v>
      </c>
      <c r="E19" s="372">
        <v>78045779.110100001</v>
      </c>
      <c r="F19" s="372">
        <v>83124050.751399994</v>
      </c>
      <c r="G19" s="372">
        <v>102104571.85200001</v>
      </c>
      <c r="H19" s="372">
        <v>104564177.76090001</v>
      </c>
      <c r="I19" s="372">
        <v>109154141.60679999</v>
      </c>
      <c r="J19" s="258">
        <v>99362967.717999995</v>
      </c>
      <c r="K19" s="372">
        <v>97498888.250400007</v>
      </c>
      <c r="L19" s="258">
        <v>111946839.97489999</v>
      </c>
      <c r="M19" s="258">
        <v>127695486.2571</v>
      </c>
      <c r="N19" s="258">
        <v>150272395.28280002</v>
      </c>
      <c r="O19" s="258">
        <v>204256976.82840002</v>
      </c>
    </row>
    <row r="20" spans="1:17" x14ac:dyDescent="0.25">
      <c r="A20" s="336">
        <v>11400002</v>
      </c>
      <c r="B20" s="336" t="s">
        <v>760</v>
      </c>
      <c r="C20" s="200" t="s">
        <v>291</v>
      </c>
      <c r="J20" s="258"/>
      <c r="L20" s="258"/>
      <c r="M20" s="258"/>
      <c r="N20" s="258">
        <v>0</v>
      </c>
      <c r="O20" s="258">
        <f>+O19-M19-M18</f>
        <v>0</v>
      </c>
    </row>
    <row r="21" spans="1:17" x14ac:dyDescent="0.25">
      <c r="A21" s="373" t="s">
        <v>707</v>
      </c>
      <c r="B21" s="209" t="s">
        <v>706</v>
      </c>
      <c r="C21" s="200" t="s">
        <v>216</v>
      </c>
      <c r="D21" s="372">
        <v>-5594.4704999999994</v>
      </c>
      <c r="J21" s="258"/>
      <c r="L21" s="258"/>
      <c r="M21" s="258"/>
      <c r="N21" s="258"/>
    </row>
    <row r="22" spans="1:17" ht="14.4" x14ac:dyDescent="0.3">
      <c r="A22" s="336">
        <v>18230432</v>
      </c>
      <c r="B22" s="336" t="s">
        <v>759</v>
      </c>
      <c r="C22" s="200" t="s">
        <v>216</v>
      </c>
      <c r="D22" s="258">
        <v>0</v>
      </c>
      <c r="E22" s="258">
        <v>0</v>
      </c>
      <c r="F22" s="258">
        <v>1518795</v>
      </c>
      <c r="G22" s="258">
        <v>1518795</v>
      </c>
      <c r="H22" s="258">
        <v>1518795</v>
      </c>
      <c r="I22" s="258">
        <v>1518795</v>
      </c>
      <c r="J22" s="258">
        <v>316416</v>
      </c>
      <c r="K22" s="258">
        <v>0</v>
      </c>
      <c r="L22" s="258">
        <v>0</v>
      </c>
      <c r="M22" s="258"/>
      <c r="N22" s="258">
        <v>0</v>
      </c>
      <c r="Q22" s="60"/>
    </row>
    <row r="23" spans="1:17" ht="14.4" x14ac:dyDescent="0.3">
      <c r="A23" s="336">
        <v>18230442</v>
      </c>
      <c r="B23" s="336" t="s">
        <v>758</v>
      </c>
      <c r="C23" s="200" t="s">
        <v>216</v>
      </c>
      <c r="D23" s="258">
        <v>0</v>
      </c>
      <c r="E23" s="258">
        <v>0</v>
      </c>
      <c r="F23" s="258">
        <v>-1366181</v>
      </c>
      <c r="G23" s="258">
        <v>-1398221</v>
      </c>
      <c r="H23" s="258">
        <v>-1430260</v>
      </c>
      <c r="I23" s="258">
        <v>-1475904</v>
      </c>
      <c r="J23" s="258">
        <v>-316208</v>
      </c>
      <c r="K23" s="258">
        <v>0</v>
      </c>
      <c r="L23" s="258">
        <v>0</v>
      </c>
      <c r="M23" s="258"/>
      <c r="N23" s="258">
        <v>0</v>
      </c>
      <c r="Q23" s="60"/>
    </row>
    <row r="24" spans="1:17" ht="14.4" x14ac:dyDescent="0.3">
      <c r="A24" s="336">
        <v>23002002</v>
      </c>
      <c r="B24" s="336" t="s">
        <v>757</v>
      </c>
      <c r="C24" s="363" t="s">
        <v>214</v>
      </c>
      <c r="D24" s="258"/>
      <c r="E24" s="258"/>
      <c r="F24" s="258"/>
      <c r="G24" s="258"/>
      <c r="H24" s="258">
        <v>-1135333</v>
      </c>
      <c r="I24" s="258">
        <v>0</v>
      </c>
      <c r="J24" s="258">
        <v>0</v>
      </c>
      <c r="K24" s="258">
        <v>0</v>
      </c>
      <c r="L24" s="258">
        <v>0</v>
      </c>
      <c r="M24" s="355">
        <v>0</v>
      </c>
      <c r="N24" s="355">
        <v>0</v>
      </c>
      <c r="Q24" s="60"/>
    </row>
    <row r="25" spans="1:17" ht="14.4" x14ac:dyDescent="0.3">
      <c r="A25" s="336">
        <v>23002012</v>
      </c>
      <c r="B25" s="336" t="s">
        <v>756</v>
      </c>
      <c r="C25" s="363" t="s">
        <v>214</v>
      </c>
      <c r="D25" s="258">
        <v>-4360612</v>
      </c>
      <c r="E25" s="258">
        <v>-4936711</v>
      </c>
      <c r="F25" s="258">
        <v>-2575853</v>
      </c>
      <c r="G25" s="258">
        <v>-1433484</v>
      </c>
      <c r="H25" s="258">
        <v>-1297602</v>
      </c>
      <c r="I25" s="258">
        <v>-1453656</v>
      </c>
      <c r="J25" s="258">
        <v>-158557</v>
      </c>
      <c r="K25" s="258">
        <v>0</v>
      </c>
      <c r="L25" s="258">
        <v>0</v>
      </c>
      <c r="M25" s="355"/>
      <c r="N25" s="355">
        <v>0</v>
      </c>
      <c r="Q25" s="60"/>
    </row>
    <row r="26" spans="1:17" ht="14.4" x14ac:dyDescent="0.3">
      <c r="A26" s="336">
        <v>23001092</v>
      </c>
      <c r="B26" s="336" t="s">
        <v>755</v>
      </c>
      <c r="C26" s="363" t="s">
        <v>214</v>
      </c>
      <c r="D26" s="258">
        <v>-320966</v>
      </c>
      <c r="E26" s="258">
        <v>-262579</v>
      </c>
      <c r="F26" s="258">
        <v>-668832</v>
      </c>
      <c r="G26" s="258">
        <v>-1678913</v>
      </c>
      <c r="H26" s="258">
        <v>0</v>
      </c>
      <c r="I26" s="258">
        <v>-5369625</v>
      </c>
      <c r="J26" s="258">
        <v>-9474799</v>
      </c>
      <c r="K26" s="258">
        <v>-7444163</v>
      </c>
      <c r="L26" s="258">
        <v>-9055019</v>
      </c>
      <c r="M26" s="355">
        <v>-6871026</v>
      </c>
      <c r="N26" s="355">
        <v>-9221194</v>
      </c>
      <c r="Q26" s="60"/>
    </row>
    <row r="27" spans="1:17" ht="14.4" x14ac:dyDescent="0.3">
      <c r="A27" s="374">
        <v>23002022</v>
      </c>
      <c r="B27" s="374" t="s">
        <v>754</v>
      </c>
      <c r="C27" s="363" t="s">
        <v>214</v>
      </c>
      <c r="D27" s="258">
        <v>0</v>
      </c>
      <c r="E27" s="258">
        <v>0</v>
      </c>
      <c r="F27" s="258">
        <v>0</v>
      </c>
      <c r="G27" s="258">
        <v>0</v>
      </c>
      <c r="H27" s="258">
        <v>665290</v>
      </c>
      <c r="I27" s="258">
        <v>0</v>
      </c>
      <c r="J27" s="258">
        <v>0</v>
      </c>
      <c r="K27" s="258">
        <v>0</v>
      </c>
      <c r="L27" s="258">
        <v>0</v>
      </c>
      <c r="M27" s="355">
        <v>0</v>
      </c>
      <c r="N27" s="355">
        <v>0</v>
      </c>
      <c r="Q27" s="60"/>
    </row>
    <row r="28" spans="1:17" ht="14.4" x14ac:dyDescent="0.3">
      <c r="A28" s="374">
        <v>23002032</v>
      </c>
      <c r="B28" s="374" t="s">
        <v>753</v>
      </c>
      <c r="C28" s="363" t="s">
        <v>214</v>
      </c>
      <c r="D28" s="258">
        <v>480694</v>
      </c>
      <c r="E28" s="258">
        <v>768409</v>
      </c>
      <c r="F28" s="258">
        <v>823794</v>
      </c>
      <c r="G28" s="258">
        <v>619367</v>
      </c>
      <c r="H28" s="258">
        <v>-105565</v>
      </c>
      <c r="I28" s="258">
        <v>844955</v>
      </c>
      <c r="J28" s="258">
        <v>334050</v>
      </c>
      <c r="K28" s="258">
        <v>0</v>
      </c>
      <c r="L28" s="258">
        <v>0</v>
      </c>
      <c r="M28" s="355">
        <v>0</v>
      </c>
      <c r="N28" s="355">
        <v>0</v>
      </c>
      <c r="Q28" s="60"/>
    </row>
    <row r="29" spans="1:17" ht="14.4" x14ac:dyDescent="0.3">
      <c r="A29" s="374">
        <v>23002052</v>
      </c>
      <c r="B29" s="374" t="s">
        <v>752</v>
      </c>
      <c r="C29" s="363" t="s">
        <v>214</v>
      </c>
      <c r="D29" s="258">
        <v>-3566132</v>
      </c>
      <c r="E29" s="258">
        <v>-4240986</v>
      </c>
      <c r="F29" s="258">
        <v>-278518</v>
      </c>
      <c r="G29" s="258">
        <v>-298656</v>
      </c>
      <c r="H29" s="258">
        <v>380067</v>
      </c>
      <c r="I29" s="258">
        <v>0</v>
      </c>
      <c r="J29" s="258">
        <v>0</v>
      </c>
      <c r="K29" s="258">
        <v>0</v>
      </c>
      <c r="L29" s="258">
        <v>0</v>
      </c>
      <c r="M29" s="355">
        <v>0</v>
      </c>
      <c r="N29" s="355">
        <v>0</v>
      </c>
      <c r="Q29" s="60"/>
    </row>
    <row r="30" spans="1:17" x14ac:dyDescent="0.25">
      <c r="A30" s="374">
        <v>23002062</v>
      </c>
      <c r="B30" s="374" t="s">
        <v>751</v>
      </c>
      <c r="C30" s="363" t="s">
        <v>214</v>
      </c>
      <c r="D30" s="258">
        <v>0</v>
      </c>
      <c r="E30" s="258">
        <v>2397409</v>
      </c>
      <c r="F30" s="258">
        <v>819428</v>
      </c>
      <c r="G30" s="258">
        <v>396592</v>
      </c>
      <c r="H30" s="258">
        <v>-1076372</v>
      </c>
      <c r="I30" s="258">
        <v>0</v>
      </c>
      <c r="J30" s="258">
        <v>0</v>
      </c>
      <c r="K30" s="258">
        <v>0</v>
      </c>
      <c r="L30" s="258">
        <v>0</v>
      </c>
      <c r="M30" s="355">
        <v>0</v>
      </c>
      <c r="N30" s="355">
        <v>0</v>
      </c>
    </row>
    <row r="31" spans="1:17" x14ac:dyDescent="0.25">
      <c r="A31" s="374">
        <v>23002092</v>
      </c>
      <c r="B31" s="374" t="s">
        <v>750</v>
      </c>
      <c r="C31" s="363" t="s">
        <v>214</v>
      </c>
      <c r="D31" s="258">
        <v>-480694</v>
      </c>
      <c r="E31" s="258">
        <v>-3165817</v>
      </c>
      <c r="F31" s="258">
        <v>-1643222</v>
      </c>
      <c r="G31" s="258">
        <v>-1015959</v>
      </c>
      <c r="H31" s="258">
        <v>31015</v>
      </c>
      <c r="I31" s="258">
        <v>-1635307</v>
      </c>
      <c r="J31" s="258">
        <v>-2180540</v>
      </c>
      <c r="K31" s="258">
        <v>-1730232</v>
      </c>
      <c r="L31" s="258">
        <v>-18583</v>
      </c>
      <c r="M31" s="355"/>
      <c r="N31" s="355">
        <v>-34124</v>
      </c>
    </row>
    <row r="32" spans="1:17" x14ac:dyDescent="0.25">
      <c r="A32" s="374">
        <v>23002093</v>
      </c>
      <c r="B32" s="374" t="s">
        <v>749</v>
      </c>
      <c r="C32" s="200" t="s">
        <v>216</v>
      </c>
      <c r="D32" s="258"/>
      <c r="E32" s="258"/>
      <c r="F32" s="258"/>
      <c r="G32" s="258"/>
      <c r="H32" s="258"/>
      <c r="I32" s="258"/>
      <c r="J32" s="355"/>
      <c r="K32" s="258"/>
      <c r="L32" s="355"/>
      <c r="M32" s="355">
        <v>-16316</v>
      </c>
      <c r="N32" s="355">
        <v>-7060</v>
      </c>
    </row>
    <row r="33" spans="1:16" x14ac:dyDescent="0.25">
      <c r="A33" s="375" t="s">
        <v>748</v>
      </c>
      <c r="B33" s="374" t="s">
        <v>747</v>
      </c>
      <c r="C33" s="363" t="s">
        <v>214</v>
      </c>
      <c r="D33" s="258"/>
      <c r="E33" s="258"/>
      <c r="F33" s="258"/>
      <c r="G33" s="258"/>
      <c r="H33" s="258"/>
      <c r="I33" s="258">
        <v>790352</v>
      </c>
      <c r="J33" s="258">
        <v>1846491</v>
      </c>
      <c r="K33" s="258">
        <v>1730232</v>
      </c>
      <c r="L33" s="258">
        <v>18583</v>
      </c>
      <c r="M33" s="355">
        <v>16316</v>
      </c>
      <c r="N33" s="355">
        <v>34124</v>
      </c>
    </row>
    <row r="34" spans="1:16" x14ac:dyDescent="0.25">
      <c r="A34" s="375">
        <v>23001122</v>
      </c>
      <c r="B34" s="374" t="s">
        <v>746</v>
      </c>
      <c r="C34" s="363" t="s">
        <v>291</v>
      </c>
      <c r="D34" s="209"/>
      <c r="E34" s="209"/>
      <c r="F34" s="209"/>
      <c r="G34" s="209"/>
      <c r="H34" s="209"/>
      <c r="I34" s="209"/>
      <c r="J34" s="209"/>
      <c r="K34" s="258">
        <v>0</v>
      </c>
      <c r="L34" s="258"/>
      <c r="M34" s="355">
        <v>-476429</v>
      </c>
      <c r="N34" s="355">
        <v>-3046931</v>
      </c>
    </row>
    <row r="35" spans="1:16" ht="13.8" thickBot="1" x14ac:dyDescent="0.3">
      <c r="A35" s="376">
        <v>23001013</v>
      </c>
      <c r="B35" s="377" t="s">
        <v>689</v>
      </c>
      <c r="C35" s="363" t="s">
        <v>216</v>
      </c>
      <c r="D35" s="378">
        <v>-2901.9594999999999</v>
      </c>
      <c r="E35" s="378">
        <v>-29703.156000000003</v>
      </c>
      <c r="F35" s="378">
        <v>-9109.6148999999987</v>
      </c>
      <c r="G35" s="378">
        <v>-1700.7975000000001</v>
      </c>
      <c r="H35" s="209"/>
      <c r="I35" s="209"/>
      <c r="J35" s="355"/>
      <c r="K35" s="209"/>
      <c r="L35" s="355"/>
      <c r="M35" s="379"/>
      <c r="N35" s="379">
        <v>0</v>
      </c>
    </row>
    <row r="36" spans="1:16" x14ac:dyDescent="0.25">
      <c r="A36" s="374">
        <v>25300353</v>
      </c>
      <c r="B36" s="374" t="s">
        <v>667</v>
      </c>
      <c r="C36" s="200" t="s">
        <v>216</v>
      </c>
      <c r="D36" s="378">
        <v>-2776615.5504999999</v>
      </c>
      <c r="E36" s="378">
        <v>-2409255.8693000004</v>
      </c>
      <c r="F36" s="378">
        <v>-1914869.1165999998</v>
      </c>
      <c r="G36" s="378">
        <v>-1563894.027</v>
      </c>
      <c r="H36" s="378">
        <v>-1140669.2726</v>
      </c>
      <c r="I36" s="378">
        <v>-750335.54680000001</v>
      </c>
      <c r="J36" s="355">
        <v>-383228.94300000003</v>
      </c>
      <c r="K36" s="355">
        <v>-1958955.6051</v>
      </c>
      <c r="L36" s="355">
        <v>-1811292.8647999999</v>
      </c>
      <c r="M36" s="379">
        <v>-1442786.5248</v>
      </c>
      <c r="N36" s="379">
        <v>-992350.54800000007</v>
      </c>
      <c r="O36" s="380">
        <v>25300353</v>
      </c>
      <c r="P36" s="381">
        <v>-5748763</v>
      </c>
    </row>
    <row r="37" spans="1:16" x14ac:dyDescent="0.25">
      <c r="A37" s="374">
        <v>25300363</v>
      </c>
      <c r="B37" s="374" t="s">
        <v>666</v>
      </c>
      <c r="C37" s="200" t="s">
        <v>216</v>
      </c>
      <c r="D37" s="378">
        <v>-993960.33499999996</v>
      </c>
      <c r="E37" s="378">
        <v>-806674.83190000011</v>
      </c>
      <c r="F37" s="378">
        <v>-579366.28319999995</v>
      </c>
      <c r="G37" s="378">
        <v>-398009.76900000003</v>
      </c>
      <c r="H37" s="378">
        <v>-199914.3003</v>
      </c>
      <c r="I37" s="378">
        <v>-402783.7426</v>
      </c>
      <c r="J37" s="355">
        <v>-834826.72649999999</v>
      </c>
      <c r="K37" s="355">
        <v>-633185.53740000003</v>
      </c>
      <c r="L37" s="355">
        <v>-450038.54219999997</v>
      </c>
      <c r="M37" s="379">
        <v>-242330.01630000002</v>
      </c>
      <c r="N37" s="379">
        <v>-37394.536200000002</v>
      </c>
      <c r="O37" s="380">
        <v>25300363</v>
      </c>
      <c r="P37" s="381">
        <v>-2058558</v>
      </c>
    </row>
    <row r="38" spans="1:16" x14ac:dyDescent="0.25">
      <c r="A38" s="374">
        <v>25300413</v>
      </c>
      <c r="B38" s="374" t="s">
        <v>745</v>
      </c>
      <c r="C38" s="200" t="s">
        <v>216</v>
      </c>
      <c r="D38" s="378">
        <v>-60085.930499999995</v>
      </c>
      <c r="E38" s="378">
        <v>-653102.19170000008</v>
      </c>
      <c r="F38" s="378">
        <v>-658285.4682</v>
      </c>
      <c r="G38" s="378">
        <v>-586493.54399999999</v>
      </c>
      <c r="H38" s="378">
        <v>-486534.86310000002</v>
      </c>
      <c r="I38" s="378">
        <v>-395802.42199999996</v>
      </c>
      <c r="J38" s="355">
        <v>-312279.94449999998</v>
      </c>
      <c r="K38" s="355">
        <v>-236852.9748</v>
      </c>
      <c r="L38" s="355">
        <v>-168343.84459999998</v>
      </c>
      <c r="M38" s="379">
        <v>-90647.295299999998</v>
      </c>
      <c r="N38" s="379">
        <v>-13987.8732</v>
      </c>
      <c r="O38" s="380">
        <v>25300413</v>
      </c>
      <c r="P38" s="381">
        <v>-770036</v>
      </c>
    </row>
    <row r="39" spans="1:16" x14ac:dyDescent="0.25">
      <c r="A39" s="374">
        <v>25300463</v>
      </c>
      <c r="B39" s="374" t="s">
        <v>659</v>
      </c>
      <c r="C39" s="200" t="s">
        <v>216</v>
      </c>
      <c r="D39" s="378"/>
      <c r="E39" s="378"/>
      <c r="F39" s="378"/>
      <c r="G39" s="378"/>
      <c r="H39" s="378"/>
      <c r="I39" s="209"/>
      <c r="J39" s="355"/>
      <c r="K39" s="209"/>
      <c r="L39" s="355"/>
      <c r="M39" s="379"/>
      <c r="N39" s="379">
        <v>-20401.6302</v>
      </c>
      <c r="O39" s="380">
        <v>25301203</v>
      </c>
      <c r="P39" s="381">
        <v>-230575</v>
      </c>
    </row>
    <row r="40" spans="1:16" x14ac:dyDescent="0.25">
      <c r="A40" s="374">
        <v>25301203</v>
      </c>
      <c r="B40" s="374" t="s">
        <v>744</v>
      </c>
      <c r="C40" s="200" t="s">
        <v>216</v>
      </c>
      <c r="D40" s="378">
        <v>-240853.57749999998</v>
      </c>
      <c r="E40" s="378">
        <v>-241856.78580000001</v>
      </c>
      <c r="F40" s="378">
        <v>-229084.6611</v>
      </c>
      <c r="G40" s="378">
        <v>-201510.9645</v>
      </c>
      <c r="H40" s="378">
        <v>-164311.5331</v>
      </c>
      <c r="I40" s="378">
        <v>-130433.1498</v>
      </c>
      <c r="J40" s="355">
        <v>-99104.925499999998</v>
      </c>
      <c r="K40" s="355">
        <v>-70410.6351</v>
      </c>
      <c r="L40" s="355">
        <v>-43418.317999999999</v>
      </c>
      <c r="M40" s="379">
        <v>-13333.875</v>
      </c>
      <c r="N40" s="379">
        <v>0</v>
      </c>
      <c r="O40" s="382">
        <v>25300443</v>
      </c>
      <c r="P40" s="381">
        <v>-837893</v>
      </c>
    </row>
    <row r="41" spans="1:16" x14ac:dyDescent="0.25">
      <c r="A41" s="374">
        <v>25300443</v>
      </c>
      <c r="B41" s="374" t="s">
        <v>663</v>
      </c>
      <c r="C41" s="200" t="s">
        <v>216</v>
      </c>
      <c r="D41" s="378"/>
      <c r="E41" s="378"/>
      <c r="F41" s="378"/>
      <c r="G41" s="378">
        <v>-367376.00550000003</v>
      </c>
      <c r="H41" s="378">
        <v>-407711.67580000003</v>
      </c>
      <c r="I41" s="378">
        <v>-352824.21739999996</v>
      </c>
      <c r="J41" s="355"/>
      <c r="K41" s="355">
        <v>-261064.49850000002</v>
      </c>
      <c r="L41" s="355">
        <v>-228848.03169999999</v>
      </c>
      <c r="M41" s="379">
        <v>-189579.83040000001</v>
      </c>
      <c r="N41" s="379">
        <v>-139705.62479999999</v>
      </c>
      <c r="O41" s="380">
        <v>25300663</v>
      </c>
      <c r="P41" s="381">
        <v>-110545</v>
      </c>
    </row>
    <row r="42" spans="1:16" x14ac:dyDescent="0.25">
      <c r="A42" s="383">
        <v>25300663</v>
      </c>
      <c r="B42" s="383" t="s">
        <v>660</v>
      </c>
      <c r="C42" s="200" t="s">
        <v>216</v>
      </c>
      <c r="D42" s="378">
        <v>0</v>
      </c>
      <c r="E42" s="378">
        <v>0</v>
      </c>
      <c r="F42" s="378">
        <v>0</v>
      </c>
      <c r="G42" s="378">
        <v>0</v>
      </c>
      <c r="H42" s="378">
        <v>0</v>
      </c>
      <c r="I42" s="378">
        <v>-62534.099399999999</v>
      </c>
      <c r="J42" s="355">
        <v>-47514.345500000003</v>
      </c>
      <c r="K42" s="355">
        <v>-33757.074000000001</v>
      </c>
      <c r="L42" s="355">
        <v>-20815.936599999997</v>
      </c>
      <c r="M42" s="379">
        <v>-6392.6898000000001</v>
      </c>
      <c r="N42" s="379">
        <v>0</v>
      </c>
      <c r="O42" s="384"/>
    </row>
    <row r="43" spans="1:16" x14ac:dyDescent="0.25">
      <c r="A43" s="383">
        <v>25301213</v>
      </c>
      <c r="B43" s="383" t="s">
        <v>659</v>
      </c>
      <c r="C43" s="200" t="s">
        <v>216</v>
      </c>
      <c r="D43" s="209"/>
      <c r="E43" s="209"/>
      <c r="F43" s="209"/>
      <c r="G43" s="209"/>
      <c r="H43" s="209"/>
      <c r="I43" s="209"/>
      <c r="J43" s="355"/>
      <c r="K43" s="355">
        <v>0</v>
      </c>
      <c r="L43" s="355">
        <v>-224576.64749999999</v>
      </c>
      <c r="M43" s="379">
        <v>-232551.38250000001</v>
      </c>
      <c r="N43" s="379">
        <v>-192340.3566</v>
      </c>
      <c r="O43" s="385"/>
    </row>
    <row r="44" spans="1:16" x14ac:dyDescent="0.25">
      <c r="A44" s="386" t="s">
        <v>743</v>
      </c>
      <c r="B44" s="197" t="s">
        <v>694</v>
      </c>
      <c r="C44" s="363" t="s">
        <v>216</v>
      </c>
      <c r="D44" s="378">
        <v>0</v>
      </c>
      <c r="E44" s="378">
        <v>0</v>
      </c>
      <c r="F44" s="378">
        <v>0</v>
      </c>
      <c r="G44" s="378"/>
      <c r="H44" s="378">
        <v>-5582.4197000000004</v>
      </c>
      <c r="I44" s="378">
        <v>-131635.18059999999</v>
      </c>
      <c r="J44" s="355">
        <v>-131681.77900000001</v>
      </c>
      <c r="K44" s="378">
        <v>-252221.82570000002</v>
      </c>
      <c r="L44" s="355">
        <v>-191504.8223</v>
      </c>
      <c r="M44" s="379"/>
      <c r="N44" s="379"/>
    </row>
    <row r="45" spans="1:16" x14ac:dyDescent="0.25">
      <c r="A45" s="386"/>
      <c r="C45" s="363"/>
      <c r="D45" s="209"/>
      <c r="E45" s="209"/>
      <c r="F45" s="209"/>
      <c r="G45" s="209"/>
      <c r="H45" s="209"/>
      <c r="I45" s="209"/>
      <c r="J45" s="355"/>
      <c r="K45" s="378"/>
      <c r="L45" s="355"/>
      <c r="M45" s="379"/>
      <c r="N45" s="379"/>
    </row>
    <row r="46" spans="1:16" ht="14.4" x14ac:dyDescent="0.3">
      <c r="A46" s="361"/>
      <c r="B46" s="362" t="s">
        <v>742</v>
      </c>
      <c r="C46" s="363" t="s">
        <v>216</v>
      </c>
      <c r="D46" s="355">
        <v>2543206.75</v>
      </c>
      <c r="E46" s="209"/>
      <c r="F46" s="209"/>
      <c r="G46" s="209"/>
      <c r="H46" s="355">
        <v>-9616.42</v>
      </c>
      <c r="I46" s="209"/>
      <c r="J46" s="355">
        <v>-303225.65000000002</v>
      </c>
      <c r="K46" s="355">
        <v>-153967.97619986534</v>
      </c>
      <c r="L46" s="355"/>
      <c r="M46" s="63"/>
      <c r="N46" s="63"/>
      <c r="O46" s="359"/>
    </row>
    <row r="47" spans="1:16" x14ac:dyDescent="0.25">
      <c r="A47" s="361"/>
      <c r="B47" s="362"/>
      <c r="C47" s="363"/>
      <c r="D47" s="209"/>
      <c r="E47" s="209"/>
      <c r="F47" s="209"/>
      <c r="G47" s="209"/>
      <c r="H47" s="209"/>
      <c r="I47" s="209"/>
      <c r="J47" s="355">
        <v>0</v>
      </c>
      <c r="K47" s="209"/>
      <c r="L47" s="209"/>
      <c r="M47" s="379">
        <v>0</v>
      </c>
      <c r="N47" s="379"/>
    </row>
    <row r="48" spans="1:16" x14ac:dyDescent="0.25">
      <c r="A48" s="344"/>
      <c r="D48" s="368"/>
      <c r="E48" s="368"/>
      <c r="F48" s="368"/>
      <c r="G48" s="368"/>
      <c r="H48" s="368"/>
      <c r="I48" s="368"/>
      <c r="J48" s="368"/>
      <c r="K48" s="368"/>
      <c r="L48" s="368"/>
      <c r="M48" s="368"/>
      <c r="N48" s="368"/>
    </row>
    <row r="49" spans="1:14" ht="13.8" thickBot="1" x14ac:dyDescent="0.3">
      <c r="A49" s="344"/>
      <c r="D49" s="387">
        <f t="shared" ref="D49:M49" si="2">SUM(D17:D48)</f>
        <v>2489836869.9970002</v>
      </c>
      <c r="E49" s="387">
        <f t="shared" si="2"/>
        <v>2697204049.0569997</v>
      </c>
      <c r="F49" s="387">
        <f t="shared" si="2"/>
        <v>2787911456.6296</v>
      </c>
      <c r="G49" s="387">
        <f t="shared" si="2"/>
        <v>2877011055.9495001</v>
      </c>
      <c r="H49" s="387">
        <f t="shared" si="2"/>
        <v>2987268616.9994993</v>
      </c>
      <c r="I49" s="387">
        <f t="shared" si="2"/>
        <v>3152000388.6152</v>
      </c>
      <c r="J49" s="387">
        <f t="shared" si="2"/>
        <v>3284083124.0005002</v>
      </c>
      <c r="K49" s="387">
        <f t="shared" si="2"/>
        <v>3420070307.338501</v>
      </c>
      <c r="L49" s="387">
        <f t="shared" si="2"/>
        <v>3585794871.1145992</v>
      </c>
      <c r="M49" s="387">
        <f t="shared" si="2"/>
        <v>3824205202.2143002</v>
      </c>
      <c r="N49" s="387">
        <f>SUM(N17:N47)</f>
        <v>4091945715.4421005</v>
      </c>
    </row>
    <row r="50" spans="1:14" ht="13.8" thickTop="1" x14ac:dyDescent="0.25">
      <c r="A50" s="344"/>
      <c r="C50" s="388" t="s">
        <v>295</v>
      </c>
      <c r="D50" s="258">
        <f>2496529564-Gas_Func_Plant!C28</f>
        <v>2489836870</v>
      </c>
      <c r="E50" s="258">
        <v>2697204048</v>
      </c>
      <c r="F50" s="258">
        <v>2787911459</v>
      </c>
      <c r="G50" s="258">
        <v>2877011061</v>
      </c>
      <c r="H50" s="258">
        <v>2987268617</v>
      </c>
      <c r="I50" s="258">
        <v>3152000388</v>
      </c>
      <c r="J50" s="381">
        <v>3284083124</v>
      </c>
      <c r="K50" s="258">
        <v>3420070307</v>
      </c>
      <c r="L50" s="381">
        <v>3585794868</v>
      </c>
      <c r="M50" s="381">
        <v>3824205202.6637416</v>
      </c>
      <c r="N50" s="381">
        <v>4091945714.9072313</v>
      </c>
    </row>
    <row r="51" spans="1:14" x14ac:dyDescent="0.25">
      <c r="A51" s="344"/>
      <c r="D51" s="372">
        <f t="shared" ref="D51:J51" si="3">D49-D50</f>
        <v>-2.9997825622558594E-3</v>
      </c>
      <c r="E51" s="372">
        <f t="shared" si="3"/>
        <v>1.056999683380127</v>
      </c>
      <c r="F51" s="372">
        <f t="shared" si="3"/>
        <v>-2.3703999519348145</v>
      </c>
      <c r="G51" s="372">
        <f t="shared" si="3"/>
        <v>-5.0504999160766602</v>
      </c>
      <c r="H51" s="372">
        <f t="shared" si="3"/>
        <v>-5.0067901611328125E-4</v>
      </c>
      <c r="I51" s="372">
        <f t="shared" si="3"/>
        <v>0.61520004272460938</v>
      </c>
      <c r="J51" s="372">
        <f t="shared" si="3"/>
        <v>5.0020217895507813E-4</v>
      </c>
      <c r="K51" s="372">
        <f>+K49-K50</f>
        <v>0.3385009765625</v>
      </c>
      <c r="L51" s="372">
        <f>+L49-L50</f>
        <v>3.1145992279052734</v>
      </c>
      <c r="M51" s="372">
        <f>+M49-M50</f>
        <v>-0.44944143295288086</v>
      </c>
      <c r="N51" s="372">
        <f>+N49-N50</f>
        <v>0.53486919403076172</v>
      </c>
    </row>
    <row r="52" spans="1:14" x14ac:dyDescent="0.25">
      <c r="J52" s="258"/>
    </row>
    <row r="53" spans="1:14" hidden="1" outlineLevel="1" x14ac:dyDescent="0.25"/>
    <row r="54" spans="1:14" hidden="1" outlineLevel="1" x14ac:dyDescent="0.25"/>
    <row r="55" spans="1:14" hidden="1" outlineLevel="1" x14ac:dyDescent="0.25">
      <c r="A55" s="389"/>
      <c r="B55" s="390" t="s">
        <v>658</v>
      </c>
      <c r="C55" s="391"/>
      <c r="D55" s="392"/>
      <c r="E55" s="392"/>
      <c r="F55" s="392"/>
      <c r="G55" s="392"/>
      <c r="H55" s="392"/>
      <c r="I55" s="392"/>
      <c r="J55" s="392"/>
      <c r="K55" s="392"/>
      <c r="L55" s="392"/>
      <c r="M55" s="393"/>
      <c r="N55" s="393"/>
    </row>
    <row r="56" spans="1:14" hidden="1" outlineLevel="1" x14ac:dyDescent="0.25">
      <c r="A56" s="394"/>
      <c r="B56" s="362" t="s">
        <v>185</v>
      </c>
      <c r="C56" s="363"/>
      <c r="D56" s="209"/>
      <c r="E56" s="209"/>
      <c r="F56" s="209"/>
      <c r="G56" s="209"/>
      <c r="H56" s="209"/>
      <c r="I56" s="209"/>
      <c r="J56" s="355">
        <f>SUMIF($C$24:$C$47,"P",$J$24:$J$47)</f>
        <v>0</v>
      </c>
      <c r="K56" s="209"/>
      <c r="L56" s="355">
        <f>SUMIF($C$24:$C$47,"P",$L$24:$L$47)</f>
        <v>0</v>
      </c>
      <c r="M56" s="395">
        <f>SUMIF($C$24:$C$47,"P",$M$24:$M$47)</f>
        <v>-476429</v>
      </c>
      <c r="N56" s="395">
        <f>SUMIF($C$24:$C$47,"P",$N$24:$N$47)</f>
        <v>-3046931</v>
      </c>
    </row>
    <row r="57" spans="1:14" hidden="1" outlineLevel="1" x14ac:dyDescent="0.25">
      <c r="A57" s="394"/>
      <c r="B57" s="362" t="s">
        <v>65</v>
      </c>
      <c r="C57" s="363"/>
      <c r="D57" s="209"/>
      <c r="E57" s="209"/>
      <c r="F57" s="209"/>
      <c r="G57" s="209"/>
      <c r="H57" s="209"/>
      <c r="I57" s="209"/>
      <c r="J57" s="355">
        <f>SUMIF($C$24:$C$47,"T",$J$24:$J$47)</f>
        <v>0</v>
      </c>
      <c r="K57" s="209"/>
      <c r="L57" s="355">
        <f>SUMIF($C$24:$C$47,"T",$L$24:$L$47)</f>
        <v>0</v>
      </c>
      <c r="M57" s="395">
        <f>SUMIF($C$24:$C$47,"T",$M$24:$M$47)</f>
        <v>0</v>
      </c>
      <c r="N57" s="395">
        <f>SUMIF($C$24:$C$47,"T",$N$24:$N$47)</f>
        <v>0</v>
      </c>
    </row>
    <row r="58" spans="1:14" hidden="1" outlineLevel="1" x14ac:dyDescent="0.25">
      <c r="A58" s="394"/>
      <c r="B58" s="362" t="s">
        <v>66</v>
      </c>
      <c r="C58" s="363"/>
      <c r="D58" s="209"/>
      <c r="E58" s="209"/>
      <c r="F58" s="209"/>
      <c r="G58" s="209"/>
      <c r="H58" s="209"/>
      <c r="I58" s="209"/>
      <c r="J58" s="355">
        <f>SUMIF($C$24:$C$47,"D",$J$24:$J$47)</f>
        <v>-9633355</v>
      </c>
      <c r="K58" s="209"/>
      <c r="L58" s="355">
        <f>SUMIF($C$24:$C$47,"D",$L$24:$L$47)</f>
        <v>-9055019</v>
      </c>
      <c r="M58" s="395">
        <f>SUMIF($C$24:$C$47,"D",$M$24:$M$47)</f>
        <v>-6854710</v>
      </c>
      <c r="N58" s="395">
        <f>SUMIF($C$24:$C$47,"D",$N$24:$N$47)</f>
        <v>-9221194</v>
      </c>
    </row>
    <row r="59" spans="1:14" ht="15" hidden="1" outlineLevel="1" x14ac:dyDescent="0.4">
      <c r="A59" s="394"/>
      <c r="B59" s="362" t="s">
        <v>68</v>
      </c>
      <c r="C59" s="363"/>
      <c r="D59" s="209"/>
      <c r="E59" s="209"/>
      <c r="F59" s="209"/>
      <c r="G59" s="209"/>
      <c r="H59" s="209"/>
      <c r="I59" s="209"/>
      <c r="J59" s="396">
        <f>SUMIF($C$24:$C$47,"G",$J$24:$J$47)</f>
        <v>-2111862.3140000002</v>
      </c>
      <c r="K59" s="209"/>
      <c r="L59" s="396">
        <f>SUMIF($C$24:$C$47,"G",$L$24:$L$47)</f>
        <v>-3138839.0077</v>
      </c>
      <c r="M59" s="397">
        <f>SUMIF($C$24:$C$47,"G",$M$24:$M$47)</f>
        <v>-2233937.6140999999</v>
      </c>
      <c r="N59" s="397">
        <f>SUMIF($C$24:$C$47,"G",$N$24:$N$47)</f>
        <v>-1403240.5690000001</v>
      </c>
    </row>
    <row r="60" spans="1:14" hidden="1" outlineLevel="1" x14ac:dyDescent="0.25">
      <c r="A60" s="394"/>
      <c r="B60" s="362" t="s">
        <v>0</v>
      </c>
      <c r="C60" s="363"/>
      <c r="D60" s="209"/>
      <c r="E60" s="209"/>
      <c r="F60" s="209"/>
      <c r="G60" s="209"/>
      <c r="H60" s="209"/>
      <c r="I60" s="209"/>
      <c r="J60" s="355">
        <f>SUM(J56:J59)</f>
        <v>-11745217.313999999</v>
      </c>
      <c r="K60" s="209"/>
      <c r="L60" s="355">
        <f>SUM(L56:L59)</f>
        <v>-12193858.0077</v>
      </c>
      <c r="M60" s="395">
        <f>SUM(M56:M59)</f>
        <v>-9565076.6140999999</v>
      </c>
      <c r="N60" s="395">
        <f>SUM(N56:N59)</f>
        <v>-13671365.569</v>
      </c>
    </row>
    <row r="61" spans="1:14" hidden="1" outlineLevel="1" x14ac:dyDescent="0.25">
      <c r="A61" s="394"/>
      <c r="B61" s="209"/>
      <c r="C61" s="363"/>
      <c r="D61" s="209"/>
      <c r="E61" s="209"/>
      <c r="F61" s="209"/>
      <c r="G61" s="209"/>
      <c r="H61" s="209"/>
      <c r="I61" s="209"/>
      <c r="J61" s="209"/>
      <c r="K61" s="209"/>
      <c r="L61" s="209"/>
      <c r="M61" s="398"/>
      <c r="N61" s="398"/>
    </row>
    <row r="62" spans="1:14" ht="14.4" hidden="1" outlineLevel="1" x14ac:dyDescent="0.3">
      <c r="A62" s="394"/>
      <c r="B62" s="362" t="s">
        <v>185</v>
      </c>
      <c r="C62" s="363"/>
      <c r="D62" s="209"/>
      <c r="E62" s="209"/>
      <c r="F62" s="209"/>
      <c r="G62" s="209"/>
      <c r="H62" s="209"/>
      <c r="I62" s="209"/>
      <c r="J62" s="59">
        <f>J56/$J$60</f>
        <v>0</v>
      </c>
      <c r="K62" s="209"/>
      <c r="L62" s="59">
        <f>L56/$L$60</f>
        <v>0</v>
      </c>
      <c r="M62" s="58">
        <f>M56/$M$60</f>
        <v>4.9809219436642044E-2</v>
      </c>
      <c r="N62" s="58">
        <f>N56/$N$60</f>
        <v>0.22286954325242797</v>
      </c>
    </row>
    <row r="63" spans="1:14" ht="14.4" hidden="1" outlineLevel="1" x14ac:dyDescent="0.3">
      <c r="A63" s="394"/>
      <c r="B63" s="362" t="s">
        <v>65</v>
      </c>
      <c r="C63" s="363"/>
      <c r="D63" s="209"/>
      <c r="E63" s="209"/>
      <c r="F63" s="209"/>
      <c r="G63" s="209"/>
      <c r="H63" s="209"/>
      <c r="I63" s="209"/>
      <c r="J63" s="59">
        <f>J57/$J$60</f>
        <v>0</v>
      </c>
      <c r="K63" s="209"/>
      <c r="L63" s="59">
        <f>L57/$L$60</f>
        <v>0</v>
      </c>
      <c r="M63" s="58">
        <f>M57/$M$60</f>
        <v>0</v>
      </c>
      <c r="N63" s="58">
        <f>N57/$N$60</f>
        <v>0</v>
      </c>
    </row>
    <row r="64" spans="1:14" ht="14.4" hidden="1" outlineLevel="1" x14ac:dyDescent="0.3">
      <c r="A64" s="394"/>
      <c r="B64" s="362" t="s">
        <v>66</v>
      </c>
      <c r="C64" s="363"/>
      <c r="D64" s="209"/>
      <c r="E64" s="209"/>
      <c r="F64" s="209"/>
      <c r="G64" s="209"/>
      <c r="H64" s="209"/>
      <c r="I64" s="209"/>
      <c r="J64" s="59">
        <f>J58/$J$60</f>
        <v>0.82019384933110495</v>
      </c>
      <c r="K64" s="209"/>
      <c r="L64" s="59">
        <f>L58/$L$60</f>
        <v>0.74258852237594275</v>
      </c>
      <c r="M64" s="58">
        <f>M58/$M$60</f>
        <v>0.7166393199501806</v>
      </c>
      <c r="N64" s="58">
        <f>N58/$N$60</f>
        <v>0.67448960774695232</v>
      </c>
    </row>
    <row r="65" spans="1:14" hidden="1" outlineLevel="1" x14ac:dyDescent="0.25">
      <c r="A65" s="394"/>
      <c r="B65" s="362" t="s">
        <v>68</v>
      </c>
      <c r="C65" s="363"/>
      <c r="D65" s="209"/>
      <c r="E65" s="209"/>
      <c r="F65" s="209"/>
      <c r="G65" s="209"/>
      <c r="H65" s="209"/>
      <c r="I65" s="209"/>
      <c r="J65" s="399">
        <f>J59/$J$60</f>
        <v>0.17980615066889519</v>
      </c>
      <c r="K65" s="209"/>
      <c r="L65" s="399">
        <f>L59/$L$60</f>
        <v>0.25741147762405725</v>
      </c>
      <c r="M65" s="400">
        <f>M59/$M$60</f>
        <v>0.23355146061317736</v>
      </c>
      <c r="N65" s="400">
        <f>N59/$N$60</f>
        <v>0.10264084900061969</v>
      </c>
    </row>
    <row r="66" spans="1:14" hidden="1" outlineLevel="1" x14ac:dyDescent="0.25">
      <c r="A66" s="394"/>
      <c r="B66" s="362" t="s">
        <v>0</v>
      </c>
      <c r="C66" s="363"/>
      <c r="D66" s="209"/>
      <c r="E66" s="209"/>
      <c r="F66" s="209"/>
      <c r="G66" s="209"/>
      <c r="H66" s="209"/>
      <c r="I66" s="209"/>
      <c r="J66" s="401">
        <f>SUM(J62:J65)</f>
        <v>1.0000000000000002</v>
      </c>
      <c r="K66" s="209"/>
      <c r="L66" s="401">
        <f>SUM(L62:L65)</f>
        <v>1</v>
      </c>
      <c r="M66" s="402">
        <f>SUM(M62:M65)</f>
        <v>1</v>
      </c>
      <c r="N66" s="402">
        <f>SUM(N62:N65)</f>
        <v>1</v>
      </c>
    </row>
    <row r="67" spans="1:14" hidden="1" outlineLevel="1" x14ac:dyDescent="0.25">
      <c r="A67" s="394"/>
      <c r="B67" s="209"/>
      <c r="C67" s="363"/>
      <c r="D67" s="209"/>
      <c r="E67" s="209"/>
      <c r="F67" s="209"/>
      <c r="G67" s="209"/>
      <c r="H67" s="209"/>
      <c r="I67" s="209"/>
      <c r="J67" s="209"/>
      <c r="K67" s="209"/>
      <c r="L67" s="209"/>
      <c r="M67" s="398"/>
      <c r="N67" s="398"/>
    </row>
    <row r="68" spans="1:14" hidden="1" outlineLevel="1" x14ac:dyDescent="0.25">
      <c r="A68" s="403">
        <v>23002091</v>
      </c>
      <c r="B68" s="404" t="s">
        <v>657</v>
      </c>
      <c r="C68" s="405"/>
      <c r="D68" s="406"/>
      <c r="E68" s="406"/>
      <c r="F68" s="406"/>
      <c r="G68" s="406"/>
      <c r="H68" s="406"/>
      <c r="I68" s="406"/>
      <c r="J68" s="407">
        <v>0</v>
      </c>
      <c r="K68" s="406"/>
      <c r="L68" s="407" t="e">
        <f>#REF!</f>
        <v>#REF!</v>
      </c>
      <c r="M68" s="408">
        <v>-3605642</v>
      </c>
      <c r="N68" s="408">
        <v>-6103636</v>
      </c>
    </row>
    <row r="69" spans="1:14" hidden="1" outlineLevel="1" x14ac:dyDescent="0.25">
      <c r="A69" s="394"/>
      <c r="B69" s="362" t="s">
        <v>185</v>
      </c>
      <c r="C69" s="363"/>
      <c r="D69" s="209"/>
      <c r="E69" s="209"/>
      <c r="F69" s="209"/>
      <c r="G69" s="209"/>
      <c r="H69" s="209"/>
      <c r="I69" s="209"/>
      <c r="J69" s="364">
        <f>$J$68*J62</f>
        <v>0</v>
      </c>
      <c r="K69" s="209"/>
      <c r="L69" s="364" t="e">
        <f>$L$68*L62</f>
        <v>#REF!</v>
      </c>
      <c r="M69" s="409">
        <f>M68*M62</f>
        <v>-179594.21358797289</v>
      </c>
      <c r="N69" s="409">
        <f>N68*$N$62</f>
        <v>-1360314.5674990765</v>
      </c>
    </row>
    <row r="70" spans="1:14" hidden="1" outlineLevel="1" x14ac:dyDescent="0.25">
      <c r="A70" s="394"/>
      <c r="B70" s="362" t="s">
        <v>65</v>
      </c>
      <c r="C70" s="363"/>
      <c r="D70" s="209"/>
      <c r="E70" s="209"/>
      <c r="F70" s="209"/>
      <c r="G70" s="209"/>
      <c r="H70" s="209"/>
      <c r="I70" s="209"/>
      <c r="J70" s="364">
        <f>$J$68*J63</f>
        <v>0</v>
      </c>
      <c r="K70" s="209"/>
      <c r="L70" s="364" t="e">
        <f>$L$68*L63</f>
        <v>#REF!</v>
      </c>
      <c r="M70" s="409">
        <f>M68*M63</f>
        <v>0</v>
      </c>
      <c r="N70" s="409">
        <f>N63*N68</f>
        <v>0</v>
      </c>
    </row>
    <row r="71" spans="1:14" hidden="1" outlineLevel="1" x14ac:dyDescent="0.25">
      <c r="A71" s="394"/>
      <c r="B71" s="362" t="s">
        <v>66</v>
      </c>
      <c r="C71" s="363"/>
      <c r="D71" s="209"/>
      <c r="E71" s="209"/>
      <c r="F71" s="209"/>
      <c r="G71" s="209"/>
      <c r="H71" s="209"/>
      <c r="I71" s="209"/>
      <c r="J71" s="364">
        <f>$J$68*J64</f>
        <v>0</v>
      </c>
      <c r="K71" s="209"/>
      <c r="L71" s="364" t="e">
        <f>$L$68*L64</f>
        <v>#REF!</v>
      </c>
      <c r="M71" s="409">
        <f>M68*M64</f>
        <v>-2583944.8308638092</v>
      </c>
      <c r="N71" s="409">
        <f>N64*N68</f>
        <v>-4116839.0514701772</v>
      </c>
    </row>
    <row r="72" spans="1:14" ht="15" hidden="1" outlineLevel="1" x14ac:dyDescent="0.4">
      <c r="A72" s="394"/>
      <c r="B72" s="362" t="s">
        <v>68</v>
      </c>
      <c r="C72" s="363"/>
      <c r="D72" s="209"/>
      <c r="E72" s="209"/>
      <c r="F72" s="209"/>
      <c r="G72" s="209"/>
      <c r="H72" s="209"/>
      <c r="I72" s="209"/>
      <c r="J72" s="410">
        <f>$J$68*J65</f>
        <v>0</v>
      </c>
      <c r="K72" s="209"/>
      <c r="L72" s="410" t="e">
        <f>$L$68*L65</f>
        <v>#REF!</v>
      </c>
      <c r="M72" s="411">
        <f>M65*M68</f>
        <v>-842102.95554821799</v>
      </c>
      <c r="N72" s="411">
        <f>N68*N65</f>
        <v>-626482.38103074639</v>
      </c>
    </row>
    <row r="73" spans="1:14" s="335" customFormat="1" ht="13.8" hidden="1" outlineLevel="1" thickBot="1" x14ac:dyDescent="0.3">
      <c r="A73" s="412"/>
      <c r="B73" s="413" t="s">
        <v>0</v>
      </c>
      <c r="C73" s="414"/>
      <c r="D73" s="415"/>
      <c r="E73" s="415"/>
      <c r="F73" s="415"/>
      <c r="G73" s="415"/>
      <c r="H73" s="415"/>
      <c r="I73" s="415"/>
      <c r="J73" s="416">
        <f>SUM(J69:J72)</f>
        <v>0</v>
      </c>
      <c r="K73" s="415"/>
      <c r="L73" s="416" t="e">
        <f>SUM(L69:L72)</f>
        <v>#REF!</v>
      </c>
      <c r="M73" s="417">
        <f>SUM(M69:M72)</f>
        <v>-3605642</v>
      </c>
      <c r="N73" s="417">
        <f>SUM(N69:N72)</f>
        <v>-6103636.0000000009</v>
      </c>
    </row>
    <row r="74" spans="1:14" hidden="1" outlineLevel="1" x14ac:dyDescent="0.25">
      <c r="A74" s="344"/>
    </row>
    <row r="75" spans="1:14" hidden="1" outlineLevel="1" x14ac:dyDescent="0.25">
      <c r="A75" s="344"/>
    </row>
    <row r="76" spans="1:14" hidden="1" outlineLevel="1" x14ac:dyDescent="0.25">
      <c r="A76" s="344"/>
    </row>
    <row r="77" spans="1:14" hidden="1" outlineLevel="1" x14ac:dyDescent="0.25">
      <c r="A77" s="344"/>
    </row>
    <row r="78" spans="1:14" collapsed="1" x14ac:dyDescent="0.25">
      <c r="A78" s="344"/>
    </row>
    <row r="79" spans="1:14" x14ac:dyDescent="0.25">
      <c r="A79" s="344"/>
    </row>
    <row r="80" spans="1:14" x14ac:dyDescent="0.25">
      <c r="A80" s="344"/>
    </row>
    <row r="81" spans="1:1" x14ac:dyDescent="0.25">
      <c r="A81" s="344"/>
    </row>
    <row r="82" spans="1:1" x14ac:dyDescent="0.25">
      <c r="A82" s="344"/>
    </row>
    <row r="83" spans="1:1" x14ac:dyDescent="0.25">
      <c r="A83" s="344"/>
    </row>
    <row r="84" spans="1:1" x14ac:dyDescent="0.25">
      <c r="A84" s="344"/>
    </row>
    <row r="85" spans="1:1" x14ac:dyDescent="0.25">
      <c r="A85" s="344"/>
    </row>
    <row r="86" spans="1:1" x14ac:dyDescent="0.25">
      <c r="A86" s="344"/>
    </row>
    <row r="87" spans="1:1" x14ac:dyDescent="0.25">
      <c r="A87" s="344"/>
    </row>
    <row r="88" spans="1:1" x14ac:dyDescent="0.25">
      <c r="A88" s="344"/>
    </row>
    <row r="89" spans="1:1" x14ac:dyDescent="0.25">
      <c r="A89" s="344"/>
    </row>
    <row r="90" spans="1:1" x14ac:dyDescent="0.25">
      <c r="A90" s="344"/>
    </row>
    <row r="91" spans="1:1" x14ac:dyDescent="0.25">
      <c r="A91" s="344"/>
    </row>
    <row r="92" spans="1:1" x14ac:dyDescent="0.25">
      <c r="A92" s="344"/>
    </row>
    <row r="93" spans="1:1" x14ac:dyDescent="0.25">
      <c r="A93" s="344"/>
    </row>
    <row r="94" spans="1:1" x14ac:dyDescent="0.25">
      <c r="A94" s="344"/>
    </row>
    <row r="95" spans="1:1" x14ac:dyDescent="0.25">
      <c r="A95" s="344"/>
    </row>
    <row r="96" spans="1:1" x14ac:dyDescent="0.25">
      <c r="A96" s="344"/>
    </row>
    <row r="97" spans="1:1" x14ac:dyDescent="0.25">
      <c r="A97" s="344"/>
    </row>
    <row r="98" spans="1:1" x14ac:dyDescent="0.25">
      <c r="A98" s="344"/>
    </row>
    <row r="99" spans="1:1" x14ac:dyDescent="0.25">
      <c r="A99" s="344"/>
    </row>
    <row r="100" spans="1:1" x14ac:dyDescent="0.25">
      <c r="A100" s="344"/>
    </row>
    <row r="101" spans="1:1" x14ac:dyDescent="0.25">
      <c r="A101" s="344"/>
    </row>
    <row r="102" spans="1:1" x14ac:dyDescent="0.25">
      <c r="A102" s="344"/>
    </row>
    <row r="103" spans="1:1" x14ac:dyDescent="0.25">
      <c r="A103" s="344"/>
    </row>
    <row r="104" spans="1:1" x14ac:dyDescent="0.25">
      <c r="A104" s="344"/>
    </row>
    <row r="105" spans="1:1" x14ac:dyDescent="0.25">
      <c r="A105" s="344"/>
    </row>
    <row r="106" spans="1:1" x14ac:dyDescent="0.25">
      <c r="A106" s="344"/>
    </row>
    <row r="107" spans="1:1" x14ac:dyDescent="0.25">
      <c r="A107" s="344"/>
    </row>
    <row r="108" spans="1:1" x14ac:dyDescent="0.25">
      <c r="A108" s="344"/>
    </row>
    <row r="109" spans="1:1" x14ac:dyDescent="0.25">
      <c r="A109" s="344"/>
    </row>
    <row r="110" spans="1:1" x14ac:dyDescent="0.25">
      <c r="A110" s="344"/>
    </row>
    <row r="111" spans="1:1" x14ac:dyDescent="0.25">
      <c r="A111" s="344"/>
    </row>
    <row r="112" spans="1:1" x14ac:dyDescent="0.25">
      <c r="A112" s="344"/>
    </row>
    <row r="113" spans="1:1" x14ac:dyDescent="0.25">
      <c r="A113" s="344"/>
    </row>
    <row r="114" spans="1:1" x14ac:dyDescent="0.25">
      <c r="A114" s="344"/>
    </row>
    <row r="115" spans="1:1" x14ac:dyDescent="0.25">
      <c r="A115" s="344"/>
    </row>
    <row r="116" spans="1:1" x14ac:dyDescent="0.25">
      <c r="A116" s="344"/>
    </row>
    <row r="117" spans="1:1" x14ac:dyDescent="0.25">
      <c r="A117" s="344"/>
    </row>
    <row r="118" spans="1:1" x14ac:dyDescent="0.25">
      <c r="A118" s="344"/>
    </row>
    <row r="119" spans="1:1" x14ac:dyDescent="0.25">
      <c r="A119" s="344"/>
    </row>
    <row r="120" spans="1:1" x14ac:dyDescent="0.25">
      <c r="A120" s="344"/>
    </row>
    <row r="121" spans="1:1" x14ac:dyDescent="0.25">
      <c r="A121" s="344"/>
    </row>
    <row r="122" spans="1:1" x14ac:dyDescent="0.25">
      <c r="A122" s="344"/>
    </row>
    <row r="123" spans="1:1" x14ac:dyDescent="0.25">
      <c r="A123" s="344"/>
    </row>
    <row r="124" spans="1:1" x14ac:dyDescent="0.25">
      <c r="A124" s="344"/>
    </row>
    <row r="125" spans="1:1" x14ac:dyDescent="0.25">
      <c r="A125" s="344"/>
    </row>
    <row r="126" spans="1:1" x14ac:dyDescent="0.25">
      <c r="A126" s="344"/>
    </row>
    <row r="127" spans="1:1" x14ac:dyDescent="0.25">
      <c r="A127" s="344"/>
    </row>
    <row r="128" spans="1:1" x14ac:dyDescent="0.25">
      <c r="A128" s="344"/>
    </row>
    <row r="129" spans="1:1" x14ac:dyDescent="0.25">
      <c r="A129" s="344"/>
    </row>
    <row r="130" spans="1:1" x14ac:dyDescent="0.25">
      <c r="A130" s="344"/>
    </row>
    <row r="131" spans="1:1" x14ac:dyDescent="0.25">
      <c r="A131" s="344"/>
    </row>
    <row r="132" spans="1:1" x14ac:dyDescent="0.25">
      <c r="A132" s="344"/>
    </row>
    <row r="133" spans="1:1" x14ac:dyDescent="0.25">
      <c r="A133" s="344"/>
    </row>
    <row r="134" spans="1:1" x14ac:dyDescent="0.25">
      <c r="A134" s="344"/>
    </row>
    <row r="135" spans="1:1" x14ac:dyDescent="0.25">
      <c r="A135" s="344"/>
    </row>
    <row r="136" spans="1:1" x14ac:dyDescent="0.25">
      <c r="A136" s="344"/>
    </row>
    <row r="137" spans="1:1" x14ac:dyDescent="0.25">
      <c r="A137" s="344"/>
    </row>
    <row r="138" spans="1:1" x14ac:dyDescent="0.25">
      <c r="A138" s="344"/>
    </row>
    <row r="139" spans="1:1" x14ac:dyDescent="0.25">
      <c r="A139" s="344"/>
    </row>
    <row r="140" spans="1:1" x14ac:dyDescent="0.25">
      <c r="A140" s="344"/>
    </row>
    <row r="141" spans="1:1" x14ac:dyDescent="0.25">
      <c r="A141" s="344"/>
    </row>
    <row r="142" spans="1:1" x14ac:dyDescent="0.25">
      <c r="A142" s="344"/>
    </row>
    <row r="143" spans="1:1" x14ac:dyDescent="0.25">
      <c r="A143" s="344"/>
    </row>
    <row r="144" spans="1:1" x14ac:dyDescent="0.25">
      <c r="A144" s="344"/>
    </row>
    <row r="145" spans="1:1" x14ac:dyDescent="0.25">
      <c r="A145" s="344"/>
    </row>
    <row r="146" spans="1:1" x14ac:dyDescent="0.25">
      <c r="A146" s="344"/>
    </row>
    <row r="147" spans="1:1" x14ac:dyDescent="0.25">
      <c r="A147" s="344"/>
    </row>
    <row r="148" spans="1:1" x14ac:dyDescent="0.25">
      <c r="A148" s="344"/>
    </row>
    <row r="149" spans="1:1" x14ac:dyDescent="0.25">
      <c r="A149" s="344"/>
    </row>
    <row r="150" spans="1:1" x14ac:dyDescent="0.25">
      <c r="A150" s="344"/>
    </row>
    <row r="151" spans="1:1" x14ac:dyDescent="0.25">
      <c r="A151" s="344"/>
    </row>
    <row r="152" spans="1:1" x14ac:dyDescent="0.25">
      <c r="A152" s="344"/>
    </row>
    <row r="153" spans="1:1" x14ac:dyDescent="0.25">
      <c r="A153" s="344"/>
    </row>
    <row r="154" spans="1:1" x14ac:dyDescent="0.25">
      <c r="A154" s="344"/>
    </row>
    <row r="155" spans="1:1" x14ac:dyDescent="0.25">
      <c r="A155" s="344"/>
    </row>
    <row r="156" spans="1:1" x14ac:dyDescent="0.25">
      <c r="A156" s="344"/>
    </row>
    <row r="157" spans="1:1" x14ac:dyDescent="0.25">
      <c r="A157" s="344"/>
    </row>
    <row r="158" spans="1:1" x14ac:dyDescent="0.25">
      <c r="A158" s="344"/>
    </row>
    <row r="159" spans="1:1" x14ac:dyDescent="0.25">
      <c r="A159" s="344"/>
    </row>
    <row r="160" spans="1:1" x14ac:dyDescent="0.25">
      <c r="A160" s="344"/>
    </row>
    <row r="161" spans="1:1" x14ac:dyDescent="0.25">
      <c r="A161" s="344"/>
    </row>
    <row r="162" spans="1:1" x14ac:dyDescent="0.25">
      <c r="A162" s="344"/>
    </row>
    <row r="163" spans="1:1" x14ac:dyDescent="0.25">
      <c r="A163" s="344"/>
    </row>
    <row r="164" spans="1:1" x14ac:dyDescent="0.25">
      <c r="A164" s="344"/>
    </row>
    <row r="165" spans="1:1" x14ac:dyDescent="0.25">
      <c r="A165" s="344"/>
    </row>
    <row r="166" spans="1:1" x14ac:dyDescent="0.25">
      <c r="A166" s="344"/>
    </row>
    <row r="167" spans="1:1" x14ac:dyDescent="0.25">
      <c r="A167" s="344"/>
    </row>
    <row r="168" spans="1:1" x14ac:dyDescent="0.25">
      <c r="A168" s="344"/>
    </row>
    <row r="169" spans="1:1" x14ac:dyDescent="0.25">
      <c r="A169" s="344"/>
    </row>
    <row r="170" spans="1:1" x14ac:dyDescent="0.25">
      <c r="A170" s="344"/>
    </row>
    <row r="171" spans="1:1" x14ac:dyDescent="0.25">
      <c r="A171" s="344"/>
    </row>
    <row r="172" spans="1:1" x14ac:dyDescent="0.25">
      <c r="A172" s="344"/>
    </row>
    <row r="173" spans="1:1" x14ac:dyDescent="0.25">
      <c r="A173" s="344"/>
    </row>
    <row r="174" spans="1:1" x14ac:dyDescent="0.25">
      <c r="A174" s="344"/>
    </row>
    <row r="175" spans="1:1" x14ac:dyDescent="0.25">
      <c r="A175" s="344"/>
    </row>
    <row r="176" spans="1:1" x14ac:dyDescent="0.25">
      <c r="A176" s="344"/>
    </row>
    <row r="177" spans="1:1" x14ac:dyDescent="0.25">
      <c r="A177" s="344"/>
    </row>
    <row r="178" spans="1:1" x14ac:dyDescent="0.25">
      <c r="A178" s="344"/>
    </row>
    <row r="179" spans="1:1" x14ac:dyDescent="0.25">
      <c r="A179" s="344"/>
    </row>
    <row r="180" spans="1:1" x14ac:dyDescent="0.25">
      <c r="A180" s="344"/>
    </row>
    <row r="181" spans="1:1" x14ac:dyDescent="0.25">
      <c r="A181" s="344"/>
    </row>
    <row r="182" spans="1:1" x14ac:dyDescent="0.25">
      <c r="A182" s="344"/>
    </row>
    <row r="183" spans="1:1" x14ac:dyDescent="0.25">
      <c r="A183" s="344"/>
    </row>
    <row r="184" spans="1:1" x14ac:dyDescent="0.25">
      <c r="A184" s="344"/>
    </row>
    <row r="185" spans="1:1" x14ac:dyDescent="0.25">
      <c r="A185" s="344"/>
    </row>
    <row r="186" spans="1:1" x14ac:dyDescent="0.25">
      <c r="A186" s="344"/>
    </row>
    <row r="187" spans="1:1" x14ac:dyDescent="0.25">
      <c r="A187" s="344"/>
    </row>
    <row r="188" spans="1:1" x14ac:dyDescent="0.25">
      <c r="A188" s="344"/>
    </row>
    <row r="189" spans="1:1" x14ac:dyDescent="0.25">
      <c r="A189" s="344"/>
    </row>
    <row r="190" spans="1:1" x14ac:dyDescent="0.25">
      <c r="A190" s="344"/>
    </row>
    <row r="191" spans="1:1" x14ac:dyDescent="0.25">
      <c r="A191" s="344"/>
    </row>
    <row r="192" spans="1:1" x14ac:dyDescent="0.25">
      <c r="A192" s="344"/>
    </row>
    <row r="193" spans="1:1" x14ac:dyDescent="0.25">
      <c r="A193" s="344"/>
    </row>
    <row r="194" spans="1:1" x14ac:dyDescent="0.25">
      <c r="A194" s="344"/>
    </row>
    <row r="195" spans="1:1" x14ac:dyDescent="0.25">
      <c r="A195" s="344"/>
    </row>
    <row r="196" spans="1:1" x14ac:dyDescent="0.25">
      <c r="A196" s="344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88"/>
  <sheetViews>
    <sheetView workbookViewId="0">
      <pane xSplit="3" ySplit="7" topLeftCell="F2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3.2" outlineLevelCol="1" x14ac:dyDescent="0.25"/>
  <cols>
    <col min="1" max="1" width="9.109375" style="197"/>
    <col min="2" max="2" width="46" style="197" bestFit="1" customWidth="1"/>
    <col min="3" max="3" width="8.44140625" style="200" bestFit="1" customWidth="1"/>
    <col min="4" max="6" width="15.5546875" style="197" customWidth="1" outlineLevel="1"/>
    <col min="7" max="12" width="15.5546875" style="197" customWidth="1"/>
    <col min="13" max="13" width="15.5546875" style="197" bestFit="1" customWidth="1"/>
    <col min="14" max="14" width="17.33203125" style="336" bestFit="1" customWidth="1"/>
    <col min="15" max="15" width="15.5546875" style="197" bestFit="1" customWidth="1"/>
    <col min="16" max="16" width="15" style="197" bestFit="1" customWidth="1"/>
    <col min="17" max="16384" width="9.109375" style="197"/>
  </cols>
  <sheetData>
    <row r="3" spans="1:18" x14ac:dyDescent="0.25">
      <c r="A3" s="335" t="s">
        <v>740</v>
      </c>
    </row>
    <row r="6" spans="1:18" x14ac:dyDescent="0.25">
      <c r="C6" s="337" t="s">
        <v>718</v>
      </c>
      <c r="D6" s="338">
        <f>'GasGross Plant Data'!D6</f>
        <v>0.34849999999999998</v>
      </c>
      <c r="E6" s="338">
        <f>'GasGross Plant Data'!E6</f>
        <v>0.35210000000000002</v>
      </c>
      <c r="F6" s="338">
        <f>'GasGross Plant Data'!F6</f>
        <v>0.33489999999999998</v>
      </c>
      <c r="G6" s="339">
        <f>'GasGross Plant Data'!G6</f>
        <v>0.34050000000000002</v>
      </c>
      <c r="H6" s="339">
        <f>'GasGross Plant Data'!H6</f>
        <v>0.32890000000000003</v>
      </c>
      <c r="I6" s="339">
        <f>'GasGross Plant Data'!I6</f>
        <v>0.32019999999999998</v>
      </c>
      <c r="J6" s="339">
        <v>0.3145</v>
      </c>
      <c r="K6" s="340">
        <v>0.31590000000000001</v>
      </c>
      <c r="L6" s="340">
        <v>0.33229999999999998</v>
      </c>
      <c r="M6" s="340">
        <v>0.34410000000000002</v>
      </c>
      <c r="N6" s="341">
        <v>0.33810000000000001</v>
      </c>
    </row>
    <row r="7" spans="1:18" x14ac:dyDescent="0.25">
      <c r="A7" s="342" t="s">
        <v>407</v>
      </c>
      <c r="B7" s="342" t="s">
        <v>289</v>
      </c>
      <c r="C7" s="342" t="s">
        <v>717</v>
      </c>
      <c r="D7" s="342">
        <v>2008</v>
      </c>
      <c r="E7" s="342">
        <v>2009</v>
      </c>
      <c r="F7" s="342">
        <v>2010</v>
      </c>
      <c r="G7" s="342">
        <v>2011</v>
      </c>
      <c r="H7" s="342">
        <v>2012</v>
      </c>
      <c r="I7" s="342">
        <v>2013</v>
      </c>
      <c r="J7" s="342">
        <v>2014</v>
      </c>
      <c r="K7" s="342">
        <v>2015</v>
      </c>
      <c r="L7" s="342">
        <v>2016</v>
      </c>
      <c r="M7" s="342">
        <v>2017</v>
      </c>
      <c r="N7" s="343">
        <v>2018</v>
      </c>
    </row>
    <row r="9" spans="1:18" x14ac:dyDescent="0.25">
      <c r="A9" s="344"/>
      <c r="B9" s="336" t="s">
        <v>185</v>
      </c>
      <c r="C9" s="345"/>
      <c r="D9" s="346">
        <v>-5679878</v>
      </c>
      <c r="E9" s="346">
        <v>-5833194</v>
      </c>
      <c r="F9" s="346">
        <v>-5893689</v>
      </c>
      <c r="G9" s="346">
        <v>-5954185</v>
      </c>
      <c r="H9" s="346">
        <v>-5998280</v>
      </c>
      <c r="I9" s="346">
        <v>-6044259</v>
      </c>
      <c r="J9" s="346">
        <v>-6104473</v>
      </c>
      <c r="K9" s="346">
        <v>-6164687</v>
      </c>
      <c r="L9" s="346">
        <v>-6224900</v>
      </c>
      <c r="M9" s="346">
        <v>-6285079</v>
      </c>
      <c r="N9" s="346">
        <v>-6332779</v>
      </c>
      <c r="Q9" s="336"/>
      <c r="R9" s="336"/>
    </row>
    <row r="10" spans="1:18" x14ac:dyDescent="0.25">
      <c r="A10" s="344"/>
      <c r="B10" s="336" t="s">
        <v>763</v>
      </c>
      <c r="C10" s="345"/>
      <c r="D10" s="346">
        <v>-15686842</v>
      </c>
      <c r="E10" s="346">
        <v>-16454405</v>
      </c>
      <c r="F10" s="347">
        <v>-17534092</v>
      </c>
      <c r="G10" s="347">
        <v>-18706710</v>
      </c>
      <c r="H10" s="347">
        <v>-19759556</v>
      </c>
      <c r="I10" s="347">
        <v>-20914256</v>
      </c>
      <c r="J10" s="347">
        <v>-22074796</v>
      </c>
      <c r="K10" s="347">
        <v>-23288581</v>
      </c>
      <c r="L10" s="347">
        <v>-24166640</v>
      </c>
      <c r="M10" s="347">
        <v>-25038663</v>
      </c>
      <c r="N10" s="347">
        <v>-26230367</v>
      </c>
      <c r="Q10" s="336"/>
      <c r="R10" s="336"/>
    </row>
    <row r="11" spans="1:18" x14ac:dyDescent="0.25">
      <c r="A11" s="344"/>
      <c r="B11" s="336" t="s">
        <v>762</v>
      </c>
      <c r="C11" s="348"/>
      <c r="D11" s="346">
        <v>-314145</v>
      </c>
      <c r="E11" s="346">
        <v>-357871</v>
      </c>
      <c r="F11" s="347">
        <v>-389209</v>
      </c>
      <c r="G11" s="347">
        <v>-420474</v>
      </c>
      <c r="H11" s="347">
        <v>-451629</v>
      </c>
      <c r="I11" s="347">
        <v>-482785</v>
      </c>
      <c r="J11" s="347">
        <v>-513941</v>
      </c>
      <c r="K11" s="347">
        <v>-545097</v>
      </c>
      <c r="L11" s="347">
        <v>-576252</v>
      </c>
      <c r="M11" s="347">
        <v>-607395</v>
      </c>
      <c r="N11" s="347">
        <v>-633937</v>
      </c>
      <c r="Q11" s="336"/>
      <c r="R11" s="336"/>
    </row>
    <row r="12" spans="1:18" x14ac:dyDescent="0.25">
      <c r="A12" s="344"/>
      <c r="B12" s="349" t="s">
        <v>64</v>
      </c>
      <c r="C12" s="348" t="s">
        <v>291</v>
      </c>
      <c r="D12" s="350">
        <f t="shared" ref="D12:N12" si="0">SUM(D9:D11)</f>
        <v>-21680865</v>
      </c>
      <c r="E12" s="350">
        <f t="shared" si="0"/>
        <v>-22645470</v>
      </c>
      <c r="F12" s="350">
        <f t="shared" si="0"/>
        <v>-23816990</v>
      </c>
      <c r="G12" s="350">
        <f t="shared" si="0"/>
        <v>-25081369</v>
      </c>
      <c r="H12" s="350">
        <f t="shared" si="0"/>
        <v>-26209465</v>
      </c>
      <c r="I12" s="350">
        <f t="shared" si="0"/>
        <v>-27441300</v>
      </c>
      <c r="J12" s="350">
        <f t="shared" si="0"/>
        <v>-28693210</v>
      </c>
      <c r="K12" s="350">
        <f t="shared" si="0"/>
        <v>-29998365</v>
      </c>
      <c r="L12" s="350">
        <f t="shared" si="0"/>
        <v>-30967792</v>
      </c>
      <c r="M12" s="350">
        <f t="shared" si="0"/>
        <v>-31931137</v>
      </c>
      <c r="N12" s="350">
        <f t="shared" si="0"/>
        <v>-33197083</v>
      </c>
      <c r="Q12" s="349"/>
      <c r="R12" s="349"/>
    </row>
    <row r="13" spans="1:18" x14ac:dyDescent="0.25">
      <c r="A13" s="344"/>
      <c r="B13" s="351" t="s">
        <v>65</v>
      </c>
      <c r="C13" s="348" t="s">
        <v>292</v>
      </c>
      <c r="D13" s="347">
        <v>-48</v>
      </c>
      <c r="E13" s="347">
        <v>-2</v>
      </c>
      <c r="F13" s="347">
        <v>0</v>
      </c>
      <c r="G13" s="347">
        <v>0</v>
      </c>
      <c r="H13" s="347">
        <v>0</v>
      </c>
      <c r="I13" s="347">
        <v>0</v>
      </c>
      <c r="J13" s="347">
        <v>0</v>
      </c>
      <c r="K13" s="347">
        <v>0</v>
      </c>
      <c r="L13" s="347">
        <v>0</v>
      </c>
      <c r="M13" s="347">
        <v>0</v>
      </c>
      <c r="N13" s="347"/>
      <c r="Q13" s="351"/>
      <c r="R13" s="351"/>
    </row>
    <row r="14" spans="1:18" x14ac:dyDescent="0.25">
      <c r="A14" s="344"/>
      <c r="B14" s="351" t="s">
        <v>66</v>
      </c>
      <c r="C14" s="348" t="s">
        <v>214</v>
      </c>
      <c r="D14" s="347">
        <v>-687515984</v>
      </c>
      <c r="E14" s="347">
        <v>-753186569</v>
      </c>
      <c r="F14" s="347">
        <v>-823796903</v>
      </c>
      <c r="G14" s="347">
        <v>-887774436</v>
      </c>
      <c r="H14" s="347">
        <v>-961781988</v>
      </c>
      <c r="I14" s="347">
        <v>-1034510627</v>
      </c>
      <c r="J14" s="347">
        <v>-1115183940.3789999</v>
      </c>
      <c r="K14" s="347">
        <v>-1188656313</v>
      </c>
      <c r="L14" s="347">
        <v>-1271567693</v>
      </c>
      <c r="M14" s="347">
        <v>-1361667453</v>
      </c>
      <c r="N14" s="347">
        <v>-1437080016</v>
      </c>
      <c r="Q14" s="351"/>
      <c r="R14" s="351"/>
    </row>
    <row r="15" spans="1:18" x14ac:dyDescent="0.25">
      <c r="A15" s="344"/>
      <c r="B15" s="351" t="s">
        <v>67</v>
      </c>
      <c r="C15" s="348" t="s">
        <v>217</v>
      </c>
      <c r="D15" s="347">
        <v>-10414651</v>
      </c>
      <c r="E15" s="347">
        <v>-11762515</v>
      </c>
      <c r="F15" s="347">
        <v>-8080679</v>
      </c>
      <c r="G15" s="347">
        <v>-2843874</v>
      </c>
      <c r="H15" s="347">
        <v>-3472132</v>
      </c>
      <c r="I15" s="347">
        <v>-4026374</v>
      </c>
      <c r="J15" s="347">
        <v>-5464380</v>
      </c>
      <c r="K15" s="347">
        <v>-6843256</v>
      </c>
      <c r="L15" s="347">
        <v>-6083570</v>
      </c>
      <c r="M15" s="347">
        <v>-8288222</v>
      </c>
      <c r="N15" s="347">
        <v>-11359823</v>
      </c>
      <c r="O15" s="352">
        <v>-1325290560</v>
      </c>
      <c r="Q15" s="351"/>
      <c r="R15" s="351"/>
    </row>
    <row r="16" spans="1:18" x14ac:dyDescent="0.25">
      <c r="A16" s="344"/>
      <c r="B16" s="351" t="s">
        <v>68</v>
      </c>
      <c r="C16" s="348" t="s">
        <v>216</v>
      </c>
      <c r="D16" s="347">
        <v>-23973313</v>
      </c>
      <c r="E16" s="347">
        <v>-20498049</v>
      </c>
      <c r="F16" s="347">
        <v>-2903031</v>
      </c>
      <c r="G16" s="347">
        <v>-6845871</v>
      </c>
      <c r="H16" s="347">
        <v>-9779720</v>
      </c>
      <c r="I16" s="347">
        <v>-14393688</v>
      </c>
      <c r="J16" s="347">
        <v>-14522462</v>
      </c>
      <c r="K16" s="347">
        <v>-15250070</v>
      </c>
      <c r="L16" s="347">
        <v>-16671505</v>
      </c>
      <c r="M16" s="347">
        <v>-17702617</v>
      </c>
      <c r="N16" s="347">
        <v>-7443834</v>
      </c>
      <c r="O16" s="258">
        <f>SUM(L12:L16)</f>
        <v>-1325290560</v>
      </c>
      <c r="P16" s="353">
        <f>+O16-O15</f>
        <v>0</v>
      </c>
      <c r="Q16" s="351"/>
      <c r="R16" s="351"/>
    </row>
    <row r="17" spans="1:17" x14ac:dyDescent="0.25">
      <c r="A17" s="344"/>
      <c r="B17" s="354"/>
      <c r="C17" s="348"/>
      <c r="D17" s="355"/>
      <c r="E17" s="355"/>
      <c r="F17" s="355"/>
      <c r="G17" s="355"/>
      <c r="H17" s="355"/>
      <c r="I17" s="355"/>
      <c r="J17" s="355"/>
      <c r="K17" s="355"/>
      <c r="L17" s="356"/>
      <c r="M17" s="356"/>
      <c r="N17" s="356"/>
      <c r="Q17" s="351"/>
    </row>
    <row r="18" spans="1:17" x14ac:dyDescent="0.25">
      <c r="A18" s="344"/>
      <c r="B18" s="197" t="s">
        <v>711</v>
      </c>
      <c r="C18" s="200" t="s">
        <v>217</v>
      </c>
      <c r="D18" s="347">
        <v>-72745387.114500001</v>
      </c>
      <c r="E18" s="347">
        <v>-85322353.988900006</v>
      </c>
      <c r="F18" s="347">
        <v>-41999588.300899997</v>
      </c>
      <c r="G18" s="347">
        <v>-20346789.291000001</v>
      </c>
      <c r="H18" s="347">
        <v>-19646466.882900003</v>
      </c>
      <c r="I18" s="347">
        <v>-15113212.0176</v>
      </c>
      <c r="J18" s="347">
        <v>-16102164.754000001</v>
      </c>
      <c r="K18" s="347">
        <v>-16768950.0264</v>
      </c>
      <c r="L18" s="347">
        <v>-19263551.292599998</v>
      </c>
      <c r="M18" s="347">
        <v>-26515161.951900002</v>
      </c>
      <c r="N18" s="347">
        <v>-36062489.82</v>
      </c>
    </row>
    <row r="19" spans="1:17" x14ac:dyDescent="0.25">
      <c r="A19" s="344"/>
      <c r="B19" s="354" t="s">
        <v>710</v>
      </c>
      <c r="C19" s="200" t="s">
        <v>216</v>
      </c>
      <c r="D19" s="347">
        <v>-22561790.677499995</v>
      </c>
      <c r="E19" s="347">
        <v>-26379266.157300003</v>
      </c>
      <c r="F19" s="347">
        <v>-24328926.375399996</v>
      </c>
      <c r="G19" s="347">
        <v>-34645051.330499999</v>
      </c>
      <c r="H19" s="347">
        <v>-43359254.0524</v>
      </c>
      <c r="I19" s="347">
        <v>-50379169.713999994</v>
      </c>
      <c r="J19" s="347">
        <v>-41180334.055500001</v>
      </c>
      <c r="K19" s="347">
        <v>-39918555.826500006</v>
      </c>
      <c r="L19" s="347">
        <v>-48767428.525899999</v>
      </c>
      <c r="M19" s="347">
        <v>-53345580.753600009</v>
      </c>
      <c r="N19" s="347">
        <v>-48998804.061900005</v>
      </c>
      <c r="Q19" s="354"/>
    </row>
    <row r="20" spans="1:17" x14ac:dyDescent="0.25">
      <c r="A20" s="357"/>
      <c r="B20" s="354" t="s">
        <v>769</v>
      </c>
      <c r="C20" s="348" t="s">
        <v>216</v>
      </c>
      <c r="D20" s="347">
        <v>3838.0304999999998</v>
      </c>
      <c r="E20" s="347"/>
      <c r="F20" s="347"/>
      <c r="G20" s="347"/>
      <c r="H20" s="347"/>
      <c r="I20" s="347"/>
      <c r="J20" s="347"/>
      <c r="K20" s="347"/>
      <c r="L20" s="347"/>
      <c r="M20" s="347"/>
      <c r="Q20" s="354"/>
    </row>
    <row r="21" spans="1:17" x14ac:dyDescent="0.25">
      <c r="A21" s="336">
        <v>10800042</v>
      </c>
      <c r="B21" s="336" t="s">
        <v>768</v>
      </c>
      <c r="C21" s="336"/>
      <c r="D21" s="347">
        <v>0</v>
      </c>
      <c r="E21" s="347">
        <v>0</v>
      </c>
      <c r="F21" s="347">
        <v>0</v>
      </c>
      <c r="G21" s="347">
        <v>0</v>
      </c>
      <c r="H21" s="347">
        <v>0</v>
      </c>
      <c r="I21" s="347">
        <v>0</v>
      </c>
      <c r="J21" s="347">
        <v>0</v>
      </c>
      <c r="K21" s="347">
        <v>0</v>
      </c>
      <c r="L21" s="358">
        <v>0</v>
      </c>
      <c r="M21" s="358">
        <v>0</v>
      </c>
      <c r="N21" s="347">
        <v>0</v>
      </c>
      <c r="O21" s="359"/>
      <c r="Q21" s="351"/>
    </row>
    <row r="22" spans="1:17" x14ac:dyDescent="0.25">
      <c r="A22" s="336">
        <v>10800052</v>
      </c>
      <c r="B22" s="336" t="s">
        <v>767</v>
      </c>
      <c r="C22" s="336"/>
      <c r="D22" s="347">
        <v>0</v>
      </c>
      <c r="E22" s="347">
        <v>0</v>
      </c>
      <c r="F22" s="347">
        <v>0</v>
      </c>
      <c r="G22" s="347">
        <v>0</v>
      </c>
      <c r="H22" s="347">
        <v>0</v>
      </c>
      <c r="I22" s="347">
        <v>0</v>
      </c>
      <c r="J22" s="347">
        <v>0</v>
      </c>
      <c r="K22" s="347">
        <v>0</v>
      </c>
      <c r="L22" s="358">
        <v>0</v>
      </c>
      <c r="M22" s="358">
        <v>0</v>
      </c>
      <c r="N22" s="347">
        <v>0</v>
      </c>
      <c r="Q22" s="351"/>
    </row>
    <row r="23" spans="1:17" x14ac:dyDescent="0.25">
      <c r="A23" s="336">
        <v>10800062</v>
      </c>
      <c r="B23" s="336" t="s">
        <v>733</v>
      </c>
      <c r="C23" s="336"/>
      <c r="D23" s="347">
        <v>-108938606</v>
      </c>
      <c r="E23" s="347">
        <v>-120640753</v>
      </c>
      <c r="F23" s="347">
        <v>-138865912</v>
      </c>
      <c r="G23" s="347">
        <v>-160939909</v>
      </c>
      <c r="H23" s="347">
        <v>-182630355</v>
      </c>
      <c r="I23" s="347">
        <v>-204359761</v>
      </c>
      <c r="J23" s="347">
        <v>-228029451</v>
      </c>
      <c r="K23" s="347">
        <v>-250039508</v>
      </c>
      <c r="L23" s="358">
        <v>-276469486</v>
      </c>
      <c r="M23" s="358">
        <v>-303968864</v>
      </c>
      <c r="N23" s="347">
        <v>-327462241</v>
      </c>
      <c r="Q23" s="351"/>
    </row>
    <row r="24" spans="1:17" x14ac:dyDescent="0.25">
      <c r="A24" s="336">
        <v>10800072</v>
      </c>
      <c r="B24" s="336" t="s">
        <v>732</v>
      </c>
      <c r="C24" s="336"/>
      <c r="D24" s="347">
        <v>108938606</v>
      </c>
      <c r="E24" s="347">
        <v>120640753</v>
      </c>
      <c r="F24" s="347">
        <v>138865912</v>
      </c>
      <c r="G24" s="347">
        <v>160939909</v>
      </c>
      <c r="H24" s="347">
        <v>182630355</v>
      </c>
      <c r="I24" s="347">
        <v>204359761</v>
      </c>
      <c r="J24" s="347">
        <v>228029451</v>
      </c>
      <c r="K24" s="347">
        <v>250039508</v>
      </c>
      <c r="L24" s="358">
        <v>276469486</v>
      </c>
      <c r="M24" s="358">
        <v>303968864</v>
      </c>
      <c r="N24" s="347">
        <v>327462241</v>
      </c>
      <c r="Q24" s="351"/>
    </row>
    <row r="25" spans="1:17" x14ac:dyDescent="0.25">
      <c r="A25" s="336">
        <v>10800102</v>
      </c>
      <c r="B25" s="336" t="s">
        <v>766</v>
      </c>
      <c r="C25" s="336"/>
      <c r="D25" s="347">
        <v>0</v>
      </c>
      <c r="E25" s="347">
        <v>0</v>
      </c>
      <c r="F25" s="347">
        <v>0</v>
      </c>
      <c r="G25" s="347">
        <v>0</v>
      </c>
      <c r="H25" s="347">
        <v>0</v>
      </c>
      <c r="I25" s="347">
        <v>0</v>
      </c>
      <c r="J25" s="347">
        <v>0</v>
      </c>
      <c r="K25" s="347">
        <v>0</v>
      </c>
      <c r="L25" s="358">
        <v>0</v>
      </c>
      <c r="M25" s="358">
        <v>0</v>
      </c>
      <c r="N25" s="347">
        <v>0</v>
      </c>
      <c r="Q25" s="351"/>
    </row>
    <row r="26" spans="1:17" x14ac:dyDescent="0.25">
      <c r="A26" s="336">
        <v>10800202</v>
      </c>
      <c r="B26" s="336" t="s">
        <v>765</v>
      </c>
      <c r="C26" s="336"/>
      <c r="D26" s="347">
        <v>0</v>
      </c>
      <c r="E26" s="347">
        <v>0</v>
      </c>
      <c r="F26" s="347">
        <v>0</v>
      </c>
      <c r="G26" s="347">
        <v>0</v>
      </c>
      <c r="H26" s="347">
        <v>0</v>
      </c>
      <c r="I26" s="347">
        <v>0</v>
      </c>
      <c r="J26" s="347">
        <v>0</v>
      </c>
      <c r="K26" s="347">
        <v>0</v>
      </c>
      <c r="L26" s="358">
        <v>0</v>
      </c>
      <c r="M26" s="358">
        <v>0</v>
      </c>
      <c r="N26" s="347">
        <v>0</v>
      </c>
      <c r="Q26" s="351"/>
    </row>
    <row r="27" spans="1:17" x14ac:dyDescent="0.25">
      <c r="A27" s="336">
        <v>10800552</v>
      </c>
      <c r="B27" s="336" t="s">
        <v>764</v>
      </c>
      <c r="C27" s="336" t="s">
        <v>291</v>
      </c>
      <c r="D27" s="347">
        <v>3013184</v>
      </c>
      <c r="E27" s="347">
        <v>1317723</v>
      </c>
      <c r="F27" s="347">
        <v>859532</v>
      </c>
      <c r="G27" s="347">
        <v>1535601</v>
      </c>
      <c r="H27" s="347">
        <v>2992191</v>
      </c>
      <c r="I27" s="347">
        <v>2925967</v>
      </c>
      <c r="J27" s="347">
        <v>3295804</v>
      </c>
      <c r="K27" s="347">
        <v>2704881</v>
      </c>
      <c r="L27" s="358">
        <v>4540955</v>
      </c>
      <c r="M27" s="358">
        <v>5998404</v>
      </c>
      <c r="N27" s="360">
        <v>71705.172892574439</v>
      </c>
      <c r="Q27" s="351"/>
    </row>
    <row r="28" spans="1:17" x14ac:dyDescent="0.25">
      <c r="A28" s="336">
        <v>10800552</v>
      </c>
      <c r="B28" s="336" t="s">
        <v>764</v>
      </c>
      <c r="C28" s="336" t="s">
        <v>292</v>
      </c>
      <c r="D28" s="347"/>
      <c r="E28" s="347"/>
      <c r="F28" s="347"/>
      <c r="G28" s="347"/>
      <c r="H28" s="347"/>
      <c r="I28" s="347"/>
      <c r="J28" s="347"/>
      <c r="K28" s="347"/>
      <c r="L28" s="358"/>
      <c r="M28" s="358"/>
      <c r="N28" s="360">
        <v>0</v>
      </c>
      <c r="Q28" s="351"/>
    </row>
    <row r="29" spans="1:17" x14ac:dyDescent="0.25">
      <c r="A29" s="336">
        <v>10800552</v>
      </c>
      <c r="B29" s="336" t="s">
        <v>764</v>
      </c>
      <c r="C29" s="336" t="s">
        <v>214</v>
      </c>
      <c r="D29" s="347"/>
      <c r="E29" s="347"/>
      <c r="F29" s="347"/>
      <c r="G29" s="347"/>
      <c r="H29" s="347"/>
      <c r="I29" s="347"/>
      <c r="J29" s="347"/>
      <c r="K29" s="347"/>
      <c r="L29" s="358"/>
      <c r="M29" s="358"/>
      <c r="N29" s="360">
        <v>3923592.2841419191</v>
      </c>
      <c r="Q29" s="351"/>
    </row>
    <row r="30" spans="1:17" x14ac:dyDescent="0.25">
      <c r="A30" s="336">
        <v>10800552</v>
      </c>
      <c r="B30" s="336" t="s">
        <v>764</v>
      </c>
      <c r="C30" s="336" t="s">
        <v>217</v>
      </c>
      <c r="D30" s="347"/>
      <c r="E30" s="347"/>
      <c r="F30" s="347"/>
      <c r="G30" s="347"/>
      <c r="H30" s="347"/>
      <c r="I30" s="347"/>
      <c r="J30" s="347"/>
      <c r="K30" s="347"/>
      <c r="L30" s="358"/>
      <c r="M30" s="358"/>
      <c r="N30" s="360">
        <v>147525.62071560239</v>
      </c>
      <c r="Q30" s="351"/>
    </row>
    <row r="31" spans="1:17" x14ac:dyDescent="0.25">
      <c r="A31" s="336">
        <v>10800552</v>
      </c>
      <c r="B31" s="336" t="s">
        <v>764</v>
      </c>
      <c r="C31" s="336" t="s">
        <v>216</v>
      </c>
      <c r="D31" s="347"/>
      <c r="E31" s="347"/>
      <c r="F31" s="347"/>
      <c r="G31" s="347"/>
      <c r="H31" s="347"/>
      <c r="I31" s="347"/>
      <c r="J31" s="347"/>
      <c r="K31" s="347"/>
      <c r="L31" s="358"/>
      <c r="M31" s="358"/>
      <c r="N31" s="360">
        <v>183545.92224990396</v>
      </c>
      <c r="Q31" s="351"/>
    </row>
    <row r="32" spans="1:17" x14ac:dyDescent="0.25">
      <c r="A32" s="336">
        <v>10800543</v>
      </c>
      <c r="B32" s="336" t="s">
        <v>730</v>
      </c>
      <c r="C32" s="336" t="s">
        <v>291</v>
      </c>
      <c r="D32" s="347">
        <v>4284.8074999999999</v>
      </c>
      <c r="E32" s="347">
        <v>14046.3253</v>
      </c>
      <c r="F32" s="347">
        <v>28490.947699999997</v>
      </c>
      <c r="G32" s="347">
        <v>18055.353000000003</v>
      </c>
      <c r="H32" s="347">
        <v>5144.9827000000005</v>
      </c>
      <c r="I32" s="347">
        <v>-69939.364799999996</v>
      </c>
      <c r="J32" s="347">
        <v>71208.146500000003</v>
      </c>
      <c r="K32" s="347">
        <v>81950.146200000003</v>
      </c>
      <c r="L32" s="358">
        <v>28508.017</v>
      </c>
      <c r="M32" s="358">
        <v>12678.364500000001</v>
      </c>
      <c r="N32" s="347">
        <v>339.86783562346545</v>
      </c>
      <c r="Q32" s="351"/>
    </row>
    <row r="33" spans="1:17" x14ac:dyDescent="0.25">
      <c r="A33" s="336">
        <v>10800543</v>
      </c>
      <c r="B33" s="336" t="s">
        <v>730</v>
      </c>
      <c r="C33" s="336" t="s">
        <v>292</v>
      </c>
      <c r="D33" s="347"/>
      <c r="E33" s="347"/>
      <c r="F33" s="347"/>
      <c r="G33" s="347"/>
      <c r="H33" s="347"/>
      <c r="I33" s="347"/>
      <c r="J33" s="347"/>
      <c r="K33" s="347"/>
      <c r="L33" s="358"/>
      <c r="M33" s="358"/>
      <c r="N33" s="347">
        <v>0</v>
      </c>
      <c r="Q33" s="351"/>
    </row>
    <row r="34" spans="1:17" x14ac:dyDescent="0.25">
      <c r="A34" s="336">
        <v>10800543</v>
      </c>
      <c r="B34" s="336" t="s">
        <v>730</v>
      </c>
      <c r="C34" s="336" t="s">
        <v>214</v>
      </c>
      <c r="D34" s="347"/>
      <c r="E34" s="347"/>
      <c r="F34" s="347"/>
      <c r="G34" s="347"/>
      <c r="H34" s="347"/>
      <c r="I34" s="347"/>
      <c r="J34" s="347"/>
      <c r="K34" s="347"/>
      <c r="L34" s="358"/>
      <c r="M34" s="358"/>
      <c r="N34" s="347">
        <v>18597.023948021699</v>
      </c>
      <c r="Q34" s="351"/>
    </row>
    <row r="35" spans="1:17" x14ac:dyDescent="0.25">
      <c r="A35" s="336">
        <v>10800543</v>
      </c>
      <c r="B35" s="336" t="s">
        <v>730</v>
      </c>
      <c r="C35" s="336" t="s">
        <v>217</v>
      </c>
      <c r="D35" s="347"/>
      <c r="E35" s="347"/>
      <c r="F35" s="347"/>
      <c r="G35" s="347"/>
      <c r="H35" s="347"/>
      <c r="I35" s="347"/>
      <c r="J35" s="347"/>
      <c r="K35" s="347"/>
      <c r="L35" s="358"/>
      <c r="M35" s="358"/>
      <c r="N35" s="347">
        <v>699.24123168542451</v>
      </c>
      <c r="Q35" s="351"/>
    </row>
    <row r="36" spans="1:17" x14ac:dyDescent="0.25">
      <c r="A36" s="336">
        <v>10800543</v>
      </c>
      <c r="B36" s="336" t="s">
        <v>730</v>
      </c>
      <c r="C36" s="336" t="s">
        <v>216</v>
      </c>
      <c r="D36" s="347"/>
      <c r="E36" s="347"/>
      <c r="F36" s="347"/>
      <c r="G36" s="347"/>
      <c r="H36" s="347"/>
      <c r="I36" s="347"/>
      <c r="J36" s="347"/>
      <c r="K36" s="347"/>
      <c r="L36" s="358"/>
      <c r="M36" s="358"/>
      <c r="N36" s="347">
        <v>869.97008466941099</v>
      </c>
      <c r="Q36" s="351"/>
    </row>
    <row r="37" spans="1:17" ht="14.4" x14ac:dyDescent="0.3">
      <c r="A37" s="361"/>
      <c r="B37" s="362" t="s">
        <v>742</v>
      </c>
      <c r="C37" s="363" t="s">
        <v>216</v>
      </c>
      <c r="D37" s="364">
        <v>-1449312</v>
      </c>
      <c r="E37" s="364"/>
      <c r="F37" s="364"/>
      <c r="G37" s="364">
        <v>49508</v>
      </c>
      <c r="H37" s="364"/>
      <c r="I37" s="209"/>
      <c r="J37" s="355">
        <v>0</v>
      </c>
      <c r="K37" s="355"/>
      <c r="L37" s="355"/>
      <c r="M37" s="63"/>
      <c r="N37" s="63"/>
      <c r="O37" s="359"/>
    </row>
    <row r="38" spans="1:17" x14ac:dyDescent="0.25">
      <c r="A38" s="365"/>
      <c r="B38" s="365"/>
      <c r="C38" s="365"/>
      <c r="D38" s="366">
        <f t="shared" ref="D38:N38" si="1">SUM(D12:D37)</f>
        <v>-837320043.954</v>
      </c>
      <c r="E38" s="366">
        <f t="shared" si="1"/>
        <v>-918462455.82089996</v>
      </c>
      <c r="F38" s="366">
        <f t="shared" si="1"/>
        <v>-924038094.72859991</v>
      </c>
      <c r="G38" s="366">
        <f t="shared" si="1"/>
        <v>-975934226.26849997</v>
      </c>
      <c r="H38" s="366">
        <f t="shared" si="1"/>
        <v>-1061251689.9525999</v>
      </c>
      <c r="I38" s="366">
        <f t="shared" si="1"/>
        <v>-1143008343.0964</v>
      </c>
      <c r="J38" s="366">
        <f t="shared" si="1"/>
        <v>-1217779479.0419998</v>
      </c>
      <c r="K38" s="366">
        <f t="shared" si="1"/>
        <v>-1294648678.7067001</v>
      </c>
      <c r="L38" s="366">
        <f t="shared" si="1"/>
        <v>-1388752076.8014998</v>
      </c>
      <c r="M38" s="366">
        <f t="shared" si="1"/>
        <v>-1493439089.3410001</v>
      </c>
      <c r="N38" s="366">
        <f t="shared" si="1"/>
        <v>-1569795174.7788</v>
      </c>
      <c r="Q38" s="351"/>
    </row>
    <row r="39" spans="1:17" x14ac:dyDescent="0.25">
      <c r="A39" s="336"/>
      <c r="B39" s="336"/>
      <c r="C39" s="336"/>
      <c r="D39" s="258"/>
      <c r="E39" s="258"/>
      <c r="F39" s="258"/>
      <c r="G39" s="258"/>
      <c r="H39" s="258"/>
      <c r="I39" s="258"/>
      <c r="J39" s="258"/>
      <c r="K39" s="258"/>
      <c r="L39" s="347"/>
      <c r="M39" s="347"/>
      <c r="N39" s="347"/>
      <c r="Q39" s="351"/>
    </row>
    <row r="40" spans="1:17" x14ac:dyDescent="0.25">
      <c r="D40" s="347"/>
      <c r="E40" s="347"/>
      <c r="F40" s="347"/>
      <c r="G40" s="347"/>
      <c r="H40" s="347"/>
      <c r="I40" s="347"/>
      <c r="J40" s="347"/>
      <c r="K40" s="347"/>
      <c r="L40" s="347"/>
      <c r="M40" s="347"/>
      <c r="N40" s="347"/>
    </row>
    <row r="47" spans="1:17" ht="6.6" customHeight="1" x14ac:dyDescent="0.25"/>
    <row r="55" spans="1:1" x14ac:dyDescent="0.25">
      <c r="A55" s="344"/>
    </row>
    <row r="56" spans="1:1" x14ac:dyDescent="0.25">
      <c r="A56" s="344"/>
    </row>
    <row r="57" spans="1:1" x14ac:dyDescent="0.25">
      <c r="A57" s="344"/>
    </row>
    <row r="58" spans="1:1" x14ac:dyDescent="0.25">
      <c r="A58" s="344"/>
    </row>
    <row r="59" spans="1:1" x14ac:dyDescent="0.25">
      <c r="A59" s="344"/>
    </row>
    <row r="60" spans="1:1" x14ac:dyDescent="0.25">
      <c r="A60" s="344"/>
    </row>
    <row r="61" spans="1:1" x14ac:dyDescent="0.25">
      <c r="A61" s="344"/>
    </row>
    <row r="62" spans="1:1" x14ac:dyDescent="0.25">
      <c r="A62" s="344"/>
    </row>
    <row r="63" spans="1:1" x14ac:dyDescent="0.25">
      <c r="A63" s="344"/>
    </row>
    <row r="64" spans="1:1" x14ac:dyDescent="0.25">
      <c r="A64" s="344"/>
    </row>
    <row r="65" spans="1:1" x14ac:dyDescent="0.25">
      <c r="A65" s="344"/>
    </row>
    <row r="66" spans="1:1" x14ac:dyDescent="0.25">
      <c r="A66" s="344"/>
    </row>
    <row r="67" spans="1:1" x14ac:dyDescent="0.25">
      <c r="A67" s="344"/>
    </row>
    <row r="68" spans="1:1" x14ac:dyDescent="0.25">
      <c r="A68" s="344"/>
    </row>
    <row r="69" spans="1:1" x14ac:dyDescent="0.25">
      <c r="A69" s="344"/>
    </row>
    <row r="70" spans="1:1" x14ac:dyDescent="0.25">
      <c r="A70" s="344"/>
    </row>
    <row r="71" spans="1:1" x14ac:dyDescent="0.25">
      <c r="A71" s="344"/>
    </row>
    <row r="72" spans="1:1" x14ac:dyDescent="0.25">
      <c r="A72" s="344"/>
    </row>
    <row r="73" spans="1:1" x14ac:dyDescent="0.25">
      <c r="A73" s="344"/>
    </row>
    <row r="74" spans="1:1" x14ac:dyDescent="0.25">
      <c r="A74" s="344"/>
    </row>
    <row r="75" spans="1:1" x14ac:dyDescent="0.25">
      <c r="A75" s="344"/>
    </row>
    <row r="76" spans="1:1" x14ac:dyDescent="0.25">
      <c r="A76" s="344"/>
    </row>
    <row r="77" spans="1:1" x14ac:dyDescent="0.25">
      <c r="A77" s="344"/>
    </row>
    <row r="78" spans="1:1" x14ac:dyDescent="0.25">
      <c r="A78" s="344"/>
    </row>
    <row r="79" spans="1:1" x14ac:dyDescent="0.25">
      <c r="A79" s="344"/>
    </row>
    <row r="80" spans="1:1" x14ac:dyDescent="0.25">
      <c r="A80" s="344"/>
    </row>
    <row r="81" spans="1:1" x14ac:dyDescent="0.25">
      <c r="A81" s="344"/>
    </row>
    <row r="82" spans="1:1" x14ac:dyDescent="0.25">
      <c r="A82" s="344"/>
    </row>
    <row r="83" spans="1:1" x14ac:dyDescent="0.25">
      <c r="A83" s="344"/>
    </row>
    <row r="84" spans="1:1" x14ac:dyDescent="0.25">
      <c r="A84" s="344"/>
    </row>
    <row r="85" spans="1:1" x14ac:dyDescent="0.25">
      <c r="A85" s="344"/>
    </row>
    <row r="86" spans="1:1" x14ac:dyDescent="0.25">
      <c r="A86" s="344"/>
    </row>
    <row r="87" spans="1:1" x14ac:dyDescent="0.25">
      <c r="A87" s="344"/>
    </row>
    <row r="88" spans="1:1" x14ac:dyDescent="0.25">
      <c r="A88" s="344"/>
    </row>
    <row r="89" spans="1:1" x14ac:dyDescent="0.25">
      <c r="A89" s="344"/>
    </row>
    <row r="90" spans="1:1" x14ac:dyDescent="0.25">
      <c r="A90" s="344"/>
    </row>
    <row r="91" spans="1:1" x14ac:dyDescent="0.25">
      <c r="A91" s="344"/>
    </row>
    <row r="92" spans="1:1" x14ac:dyDescent="0.25">
      <c r="A92" s="344"/>
    </row>
    <row r="93" spans="1:1" x14ac:dyDescent="0.25">
      <c r="A93" s="344"/>
    </row>
    <row r="94" spans="1:1" x14ac:dyDescent="0.25">
      <c r="A94" s="344"/>
    </row>
    <row r="95" spans="1:1" x14ac:dyDescent="0.25">
      <c r="A95" s="344"/>
    </row>
    <row r="96" spans="1:1" x14ac:dyDescent="0.25">
      <c r="A96" s="344"/>
    </row>
    <row r="97" spans="1:1" x14ac:dyDescent="0.25">
      <c r="A97" s="344"/>
    </row>
    <row r="98" spans="1:1" x14ac:dyDescent="0.25">
      <c r="A98" s="344"/>
    </row>
    <row r="99" spans="1:1" x14ac:dyDescent="0.25">
      <c r="A99" s="344"/>
    </row>
    <row r="100" spans="1:1" x14ac:dyDescent="0.25">
      <c r="A100" s="344"/>
    </row>
    <row r="101" spans="1:1" x14ac:dyDescent="0.25">
      <c r="A101" s="344"/>
    </row>
    <row r="102" spans="1:1" x14ac:dyDescent="0.25">
      <c r="A102" s="344"/>
    </row>
    <row r="103" spans="1:1" x14ac:dyDescent="0.25">
      <c r="A103" s="344"/>
    </row>
    <row r="104" spans="1:1" x14ac:dyDescent="0.25">
      <c r="A104" s="344"/>
    </row>
    <row r="105" spans="1:1" x14ac:dyDescent="0.25">
      <c r="A105" s="344"/>
    </row>
    <row r="106" spans="1:1" x14ac:dyDescent="0.25">
      <c r="A106" s="344"/>
    </row>
    <row r="107" spans="1:1" x14ac:dyDescent="0.25">
      <c r="A107" s="344"/>
    </row>
    <row r="108" spans="1:1" x14ac:dyDescent="0.25">
      <c r="A108" s="344"/>
    </row>
    <row r="109" spans="1:1" x14ac:dyDescent="0.25">
      <c r="A109" s="344"/>
    </row>
    <row r="110" spans="1:1" x14ac:dyDescent="0.25">
      <c r="A110" s="344"/>
    </row>
    <row r="111" spans="1:1" x14ac:dyDescent="0.25">
      <c r="A111" s="344"/>
    </row>
    <row r="112" spans="1:1" x14ac:dyDescent="0.25">
      <c r="A112" s="344"/>
    </row>
    <row r="113" spans="1:1" x14ac:dyDescent="0.25">
      <c r="A113" s="344"/>
    </row>
    <row r="114" spans="1:1" x14ac:dyDescent="0.25">
      <c r="A114" s="344"/>
    </row>
    <row r="115" spans="1:1" x14ac:dyDescent="0.25">
      <c r="A115" s="344"/>
    </row>
    <row r="116" spans="1:1" x14ac:dyDescent="0.25">
      <c r="A116" s="344"/>
    </row>
    <row r="117" spans="1:1" x14ac:dyDescent="0.25">
      <c r="A117" s="344"/>
    </row>
    <row r="118" spans="1:1" x14ac:dyDescent="0.25">
      <c r="A118" s="344"/>
    </row>
    <row r="119" spans="1:1" x14ac:dyDescent="0.25">
      <c r="A119" s="344"/>
    </row>
    <row r="120" spans="1:1" x14ac:dyDescent="0.25">
      <c r="A120" s="344"/>
    </row>
    <row r="121" spans="1:1" x14ac:dyDescent="0.25">
      <c r="A121" s="344"/>
    </row>
    <row r="122" spans="1:1" x14ac:dyDescent="0.25">
      <c r="A122" s="344"/>
    </row>
    <row r="123" spans="1:1" x14ac:dyDescent="0.25">
      <c r="A123" s="344"/>
    </row>
    <row r="124" spans="1:1" x14ac:dyDescent="0.25">
      <c r="A124" s="344"/>
    </row>
    <row r="125" spans="1:1" x14ac:dyDescent="0.25">
      <c r="A125" s="344"/>
    </row>
    <row r="126" spans="1:1" x14ac:dyDescent="0.25">
      <c r="A126" s="344"/>
    </row>
    <row r="127" spans="1:1" x14ac:dyDescent="0.25">
      <c r="A127" s="344"/>
    </row>
    <row r="128" spans="1:1" x14ac:dyDescent="0.25">
      <c r="A128" s="344"/>
    </row>
    <row r="129" spans="1:1" x14ac:dyDescent="0.25">
      <c r="A129" s="344"/>
    </row>
    <row r="130" spans="1:1" x14ac:dyDescent="0.25">
      <c r="A130" s="344"/>
    </row>
    <row r="131" spans="1:1" x14ac:dyDescent="0.25">
      <c r="A131" s="344"/>
    </row>
    <row r="132" spans="1:1" x14ac:dyDescent="0.25">
      <c r="A132" s="344"/>
    </row>
    <row r="133" spans="1:1" x14ac:dyDescent="0.25">
      <c r="A133" s="344"/>
    </row>
    <row r="134" spans="1:1" x14ac:dyDescent="0.25">
      <c r="A134" s="344"/>
    </row>
    <row r="135" spans="1:1" x14ac:dyDescent="0.25">
      <c r="A135" s="344"/>
    </row>
    <row r="136" spans="1:1" x14ac:dyDescent="0.25">
      <c r="A136" s="344"/>
    </row>
    <row r="137" spans="1:1" x14ac:dyDescent="0.25">
      <c r="A137" s="344"/>
    </row>
    <row r="138" spans="1:1" x14ac:dyDescent="0.25">
      <c r="A138" s="344"/>
    </row>
    <row r="139" spans="1:1" x14ac:dyDescent="0.25">
      <c r="A139" s="344"/>
    </row>
    <row r="140" spans="1:1" x14ac:dyDescent="0.25">
      <c r="A140" s="344"/>
    </row>
    <row r="141" spans="1:1" x14ac:dyDescent="0.25">
      <c r="A141" s="344"/>
    </row>
    <row r="142" spans="1:1" x14ac:dyDescent="0.25">
      <c r="A142" s="344"/>
    </row>
    <row r="143" spans="1:1" x14ac:dyDescent="0.25">
      <c r="A143" s="344"/>
    </row>
    <row r="144" spans="1:1" x14ac:dyDescent="0.25">
      <c r="A144" s="344"/>
    </row>
    <row r="145" spans="1:1" x14ac:dyDescent="0.25">
      <c r="A145" s="344"/>
    </row>
    <row r="146" spans="1:1" x14ac:dyDescent="0.25">
      <c r="A146" s="344"/>
    </row>
    <row r="147" spans="1:1" x14ac:dyDescent="0.25">
      <c r="A147" s="344"/>
    </row>
    <row r="148" spans="1:1" x14ac:dyDescent="0.25">
      <c r="A148" s="344"/>
    </row>
    <row r="149" spans="1:1" x14ac:dyDescent="0.25">
      <c r="A149" s="344"/>
    </row>
    <row r="150" spans="1:1" x14ac:dyDescent="0.25">
      <c r="A150" s="344"/>
    </row>
    <row r="151" spans="1:1" x14ac:dyDescent="0.25">
      <c r="A151" s="344"/>
    </row>
    <row r="152" spans="1:1" x14ac:dyDescent="0.25">
      <c r="A152" s="344"/>
    </row>
    <row r="153" spans="1:1" x14ac:dyDescent="0.25">
      <c r="A153" s="344"/>
    </row>
    <row r="154" spans="1:1" x14ac:dyDescent="0.25">
      <c r="A154" s="344"/>
    </row>
    <row r="155" spans="1:1" x14ac:dyDescent="0.25">
      <c r="A155" s="344"/>
    </row>
    <row r="156" spans="1:1" x14ac:dyDescent="0.25">
      <c r="A156" s="344"/>
    </row>
    <row r="157" spans="1:1" x14ac:dyDescent="0.25">
      <c r="A157" s="344"/>
    </row>
    <row r="158" spans="1:1" x14ac:dyDescent="0.25">
      <c r="A158" s="344"/>
    </row>
    <row r="159" spans="1:1" x14ac:dyDescent="0.25">
      <c r="A159" s="344"/>
    </row>
    <row r="160" spans="1:1" x14ac:dyDescent="0.25">
      <c r="A160" s="344"/>
    </row>
    <row r="161" spans="1:1" x14ac:dyDescent="0.25">
      <c r="A161" s="344"/>
    </row>
    <row r="162" spans="1:1" x14ac:dyDescent="0.25">
      <c r="A162" s="344"/>
    </row>
    <row r="163" spans="1:1" x14ac:dyDescent="0.25">
      <c r="A163" s="344"/>
    </row>
    <row r="164" spans="1:1" x14ac:dyDescent="0.25">
      <c r="A164" s="344"/>
    </row>
    <row r="165" spans="1:1" x14ac:dyDescent="0.25">
      <c r="A165" s="344"/>
    </row>
    <row r="166" spans="1:1" x14ac:dyDescent="0.25">
      <c r="A166" s="344"/>
    </row>
    <row r="167" spans="1:1" x14ac:dyDescent="0.25">
      <c r="A167" s="344"/>
    </row>
    <row r="168" spans="1:1" x14ac:dyDescent="0.25">
      <c r="A168" s="344"/>
    </row>
    <row r="169" spans="1:1" x14ac:dyDescent="0.25">
      <c r="A169" s="344"/>
    </row>
    <row r="170" spans="1:1" x14ac:dyDescent="0.25">
      <c r="A170" s="344"/>
    </row>
    <row r="171" spans="1:1" x14ac:dyDescent="0.25">
      <c r="A171" s="344"/>
    </row>
    <row r="172" spans="1:1" x14ac:dyDescent="0.25">
      <c r="A172" s="344"/>
    </row>
    <row r="173" spans="1:1" x14ac:dyDescent="0.25">
      <c r="A173" s="344"/>
    </row>
    <row r="174" spans="1:1" x14ac:dyDescent="0.25">
      <c r="A174" s="344"/>
    </row>
    <row r="175" spans="1:1" x14ac:dyDescent="0.25">
      <c r="A175" s="344"/>
    </row>
    <row r="176" spans="1:1" x14ac:dyDescent="0.25">
      <c r="A176" s="344"/>
    </row>
    <row r="177" spans="1:1" x14ac:dyDescent="0.25">
      <c r="A177" s="344"/>
    </row>
    <row r="178" spans="1:1" x14ac:dyDescent="0.25">
      <c r="A178" s="344"/>
    </row>
    <row r="179" spans="1:1" x14ac:dyDescent="0.25">
      <c r="A179" s="344"/>
    </row>
    <row r="180" spans="1:1" x14ac:dyDescent="0.25">
      <c r="A180" s="344"/>
    </row>
    <row r="181" spans="1:1" x14ac:dyDescent="0.25">
      <c r="A181" s="344"/>
    </row>
    <row r="182" spans="1:1" x14ac:dyDescent="0.25">
      <c r="A182" s="344"/>
    </row>
    <row r="183" spans="1:1" x14ac:dyDescent="0.25">
      <c r="A183" s="344"/>
    </row>
    <row r="184" spans="1:1" x14ac:dyDescent="0.25">
      <c r="A184" s="344"/>
    </row>
    <row r="185" spans="1:1" x14ac:dyDescent="0.25">
      <c r="A185" s="344"/>
    </row>
    <row r="186" spans="1:1" x14ac:dyDescent="0.25">
      <c r="A186" s="344"/>
    </row>
    <row r="187" spans="1:1" x14ac:dyDescent="0.25">
      <c r="A187" s="344"/>
    </row>
    <row r="188" spans="1:1" x14ac:dyDescent="0.25">
      <c r="A188" s="344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418"/>
  <sheetViews>
    <sheetView zoomScale="85" zoomScaleNormal="85" workbookViewId="0">
      <pane xSplit="1" ySplit="9" topLeftCell="D13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4.4" x14ac:dyDescent="0.3"/>
  <cols>
    <col min="1" max="1" width="11.6640625" style="25" customWidth="1"/>
    <col min="2" max="2" width="12.44140625" style="25" customWidth="1"/>
    <col min="3" max="3" width="12.33203125" style="25" bestFit="1" customWidth="1"/>
    <col min="4" max="4" width="14.6640625" style="25" bestFit="1" customWidth="1"/>
    <col min="5" max="5" width="14.6640625" style="15" bestFit="1" customWidth="1"/>
    <col min="6" max="6" width="15" style="25" bestFit="1" customWidth="1"/>
    <col min="7" max="7" width="12.44140625" style="25" bestFit="1" customWidth="1"/>
    <col min="8" max="8" width="16.5546875" style="25" customWidth="1"/>
    <col min="9" max="9" width="11.88671875" style="25" bestFit="1" customWidth="1"/>
    <col min="10" max="10" width="11.33203125" style="25" bestFit="1" customWidth="1"/>
    <col min="11" max="11" width="8.33203125" style="25" bestFit="1" customWidth="1"/>
    <col min="12" max="12" width="11.6640625" style="25" bestFit="1" customWidth="1"/>
    <col min="13" max="13" width="11.33203125" style="25" bestFit="1" customWidth="1"/>
    <col min="14" max="14" width="12.44140625" style="25" bestFit="1" customWidth="1"/>
    <col min="15" max="15" width="11.6640625" style="25" bestFit="1" customWidth="1"/>
    <col min="16" max="16" width="12.44140625" style="25" bestFit="1" customWidth="1"/>
    <col min="17" max="17" width="10.109375" style="25" bestFit="1" customWidth="1"/>
    <col min="18" max="18" width="11.33203125" style="25" bestFit="1" customWidth="1"/>
    <col min="19" max="19" width="12.109375" style="25" customWidth="1"/>
    <col min="20" max="20" width="12.5546875" style="25" bestFit="1" customWidth="1"/>
    <col min="21" max="21" width="12.33203125" style="25" bestFit="1" customWidth="1"/>
    <col min="22" max="22" width="12.44140625" style="25" bestFit="1" customWidth="1"/>
    <col min="23" max="23" width="11.6640625" style="25" bestFit="1" customWidth="1"/>
    <col min="24" max="24" width="12.44140625" style="25" bestFit="1" customWidth="1"/>
    <col min="25" max="25" width="7" style="25" bestFit="1" customWidth="1"/>
    <col min="26" max="26" width="11.33203125" style="25" bestFit="1" customWidth="1"/>
    <col min="27" max="27" width="10.5546875" style="25" bestFit="1" customWidth="1"/>
    <col min="28" max="34" width="7" style="25" bestFit="1" customWidth="1"/>
    <col min="35" max="35" width="9.109375" style="25" bestFit="1" customWidth="1"/>
    <col min="36" max="61" width="2.33203125" style="25" bestFit="1" customWidth="1"/>
    <col min="62" max="16384" width="9.109375" style="25"/>
  </cols>
  <sheetData>
    <row r="1" spans="1:26" x14ac:dyDescent="0.3">
      <c r="A1" s="25" t="s">
        <v>272</v>
      </c>
      <c r="F1" s="315"/>
      <c r="G1" s="315"/>
      <c r="J1" s="15" t="s">
        <v>273</v>
      </c>
      <c r="R1" s="25" t="s">
        <v>599</v>
      </c>
    </row>
    <row r="2" spans="1:26" x14ac:dyDescent="0.3">
      <c r="F2" s="315"/>
      <c r="G2" s="315"/>
      <c r="J2" s="15"/>
      <c r="K2" s="273"/>
      <c r="L2" s="316"/>
      <c r="M2" s="316"/>
      <c r="N2" s="274"/>
      <c r="Z2" s="317"/>
    </row>
    <row r="3" spans="1:26" ht="9.75" customHeight="1" x14ac:dyDescent="0.3">
      <c r="B3" s="273"/>
      <c r="C3" s="316"/>
      <c r="D3" s="316"/>
      <c r="E3" s="274"/>
      <c r="K3" s="275"/>
      <c r="N3" s="276"/>
      <c r="Z3" s="317"/>
    </row>
    <row r="4" spans="1:26" x14ac:dyDescent="0.3">
      <c r="B4" s="275"/>
      <c r="C4" s="27" t="s">
        <v>274</v>
      </c>
      <c r="D4" s="27" t="s">
        <v>275</v>
      </c>
      <c r="E4" s="276"/>
      <c r="K4" s="275"/>
      <c r="L4" s="27" t="s">
        <v>274</v>
      </c>
      <c r="M4" s="27" t="s">
        <v>275</v>
      </c>
      <c r="N4" s="276" t="s">
        <v>16</v>
      </c>
      <c r="Z4" s="317"/>
    </row>
    <row r="5" spans="1:26" x14ac:dyDescent="0.3">
      <c r="B5" s="275"/>
      <c r="C5" s="27" t="s">
        <v>276</v>
      </c>
      <c r="D5" s="27" t="s">
        <v>277</v>
      </c>
      <c r="E5" s="318" t="s">
        <v>16</v>
      </c>
      <c r="K5" s="275"/>
      <c r="L5" s="27" t="s">
        <v>276</v>
      </c>
      <c r="M5" s="27" t="s">
        <v>277</v>
      </c>
      <c r="N5" s="276"/>
      <c r="Z5" s="317"/>
    </row>
    <row r="6" spans="1:26" x14ac:dyDescent="0.3">
      <c r="B6" s="319" t="s">
        <v>278</v>
      </c>
      <c r="C6" s="26">
        <v>2.9089603215373776E-2</v>
      </c>
      <c r="D6" s="320">
        <f>$C$22*C6</f>
        <v>1324091.9509619994</v>
      </c>
      <c r="E6" s="321">
        <v>0.35</v>
      </c>
      <c r="H6" s="322"/>
      <c r="I6" s="29"/>
      <c r="K6" s="319" t="s">
        <v>278</v>
      </c>
      <c r="L6" s="26">
        <v>2.7903163313329479E-2</v>
      </c>
      <c r="M6" s="320">
        <v>1682135.6174297822</v>
      </c>
      <c r="N6" s="321">
        <v>0.35</v>
      </c>
      <c r="Z6" s="317"/>
    </row>
    <row r="7" spans="1:26" x14ac:dyDescent="0.3">
      <c r="A7" s="323"/>
      <c r="B7" s="324" t="s">
        <v>279</v>
      </c>
      <c r="C7" s="26">
        <v>2.5007867478263991E-2</v>
      </c>
      <c r="D7" s="320">
        <f>$C$22*C7</f>
        <v>1138300.7115474755</v>
      </c>
      <c r="E7" s="321">
        <v>0.21</v>
      </c>
      <c r="F7" s="25">
        <f>+C11/D7</f>
        <v>39.987415994953061</v>
      </c>
      <c r="G7" s="320">
        <f>+D7*5</f>
        <v>5691503.5577373775</v>
      </c>
      <c r="H7" s="322"/>
      <c r="I7" s="29"/>
      <c r="K7" s="324" t="s">
        <v>279</v>
      </c>
      <c r="L7" s="26">
        <v>2.4514965509578941E-2</v>
      </c>
      <c r="M7" s="320">
        <v>1477878.9121743066</v>
      </c>
      <c r="N7" s="321">
        <v>0.21</v>
      </c>
    </row>
    <row r="8" spans="1:26" ht="7.5" customHeight="1" x14ac:dyDescent="0.3">
      <c r="A8" s="325"/>
      <c r="B8" s="279"/>
      <c r="C8" s="326"/>
      <c r="D8" s="326"/>
      <c r="E8" s="280"/>
      <c r="K8" s="279"/>
      <c r="L8" s="326"/>
      <c r="M8" s="326"/>
      <c r="N8" s="327"/>
      <c r="O8" s="328"/>
    </row>
    <row r="9" spans="1:26" ht="57.6" x14ac:dyDescent="0.3">
      <c r="A9" s="329" t="s">
        <v>280</v>
      </c>
      <c r="B9" s="330" t="s">
        <v>281</v>
      </c>
      <c r="C9" s="330" t="s">
        <v>63</v>
      </c>
      <c r="D9" s="330" t="s">
        <v>282</v>
      </c>
      <c r="E9" s="331" t="s">
        <v>245</v>
      </c>
      <c r="F9" s="330" t="s">
        <v>9</v>
      </c>
      <c r="G9" s="330" t="s">
        <v>283</v>
      </c>
      <c r="J9" s="329" t="s">
        <v>280</v>
      </c>
      <c r="K9" s="330" t="s">
        <v>281</v>
      </c>
      <c r="L9" s="330" t="s">
        <v>63</v>
      </c>
      <c r="M9" s="330" t="s">
        <v>282</v>
      </c>
      <c r="N9" s="330" t="s">
        <v>284</v>
      </c>
      <c r="O9" s="330" t="s">
        <v>9</v>
      </c>
      <c r="P9" s="330" t="s">
        <v>283</v>
      </c>
      <c r="R9" s="329" t="s">
        <v>280</v>
      </c>
      <c r="S9" s="330" t="s">
        <v>281</v>
      </c>
      <c r="T9" s="330" t="s">
        <v>63</v>
      </c>
      <c r="U9" s="330" t="s">
        <v>282</v>
      </c>
      <c r="V9" s="330" t="s">
        <v>284</v>
      </c>
      <c r="W9" s="330" t="s">
        <v>9</v>
      </c>
      <c r="X9" s="330" t="s">
        <v>283</v>
      </c>
    </row>
    <row r="11" spans="1:26" x14ac:dyDescent="0.3">
      <c r="A11" s="325">
        <v>42704</v>
      </c>
      <c r="C11" s="94">
        <v>45517704.079999976</v>
      </c>
      <c r="D11" s="94">
        <f>-$D$6/12</f>
        <v>-110340.99591349995</v>
      </c>
      <c r="E11" s="94">
        <f>-(($C$22*$B$22-$D$6)*$E$6)/12</f>
        <v>-650072.99701569136</v>
      </c>
      <c r="F11" s="94">
        <f>SUM(C11:E11)</f>
        <v>44757290.087070785</v>
      </c>
      <c r="R11" s="332">
        <f>A11</f>
        <v>42704</v>
      </c>
      <c r="T11" s="94">
        <f>C11+L11</f>
        <v>45517704.079999976</v>
      </c>
      <c r="U11" s="94">
        <f>D11+M11</f>
        <v>-110340.99591349995</v>
      </c>
      <c r="V11" s="94">
        <f>E11+N11</f>
        <v>-650072.99701569136</v>
      </c>
      <c r="W11" s="94">
        <f>SUM(T11:V11)</f>
        <v>44757290.087070785</v>
      </c>
    </row>
    <row r="12" spans="1:26" x14ac:dyDescent="0.3">
      <c r="A12" s="325">
        <v>42735</v>
      </c>
      <c r="C12" s="94">
        <f t="shared" ref="C12:C70" si="0">C11</f>
        <v>45517704.079999976</v>
      </c>
      <c r="D12" s="62">
        <f>-$D$6/12+D11</f>
        <v>-220681.9918269999</v>
      </c>
      <c r="E12" s="94">
        <f t="shared" ref="E12:E22" si="1">-(($C$22*$B$22-$D$6)*$E$6)/12+E11</f>
        <v>-1300145.9940313827</v>
      </c>
      <c r="F12" s="94">
        <f t="shared" ref="F12:F34" si="2">SUM(C12:E12)</f>
        <v>43996876.094141595</v>
      </c>
      <c r="R12" s="332">
        <f t="shared" ref="R12:R70" si="3">A12</f>
        <v>42735</v>
      </c>
      <c r="T12" s="94">
        <f t="shared" ref="T12:V70" si="4">C12+L12</f>
        <v>45517704.079999976</v>
      </c>
      <c r="U12" s="94">
        <f t="shared" si="4"/>
        <v>-220681.9918269999</v>
      </c>
      <c r="V12" s="94">
        <f t="shared" si="4"/>
        <v>-1300145.9940313827</v>
      </c>
      <c r="W12" s="94">
        <f t="shared" ref="W12:W70" si="5">SUM(T12:V12)</f>
        <v>43996876.094141595</v>
      </c>
    </row>
    <row r="13" spans="1:26" x14ac:dyDescent="0.3">
      <c r="A13" s="325">
        <v>42766</v>
      </c>
      <c r="C13" s="94">
        <f t="shared" si="0"/>
        <v>45517704.079999976</v>
      </c>
      <c r="D13" s="62">
        <f t="shared" ref="D13:D22" si="6">-$D$6/12+D12</f>
        <v>-331022.98774049984</v>
      </c>
      <c r="E13" s="94">
        <f t="shared" si="1"/>
        <v>-1950218.9910470741</v>
      </c>
      <c r="F13" s="94">
        <f t="shared" si="2"/>
        <v>43236462.101212397</v>
      </c>
      <c r="R13" s="332">
        <f t="shared" si="3"/>
        <v>42766</v>
      </c>
      <c r="T13" s="94">
        <f t="shared" si="4"/>
        <v>45517704.079999976</v>
      </c>
      <c r="U13" s="94">
        <f t="shared" si="4"/>
        <v>-331022.98774049984</v>
      </c>
      <c r="V13" s="94">
        <f t="shared" si="4"/>
        <v>-1950218.9910470741</v>
      </c>
      <c r="W13" s="94">
        <f t="shared" si="5"/>
        <v>43236462.101212397</v>
      </c>
    </row>
    <row r="14" spans="1:26" x14ac:dyDescent="0.3">
      <c r="A14" s="325">
        <v>42794</v>
      </c>
      <c r="C14" s="94">
        <f t="shared" si="0"/>
        <v>45517704.079999976</v>
      </c>
      <c r="D14" s="62">
        <f t="shared" si="6"/>
        <v>-441363.98365399981</v>
      </c>
      <c r="E14" s="94">
        <f t="shared" si="1"/>
        <v>-2600291.9880627654</v>
      </c>
      <c r="F14" s="94">
        <f t="shared" si="2"/>
        <v>42476048.108283207</v>
      </c>
      <c r="R14" s="332">
        <f t="shared" si="3"/>
        <v>42794</v>
      </c>
      <c r="T14" s="94">
        <f t="shared" si="4"/>
        <v>45517704.079999976</v>
      </c>
      <c r="U14" s="94">
        <f t="shared" si="4"/>
        <v>-441363.98365399981</v>
      </c>
      <c r="V14" s="94">
        <f t="shared" si="4"/>
        <v>-2600291.9880627654</v>
      </c>
      <c r="W14" s="94">
        <f t="shared" si="5"/>
        <v>42476048.108283207</v>
      </c>
    </row>
    <row r="15" spans="1:26" x14ac:dyDescent="0.3">
      <c r="A15" s="325">
        <v>42825</v>
      </c>
      <c r="C15" s="94">
        <f t="shared" si="0"/>
        <v>45517704.079999976</v>
      </c>
      <c r="D15" s="62">
        <f t="shared" si="6"/>
        <v>-551704.97956749971</v>
      </c>
      <c r="E15" s="94">
        <f t="shared" si="1"/>
        <v>-3250364.9850784568</v>
      </c>
      <c r="F15" s="94">
        <f t="shared" si="2"/>
        <v>41715634.115354024</v>
      </c>
      <c r="R15" s="332">
        <f t="shared" si="3"/>
        <v>42825</v>
      </c>
      <c r="T15" s="94">
        <f t="shared" si="4"/>
        <v>45517704.079999976</v>
      </c>
      <c r="U15" s="94">
        <f t="shared" si="4"/>
        <v>-551704.97956749971</v>
      </c>
      <c r="V15" s="94">
        <f t="shared" si="4"/>
        <v>-3250364.9850784568</v>
      </c>
      <c r="W15" s="94">
        <f t="shared" si="5"/>
        <v>41715634.115354024</v>
      </c>
    </row>
    <row r="16" spans="1:26" x14ac:dyDescent="0.3">
      <c r="A16" s="325">
        <v>42855</v>
      </c>
      <c r="C16" s="94">
        <f t="shared" si="0"/>
        <v>45517704.079999976</v>
      </c>
      <c r="D16" s="62">
        <f t="shared" si="6"/>
        <v>-662045.97548099968</v>
      </c>
      <c r="E16" s="94">
        <f t="shared" si="1"/>
        <v>-3900437.9820941482</v>
      </c>
      <c r="F16" s="94">
        <f t="shared" si="2"/>
        <v>40955220.122424833</v>
      </c>
      <c r="R16" s="332">
        <f t="shared" si="3"/>
        <v>42855</v>
      </c>
      <c r="T16" s="94">
        <f t="shared" si="4"/>
        <v>45517704.079999976</v>
      </c>
      <c r="U16" s="94">
        <f t="shared" si="4"/>
        <v>-662045.97548099968</v>
      </c>
      <c r="V16" s="94">
        <f t="shared" si="4"/>
        <v>-3900437.9820941482</v>
      </c>
      <c r="W16" s="94">
        <f t="shared" si="5"/>
        <v>40955220.122424833</v>
      </c>
    </row>
    <row r="17" spans="1:61" x14ac:dyDescent="0.3">
      <c r="A17" s="325">
        <v>42886</v>
      </c>
      <c r="C17" s="94">
        <f t="shared" si="0"/>
        <v>45517704.079999976</v>
      </c>
      <c r="D17" s="62">
        <f t="shared" si="6"/>
        <v>-772386.97139449965</v>
      </c>
      <c r="E17" s="94">
        <f t="shared" si="1"/>
        <v>-4550510.9791098395</v>
      </c>
      <c r="F17" s="94">
        <f t="shared" si="2"/>
        <v>40194806.129495636</v>
      </c>
      <c r="R17" s="332">
        <f t="shared" si="3"/>
        <v>42886</v>
      </c>
      <c r="T17" s="94">
        <f t="shared" si="4"/>
        <v>45517704.079999976</v>
      </c>
      <c r="U17" s="94">
        <f t="shared" si="4"/>
        <v>-772386.97139449965</v>
      </c>
      <c r="V17" s="94">
        <f t="shared" si="4"/>
        <v>-4550510.9791098395</v>
      </c>
      <c r="W17" s="94">
        <f t="shared" si="5"/>
        <v>40194806.129495636</v>
      </c>
    </row>
    <row r="18" spans="1:61" x14ac:dyDescent="0.3">
      <c r="A18" s="325">
        <v>42916</v>
      </c>
      <c r="C18" s="94">
        <f t="shared" si="0"/>
        <v>45517704.079999976</v>
      </c>
      <c r="D18" s="62">
        <f t="shared" si="6"/>
        <v>-882727.96730799961</v>
      </c>
      <c r="E18" s="94">
        <f t="shared" si="1"/>
        <v>-5200583.9761255309</v>
      </c>
      <c r="F18" s="94">
        <f t="shared" si="2"/>
        <v>39434392.136566445</v>
      </c>
      <c r="R18" s="332">
        <f t="shared" si="3"/>
        <v>42916</v>
      </c>
      <c r="T18" s="94">
        <f t="shared" si="4"/>
        <v>45517704.079999976</v>
      </c>
      <c r="U18" s="94">
        <f t="shared" si="4"/>
        <v>-882727.96730799961</v>
      </c>
      <c r="V18" s="94">
        <f t="shared" si="4"/>
        <v>-5200583.9761255309</v>
      </c>
      <c r="W18" s="94">
        <f t="shared" si="5"/>
        <v>39434392.136566445</v>
      </c>
    </row>
    <row r="19" spans="1:61" x14ac:dyDescent="0.3">
      <c r="A19" s="325">
        <v>42947</v>
      </c>
      <c r="C19" s="94">
        <f t="shared" si="0"/>
        <v>45517704.079999976</v>
      </c>
      <c r="D19" s="62">
        <f t="shared" si="6"/>
        <v>-993068.96322149958</v>
      </c>
      <c r="E19" s="94">
        <f t="shared" si="1"/>
        <v>-5850656.9731412223</v>
      </c>
      <c r="F19" s="94">
        <f t="shared" si="2"/>
        <v>38673978.143637255</v>
      </c>
      <c r="R19" s="332">
        <f t="shared" si="3"/>
        <v>42947</v>
      </c>
      <c r="T19" s="94">
        <f t="shared" si="4"/>
        <v>45517704.079999976</v>
      </c>
      <c r="U19" s="94">
        <f t="shared" si="4"/>
        <v>-993068.96322149958</v>
      </c>
      <c r="V19" s="94">
        <f t="shared" si="4"/>
        <v>-5850656.9731412223</v>
      </c>
      <c r="W19" s="94">
        <f t="shared" si="5"/>
        <v>38673978.143637255</v>
      </c>
    </row>
    <row r="20" spans="1:61" x14ac:dyDescent="0.3">
      <c r="A20" s="325">
        <v>42978</v>
      </c>
      <c r="C20" s="94">
        <f t="shared" si="0"/>
        <v>45517704.079999976</v>
      </c>
      <c r="D20" s="62">
        <f t="shared" si="6"/>
        <v>-1103409.9591349994</v>
      </c>
      <c r="E20" s="94">
        <f t="shared" si="1"/>
        <v>-6500729.9701569136</v>
      </c>
      <c r="F20" s="94">
        <f t="shared" si="2"/>
        <v>37913564.150708064</v>
      </c>
      <c r="R20" s="332">
        <f t="shared" si="3"/>
        <v>42978</v>
      </c>
      <c r="T20" s="94">
        <f t="shared" si="4"/>
        <v>45517704.079999976</v>
      </c>
      <c r="U20" s="94">
        <f t="shared" si="4"/>
        <v>-1103409.9591349994</v>
      </c>
      <c r="V20" s="94">
        <f t="shared" si="4"/>
        <v>-6500729.9701569136</v>
      </c>
      <c r="W20" s="94">
        <f t="shared" si="5"/>
        <v>37913564.150708064</v>
      </c>
    </row>
    <row r="21" spans="1:61" x14ac:dyDescent="0.3">
      <c r="A21" s="325">
        <v>43008</v>
      </c>
      <c r="C21" s="94">
        <f t="shared" si="0"/>
        <v>45517704.079999976</v>
      </c>
      <c r="D21" s="62">
        <f t="shared" si="6"/>
        <v>-1213750.9550484994</v>
      </c>
      <c r="E21" s="94">
        <f>-(($C$22*$B$22-$D$6)*$E$6)/12+E20</f>
        <v>-7150802.967172605</v>
      </c>
      <c r="F21" s="94">
        <f t="shared" si="2"/>
        <v>37153150.157778867</v>
      </c>
      <c r="H21" s="94"/>
      <c r="I21" s="94"/>
      <c r="R21" s="332">
        <f t="shared" si="3"/>
        <v>43008</v>
      </c>
      <c r="T21" s="94">
        <f t="shared" si="4"/>
        <v>45517704.079999976</v>
      </c>
      <c r="U21" s="94">
        <f t="shared" si="4"/>
        <v>-1213750.9550484994</v>
      </c>
      <c r="V21" s="94">
        <f t="shared" si="4"/>
        <v>-7150802.967172605</v>
      </c>
      <c r="W21" s="94">
        <f t="shared" si="5"/>
        <v>37153150.157778867</v>
      </c>
    </row>
    <row r="22" spans="1:61" x14ac:dyDescent="0.3">
      <c r="A22" s="325">
        <v>43039</v>
      </c>
      <c r="B22" s="170">
        <v>0.51875000000000004</v>
      </c>
      <c r="C22" s="94">
        <f t="shared" si="0"/>
        <v>45517704.079999976</v>
      </c>
      <c r="D22" s="62">
        <f t="shared" si="6"/>
        <v>-1324091.9509619994</v>
      </c>
      <c r="E22" s="94">
        <f t="shared" si="1"/>
        <v>-7800875.9641882963</v>
      </c>
      <c r="F22" s="94">
        <f t="shared" si="2"/>
        <v>36392736.164849684</v>
      </c>
      <c r="G22" s="94">
        <f>+C22/D22</f>
        <v>-34.376543144854679</v>
      </c>
      <c r="H22" s="333">
        <f>+D22/C22</f>
        <v>-2.9089603215373776E-2</v>
      </c>
      <c r="I22" s="94"/>
      <c r="R22" s="332">
        <f t="shared" si="3"/>
        <v>43039</v>
      </c>
      <c r="T22" s="94">
        <f t="shared" si="4"/>
        <v>45517704.079999976</v>
      </c>
      <c r="U22" s="94">
        <f t="shared" si="4"/>
        <v>-1324091.9509619994</v>
      </c>
      <c r="V22" s="94">
        <f t="shared" si="4"/>
        <v>-7800875.9641882963</v>
      </c>
      <c r="W22" s="94">
        <f t="shared" si="5"/>
        <v>36392736.164849684</v>
      </c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</row>
    <row r="23" spans="1:61" x14ac:dyDescent="0.3">
      <c r="A23" s="325">
        <v>43069</v>
      </c>
      <c r="B23" s="325"/>
      <c r="C23" s="94">
        <f t="shared" si="0"/>
        <v>45517704.079999976</v>
      </c>
      <c r="D23" s="62">
        <f>-$D$6/12+D22</f>
        <v>-1434432.9468754993</v>
      </c>
      <c r="E23" s="62">
        <f>-(($C$34*$B$34-G34)*$E$6)/12+E22</f>
        <v>-7815143.6620947504</v>
      </c>
      <c r="F23" s="94">
        <f t="shared" si="2"/>
        <v>36268127.471029729</v>
      </c>
      <c r="H23" s="94"/>
      <c r="I23" s="94"/>
      <c r="J23" s="325">
        <v>43069</v>
      </c>
      <c r="L23" s="29">
        <v>5575452.6599999992</v>
      </c>
      <c r="M23" s="29">
        <v>-140177.96811914851</v>
      </c>
      <c r="N23" s="94">
        <v>-22335.20183769803</v>
      </c>
      <c r="O23" s="29">
        <v>5412939.4900431531</v>
      </c>
      <c r="P23" s="29"/>
      <c r="Q23" s="29"/>
      <c r="R23" s="332">
        <f t="shared" si="3"/>
        <v>43069</v>
      </c>
      <c r="T23" s="94">
        <f t="shared" si="4"/>
        <v>51093156.739999972</v>
      </c>
      <c r="U23" s="94">
        <f t="shared" si="4"/>
        <v>-1574610.9149946477</v>
      </c>
      <c r="V23" s="94">
        <f t="shared" si="4"/>
        <v>-7837478.8639324484</v>
      </c>
      <c r="W23" s="94">
        <f t="shared" si="5"/>
        <v>41681066.961072877</v>
      </c>
    </row>
    <row r="24" spans="1:61" x14ac:dyDescent="0.3">
      <c r="A24" s="325">
        <v>43100</v>
      </c>
      <c r="B24" s="325"/>
      <c r="C24" s="94">
        <f t="shared" si="0"/>
        <v>45517704.079999976</v>
      </c>
      <c r="D24" s="62">
        <f>-$D$7/12+D23</f>
        <v>-1529291.3395044557</v>
      </c>
      <c r="E24" s="62">
        <f>-(($C$34*$B$34-$G$34)*$E$6)/12+E23</f>
        <v>-7829411.3600012045</v>
      </c>
      <c r="F24" s="94">
        <f t="shared" si="2"/>
        <v>36159001.380494311</v>
      </c>
      <c r="J24" s="325">
        <v>43100</v>
      </c>
      <c r="L24" s="94">
        <v>12937524.5</v>
      </c>
      <c r="M24" s="94">
        <v>-263334.54413367406</v>
      </c>
      <c r="N24" s="94">
        <v>-44670.403675396061</v>
      </c>
      <c r="O24" s="94">
        <v>12629519.55219093</v>
      </c>
      <c r="P24" s="29"/>
      <c r="Q24" s="334"/>
      <c r="R24" s="332">
        <f t="shared" si="3"/>
        <v>43100</v>
      </c>
      <c r="T24" s="94">
        <f t="shared" si="4"/>
        <v>58455228.579999976</v>
      </c>
      <c r="U24" s="94">
        <f t="shared" si="4"/>
        <v>-1792625.8836381298</v>
      </c>
      <c r="V24" s="94">
        <f t="shared" si="4"/>
        <v>-7874081.7636766005</v>
      </c>
      <c r="W24" s="94">
        <f t="shared" si="5"/>
        <v>48788520.932685249</v>
      </c>
      <c r="X24" s="94">
        <f>U24-U12</f>
        <v>-1571943.8918111299</v>
      </c>
    </row>
    <row r="25" spans="1:61" x14ac:dyDescent="0.3">
      <c r="A25" s="325">
        <v>43131</v>
      </c>
      <c r="B25" s="325"/>
      <c r="C25" s="94">
        <f t="shared" si="0"/>
        <v>45517704.079999976</v>
      </c>
      <c r="D25" s="94">
        <f>-$D$7/12+D24</f>
        <v>-1624149.732133412</v>
      </c>
      <c r="E25" s="62">
        <f t="shared" ref="E25:E34" si="7">-(($C$34*$B$34-$G$34)*$E$7)/12+E24</f>
        <v>-7837971.9787450768</v>
      </c>
      <c r="F25" s="94">
        <f t="shared" si="2"/>
        <v>36055582.369121492</v>
      </c>
      <c r="J25" s="325">
        <v>43131</v>
      </c>
      <c r="L25" s="94">
        <v>14120916.52</v>
      </c>
      <c r="M25" s="94">
        <v>-386491.12014819961</v>
      </c>
      <c r="N25" s="94">
        <v>-58071.524778014878</v>
      </c>
      <c r="O25" s="94">
        <v>13676353.875073785</v>
      </c>
      <c r="P25" s="29"/>
      <c r="Q25" s="334"/>
      <c r="R25" s="332">
        <f t="shared" si="3"/>
        <v>43131</v>
      </c>
      <c r="T25" s="94">
        <f t="shared" si="4"/>
        <v>59638620.599999979</v>
      </c>
      <c r="U25" s="94">
        <f t="shared" si="4"/>
        <v>-2010640.8522816116</v>
      </c>
      <c r="V25" s="94">
        <f t="shared" si="4"/>
        <v>-7896043.5035230918</v>
      </c>
      <c r="W25" s="94">
        <f t="shared" si="5"/>
        <v>49731936.244195275</v>
      </c>
    </row>
    <row r="26" spans="1:61" x14ac:dyDescent="0.3">
      <c r="A26" s="325">
        <v>43159</v>
      </c>
      <c r="B26" s="325"/>
      <c r="C26" s="94">
        <f t="shared" si="0"/>
        <v>45517704.079999976</v>
      </c>
      <c r="D26" s="94">
        <f t="shared" ref="D26:D35" si="8">-$D$7/12+D25</f>
        <v>-1719008.1247623684</v>
      </c>
      <c r="E26" s="62">
        <f t="shared" si="7"/>
        <v>-7846532.5974889491</v>
      </c>
      <c r="F26" s="94">
        <f t="shared" si="2"/>
        <v>35952163.357748657</v>
      </c>
      <c r="J26" s="325">
        <v>43159</v>
      </c>
      <c r="L26" s="94">
        <v>15455678.43</v>
      </c>
      <c r="M26" s="94">
        <v>-509647.69616272516</v>
      </c>
      <c r="N26" s="94">
        <v>-71472.645880633703</v>
      </c>
      <c r="O26" s="94">
        <v>14874558.087956641</v>
      </c>
      <c r="P26" s="29"/>
      <c r="Q26" s="334"/>
      <c r="R26" s="332">
        <f t="shared" si="3"/>
        <v>43159</v>
      </c>
      <c r="T26" s="94">
        <f t="shared" si="4"/>
        <v>60973382.509999976</v>
      </c>
      <c r="U26" s="94">
        <f t="shared" si="4"/>
        <v>-2228655.8209250937</v>
      </c>
      <c r="V26" s="94">
        <f t="shared" si="4"/>
        <v>-7918005.243369583</v>
      </c>
      <c r="W26" s="94">
        <f t="shared" si="5"/>
        <v>50826721.445705295</v>
      </c>
    </row>
    <row r="27" spans="1:61" x14ac:dyDescent="0.3">
      <c r="A27" s="325">
        <v>43190</v>
      </c>
      <c r="B27" s="325"/>
      <c r="C27" s="94">
        <f t="shared" si="0"/>
        <v>45517704.079999976</v>
      </c>
      <c r="D27" s="94">
        <f t="shared" si="8"/>
        <v>-1813866.5173913247</v>
      </c>
      <c r="E27" s="62">
        <f t="shared" si="7"/>
        <v>-7855093.2162328213</v>
      </c>
      <c r="F27" s="94">
        <f t="shared" si="2"/>
        <v>35848744.34637583</v>
      </c>
      <c r="G27" s="94"/>
      <c r="J27" s="325">
        <v>43190</v>
      </c>
      <c r="L27" s="94">
        <v>18160820.009999998</v>
      </c>
      <c r="M27" s="94">
        <v>-632804.27217725071</v>
      </c>
      <c r="N27" s="94">
        <v>-84873.766983252513</v>
      </c>
      <c r="O27" s="94">
        <v>17443141.970839497</v>
      </c>
      <c r="Q27" s="334"/>
      <c r="R27" s="332">
        <f t="shared" si="3"/>
        <v>43190</v>
      </c>
      <c r="T27" s="94">
        <f t="shared" si="4"/>
        <v>63678524.089999974</v>
      </c>
      <c r="U27" s="94">
        <f t="shared" si="4"/>
        <v>-2446670.7895685756</v>
      </c>
      <c r="V27" s="94">
        <f t="shared" si="4"/>
        <v>-7939966.9832160743</v>
      </c>
      <c r="W27" s="94">
        <f t="shared" si="5"/>
        <v>53291886.317215323</v>
      </c>
    </row>
    <row r="28" spans="1:61" x14ac:dyDescent="0.3">
      <c r="A28" s="325">
        <v>43220</v>
      </c>
      <c r="B28" s="325"/>
      <c r="C28" s="94">
        <f t="shared" si="0"/>
        <v>45517704.079999976</v>
      </c>
      <c r="D28" s="94">
        <f t="shared" si="8"/>
        <v>-1908724.9100202811</v>
      </c>
      <c r="E28" s="62">
        <f t="shared" si="7"/>
        <v>-7863653.8349766936</v>
      </c>
      <c r="F28" s="94">
        <f t="shared" si="2"/>
        <v>35745325.335002996</v>
      </c>
      <c r="J28" s="325">
        <v>43220</v>
      </c>
      <c r="L28" s="94">
        <v>27692179.049999993</v>
      </c>
      <c r="M28" s="94">
        <v>-755960.84819177631</v>
      </c>
      <c r="N28" s="94">
        <v>-98274.888085871324</v>
      </c>
      <c r="O28" s="94">
        <v>26837943.313722346</v>
      </c>
      <c r="Q28" s="334"/>
      <c r="R28" s="332">
        <f t="shared" si="3"/>
        <v>43220</v>
      </c>
      <c r="T28" s="94">
        <f t="shared" si="4"/>
        <v>73209883.129999965</v>
      </c>
      <c r="U28" s="94">
        <f t="shared" si="4"/>
        <v>-2664685.7582120574</v>
      </c>
      <c r="V28" s="94">
        <f t="shared" si="4"/>
        <v>-7961928.7230625646</v>
      </c>
      <c r="W28" s="94">
        <f t="shared" si="5"/>
        <v>62583268.648725338</v>
      </c>
    </row>
    <row r="29" spans="1:61" x14ac:dyDescent="0.3">
      <c r="A29" s="325">
        <v>43251</v>
      </c>
      <c r="B29" s="325"/>
      <c r="C29" s="94">
        <f t="shared" si="0"/>
        <v>45517704.079999976</v>
      </c>
      <c r="D29" s="94">
        <f t="shared" si="8"/>
        <v>-2003583.3026492374</v>
      </c>
      <c r="E29" s="62">
        <f t="shared" si="7"/>
        <v>-7872214.4537205659</v>
      </c>
      <c r="F29" s="94">
        <f t="shared" si="2"/>
        <v>35641906.323630169</v>
      </c>
      <c r="J29" s="325">
        <v>43251</v>
      </c>
      <c r="L29" s="94">
        <v>34033590.79999999</v>
      </c>
      <c r="M29" s="94">
        <v>-879117.4242063018</v>
      </c>
      <c r="N29" s="94">
        <v>-111676.00918849013</v>
      </c>
      <c r="O29" s="94">
        <v>33042797.366605196</v>
      </c>
      <c r="Q29" s="334"/>
      <c r="R29" s="332">
        <f t="shared" si="3"/>
        <v>43251</v>
      </c>
      <c r="T29" s="94">
        <f t="shared" si="4"/>
        <v>79551294.879999965</v>
      </c>
      <c r="U29" s="94">
        <f t="shared" si="4"/>
        <v>-2882700.7268555393</v>
      </c>
      <c r="V29" s="94">
        <f t="shared" si="4"/>
        <v>-7983890.4629090559</v>
      </c>
      <c r="W29" s="94">
        <f t="shared" si="5"/>
        <v>68684703.690235361</v>
      </c>
    </row>
    <row r="30" spans="1:61" x14ac:dyDescent="0.3">
      <c r="A30" s="325">
        <v>43281</v>
      </c>
      <c r="B30" s="325"/>
      <c r="C30" s="94">
        <f t="shared" si="0"/>
        <v>45517704.079999976</v>
      </c>
      <c r="D30" s="94">
        <f t="shared" si="8"/>
        <v>-2098441.6952781938</v>
      </c>
      <c r="E30" s="62">
        <f t="shared" si="7"/>
        <v>-7880775.0724644382</v>
      </c>
      <c r="F30" s="94">
        <f t="shared" si="2"/>
        <v>35538487.312257349</v>
      </c>
      <c r="G30" s="94">
        <f>-(D30-D18)</f>
        <v>1215713.7279701941</v>
      </c>
      <c r="J30" s="325">
        <v>43281</v>
      </c>
      <c r="L30" s="94">
        <v>38287680.459999986</v>
      </c>
      <c r="M30" s="94">
        <v>-1002274.0002208273</v>
      </c>
      <c r="N30" s="94">
        <v>-125077.13029110894</v>
      </c>
      <c r="O30" s="94">
        <v>37160329.329488046</v>
      </c>
      <c r="P30" s="29">
        <v>1002274.0002208273</v>
      </c>
      <c r="Q30" s="334"/>
      <c r="R30" s="332">
        <f t="shared" si="3"/>
        <v>43281</v>
      </c>
      <c r="T30" s="94">
        <f t="shared" si="4"/>
        <v>83805384.539999962</v>
      </c>
      <c r="U30" s="94">
        <f t="shared" si="4"/>
        <v>-3100715.6954990211</v>
      </c>
      <c r="V30" s="94">
        <f t="shared" si="4"/>
        <v>-8005852.2027555471</v>
      </c>
      <c r="W30" s="94">
        <f t="shared" si="5"/>
        <v>72698816.641745403</v>
      </c>
    </row>
    <row r="31" spans="1:61" x14ac:dyDescent="0.3">
      <c r="A31" s="325">
        <v>43312</v>
      </c>
      <c r="B31" s="325"/>
      <c r="C31" s="94">
        <f t="shared" si="0"/>
        <v>45517704.079999976</v>
      </c>
      <c r="D31" s="94">
        <f t="shared" si="8"/>
        <v>-2193300.0879071499</v>
      </c>
      <c r="E31" s="62">
        <f t="shared" si="7"/>
        <v>-7889335.6912083104</v>
      </c>
      <c r="F31" s="94">
        <f t="shared" si="2"/>
        <v>35435068.300884515</v>
      </c>
      <c r="J31" s="325">
        <v>43312</v>
      </c>
      <c r="L31" s="94">
        <v>39625478.859999999</v>
      </c>
      <c r="M31" s="94">
        <v>-1125430.5762353528</v>
      </c>
      <c r="N31" s="94">
        <v>-138478.25139372775</v>
      </c>
      <c r="O31" s="94">
        <v>38361570.032370917</v>
      </c>
      <c r="Q31" s="305"/>
      <c r="R31" s="332">
        <f t="shared" si="3"/>
        <v>43312</v>
      </c>
      <c r="T31" s="94">
        <f t="shared" si="4"/>
        <v>85143182.939999968</v>
      </c>
      <c r="U31" s="94">
        <f t="shared" si="4"/>
        <v>-3318730.6641425025</v>
      </c>
      <c r="V31" s="94">
        <f t="shared" si="4"/>
        <v>-8027813.9426020384</v>
      </c>
      <c r="W31" s="94">
        <f t="shared" si="5"/>
        <v>73796638.333255425</v>
      </c>
    </row>
    <row r="32" spans="1:61" x14ac:dyDescent="0.3">
      <c r="A32" s="325">
        <v>43343</v>
      </c>
      <c r="B32" s="325"/>
      <c r="C32" s="94">
        <f t="shared" si="0"/>
        <v>45517704.079999976</v>
      </c>
      <c r="D32" s="94">
        <f t="shared" si="8"/>
        <v>-2288158.480536106</v>
      </c>
      <c r="E32" s="62">
        <f t="shared" si="7"/>
        <v>-7897896.3099521827</v>
      </c>
      <c r="F32" s="94">
        <f t="shared" si="2"/>
        <v>35331649.289511688</v>
      </c>
      <c r="J32" s="325">
        <v>43343</v>
      </c>
      <c r="L32" s="94">
        <v>46937465.695</v>
      </c>
      <c r="M32" s="94">
        <v>-1248587.1522498783</v>
      </c>
      <c r="N32" s="94">
        <v>-151879.37249634656</v>
      </c>
      <c r="O32" s="94">
        <v>45536999.170253776</v>
      </c>
      <c r="Q32" s="305"/>
      <c r="R32" s="332">
        <f t="shared" si="3"/>
        <v>43343</v>
      </c>
      <c r="T32" s="94">
        <f t="shared" si="4"/>
        <v>92455169.774999976</v>
      </c>
      <c r="U32" s="94">
        <f t="shared" si="4"/>
        <v>-3536745.6327859843</v>
      </c>
      <c r="V32" s="94">
        <f t="shared" si="4"/>
        <v>-8049775.6824485296</v>
      </c>
      <c r="W32" s="94">
        <f t="shared" si="5"/>
        <v>80868648.459765449</v>
      </c>
    </row>
    <row r="33" spans="1:27" x14ac:dyDescent="0.3">
      <c r="A33" s="325">
        <v>43373</v>
      </c>
      <c r="B33" s="325"/>
      <c r="C33" s="94">
        <f t="shared" si="0"/>
        <v>45517704.079999976</v>
      </c>
      <c r="D33" s="94">
        <f t="shared" si="8"/>
        <v>-2383016.8731650622</v>
      </c>
      <c r="E33" s="62">
        <f t="shared" si="7"/>
        <v>-7906456.928696055</v>
      </c>
      <c r="F33" s="94">
        <f t="shared" si="2"/>
        <v>35228230.278138861</v>
      </c>
      <c r="G33" s="94"/>
      <c r="H33" s="94"/>
      <c r="I33" s="94"/>
      <c r="J33" s="325">
        <v>43373</v>
      </c>
      <c r="L33" s="94">
        <v>55640740.670000002</v>
      </c>
      <c r="M33" s="94">
        <v>-1371743.7282644038</v>
      </c>
      <c r="N33" s="94">
        <v>-165280.49359896537</v>
      </c>
      <c r="O33" s="94">
        <v>54103716.448136628</v>
      </c>
      <c r="Q33" s="305"/>
      <c r="R33" s="332">
        <f t="shared" si="3"/>
        <v>43373</v>
      </c>
      <c r="T33" s="94">
        <f t="shared" si="4"/>
        <v>101158444.74999997</v>
      </c>
      <c r="U33" s="94">
        <f t="shared" si="4"/>
        <v>-3754760.6014294662</v>
      </c>
      <c r="V33" s="94">
        <f t="shared" si="4"/>
        <v>-8071737.42229502</v>
      </c>
      <c r="W33" s="94">
        <f t="shared" si="5"/>
        <v>89331946.726275489</v>
      </c>
    </row>
    <row r="34" spans="1:27" x14ac:dyDescent="0.3">
      <c r="A34" s="325">
        <v>43404</v>
      </c>
      <c r="B34" s="170">
        <v>3.6095000000000002E-2</v>
      </c>
      <c r="C34" s="94">
        <f t="shared" si="0"/>
        <v>45517704.079999976</v>
      </c>
      <c r="D34" s="94">
        <f t="shared" si="8"/>
        <v>-2477875.2657940183</v>
      </c>
      <c r="E34" s="62">
        <f t="shared" si="7"/>
        <v>-7915017.5474399272</v>
      </c>
      <c r="F34" s="94">
        <f t="shared" si="2"/>
        <v>35124811.266766034</v>
      </c>
      <c r="G34" s="94">
        <f>-(D34-D22)</f>
        <v>1153783.3148320189</v>
      </c>
      <c r="H34" s="94">
        <f>-(E34-E22)</f>
        <v>114141.58325163089</v>
      </c>
      <c r="I34" s="94"/>
      <c r="J34" s="325">
        <v>43404</v>
      </c>
      <c r="K34" s="170">
        <v>3.7499999999999999E-2</v>
      </c>
      <c r="L34" s="94">
        <v>60284764.080000125</v>
      </c>
      <c r="M34" s="94">
        <v>-1494900.3042789293</v>
      </c>
      <c r="N34" s="62">
        <v>-178681.61470158419</v>
      </c>
      <c r="O34" s="94">
        <v>58611182.161019608</v>
      </c>
      <c r="Q34" s="94"/>
      <c r="R34" s="332">
        <f t="shared" si="3"/>
        <v>43404</v>
      </c>
      <c r="T34" s="94">
        <f t="shared" si="4"/>
        <v>105802468.1600001</v>
      </c>
      <c r="U34" s="94">
        <f t="shared" si="4"/>
        <v>-3972775.5700729475</v>
      </c>
      <c r="V34" s="94">
        <f t="shared" si="4"/>
        <v>-8093699.1621415112</v>
      </c>
      <c r="W34" s="94">
        <f t="shared" si="5"/>
        <v>93735993.427785635</v>
      </c>
    </row>
    <row r="35" spans="1:27" x14ac:dyDescent="0.3">
      <c r="A35" s="325">
        <v>43434</v>
      </c>
      <c r="B35" s="325"/>
      <c r="C35" s="94">
        <f t="shared" si="0"/>
        <v>45517704.079999976</v>
      </c>
      <c r="D35" s="94">
        <f t="shared" si="8"/>
        <v>-2572733.6584229744</v>
      </c>
      <c r="E35" s="62">
        <f>-(($C$34*$B$46-$D$7)*$E$7)/12+E34</f>
        <v>-7921690.4346252857</v>
      </c>
      <c r="F35" s="94">
        <f>SUM(C35:E35)</f>
        <v>35023279.986951716</v>
      </c>
      <c r="G35" s="94"/>
      <c r="J35" s="325">
        <v>43434</v>
      </c>
      <c r="L35" s="94">
        <v>60284764.080000125</v>
      </c>
      <c r="M35" s="94">
        <v>-1618056.8802934547</v>
      </c>
      <c r="N35" s="188">
        <v>-228977.9833199</v>
      </c>
      <c r="O35" s="94">
        <v>58437729.216386773</v>
      </c>
      <c r="Q35" s="94"/>
      <c r="R35" s="332">
        <f t="shared" si="3"/>
        <v>43434</v>
      </c>
      <c r="T35" s="94">
        <f t="shared" si="4"/>
        <v>105802468.1600001</v>
      </c>
      <c r="U35" s="94">
        <f t="shared" si="4"/>
        <v>-4190790.5387164289</v>
      </c>
      <c r="V35" s="94">
        <f t="shared" si="4"/>
        <v>-8150668.4179451857</v>
      </c>
      <c r="W35" s="94">
        <f t="shared" si="5"/>
        <v>93461009.203338474</v>
      </c>
    </row>
    <row r="36" spans="1:27" x14ac:dyDescent="0.3">
      <c r="A36" s="325">
        <v>43465</v>
      </c>
      <c r="C36" s="94">
        <f t="shared" si="0"/>
        <v>45517704.079999976</v>
      </c>
      <c r="D36" s="94">
        <f>-$D$7/12+D35</f>
        <v>-2667592.0510519305</v>
      </c>
      <c r="E36" s="62">
        <f t="shared" ref="E36:E46" si="9">-(($C$34*$B$46-$D$7)*$E$7)/12+E35</f>
        <v>-7928363.3218106441</v>
      </c>
      <c r="F36" s="94">
        <f>SUM(C36:E36)</f>
        <v>34921748.707137406</v>
      </c>
      <c r="G36" s="94">
        <f>-(D36-D24)</f>
        <v>1138300.7115474748</v>
      </c>
      <c r="H36" s="94">
        <f>-(E36-E24)</f>
        <v>98951.961809439585</v>
      </c>
      <c r="J36" s="325">
        <v>43465</v>
      </c>
      <c r="L36" s="94">
        <v>60284764.080000125</v>
      </c>
      <c r="M36" s="94">
        <v>-1741213.4563079802</v>
      </c>
      <c r="N36" s="94">
        <v>-279274.35193821578</v>
      </c>
      <c r="O36" s="94">
        <v>58264276.27175393</v>
      </c>
      <c r="P36" s="29">
        <v>-1477878.9121743061</v>
      </c>
      <c r="Q36" s="29">
        <v>279274.35193821578</v>
      </c>
      <c r="R36" s="332">
        <f t="shared" si="3"/>
        <v>43465</v>
      </c>
      <c r="T36" s="94">
        <f t="shared" si="4"/>
        <v>105802468.1600001</v>
      </c>
      <c r="U36" s="94">
        <f t="shared" si="4"/>
        <v>-4408805.5073599108</v>
      </c>
      <c r="V36" s="94">
        <f t="shared" si="4"/>
        <v>-8207637.6737488601</v>
      </c>
      <c r="W36" s="94">
        <f t="shared" si="5"/>
        <v>93186024.978891328</v>
      </c>
      <c r="X36" s="94">
        <f>U36-U24</f>
        <v>-2616179.6237217812</v>
      </c>
      <c r="Z36" s="94">
        <f>V36</f>
        <v>-8207637.6737488601</v>
      </c>
    </row>
    <row r="37" spans="1:27" x14ac:dyDescent="0.3">
      <c r="A37" s="325">
        <v>43496</v>
      </c>
      <c r="B37" s="325"/>
      <c r="C37" s="94">
        <f t="shared" si="0"/>
        <v>45517704.079999976</v>
      </c>
      <c r="D37" s="94">
        <f t="shared" ref="D37:D70" si="10">-$D$7/12+D36</f>
        <v>-2762450.4436808866</v>
      </c>
      <c r="E37" s="62">
        <f t="shared" si="9"/>
        <v>-7935036.2089960026</v>
      </c>
      <c r="F37" s="94">
        <f t="shared" ref="F37:F70" si="11">SUM(C37:E37)</f>
        <v>34820217.427323081</v>
      </c>
      <c r="G37" s="94"/>
      <c r="H37" s="188"/>
      <c r="J37" s="325">
        <v>43496</v>
      </c>
      <c r="L37" s="94">
        <v>60284764.080000125</v>
      </c>
      <c r="M37" s="94">
        <v>-1864370.0323225057</v>
      </c>
      <c r="N37" s="94">
        <v>-329570.72055653157</v>
      </c>
      <c r="O37" s="94">
        <v>58090823.327121086</v>
      </c>
      <c r="R37" s="332">
        <f t="shared" si="3"/>
        <v>43496</v>
      </c>
      <c r="T37" s="94">
        <f t="shared" si="4"/>
        <v>105802468.1600001</v>
      </c>
      <c r="U37" s="94">
        <f t="shared" si="4"/>
        <v>-4626820.4760033926</v>
      </c>
      <c r="V37" s="94">
        <f t="shared" si="4"/>
        <v>-8264606.9295525346</v>
      </c>
      <c r="W37" s="94">
        <f t="shared" si="5"/>
        <v>92911040.754444167</v>
      </c>
    </row>
    <row r="38" spans="1:27" x14ac:dyDescent="0.3">
      <c r="A38" s="325">
        <v>43524</v>
      </c>
      <c r="B38" s="325"/>
      <c r="C38" s="94">
        <f t="shared" si="0"/>
        <v>45517704.079999976</v>
      </c>
      <c r="D38" s="94">
        <f t="shared" si="10"/>
        <v>-2857308.8363098428</v>
      </c>
      <c r="E38" s="62">
        <f t="shared" si="9"/>
        <v>-7941709.096181361</v>
      </c>
      <c r="F38" s="94">
        <f t="shared" si="11"/>
        <v>34718686.14750877</v>
      </c>
      <c r="G38" s="94"/>
      <c r="J38" s="325">
        <v>43524</v>
      </c>
      <c r="L38" s="94">
        <v>60284764.080000125</v>
      </c>
      <c r="M38" s="94">
        <v>-1987526.6083370312</v>
      </c>
      <c r="N38" s="94">
        <v>-379867.08917484735</v>
      </c>
      <c r="O38" s="94">
        <v>57917370.382488251</v>
      </c>
      <c r="R38" s="332">
        <f t="shared" si="3"/>
        <v>43524</v>
      </c>
      <c r="T38" s="94">
        <f t="shared" si="4"/>
        <v>105802468.1600001</v>
      </c>
      <c r="U38" s="94">
        <f t="shared" si="4"/>
        <v>-4844835.4446468744</v>
      </c>
      <c r="V38" s="94">
        <f t="shared" si="4"/>
        <v>-8321576.1853562081</v>
      </c>
      <c r="W38" s="94">
        <f t="shared" si="5"/>
        <v>92636056.529997006</v>
      </c>
    </row>
    <row r="39" spans="1:27" x14ac:dyDescent="0.3">
      <c r="A39" s="325">
        <v>43555</v>
      </c>
      <c r="B39" s="325"/>
      <c r="C39" s="94">
        <f t="shared" si="0"/>
        <v>45517704.079999976</v>
      </c>
      <c r="D39" s="94">
        <f t="shared" si="10"/>
        <v>-2952167.2289387989</v>
      </c>
      <c r="E39" s="62">
        <f t="shared" si="9"/>
        <v>-7948381.9833667194</v>
      </c>
      <c r="F39" s="94">
        <f t="shared" si="11"/>
        <v>34617154.86769446</v>
      </c>
      <c r="G39" s="94"/>
      <c r="J39" s="325">
        <v>43555</v>
      </c>
      <c r="L39" s="94">
        <v>60284764.080000125</v>
      </c>
      <c r="M39" s="94">
        <v>-2110683.1843515569</v>
      </c>
      <c r="N39" s="94">
        <v>-430163.45779316314</v>
      </c>
      <c r="O39" s="94">
        <v>57743917.437855408</v>
      </c>
      <c r="R39" s="332">
        <f t="shared" si="3"/>
        <v>43555</v>
      </c>
      <c r="T39" s="94">
        <f t="shared" si="4"/>
        <v>105802468.1600001</v>
      </c>
      <c r="U39" s="94">
        <f t="shared" si="4"/>
        <v>-5062850.4132903554</v>
      </c>
      <c r="V39" s="94">
        <f t="shared" si="4"/>
        <v>-8378545.4411598826</v>
      </c>
      <c r="W39" s="94">
        <f t="shared" si="5"/>
        <v>92361072.30554986</v>
      </c>
    </row>
    <row r="40" spans="1:27" x14ac:dyDescent="0.3">
      <c r="A40" s="325">
        <v>43585</v>
      </c>
      <c r="B40" s="325"/>
      <c r="C40" s="94">
        <f t="shared" si="0"/>
        <v>45517704.079999976</v>
      </c>
      <c r="D40" s="94">
        <f t="shared" si="10"/>
        <v>-3047025.621567755</v>
      </c>
      <c r="E40" s="62">
        <f t="shared" si="9"/>
        <v>-7955054.8705520779</v>
      </c>
      <c r="F40" s="94">
        <f t="shared" si="11"/>
        <v>34515623.587880142</v>
      </c>
      <c r="G40" s="94"/>
      <c r="J40" s="325">
        <v>43585</v>
      </c>
      <c r="L40" s="94">
        <v>60284764.080000125</v>
      </c>
      <c r="M40" s="94">
        <v>-2233839.7603660827</v>
      </c>
      <c r="N40" s="94">
        <v>-480459.82641147892</v>
      </c>
      <c r="O40" s="94">
        <v>57570464.493222564</v>
      </c>
      <c r="R40" s="332">
        <f t="shared" si="3"/>
        <v>43585</v>
      </c>
      <c r="T40" s="94">
        <f t="shared" si="4"/>
        <v>105802468.1600001</v>
      </c>
      <c r="U40" s="94">
        <f t="shared" si="4"/>
        <v>-5280865.3819338381</v>
      </c>
      <c r="V40" s="94">
        <f t="shared" si="4"/>
        <v>-8435514.6969635561</v>
      </c>
      <c r="W40" s="94">
        <f t="shared" si="5"/>
        <v>92086088.081102699</v>
      </c>
    </row>
    <row r="41" spans="1:27" x14ac:dyDescent="0.3">
      <c r="A41" s="325">
        <v>43616</v>
      </c>
      <c r="B41" s="325"/>
      <c r="C41" s="94">
        <f t="shared" si="0"/>
        <v>45517704.079999976</v>
      </c>
      <c r="D41" s="94">
        <f t="shared" si="10"/>
        <v>-3141884.0141967111</v>
      </c>
      <c r="E41" s="62">
        <f t="shared" si="9"/>
        <v>-7961727.7577374363</v>
      </c>
      <c r="F41" s="94">
        <f t="shared" si="11"/>
        <v>34414092.308065832</v>
      </c>
      <c r="G41" s="94"/>
      <c r="J41" s="325">
        <v>43616</v>
      </c>
      <c r="L41" s="94">
        <v>60284764.080000125</v>
      </c>
      <c r="M41" s="94">
        <v>-2356996.3363806084</v>
      </c>
      <c r="N41" s="94">
        <v>-530756.1950297947</v>
      </c>
      <c r="O41" s="94">
        <v>57397011.548589721</v>
      </c>
      <c r="R41" s="332">
        <f t="shared" si="3"/>
        <v>43616</v>
      </c>
      <c r="T41" s="94">
        <f t="shared" si="4"/>
        <v>105802468.1600001</v>
      </c>
      <c r="U41" s="94">
        <f t="shared" si="4"/>
        <v>-5498880.350577319</v>
      </c>
      <c r="V41" s="94">
        <f t="shared" si="4"/>
        <v>-8492483.9527672306</v>
      </c>
      <c r="W41" s="94">
        <f t="shared" si="5"/>
        <v>91811103.856655538</v>
      </c>
    </row>
    <row r="42" spans="1:27" x14ac:dyDescent="0.3">
      <c r="A42" s="325">
        <v>43646</v>
      </c>
      <c r="B42" s="325"/>
      <c r="C42" s="94">
        <f t="shared" si="0"/>
        <v>45517704.079999976</v>
      </c>
      <c r="D42" s="94">
        <f t="shared" si="10"/>
        <v>-3236742.4068256672</v>
      </c>
      <c r="E42" s="62">
        <f t="shared" si="9"/>
        <v>-7968400.6449227948</v>
      </c>
      <c r="F42" s="94">
        <f t="shared" si="11"/>
        <v>34312561.028251514</v>
      </c>
      <c r="G42" s="94"/>
      <c r="J42" s="325">
        <v>43646</v>
      </c>
      <c r="L42" s="94">
        <v>60284764.080000125</v>
      </c>
      <c r="M42" s="94">
        <v>-2480152.9123951341</v>
      </c>
      <c r="N42" s="94">
        <v>-581052.56364811049</v>
      </c>
      <c r="O42" s="94">
        <v>57223558.603956878</v>
      </c>
      <c r="R42" s="332">
        <f t="shared" si="3"/>
        <v>43646</v>
      </c>
      <c r="T42" s="94">
        <f t="shared" si="4"/>
        <v>105802468.1600001</v>
      </c>
      <c r="U42" s="94">
        <f t="shared" si="4"/>
        <v>-5716895.3192208018</v>
      </c>
      <c r="V42" s="94">
        <f t="shared" si="4"/>
        <v>-8549453.208570905</v>
      </c>
      <c r="W42" s="94">
        <f t="shared" si="5"/>
        <v>91536119.632208407</v>
      </c>
    </row>
    <row r="43" spans="1:27" x14ac:dyDescent="0.3">
      <c r="A43" s="325">
        <v>43677</v>
      </c>
      <c r="B43" s="325"/>
      <c r="C43" s="94">
        <f t="shared" si="0"/>
        <v>45517704.079999976</v>
      </c>
      <c r="D43" s="94">
        <f t="shared" si="10"/>
        <v>-3331600.7994546234</v>
      </c>
      <c r="E43" s="62">
        <f t="shared" si="9"/>
        <v>-7975073.5321081532</v>
      </c>
      <c r="F43" s="94">
        <f t="shared" si="11"/>
        <v>34211029.748437203</v>
      </c>
      <c r="G43" s="94"/>
      <c r="J43" s="325">
        <v>43677</v>
      </c>
      <c r="L43" s="94">
        <v>60284764.080000125</v>
      </c>
      <c r="M43" s="94">
        <v>-2603309.4884096598</v>
      </c>
      <c r="N43" s="94">
        <v>-631348.93226642627</v>
      </c>
      <c r="O43" s="94">
        <v>57050105.659324035</v>
      </c>
      <c r="R43" s="332">
        <f t="shared" si="3"/>
        <v>43677</v>
      </c>
      <c r="T43" s="94">
        <f t="shared" si="4"/>
        <v>105802468.1600001</v>
      </c>
      <c r="U43" s="94">
        <f t="shared" si="4"/>
        <v>-5934910.2878642827</v>
      </c>
      <c r="V43" s="94">
        <f t="shared" si="4"/>
        <v>-8606422.4643745795</v>
      </c>
      <c r="W43" s="94">
        <f t="shared" si="5"/>
        <v>91261135.407761246</v>
      </c>
    </row>
    <row r="44" spans="1:27" x14ac:dyDescent="0.3">
      <c r="A44" s="325">
        <v>43708</v>
      </c>
      <c r="B44" s="325"/>
      <c r="C44" s="94">
        <f t="shared" si="0"/>
        <v>45517704.079999976</v>
      </c>
      <c r="D44" s="94">
        <f t="shared" si="10"/>
        <v>-3426459.1920835795</v>
      </c>
      <c r="E44" s="62">
        <f t="shared" si="9"/>
        <v>-7981746.4192935117</v>
      </c>
      <c r="F44" s="94">
        <f t="shared" si="11"/>
        <v>34109498.468622878</v>
      </c>
      <c r="G44" s="94"/>
      <c r="J44" s="325">
        <v>43708</v>
      </c>
      <c r="L44" s="94">
        <v>60284764.080000125</v>
      </c>
      <c r="M44" s="94">
        <v>-2726466.0644241855</v>
      </c>
      <c r="N44" s="94">
        <v>-681645.30088474206</v>
      </c>
      <c r="O44" s="94">
        <v>56876652.714691199</v>
      </c>
      <c r="R44" s="332">
        <f t="shared" si="3"/>
        <v>43708</v>
      </c>
      <c r="T44" s="94">
        <f t="shared" si="4"/>
        <v>105802468.1600001</v>
      </c>
      <c r="U44" s="94">
        <f t="shared" si="4"/>
        <v>-6152925.2565077655</v>
      </c>
      <c r="V44" s="94">
        <f t="shared" si="4"/>
        <v>-8663391.7201782539</v>
      </c>
      <c r="W44" s="94">
        <f t="shared" si="5"/>
        <v>90986151.183314085</v>
      </c>
    </row>
    <row r="45" spans="1:27" x14ac:dyDescent="0.3">
      <c r="A45" s="325">
        <v>43738</v>
      </c>
      <c r="B45" s="325"/>
      <c r="C45" s="94">
        <f t="shared" si="0"/>
        <v>45517704.079999976</v>
      </c>
      <c r="D45" s="94">
        <f t="shared" si="10"/>
        <v>-3521317.5847125356</v>
      </c>
      <c r="E45" s="62">
        <f t="shared" si="9"/>
        <v>-7988419.3064788701</v>
      </c>
      <c r="F45" s="94">
        <f t="shared" si="11"/>
        <v>34007967.188808568</v>
      </c>
      <c r="G45" s="94"/>
      <c r="J45" s="325">
        <v>43738</v>
      </c>
      <c r="L45" s="94">
        <v>60284764.080000125</v>
      </c>
      <c r="M45" s="94">
        <v>-2849622.6404387113</v>
      </c>
      <c r="N45" s="94">
        <v>-731941.66950305784</v>
      </c>
      <c r="O45" s="94">
        <v>56703199.770058356</v>
      </c>
      <c r="R45" s="332">
        <f t="shared" si="3"/>
        <v>43738</v>
      </c>
      <c r="T45" s="94">
        <f t="shared" si="4"/>
        <v>105802468.1600001</v>
      </c>
      <c r="U45" s="94">
        <f t="shared" si="4"/>
        <v>-6370940.2251512464</v>
      </c>
      <c r="V45" s="94">
        <f t="shared" si="4"/>
        <v>-8720360.9759819284</v>
      </c>
      <c r="W45" s="94">
        <f t="shared" si="5"/>
        <v>90711166.958866924</v>
      </c>
    </row>
    <row r="46" spans="1:27" x14ac:dyDescent="0.3">
      <c r="A46" s="325">
        <v>43769</v>
      </c>
      <c r="B46" s="170">
        <v>3.3384999999999998E-2</v>
      </c>
      <c r="C46" s="94">
        <f t="shared" si="0"/>
        <v>45517704.079999976</v>
      </c>
      <c r="D46" s="94">
        <f t="shared" si="10"/>
        <v>-3616175.9773414917</v>
      </c>
      <c r="E46" s="62">
        <f t="shared" si="9"/>
        <v>-7995092.1936642285</v>
      </c>
      <c r="F46" s="94">
        <f t="shared" si="11"/>
        <v>33906435.90899425</v>
      </c>
      <c r="G46" s="94"/>
      <c r="J46" s="325">
        <v>43769</v>
      </c>
      <c r="K46" s="170">
        <v>7.2190000000000004E-2</v>
      </c>
      <c r="L46" s="94">
        <v>60284764.080000125</v>
      </c>
      <c r="M46" s="94">
        <v>-2972779.216453237</v>
      </c>
      <c r="N46" s="94">
        <v>-782238.03812137363</v>
      </c>
      <c r="O46" s="94">
        <v>56529746.825425513</v>
      </c>
      <c r="P46" s="94">
        <v>-1477878.9121743077</v>
      </c>
      <c r="R46" s="332">
        <f t="shared" si="3"/>
        <v>43769</v>
      </c>
      <c r="T46" s="94">
        <f t="shared" si="4"/>
        <v>105802468.1600001</v>
      </c>
      <c r="U46" s="94">
        <f t="shared" si="4"/>
        <v>-6588955.1937947292</v>
      </c>
      <c r="V46" s="94">
        <f t="shared" si="4"/>
        <v>-8777330.2317856029</v>
      </c>
      <c r="W46" s="94">
        <f t="shared" si="5"/>
        <v>90436182.734419763</v>
      </c>
    </row>
    <row r="47" spans="1:27" x14ac:dyDescent="0.3">
      <c r="A47" s="325">
        <v>43799</v>
      </c>
      <c r="B47" s="325"/>
      <c r="C47" s="94">
        <f t="shared" si="0"/>
        <v>45517704.079999976</v>
      </c>
      <c r="D47" s="94">
        <f t="shared" si="10"/>
        <v>-3711034.3699704478</v>
      </c>
      <c r="E47" s="62">
        <f>-(($C$34*$B$58-$D$7)*$E$7)/12+E46</f>
        <v>-7999773.6812960869</v>
      </c>
      <c r="F47" s="94">
        <f t="shared" si="11"/>
        <v>33806896.02873344</v>
      </c>
      <c r="G47" s="94"/>
      <c r="J47" s="325">
        <v>43799</v>
      </c>
      <c r="L47" s="94">
        <v>60284764.080000125</v>
      </c>
      <c r="M47" s="94">
        <v>-3095935.7924677627</v>
      </c>
      <c r="N47" s="94">
        <v>-826816.39686670143</v>
      </c>
      <c r="O47" s="94">
        <v>56362011.890665658</v>
      </c>
      <c r="R47" s="332">
        <f t="shared" si="3"/>
        <v>43799</v>
      </c>
      <c r="T47" s="94">
        <f t="shared" si="4"/>
        <v>105802468.1600001</v>
      </c>
      <c r="U47" s="94">
        <f t="shared" si="4"/>
        <v>-6806970.1624382101</v>
      </c>
      <c r="V47" s="94">
        <f t="shared" si="4"/>
        <v>-8826590.0781627875</v>
      </c>
      <c r="W47" s="94">
        <f t="shared" si="5"/>
        <v>90168907.919399098</v>
      </c>
    </row>
    <row r="48" spans="1:27" x14ac:dyDescent="0.3">
      <c r="A48" s="325">
        <v>43830</v>
      </c>
      <c r="B48" s="325"/>
      <c r="C48" s="94">
        <f t="shared" si="0"/>
        <v>45517704.079999976</v>
      </c>
      <c r="D48" s="94">
        <f t="shared" si="10"/>
        <v>-3805892.762599404</v>
      </c>
      <c r="E48" s="62">
        <f t="shared" ref="E48:E58" si="12">-(($C$34*$B$58-$D$7)*$E$7)/12+E47</f>
        <v>-8004455.1689279452</v>
      </c>
      <c r="F48" s="94">
        <f t="shared" si="11"/>
        <v>33707356.148472629</v>
      </c>
      <c r="G48" s="94"/>
      <c r="J48" s="325">
        <v>43830</v>
      </c>
      <c r="L48" s="94">
        <v>60284764.080000125</v>
      </c>
      <c r="M48" s="94">
        <v>-3219092.3684822884</v>
      </c>
      <c r="N48" s="94">
        <v>-871394.75561202923</v>
      </c>
      <c r="O48" s="94">
        <v>56194276.955905803</v>
      </c>
      <c r="R48" s="332">
        <f t="shared" si="3"/>
        <v>43830</v>
      </c>
      <c r="T48" s="94">
        <f t="shared" si="4"/>
        <v>105802468.1600001</v>
      </c>
      <c r="U48" s="94">
        <f t="shared" si="4"/>
        <v>-7024985.1310816929</v>
      </c>
      <c r="V48" s="94">
        <f t="shared" si="4"/>
        <v>-8875849.924539974</v>
      </c>
      <c r="W48" s="94">
        <f t="shared" si="5"/>
        <v>89901633.104378447</v>
      </c>
      <c r="X48" s="94">
        <f>U48-U36</f>
        <v>-2616179.6237217821</v>
      </c>
      <c r="Z48" s="94">
        <f>V48</f>
        <v>-8875849.924539974</v>
      </c>
      <c r="AA48" s="94">
        <f>Z36-Z48</f>
        <v>668212.25079111382</v>
      </c>
    </row>
    <row r="49" spans="1:27" x14ac:dyDescent="0.3">
      <c r="A49" s="325">
        <v>43861</v>
      </c>
      <c r="B49" s="325"/>
      <c r="C49" s="94">
        <f t="shared" si="0"/>
        <v>45517704.079999976</v>
      </c>
      <c r="D49" s="94">
        <f t="shared" si="10"/>
        <v>-3900751.1552283601</v>
      </c>
      <c r="E49" s="62">
        <f t="shared" si="12"/>
        <v>-8009136.6565598035</v>
      </c>
      <c r="F49" s="94">
        <f t="shared" si="11"/>
        <v>33607816.268211812</v>
      </c>
      <c r="G49" s="94"/>
      <c r="J49" s="325">
        <v>43861</v>
      </c>
      <c r="L49" s="94">
        <v>60284764.080000125</v>
      </c>
      <c r="M49" s="94">
        <v>-3342248.9444968142</v>
      </c>
      <c r="N49" s="94">
        <v>-915973.11435735703</v>
      </c>
      <c r="O49" s="94">
        <v>56026542.021145947</v>
      </c>
      <c r="R49" s="332">
        <f t="shared" si="3"/>
        <v>43861</v>
      </c>
      <c r="T49" s="94">
        <f t="shared" si="4"/>
        <v>105802468.1600001</v>
      </c>
      <c r="U49" s="94">
        <f t="shared" si="4"/>
        <v>-7243000.0997251738</v>
      </c>
      <c r="V49" s="94">
        <f t="shared" si="4"/>
        <v>-8925109.7709171604</v>
      </c>
      <c r="W49" s="94">
        <f t="shared" si="5"/>
        <v>89634358.289357767</v>
      </c>
    </row>
    <row r="50" spans="1:27" x14ac:dyDescent="0.3">
      <c r="A50" s="325">
        <v>43890</v>
      </c>
      <c r="B50" s="325"/>
      <c r="C50" s="94">
        <f t="shared" si="0"/>
        <v>45517704.079999976</v>
      </c>
      <c r="D50" s="94">
        <f t="shared" si="10"/>
        <v>-3995609.5478573162</v>
      </c>
      <c r="E50" s="62">
        <f t="shared" si="12"/>
        <v>-8013818.1441916618</v>
      </c>
      <c r="F50" s="94">
        <f t="shared" si="11"/>
        <v>33508276.387951002</v>
      </c>
      <c r="G50" s="94"/>
      <c r="J50" s="325">
        <v>43890</v>
      </c>
      <c r="L50" s="94">
        <v>60284764.080000125</v>
      </c>
      <c r="M50" s="94">
        <v>-3465405.5205113399</v>
      </c>
      <c r="N50" s="94">
        <v>-960551.47310268483</v>
      </c>
      <c r="O50" s="94">
        <v>55858807.086386107</v>
      </c>
      <c r="R50" s="332">
        <f t="shared" si="3"/>
        <v>43890</v>
      </c>
      <c r="T50" s="94">
        <f t="shared" si="4"/>
        <v>105802468.1600001</v>
      </c>
      <c r="U50" s="94">
        <f t="shared" si="4"/>
        <v>-7461015.0683686566</v>
      </c>
      <c r="V50" s="94">
        <f t="shared" si="4"/>
        <v>-8974369.6172943469</v>
      </c>
      <c r="W50" s="94">
        <f t="shared" si="5"/>
        <v>89367083.474337101</v>
      </c>
    </row>
    <row r="51" spans="1:27" x14ac:dyDescent="0.3">
      <c r="A51" s="325">
        <v>43921</v>
      </c>
      <c r="B51" s="325"/>
      <c r="C51" s="94">
        <f t="shared" si="0"/>
        <v>45517704.079999976</v>
      </c>
      <c r="D51" s="94">
        <f t="shared" si="10"/>
        <v>-4090467.9404862723</v>
      </c>
      <c r="E51" s="62">
        <f t="shared" si="12"/>
        <v>-8018499.6318235202</v>
      </c>
      <c r="F51" s="94">
        <f t="shared" si="11"/>
        <v>33408736.50769018</v>
      </c>
      <c r="G51" s="94"/>
      <c r="J51" s="325">
        <v>43921</v>
      </c>
      <c r="L51" s="94">
        <v>60284764.080000125</v>
      </c>
      <c r="M51" s="94">
        <v>-3588562.0965258656</v>
      </c>
      <c r="N51" s="94">
        <v>-1005129.8318480126</v>
      </c>
      <c r="O51" s="94">
        <v>55691072.151626252</v>
      </c>
      <c r="R51" s="332">
        <f t="shared" si="3"/>
        <v>43921</v>
      </c>
      <c r="T51" s="94">
        <f t="shared" si="4"/>
        <v>105802468.1600001</v>
      </c>
      <c r="U51" s="94">
        <f t="shared" si="4"/>
        <v>-7679030.0370121375</v>
      </c>
      <c r="V51" s="94">
        <f t="shared" si="4"/>
        <v>-9023629.4636715334</v>
      </c>
      <c r="W51" s="94">
        <f t="shared" si="5"/>
        <v>89099808.659316421</v>
      </c>
    </row>
    <row r="52" spans="1:27" x14ac:dyDescent="0.3">
      <c r="A52" s="325">
        <v>43951</v>
      </c>
      <c r="B52" s="325"/>
      <c r="C52" s="94">
        <f t="shared" si="0"/>
        <v>45517704.079999976</v>
      </c>
      <c r="D52" s="94">
        <f t="shared" si="10"/>
        <v>-4185326.3331152285</v>
      </c>
      <c r="E52" s="62">
        <f t="shared" si="12"/>
        <v>-8023181.1194553785</v>
      </c>
      <c r="F52" s="94">
        <f t="shared" si="11"/>
        <v>33309196.62742937</v>
      </c>
      <c r="G52" s="94"/>
      <c r="J52" s="325">
        <v>43951</v>
      </c>
      <c r="L52" s="94">
        <v>60284764.080000125</v>
      </c>
      <c r="M52" s="94">
        <v>-3711718.6725403913</v>
      </c>
      <c r="N52" s="94">
        <v>-1049708.1905933404</v>
      </c>
      <c r="O52" s="94">
        <v>55523337.216866396</v>
      </c>
      <c r="R52" s="332">
        <f t="shared" si="3"/>
        <v>43951</v>
      </c>
      <c r="T52" s="94">
        <f t="shared" si="4"/>
        <v>105802468.1600001</v>
      </c>
      <c r="U52" s="94">
        <f t="shared" si="4"/>
        <v>-7897045.0056556202</v>
      </c>
      <c r="V52" s="94">
        <f t="shared" si="4"/>
        <v>-9072889.310048718</v>
      </c>
      <c r="W52" s="94">
        <f t="shared" si="5"/>
        <v>88832533.84429577</v>
      </c>
    </row>
    <row r="53" spans="1:27" x14ac:dyDescent="0.3">
      <c r="A53" s="325">
        <v>43982</v>
      </c>
      <c r="B53" s="325"/>
      <c r="C53" s="94">
        <f t="shared" si="0"/>
        <v>45517704.079999976</v>
      </c>
      <c r="D53" s="94">
        <f t="shared" si="10"/>
        <v>-4280184.725744185</v>
      </c>
      <c r="E53" s="62">
        <f t="shared" si="12"/>
        <v>-8027862.6070872368</v>
      </c>
      <c r="F53" s="94">
        <f t="shared" si="11"/>
        <v>33209656.747168552</v>
      </c>
      <c r="G53" s="94"/>
      <c r="H53" s="25" t="s">
        <v>285</v>
      </c>
      <c r="J53" s="325">
        <v>43982</v>
      </c>
      <c r="L53" s="94">
        <v>60284764.080000125</v>
      </c>
      <c r="M53" s="94">
        <v>-3834875.2485549171</v>
      </c>
      <c r="N53" s="94">
        <v>-1094286.5493386681</v>
      </c>
      <c r="O53" s="94">
        <v>55355602.282106541</v>
      </c>
      <c r="P53" s="94">
        <v>-123156.57601452572</v>
      </c>
      <c r="Q53" s="25" t="s">
        <v>285</v>
      </c>
      <c r="R53" s="332">
        <f t="shared" si="3"/>
        <v>43982</v>
      </c>
      <c r="T53" s="94">
        <f t="shared" si="4"/>
        <v>105802468.1600001</v>
      </c>
      <c r="U53" s="94">
        <f t="shared" si="4"/>
        <v>-8115059.9742991021</v>
      </c>
      <c r="V53" s="94">
        <f t="shared" si="4"/>
        <v>-9122149.1564259045</v>
      </c>
      <c r="W53" s="94">
        <f t="shared" si="5"/>
        <v>88565259.02927509</v>
      </c>
    </row>
    <row r="54" spans="1:27" x14ac:dyDescent="0.3">
      <c r="A54" s="325">
        <v>44012</v>
      </c>
      <c r="B54" s="325"/>
      <c r="C54" s="94">
        <f t="shared" si="0"/>
        <v>45517704.079999976</v>
      </c>
      <c r="D54" s="94">
        <f t="shared" si="10"/>
        <v>-4375043.1183731416</v>
      </c>
      <c r="E54" s="62">
        <f t="shared" si="12"/>
        <v>-8032544.0947190952</v>
      </c>
      <c r="F54" s="94">
        <f t="shared" si="11"/>
        <v>33110116.866907738</v>
      </c>
      <c r="G54" s="94"/>
      <c r="J54" s="325">
        <v>44012</v>
      </c>
      <c r="L54" s="94">
        <v>60284764.080000125</v>
      </c>
      <c r="M54" s="94">
        <v>-3958031.8245694428</v>
      </c>
      <c r="N54" s="94">
        <v>-1138864.9080839958</v>
      </c>
      <c r="O54" s="94">
        <v>55187867.347346686</v>
      </c>
      <c r="R54" s="332">
        <f t="shared" si="3"/>
        <v>44012</v>
      </c>
      <c r="T54" s="94">
        <f t="shared" si="4"/>
        <v>105802468.1600001</v>
      </c>
      <c r="U54" s="94">
        <f t="shared" si="4"/>
        <v>-8333074.9429425839</v>
      </c>
      <c r="V54" s="94">
        <f t="shared" si="4"/>
        <v>-9171409.002803091</v>
      </c>
      <c r="W54" s="94">
        <f t="shared" si="5"/>
        <v>88297984.214254424</v>
      </c>
    </row>
    <row r="55" spans="1:27" x14ac:dyDescent="0.3">
      <c r="A55" s="325">
        <v>44043</v>
      </c>
      <c r="B55" s="325"/>
      <c r="C55" s="94">
        <f t="shared" si="0"/>
        <v>45517704.079999976</v>
      </c>
      <c r="D55" s="94">
        <f t="shared" si="10"/>
        <v>-4469901.5110020982</v>
      </c>
      <c r="E55" s="62">
        <f t="shared" si="12"/>
        <v>-8037225.5823509535</v>
      </c>
      <c r="F55" s="94">
        <f t="shared" si="11"/>
        <v>33010576.98664692</v>
      </c>
      <c r="G55" s="94"/>
      <c r="J55" s="325">
        <v>44043</v>
      </c>
      <c r="L55" s="94">
        <v>60284764.080000125</v>
      </c>
      <c r="M55" s="94">
        <v>-4081188.4005839685</v>
      </c>
      <c r="N55" s="94">
        <v>-1183443.2668293235</v>
      </c>
      <c r="O55" s="94">
        <v>55020132.412586831</v>
      </c>
      <c r="R55" s="332">
        <f t="shared" si="3"/>
        <v>44043</v>
      </c>
      <c r="T55" s="94">
        <f t="shared" si="4"/>
        <v>105802468.1600001</v>
      </c>
      <c r="U55" s="94">
        <f t="shared" si="4"/>
        <v>-8551089.9115860667</v>
      </c>
      <c r="V55" s="94">
        <f t="shared" si="4"/>
        <v>-9220668.8491802774</v>
      </c>
      <c r="W55" s="94">
        <f t="shared" si="5"/>
        <v>88030709.399233758</v>
      </c>
    </row>
    <row r="56" spans="1:27" x14ac:dyDescent="0.3">
      <c r="A56" s="325">
        <v>44074</v>
      </c>
      <c r="B56" s="325"/>
      <c r="C56" s="94">
        <f t="shared" si="0"/>
        <v>45517704.079999976</v>
      </c>
      <c r="D56" s="94">
        <f t="shared" si="10"/>
        <v>-4564759.9036310548</v>
      </c>
      <c r="E56" s="62">
        <f t="shared" si="12"/>
        <v>-8041907.0699828118</v>
      </c>
      <c r="F56" s="94">
        <f t="shared" si="11"/>
        <v>32911037.10638611</v>
      </c>
      <c r="G56" s="94"/>
      <c r="J56" s="325">
        <v>44074</v>
      </c>
      <c r="L56" s="94">
        <v>60284764.080000125</v>
      </c>
      <c r="M56" s="94">
        <v>-4204344.9765984938</v>
      </c>
      <c r="N56" s="94">
        <v>-1228021.6255746512</v>
      </c>
      <c r="O56" s="94">
        <v>54852397.477826983</v>
      </c>
      <c r="R56" s="332">
        <f t="shared" si="3"/>
        <v>44074</v>
      </c>
      <c r="T56" s="94">
        <f t="shared" si="4"/>
        <v>105802468.1600001</v>
      </c>
      <c r="U56" s="94">
        <f t="shared" si="4"/>
        <v>-8769104.8802295476</v>
      </c>
      <c r="V56" s="94">
        <f t="shared" si="4"/>
        <v>-9269928.6955574639</v>
      </c>
      <c r="W56" s="94">
        <f t="shared" si="5"/>
        <v>87763434.584213093</v>
      </c>
    </row>
    <row r="57" spans="1:27" x14ac:dyDescent="0.3">
      <c r="A57" s="325">
        <v>44104</v>
      </c>
      <c r="B57" s="325"/>
      <c r="C57" s="94">
        <f t="shared" si="0"/>
        <v>45517704.079999976</v>
      </c>
      <c r="D57" s="94">
        <f t="shared" si="10"/>
        <v>-4659618.2962600114</v>
      </c>
      <c r="E57" s="62">
        <f t="shared" si="12"/>
        <v>-8046588.5576146701</v>
      </c>
      <c r="F57" s="94">
        <f t="shared" si="11"/>
        <v>32811497.226125292</v>
      </c>
      <c r="G57" s="94"/>
      <c r="J57" s="325">
        <v>44104</v>
      </c>
      <c r="L57" s="94">
        <v>60284764.080000125</v>
      </c>
      <c r="M57" s="94">
        <v>-4327501.552613019</v>
      </c>
      <c r="N57" s="94">
        <v>-1272599.9843199789</v>
      </c>
      <c r="O57" s="94">
        <v>54684662.543067127</v>
      </c>
      <c r="R57" s="332">
        <f t="shared" si="3"/>
        <v>44104</v>
      </c>
      <c r="T57" s="94">
        <f t="shared" si="4"/>
        <v>105802468.1600001</v>
      </c>
      <c r="U57" s="94">
        <f t="shared" si="4"/>
        <v>-8987119.8488730304</v>
      </c>
      <c r="V57" s="94">
        <f t="shared" si="4"/>
        <v>-9319188.5419346485</v>
      </c>
      <c r="W57" s="94">
        <f t="shared" si="5"/>
        <v>87496159.769192412</v>
      </c>
    </row>
    <row r="58" spans="1:27" x14ac:dyDescent="0.3">
      <c r="A58" s="325">
        <v>44135</v>
      </c>
      <c r="B58" s="170">
        <v>3.0884999999999999E-2</v>
      </c>
      <c r="C58" s="94">
        <f t="shared" si="0"/>
        <v>45517704.079999976</v>
      </c>
      <c r="D58" s="94">
        <f t="shared" si="10"/>
        <v>-4754476.688888968</v>
      </c>
      <c r="E58" s="62">
        <f t="shared" si="12"/>
        <v>-8051270.0452465285</v>
      </c>
      <c r="F58" s="94">
        <f t="shared" si="11"/>
        <v>32711957.345864482</v>
      </c>
      <c r="G58" s="94"/>
      <c r="J58" s="325">
        <v>44135</v>
      </c>
      <c r="K58" s="170">
        <v>6.6769999999999996E-2</v>
      </c>
      <c r="L58" s="94">
        <v>60284764.080000125</v>
      </c>
      <c r="M58" s="94">
        <v>-4450658.1286275443</v>
      </c>
      <c r="N58" s="94">
        <v>-1317178.3430653065</v>
      </c>
      <c r="O58" s="94">
        <v>54516927.608307272</v>
      </c>
      <c r="R58" s="332">
        <f t="shared" si="3"/>
        <v>44135</v>
      </c>
      <c r="T58" s="94">
        <f t="shared" si="4"/>
        <v>105802468.1600001</v>
      </c>
      <c r="U58" s="94">
        <f t="shared" si="4"/>
        <v>-9205134.8175165132</v>
      </c>
      <c r="V58" s="94">
        <f t="shared" si="4"/>
        <v>-9368448.388311835</v>
      </c>
      <c r="W58" s="94">
        <f t="shared" si="5"/>
        <v>87228884.954171747</v>
      </c>
    </row>
    <row r="59" spans="1:27" x14ac:dyDescent="0.3">
      <c r="A59" s="325">
        <v>44165</v>
      </c>
      <c r="B59" s="325"/>
      <c r="C59" s="94">
        <f t="shared" si="0"/>
        <v>45517704.079999976</v>
      </c>
      <c r="D59" s="94">
        <f t="shared" si="10"/>
        <v>-4849335.0815179246</v>
      </c>
      <c r="E59" s="62">
        <f>-(($C$34*$B$70-$D$7)*$E$7)/12+E58</f>
        <v>-8054103.5140927387</v>
      </c>
      <c r="F59" s="94">
        <f t="shared" si="11"/>
        <v>32614265.484389309</v>
      </c>
      <c r="G59" s="94"/>
      <c r="J59" s="325">
        <v>44165</v>
      </c>
      <c r="L59" s="94">
        <v>60284764.080000125</v>
      </c>
      <c r="M59" s="94">
        <v>-4573814.7046420695</v>
      </c>
      <c r="N59" s="62">
        <v>-1356481.7849536343</v>
      </c>
      <c r="O59" s="94">
        <v>54354467.590404421</v>
      </c>
      <c r="R59" s="332">
        <f t="shared" si="3"/>
        <v>44165</v>
      </c>
      <c r="T59" s="94">
        <f t="shared" si="4"/>
        <v>105802468.1600001</v>
      </c>
      <c r="U59" s="94">
        <f t="shared" si="4"/>
        <v>-9423149.7861599941</v>
      </c>
      <c r="V59" s="94">
        <f t="shared" si="4"/>
        <v>-9410585.299046373</v>
      </c>
      <c r="W59" s="94">
        <f t="shared" si="5"/>
        <v>86968733.074793741</v>
      </c>
    </row>
    <row r="60" spans="1:27" x14ac:dyDescent="0.3">
      <c r="A60" s="325">
        <v>44196</v>
      </c>
      <c r="B60" s="325"/>
      <c r="C60" s="94">
        <f t="shared" si="0"/>
        <v>45517704.079999976</v>
      </c>
      <c r="D60" s="94">
        <f t="shared" si="10"/>
        <v>-4944193.4741468811</v>
      </c>
      <c r="E60" s="62">
        <f t="shared" ref="E60:E70" si="13">-(($C$34*$B$70-$D$7)*$E$7)/12+E59</f>
        <v>-8056936.982938949</v>
      </c>
      <c r="F60" s="94">
        <f t="shared" si="11"/>
        <v>32516573.622914147</v>
      </c>
      <c r="G60" s="94"/>
      <c r="J60" s="325">
        <v>44196</v>
      </c>
      <c r="L60" s="94">
        <v>60284764.080000125</v>
      </c>
      <c r="M60" s="94">
        <v>-4696971.2806565948</v>
      </c>
      <c r="N60" s="62">
        <v>-1395785.226841962</v>
      </c>
      <c r="O60" s="94">
        <v>54192007.572501563</v>
      </c>
      <c r="R60" s="332">
        <f t="shared" si="3"/>
        <v>44196</v>
      </c>
      <c r="T60" s="94">
        <f t="shared" si="4"/>
        <v>105802468.1600001</v>
      </c>
      <c r="U60" s="94">
        <f t="shared" si="4"/>
        <v>-9641164.754803475</v>
      </c>
      <c r="V60" s="94">
        <f t="shared" si="4"/>
        <v>-9452722.209780911</v>
      </c>
      <c r="W60" s="94">
        <f t="shared" si="5"/>
        <v>86708581.195415705</v>
      </c>
      <c r="X60" s="94">
        <f>U60-U48</f>
        <v>-2616179.6237217821</v>
      </c>
      <c r="Z60" s="94">
        <f>V60</f>
        <v>-9452722.209780911</v>
      </c>
      <c r="AA60" s="94">
        <f>Z48-Z60</f>
        <v>576872.28524093702</v>
      </c>
    </row>
    <row r="61" spans="1:27" x14ac:dyDescent="0.3">
      <c r="A61" s="325">
        <v>44227</v>
      </c>
      <c r="B61" s="325"/>
      <c r="C61" s="94">
        <f t="shared" si="0"/>
        <v>45517704.079999976</v>
      </c>
      <c r="D61" s="94">
        <f t="shared" si="10"/>
        <v>-5039051.8667758377</v>
      </c>
      <c r="E61" s="62">
        <f t="shared" si="13"/>
        <v>-8059770.4517851593</v>
      </c>
      <c r="F61" s="94">
        <f t="shared" si="11"/>
        <v>32418881.761438977</v>
      </c>
      <c r="G61" s="94"/>
      <c r="J61" s="325">
        <v>44227</v>
      </c>
      <c r="L61" s="94">
        <v>60284764.080000125</v>
      </c>
      <c r="M61" s="94">
        <v>-4820127.85667112</v>
      </c>
      <c r="N61" s="62">
        <v>-1435088.6687302897</v>
      </c>
      <c r="O61" s="94">
        <v>54029547.554598719</v>
      </c>
      <c r="R61" s="332">
        <f t="shared" si="3"/>
        <v>44227</v>
      </c>
      <c r="T61" s="94">
        <f t="shared" si="4"/>
        <v>105802468.1600001</v>
      </c>
      <c r="U61" s="94">
        <f t="shared" si="4"/>
        <v>-9859179.7234469578</v>
      </c>
      <c r="V61" s="94">
        <f t="shared" si="4"/>
        <v>-9494859.120515449</v>
      </c>
      <c r="W61" s="94">
        <f t="shared" si="5"/>
        <v>86448429.3160377</v>
      </c>
    </row>
    <row r="62" spans="1:27" x14ac:dyDescent="0.3">
      <c r="A62" s="325">
        <v>44255</v>
      </c>
      <c r="B62" s="325"/>
      <c r="C62" s="94">
        <f t="shared" si="0"/>
        <v>45517704.079999976</v>
      </c>
      <c r="D62" s="94">
        <f t="shared" si="10"/>
        <v>-5133910.2594047943</v>
      </c>
      <c r="E62" s="62">
        <f t="shared" si="13"/>
        <v>-8062603.9206313696</v>
      </c>
      <c r="F62" s="94">
        <f t="shared" si="11"/>
        <v>32321189.899963811</v>
      </c>
      <c r="G62" s="94"/>
      <c r="J62" s="325">
        <v>44255</v>
      </c>
      <c r="L62" s="94">
        <v>60284764.080000125</v>
      </c>
      <c r="M62" s="94">
        <v>-4943284.4326856453</v>
      </c>
      <c r="N62" s="62">
        <v>-1474392.1106186174</v>
      </c>
      <c r="O62" s="94">
        <v>53867087.536695868</v>
      </c>
      <c r="R62" s="332">
        <f t="shared" si="3"/>
        <v>44255</v>
      </c>
      <c r="T62" s="94">
        <f t="shared" si="4"/>
        <v>105802468.1600001</v>
      </c>
      <c r="U62" s="94">
        <f t="shared" si="4"/>
        <v>-10077194.692090441</v>
      </c>
      <c r="V62" s="94">
        <f t="shared" si="4"/>
        <v>-9536996.031249987</v>
      </c>
      <c r="W62" s="94">
        <f t="shared" si="5"/>
        <v>86188277.436659679</v>
      </c>
    </row>
    <row r="63" spans="1:27" x14ac:dyDescent="0.3">
      <c r="A63" s="325">
        <v>44286</v>
      </c>
      <c r="B63" s="325"/>
      <c r="C63" s="94">
        <f t="shared" si="0"/>
        <v>45517704.079999976</v>
      </c>
      <c r="D63" s="94">
        <f t="shared" si="10"/>
        <v>-5228768.6520337509</v>
      </c>
      <c r="E63" s="62">
        <f t="shared" si="13"/>
        <v>-8065437.3894775799</v>
      </c>
      <c r="F63" s="94">
        <f t="shared" si="11"/>
        <v>32223498.038488641</v>
      </c>
      <c r="G63" s="94"/>
      <c r="J63" s="325">
        <v>44286</v>
      </c>
      <c r="L63" s="94">
        <v>60284764.080000125</v>
      </c>
      <c r="M63" s="94">
        <v>-5066441.0087001706</v>
      </c>
      <c r="N63" s="62">
        <v>-1513695.5525069451</v>
      </c>
      <c r="O63" s="94">
        <v>53704627.518793009</v>
      </c>
      <c r="R63" s="332">
        <f t="shared" si="3"/>
        <v>44286</v>
      </c>
      <c r="T63" s="94">
        <f t="shared" si="4"/>
        <v>105802468.1600001</v>
      </c>
      <c r="U63" s="94">
        <f t="shared" si="4"/>
        <v>-10295209.660733921</v>
      </c>
      <c r="V63" s="94">
        <f t="shared" si="4"/>
        <v>-9579132.941984525</v>
      </c>
      <c r="W63" s="94">
        <f t="shared" si="5"/>
        <v>85928125.557281658</v>
      </c>
    </row>
    <row r="64" spans="1:27" x14ac:dyDescent="0.3">
      <c r="A64" s="325">
        <v>44316</v>
      </c>
      <c r="B64" s="325"/>
      <c r="C64" s="94">
        <f t="shared" si="0"/>
        <v>45517704.079999976</v>
      </c>
      <c r="D64" s="94">
        <f t="shared" si="10"/>
        <v>-5323627.0446627075</v>
      </c>
      <c r="E64" s="62">
        <f t="shared" si="13"/>
        <v>-8068270.8583237901</v>
      </c>
      <c r="F64" s="94">
        <f t="shared" si="11"/>
        <v>32125806.177013479</v>
      </c>
      <c r="G64" s="94">
        <f>D64-D52</f>
        <v>-1138300.711547479</v>
      </c>
      <c r="H64" s="94">
        <f>E64-E52</f>
        <v>-45089.73886841163</v>
      </c>
      <c r="I64" s="25" t="s">
        <v>286</v>
      </c>
      <c r="J64" s="325">
        <v>44316</v>
      </c>
      <c r="L64" s="94">
        <v>60284764.080000125</v>
      </c>
      <c r="M64" s="94">
        <v>-5189597.5847146958</v>
      </c>
      <c r="N64" s="62">
        <v>-1552998.9943952728</v>
      </c>
      <c r="O64" s="94">
        <v>53542167.500890158</v>
      </c>
      <c r="P64" s="94">
        <v>-1477878.9121743045</v>
      </c>
      <c r="R64" s="332">
        <f t="shared" si="3"/>
        <v>44316</v>
      </c>
      <c r="T64" s="94">
        <f t="shared" si="4"/>
        <v>105802468.1600001</v>
      </c>
      <c r="U64" s="94">
        <f t="shared" si="4"/>
        <v>-10513224.629377402</v>
      </c>
      <c r="V64" s="94">
        <f t="shared" si="4"/>
        <v>-9621269.8527190629</v>
      </c>
      <c r="W64" s="94">
        <f t="shared" si="5"/>
        <v>85667973.677903622</v>
      </c>
      <c r="X64" s="94">
        <f>U64-U52</f>
        <v>-2616179.6237217821</v>
      </c>
    </row>
    <row r="65" spans="1:27" x14ac:dyDescent="0.3">
      <c r="A65" s="325">
        <v>44347</v>
      </c>
      <c r="B65" s="325"/>
      <c r="C65" s="94">
        <f t="shared" si="0"/>
        <v>45517704.079999976</v>
      </c>
      <c r="D65" s="94">
        <f t="shared" si="10"/>
        <v>-5418485.4372916641</v>
      </c>
      <c r="E65" s="62">
        <f t="shared" si="13"/>
        <v>-8071104.3271700004</v>
      </c>
      <c r="F65" s="94">
        <f t="shared" si="11"/>
        <v>32028114.31553831</v>
      </c>
      <c r="G65" s="94">
        <f>-D65+D66</f>
        <v>-94858.392628956586</v>
      </c>
      <c r="J65" s="325">
        <v>44347</v>
      </c>
      <c r="L65" s="94">
        <v>60284764.080000125</v>
      </c>
      <c r="M65" s="94">
        <v>-5312754.1607292211</v>
      </c>
      <c r="N65" s="62">
        <v>-1592302.4362836005</v>
      </c>
      <c r="O65" s="94">
        <v>53379707.4829873</v>
      </c>
      <c r="R65" s="332">
        <f t="shared" si="3"/>
        <v>44347</v>
      </c>
      <c r="T65" s="94">
        <f t="shared" si="4"/>
        <v>105802468.1600001</v>
      </c>
      <c r="U65" s="94">
        <f t="shared" si="4"/>
        <v>-10731239.598020885</v>
      </c>
      <c r="V65" s="94">
        <f t="shared" si="4"/>
        <v>-9663406.7634536009</v>
      </c>
      <c r="W65" s="94">
        <f t="shared" si="5"/>
        <v>85407821.798525617</v>
      </c>
    </row>
    <row r="66" spans="1:27" x14ac:dyDescent="0.3">
      <c r="A66" s="325">
        <v>44377</v>
      </c>
      <c r="B66" s="325"/>
      <c r="C66" s="94">
        <f t="shared" si="0"/>
        <v>45517704.079999976</v>
      </c>
      <c r="D66" s="94">
        <f t="shared" si="10"/>
        <v>-5513343.8299206207</v>
      </c>
      <c r="E66" s="62">
        <f t="shared" si="13"/>
        <v>-8073937.7960162107</v>
      </c>
      <c r="F66" s="94">
        <f t="shared" si="11"/>
        <v>31930422.454063147</v>
      </c>
      <c r="G66" s="94"/>
      <c r="J66" s="325">
        <v>44377</v>
      </c>
      <c r="L66" s="94">
        <v>60284764.080000125</v>
      </c>
      <c r="M66" s="94">
        <v>-5435910.7367437463</v>
      </c>
      <c r="N66" s="62">
        <v>-1631605.8781719282</v>
      </c>
      <c r="O66" s="94">
        <v>53217247.465084448</v>
      </c>
      <c r="R66" s="332">
        <f t="shared" si="3"/>
        <v>44377</v>
      </c>
      <c r="T66" s="94">
        <f t="shared" si="4"/>
        <v>105802468.1600001</v>
      </c>
      <c r="U66" s="94">
        <f t="shared" si="4"/>
        <v>-10949254.566664368</v>
      </c>
      <c r="V66" s="94">
        <f t="shared" si="4"/>
        <v>-9705543.6741881389</v>
      </c>
      <c r="W66" s="94">
        <f t="shared" si="5"/>
        <v>85147669.919147596</v>
      </c>
    </row>
    <row r="67" spans="1:27" x14ac:dyDescent="0.3">
      <c r="A67" s="325">
        <v>44408</v>
      </c>
      <c r="B67" s="325"/>
      <c r="C67" s="94">
        <f t="shared" si="0"/>
        <v>45517704.079999976</v>
      </c>
      <c r="D67" s="94">
        <f t="shared" si="10"/>
        <v>-5608202.2225495772</v>
      </c>
      <c r="E67" s="62">
        <f t="shared" si="13"/>
        <v>-8076771.264862421</v>
      </c>
      <c r="F67" s="94">
        <f t="shared" si="11"/>
        <v>31832730.592587974</v>
      </c>
      <c r="G67" s="94"/>
      <c r="J67" s="325">
        <v>44408</v>
      </c>
      <c r="L67" s="94">
        <v>60284764.080000125</v>
      </c>
      <c r="M67" s="94">
        <v>-5559067.3127582716</v>
      </c>
      <c r="N67" s="62">
        <v>-1670909.3200602559</v>
      </c>
      <c r="O67" s="94">
        <v>53054787.447181597</v>
      </c>
      <c r="R67" s="332">
        <f t="shared" si="3"/>
        <v>44408</v>
      </c>
      <c r="T67" s="94">
        <f t="shared" si="4"/>
        <v>105802468.1600001</v>
      </c>
      <c r="U67" s="94">
        <f t="shared" si="4"/>
        <v>-11167269.535307849</v>
      </c>
      <c r="V67" s="94">
        <f t="shared" si="4"/>
        <v>-9747680.5849226769</v>
      </c>
      <c r="W67" s="94">
        <f t="shared" si="5"/>
        <v>84887518.039769575</v>
      </c>
    </row>
    <row r="68" spans="1:27" x14ac:dyDescent="0.3">
      <c r="A68" s="325">
        <v>44439</v>
      </c>
      <c r="B68" s="325"/>
      <c r="C68" s="94">
        <f t="shared" si="0"/>
        <v>45517704.079999976</v>
      </c>
      <c r="D68" s="94">
        <f t="shared" si="10"/>
        <v>-5703060.6151785338</v>
      </c>
      <c r="E68" s="62">
        <f t="shared" si="13"/>
        <v>-8079604.7337086312</v>
      </c>
      <c r="F68" s="94">
        <f t="shared" si="11"/>
        <v>31735038.731112812</v>
      </c>
      <c r="G68" s="94"/>
      <c r="J68" s="325">
        <v>44439</v>
      </c>
      <c r="L68" s="94">
        <v>60284764.080000125</v>
      </c>
      <c r="M68" s="94">
        <v>-5682223.8887727968</v>
      </c>
      <c r="N68" s="62">
        <v>-1710212.7619485836</v>
      </c>
      <c r="O68" s="94">
        <v>52892327.429278746</v>
      </c>
      <c r="R68" s="332">
        <f t="shared" si="3"/>
        <v>44439</v>
      </c>
      <c r="T68" s="94">
        <f t="shared" si="4"/>
        <v>105802468.1600001</v>
      </c>
      <c r="U68" s="94">
        <f t="shared" si="4"/>
        <v>-11385284.50395133</v>
      </c>
      <c r="V68" s="94">
        <f t="shared" si="4"/>
        <v>-9789817.4956572149</v>
      </c>
      <c r="W68" s="94">
        <f t="shared" si="5"/>
        <v>84627366.160391554</v>
      </c>
    </row>
    <row r="69" spans="1:27" x14ac:dyDescent="0.3">
      <c r="A69" s="325">
        <v>44469</v>
      </c>
      <c r="B69" s="325"/>
      <c r="C69" s="94">
        <f t="shared" si="0"/>
        <v>45517704.079999976</v>
      </c>
      <c r="D69" s="94">
        <f t="shared" si="10"/>
        <v>-5797919.0078074904</v>
      </c>
      <c r="E69" s="62">
        <f t="shared" si="13"/>
        <v>-8082438.2025548415</v>
      </c>
      <c r="F69" s="94">
        <f t="shared" si="11"/>
        <v>31637346.869637642</v>
      </c>
      <c r="G69" s="94"/>
      <c r="J69" s="325">
        <v>44469</v>
      </c>
      <c r="L69" s="94">
        <v>60284764.080000125</v>
      </c>
      <c r="M69" s="94">
        <v>-5805380.4647873221</v>
      </c>
      <c r="N69" s="62">
        <v>-1749516.2038369114</v>
      </c>
      <c r="O69" s="94">
        <v>52729867.411375895</v>
      </c>
      <c r="R69" s="332">
        <f t="shared" si="3"/>
        <v>44469</v>
      </c>
      <c r="T69" s="94">
        <f t="shared" si="4"/>
        <v>105802468.1600001</v>
      </c>
      <c r="U69" s="94">
        <f t="shared" si="4"/>
        <v>-11603299.472594813</v>
      </c>
      <c r="V69" s="94">
        <f t="shared" si="4"/>
        <v>-9831954.4063917529</v>
      </c>
      <c r="W69" s="94">
        <f t="shared" si="5"/>
        <v>84367214.281013533</v>
      </c>
    </row>
    <row r="70" spans="1:27" x14ac:dyDescent="0.3">
      <c r="A70" s="325">
        <v>44500</v>
      </c>
      <c r="B70" s="170">
        <v>2.8565E-2</v>
      </c>
      <c r="C70" s="94">
        <f t="shared" si="0"/>
        <v>45517704.079999976</v>
      </c>
      <c r="D70" s="94">
        <f t="shared" si="10"/>
        <v>-5892777.400436447</v>
      </c>
      <c r="E70" s="62">
        <f t="shared" si="13"/>
        <v>-8085271.6714010518</v>
      </c>
      <c r="F70" s="94">
        <f t="shared" si="11"/>
        <v>31539655.008162476</v>
      </c>
      <c r="G70" s="94"/>
      <c r="J70" s="325">
        <v>44500</v>
      </c>
      <c r="K70" s="170">
        <v>6.1769999999999999E-2</v>
      </c>
      <c r="L70" s="94">
        <v>60284764.080000125</v>
      </c>
      <c r="M70" s="94">
        <v>-5928537.0408018474</v>
      </c>
      <c r="N70" s="62">
        <v>-1788819.6457252391</v>
      </c>
      <c r="O70" s="94">
        <v>52567407.393473044</v>
      </c>
      <c r="R70" s="332">
        <f t="shared" si="3"/>
        <v>44500</v>
      </c>
      <c r="T70" s="94">
        <f t="shared" si="4"/>
        <v>105802468.1600001</v>
      </c>
      <c r="U70" s="94">
        <f t="shared" si="4"/>
        <v>-11821314.441238295</v>
      </c>
      <c r="V70" s="94">
        <f t="shared" si="4"/>
        <v>-9874091.3171262909</v>
      </c>
      <c r="W70" s="94">
        <f t="shared" si="5"/>
        <v>84107062.401635513</v>
      </c>
      <c r="Z70" s="94">
        <f>V70</f>
        <v>-9874091.3171262909</v>
      </c>
      <c r="AA70" s="94">
        <f>Z60-Z70</f>
        <v>421369.10734537989</v>
      </c>
    </row>
    <row r="71" spans="1:27" x14ac:dyDescent="0.3">
      <c r="A71" s="325"/>
      <c r="B71" s="325"/>
      <c r="C71" s="94"/>
      <c r="D71" s="62"/>
      <c r="F71" s="94"/>
      <c r="G71" s="94"/>
    </row>
    <row r="72" spans="1:27" x14ac:dyDescent="0.3">
      <c r="A72" s="325"/>
      <c r="B72" s="325"/>
      <c r="C72" s="94"/>
      <c r="D72" s="62"/>
      <c r="F72" s="94"/>
      <c r="G72" s="94"/>
    </row>
    <row r="73" spans="1:27" x14ac:dyDescent="0.3">
      <c r="A73" s="325"/>
      <c r="B73" s="325"/>
      <c r="C73" s="94"/>
      <c r="D73" s="62"/>
      <c r="F73" s="94"/>
      <c r="G73" s="94"/>
    </row>
    <row r="74" spans="1:27" x14ac:dyDescent="0.3">
      <c r="A74" s="325"/>
      <c r="B74" s="325"/>
      <c r="C74" s="94"/>
      <c r="D74" s="62"/>
      <c r="F74" s="94"/>
      <c r="G74" s="94"/>
    </row>
    <row r="75" spans="1:27" x14ac:dyDescent="0.3">
      <c r="A75" s="325"/>
      <c r="B75" s="325"/>
      <c r="C75" s="94"/>
      <c r="D75" s="62"/>
      <c r="F75" s="94"/>
      <c r="G75" s="94"/>
    </row>
    <row r="76" spans="1:27" x14ac:dyDescent="0.3">
      <c r="A76" s="325"/>
      <c r="B76" s="325"/>
      <c r="C76" s="94"/>
      <c r="D76" s="62"/>
      <c r="F76" s="94"/>
      <c r="G76" s="94"/>
    </row>
    <row r="77" spans="1:27" x14ac:dyDescent="0.3">
      <c r="A77" s="325"/>
      <c r="B77" s="325"/>
      <c r="C77" s="94"/>
      <c r="D77" s="62"/>
      <c r="F77" s="94"/>
      <c r="G77" s="94"/>
    </row>
    <row r="78" spans="1:27" x14ac:dyDescent="0.3">
      <c r="A78" s="325"/>
      <c r="B78" s="325"/>
      <c r="C78" s="94"/>
      <c r="D78" s="62"/>
      <c r="F78" s="94"/>
      <c r="G78" s="94"/>
    </row>
    <row r="79" spans="1:27" x14ac:dyDescent="0.3">
      <c r="A79" s="325"/>
      <c r="B79" s="325"/>
      <c r="C79" s="94"/>
      <c r="D79" s="62"/>
      <c r="F79" s="94"/>
      <c r="G79" s="94"/>
    </row>
    <row r="80" spans="1:27" x14ac:dyDescent="0.3">
      <c r="A80" s="325"/>
      <c r="B80" s="325"/>
      <c r="C80" s="94"/>
      <c r="D80" s="62"/>
      <c r="F80" s="94"/>
      <c r="G80" s="94"/>
    </row>
    <row r="81" spans="1:7" x14ac:dyDescent="0.3">
      <c r="A81" s="325"/>
      <c r="B81" s="325"/>
      <c r="C81" s="94"/>
      <c r="D81" s="62"/>
      <c r="F81" s="94"/>
      <c r="G81" s="94"/>
    </row>
    <row r="82" spans="1:7" x14ac:dyDescent="0.3">
      <c r="A82" s="325"/>
      <c r="B82" s="325"/>
      <c r="C82" s="94"/>
      <c r="D82" s="62"/>
      <c r="F82" s="94"/>
      <c r="G82" s="94"/>
    </row>
    <row r="83" spans="1:7" x14ac:dyDescent="0.3">
      <c r="A83" s="325"/>
      <c r="B83" s="325"/>
      <c r="C83" s="94"/>
      <c r="D83" s="62"/>
      <c r="F83" s="94"/>
      <c r="G83" s="94"/>
    </row>
    <row r="84" spans="1:7" x14ac:dyDescent="0.3">
      <c r="A84" s="325"/>
      <c r="B84" s="325"/>
      <c r="C84" s="94"/>
      <c r="D84" s="62"/>
      <c r="F84" s="94"/>
      <c r="G84" s="94"/>
    </row>
    <row r="85" spans="1:7" x14ac:dyDescent="0.3">
      <c r="A85" s="325"/>
      <c r="B85" s="325"/>
      <c r="C85" s="94"/>
      <c r="D85" s="62"/>
      <c r="F85" s="94"/>
      <c r="G85" s="94"/>
    </row>
    <row r="86" spans="1:7" x14ac:dyDescent="0.3">
      <c r="A86" s="325"/>
      <c r="B86" s="325"/>
      <c r="C86" s="94"/>
      <c r="D86" s="62"/>
      <c r="F86" s="94"/>
      <c r="G86" s="94"/>
    </row>
    <row r="87" spans="1:7" x14ac:dyDescent="0.3">
      <c r="A87" s="325"/>
      <c r="B87" s="325"/>
      <c r="C87" s="94"/>
      <c r="D87" s="62"/>
      <c r="F87" s="94"/>
      <c r="G87" s="94"/>
    </row>
    <row r="88" spans="1:7" x14ac:dyDescent="0.3">
      <c r="A88" s="325"/>
      <c r="B88" s="325"/>
      <c r="C88" s="94"/>
      <c r="D88" s="62"/>
      <c r="F88" s="94"/>
      <c r="G88" s="94"/>
    </row>
    <row r="89" spans="1:7" x14ac:dyDescent="0.3">
      <c r="A89" s="325"/>
      <c r="B89" s="325"/>
      <c r="C89" s="94"/>
      <c r="D89" s="62"/>
      <c r="F89" s="94"/>
      <c r="G89" s="94"/>
    </row>
    <row r="90" spans="1:7" x14ac:dyDescent="0.3">
      <c r="A90" s="325"/>
      <c r="B90" s="325"/>
      <c r="C90" s="94"/>
      <c r="D90" s="62"/>
      <c r="F90" s="94"/>
      <c r="G90" s="94"/>
    </row>
    <row r="91" spans="1:7" x14ac:dyDescent="0.3">
      <c r="A91" s="325"/>
      <c r="B91" s="325"/>
      <c r="C91" s="94"/>
      <c r="D91" s="62"/>
      <c r="F91" s="94"/>
      <c r="G91" s="94"/>
    </row>
    <row r="92" spans="1:7" x14ac:dyDescent="0.3">
      <c r="A92" s="325"/>
      <c r="B92" s="325"/>
      <c r="C92" s="94"/>
      <c r="D92" s="62"/>
      <c r="F92" s="94"/>
      <c r="G92" s="94"/>
    </row>
    <row r="93" spans="1:7" x14ac:dyDescent="0.3">
      <c r="A93" s="325"/>
      <c r="B93" s="325"/>
      <c r="C93" s="94"/>
      <c r="D93" s="62"/>
      <c r="F93" s="94"/>
      <c r="G93" s="94"/>
    </row>
    <row r="94" spans="1:7" x14ac:dyDescent="0.3">
      <c r="A94" s="325"/>
      <c r="B94" s="325"/>
      <c r="C94" s="94"/>
      <c r="D94" s="62"/>
      <c r="F94" s="94"/>
      <c r="G94" s="94"/>
    </row>
    <row r="95" spans="1:7" x14ac:dyDescent="0.3">
      <c r="A95" s="325"/>
      <c r="B95" s="325"/>
      <c r="C95" s="94"/>
      <c r="D95" s="62"/>
      <c r="F95" s="94"/>
      <c r="G95" s="94"/>
    </row>
    <row r="96" spans="1:7" x14ac:dyDescent="0.3">
      <c r="A96" s="325"/>
      <c r="B96" s="325"/>
      <c r="C96" s="94"/>
      <c r="D96" s="62"/>
      <c r="F96" s="94"/>
      <c r="G96" s="94"/>
    </row>
    <row r="97" spans="1:7" x14ac:dyDescent="0.3">
      <c r="A97" s="325"/>
      <c r="B97" s="325"/>
      <c r="C97" s="94"/>
      <c r="D97" s="62"/>
      <c r="F97" s="94"/>
      <c r="G97" s="94"/>
    </row>
    <row r="98" spans="1:7" x14ac:dyDescent="0.3">
      <c r="A98" s="325"/>
      <c r="B98" s="325"/>
      <c r="C98" s="94"/>
      <c r="D98" s="62"/>
      <c r="F98" s="94"/>
      <c r="G98" s="94"/>
    </row>
    <row r="99" spans="1:7" x14ac:dyDescent="0.3">
      <c r="A99" s="325"/>
      <c r="B99" s="325"/>
      <c r="C99" s="94"/>
      <c r="D99" s="62"/>
      <c r="F99" s="94"/>
      <c r="G99" s="94"/>
    </row>
    <row r="100" spans="1:7" x14ac:dyDescent="0.3">
      <c r="A100" s="325"/>
      <c r="B100" s="325"/>
      <c r="C100" s="94"/>
      <c r="D100" s="62"/>
      <c r="F100" s="94"/>
      <c r="G100" s="94"/>
    </row>
    <row r="101" spans="1:7" x14ac:dyDescent="0.3">
      <c r="A101" s="325"/>
      <c r="B101" s="325"/>
      <c r="C101" s="94"/>
      <c r="D101" s="62"/>
      <c r="F101" s="94"/>
      <c r="G101" s="94"/>
    </row>
    <row r="102" spans="1:7" x14ac:dyDescent="0.3">
      <c r="A102" s="325"/>
      <c r="B102" s="325"/>
      <c r="C102" s="94"/>
      <c r="D102" s="62"/>
      <c r="F102" s="94"/>
      <c r="G102" s="94"/>
    </row>
    <row r="103" spans="1:7" x14ac:dyDescent="0.3">
      <c r="A103" s="325"/>
      <c r="B103" s="325"/>
      <c r="C103" s="94"/>
      <c r="D103" s="62"/>
      <c r="F103" s="94"/>
      <c r="G103" s="94"/>
    </row>
    <row r="104" spans="1:7" x14ac:dyDescent="0.3">
      <c r="A104" s="325"/>
      <c r="B104" s="325"/>
      <c r="C104" s="94"/>
      <c r="D104" s="62"/>
      <c r="F104" s="94"/>
      <c r="G104" s="94"/>
    </row>
    <row r="105" spans="1:7" x14ac:dyDescent="0.3">
      <c r="A105" s="325"/>
      <c r="B105" s="325"/>
      <c r="C105" s="94"/>
      <c r="D105" s="62"/>
      <c r="F105" s="94"/>
      <c r="G105" s="94"/>
    </row>
    <row r="106" spans="1:7" x14ac:dyDescent="0.3">
      <c r="A106" s="325"/>
      <c r="B106" s="325"/>
      <c r="C106" s="94"/>
      <c r="D106" s="62"/>
      <c r="F106" s="94"/>
      <c r="G106" s="94"/>
    </row>
    <row r="107" spans="1:7" x14ac:dyDescent="0.3">
      <c r="A107" s="325"/>
      <c r="B107" s="325"/>
      <c r="C107" s="94"/>
      <c r="D107" s="62"/>
      <c r="F107" s="94"/>
      <c r="G107" s="94"/>
    </row>
    <row r="108" spans="1:7" x14ac:dyDescent="0.3">
      <c r="A108" s="325"/>
      <c r="B108" s="325"/>
      <c r="C108" s="94"/>
      <c r="D108" s="62"/>
      <c r="F108" s="94"/>
      <c r="G108" s="94"/>
    </row>
    <row r="109" spans="1:7" x14ac:dyDescent="0.3">
      <c r="A109" s="325"/>
      <c r="B109" s="325"/>
      <c r="C109" s="94"/>
      <c r="D109" s="62"/>
      <c r="F109" s="94"/>
      <c r="G109" s="94"/>
    </row>
    <row r="110" spans="1:7" x14ac:dyDescent="0.3">
      <c r="A110" s="325"/>
      <c r="B110" s="325"/>
      <c r="C110" s="94"/>
      <c r="D110" s="62"/>
      <c r="F110" s="94"/>
      <c r="G110" s="94"/>
    </row>
    <row r="111" spans="1:7" x14ac:dyDescent="0.3">
      <c r="A111" s="325"/>
      <c r="B111" s="325"/>
      <c r="C111" s="94"/>
      <c r="D111" s="62"/>
      <c r="F111" s="94"/>
      <c r="G111" s="94"/>
    </row>
    <row r="112" spans="1:7" x14ac:dyDescent="0.3">
      <c r="A112" s="325"/>
      <c r="B112" s="325"/>
      <c r="C112" s="94"/>
      <c r="D112" s="62"/>
      <c r="F112" s="94"/>
      <c r="G112" s="94"/>
    </row>
    <row r="113" spans="1:7" x14ac:dyDescent="0.3">
      <c r="A113" s="325"/>
      <c r="B113" s="325"/>
      <c r="C113" s="94"/>
      <c r="D113" s="62"/>
      <c r="F113" s="94"/>
      <c r="G113" s="94"/>
    </row>
    <row r="114" spans="1:7" x14ac:dyDescent="0.3">
      <c r="A114" s="325"/>
      <c r="B114" s="325"/>
      <c r="C114" s="94"/>
      <c r="D114" s="62"/>
      <c r="F114" s="94"/>
      <c r="G114" s="94"/>
    </row>
    <row r="115" spans="1:7" x14ac:dyDescent="0.3">
      <c r="A115" s="325"/>
      <c r="B115" s="325"/>
      <c r="C115" s="94"/>
      <c r="D115" s="62"/>
      <c r="F115" s="94"/>
      <c r="G115" s="94"/>
    </row>
    <row r="116" spans="1:7" x14ac:dyDescent="0.3">
      <c r="A116" s="325"/>
      <c r="B116" s="325"/>
      <c r="C116" s="94"/>
      <c r="D116" s="62"/>
      <c r="F116" s="94"/>
      <c r="G116" s="94"/>
    </row>
    <row r="117" spans="1:7" x14ac:dyDescent="0.3">
      <c r="A117" s="325"/>
      <c r="B117" s="325"/>
      <c r="C117" s="94"/>
      <c r="D117" s="62"/>
      <c r="F117" s="94"/>
      <c r="G117" s="94"/>
    </row>
    <row r="118" spans="1:7" x14ac:dyDescent="0.3">
      <c r="A118" s="325"/>
      <c r="B118" s="325"/>
      <c r="C118" s="94"/>
      <c r="D118" s="62"/>
      <c r="F118" s="94"/>
      <c r="G118" s="94"/>
    </row>
    <row r="119" spans="1:7" x14ac:dyDescent="0.3">
      <c r="A119" s="325"/>
      <c r="B119" s="325"/>
      <c r="C119" s="94"/>
      <c r="D119" s="62"/>
      <c r="F119" s="94"/>
      <c r="G119" s="94"/>
    </row>
    <row r="120" spans="1:7" x14ac:dyDescent="0.3">
      <c r="A120" s="325"/>
      <c r="B120" s="325"/>
      <c r="C120" s="94"/>
      <c r="D120" s="62"/>
      <c r="F120" s="94"/>
      <c r="G120" s="94"/>
    </row>
    <row r="121" spans="1:7" x14ac:dyDescent="0.3">
      <c r="A121" s="325"/>
      <c r="B121" s="325"/>
      <c r="C121" s="94"/>
      <c r="D121" s="62"/>
      <c r="F121" s="94"/>
      <c r="G121" s="94"/>
    </row>
    <row r="122" spans="1:7" x14ac:dyDescent="0.3">
      <c r="A122" s="325"/>
      <c r="B122" s="325"/>
      <c r="C122" s="94"/>
      <c r="D122" s="62"/>
      <c r="F122" s="94"/>
      <c r="G122" s="94"/>
    </row>
    <row r="123" spans="1:7" x14ac:dyDescent="0.3">
      <c r="A123" s="325"/>
      <c r="B123" s="325"/>
      <c r="C123" s="94"/>
      <c r="D123" s="62"/>
      <c r="F123" s="94"/>
      <c r="G123" s="94"/>
    </row>
    <row r="124" spans="1:7" x14ac:dyDescent="0.3">
      <c r="A124" s="325"/>
      <c r="B124" s="325"/>
      <c r="C124" s="94"/>
      <c r="D124" s="62"/>
      <c r="F124" s="94"/>
      <c r="G124" s="94"/>
    </row>
    <row r="125" spans="1:7" x14ac:dyDescent="0.3">
      <c r="A125" s="325"/>
      <c r="B125" s="325"/>
      <c r="C125" s="94"/>
      <c r="D125" s="62"/>
      <c r="F125" s="94"/>
      <c r="G125" s="94"/>
    </row>
    <row r="126" spans="1:7" x14ac:dyDescent="0.3">
      <c r="A126" s="325"/>
      <c r="B126" s="325"/>
      <c r="C126" s="94"/>
      <c r="D126" s="62"/>
      <c r="F126" s="94"/>
      <c r="G126" s="94"/>
    </row>
    <row r="127" spans="1:7" x14ac:dyDescent="0.3">
      <c r="A127" s="325"/>
      <c r="B127" s="325"/>
      <c r="C127" s="94"/>
      <c r="D127" s="62"/>
      <c r="F127" s="94"/>
      <c r="G127" s="94"/>
    </row>
    <row r="128" spans="1:7" x14ac:dyDescent="0.3">
      <c r="A128" s="325"/>
      <c r="B128" s="325"/>
      <c r="C128" s="94"/>
      <c r="D128" s="62"/>
      <c r="F128" s="94"/>
      <c r="G128" s="94"/>
    </row>
    <row r="129" spans="1:7" x14ac:dyDescent="0.3">
      <c r="A129" s="325"/>
      <c r="B129" s="325"/>
      <c r="C129" s="94"/>
      <c r="D129" s="62"/>
      <c r="F129" s="94"/>
      <c r="G129" s="94"/>
    </row>
    <row r="130" spans="1:7" x14ac:dyDescent="0.3">
      <c r="A130" s="325"/>
      <c r="B130" s="325"/>
      <c r="C130" s="94"/>
      <c r="D130" s="62"/>
      <c r="F130" s="94"/>
      <c r="G130" s="94"/>
    </row>
    <row r="131" spans="1:7" x14ac:dyDescent="0.3">
      <c r="A131" s="325"/>
      <c r="B131" s="325"/>
      <c r="C131" s="94"/>
      <c r="D131" s="62"/>
      <c r="F131" s="94"/>
      <c r="G131" s="94"/>
    </row>
    <row r="132" spans="1:7" x14ac:dyDescent="0.3">
      <c r="A132" s="325"/>
      <c r="B132" s="325"/>
      <c r="C132" s="94"/>
      <c r="D132" s="62"/>
      <c r="F132" s="94"/>
      <c r="G132" s="94"/>
    </row>
    <row r="133" spans="1:7" x14ac:dyDescent="0.3">
      <c r="A133" s="325"/>
      <c r="B133" s="325"/>
      <c r="C133" s="94"/>
      <c r="D133" s="62"/>
      <c r="F133" s="94"/>
      <c r="G133" s="94"/>
    </row>
    <row r="134" spans="1:7" x14ac:dyDescent="0.3">
      <c r="A134" s="325"/>
      <c r="B134" s="325"/>
      <c r="C134" s="94"/>
      <c r="D134" s="62"/>
      <c r="F134" s="94"/>
      <c r="G134" s="94"/>
    </row>
    <row r="135" spans="1:7" x14ac:dyDescent="0.3">
      <c r="A135" s="325"/>
      <c r="B135" s="325"/>
      <c r="C135" s="94"/>
      <c r="D135" s="62"/>
      <c r="F135" s="94"/>
      <c r="G135" s="94"/>
    </row>
    <row r="136" spans="1:7" x14ac:dyDescent="0.3">
      <c r="A136" s="325"/>
      <c r="B136" s="325"/>
      <c r="C136" s="94"/>
      <c r="D136" s="62"/>
      <c r="F136" s="94"/>
      <c r="G136" s="94"/>
    </row>
    <row r="137" spans="1:7" x14ac:dyDescent="0.3">
      <c r="A137" s="325"/>
      <c r="B137" s="325"/>
      <c r="C137" s="94"/>
      <c r="D137" s="62"/>
      <c r="F137" s="94"/>
      <c r="G137" s="94"/>
    </row>
    <row r="138" spans="1:7" x14ac:dyDescent="0.3">
      <c r="A138" s="325"/>
      <c r="B138" s="325"/>
      <c r="C138" s="94"/>
      <c r="D138" s="62"/>
      <c r="F138" s="94"/>
      <c r="G138" s="94"/>
    </row>
    <row r="139" spans="1:7" x14ac:dyDescent="0.3">
      <c r="A139" s="325"/>
      <c r="B139" s="325"/>
      <c r="C139" s="94"/>
      <c r="D139" s="62"/>
      <c r="F139" s="94"/>
      <c r="G139" s="94"/>
    </row>
    <row r="140" spans="1:7" x14ac:dyDescent="0.3">
      <c r="A140" s="325"/>
      <c r="B140" s="325"/>
      <c r="C140" s="94"/>
      <c r="D140" s="62"/>
      <c r="F140" s="94"/>
      <c r="G140" s="94"/>
    </row>
    <row r="141" spans="1:7" x14ac:dyDescent="0.3">
      <c r="A141" s="325"/>
      <c r="B141" s="325"/>
      <c r="C141" s="94"/>
      <c r="D141" s="62"/>
      <c r="F141" s="94"/>
      <c r="G141" s="94"/>
    </row>
    <row r="142" spans="1:7" x14ac:dyDescent="0.3">
      <c r="A142" s="325"/>
      <c r="B142" s="325"/>
      <c r="C142" s="94"/>
      <c r="D142" s="62"/>
      <c r="F142" s="94"/>
      <c r="G142" s="94"/>
    </row>
    <row r="143" spans="1:7" x14ac:dyDescent="0.3">
      <c r="A143" s="325"/>
      <c r="B143" s="325"/>
      <c r="C143" s="94"/>
      <c r="D143" s="62"/>
      <c r="F143" s="94"/>
      <c r="G143" s="94"/>
    </row>
    <row r="144" spans="1:7" x14ac:dyDescent="0.3">
      <c r="A144" s="325"/>
      <c r="B144" s="325"/>
      <c r="C144" s="94"/>
      <c r="D144" s="62"/>
      <c r="F144" s="94"/>
      <c r="G144" s="94"/>
    </row>
    <row r="145" spans="1:7" x14ac:dyDescent="0.3">
      <c r="A145" s="325"/>
      <c r="B145" s="325"/>
      <c r="C145" s="94"/>
      <c r="D145" s="62"/>
      <c r="F145" s="94"/>
      <c r="G145" s="94"/>
    </row>
    <row r="146" spans="1:7" x14ac:dyDescent="0.3">
      <c r="A146" s="325"/>
      <c r="B146" s="325"/>
      <c r="C146" s="94"/>
      <c r="D146" s="62"/>
      <c r="F146" s="94"/>
      <c r="G146" s="94"/>
    </row>
    <row r="147" spans="1:7" x14ac:dyDescent="0.3">
      <c r="A147" s="325"/>
      <c r="B147" s="325"/>
      <c r="C147" s="94"/>
      <c r="D147" s="62"/>
      <c r="F147" s="94"/>
      <c r="G147" s="94"/>
    </row>
    <row r="148" spans="1:7" x14ac:dyDescent="0.3">
      <c r="A148" s="325"/>
      <c r="B148" s="325"/>
      <c r="C148" s="94"/>
      <c r="D148" s="62"/>
      <c r="F148" s="94"/>
      <c r="G148" s="94"/>
    </row>
    <row r="149" spans="1:7" x14ac:dyDescent="0.3">
      <c r="A149" s="325"/>
      <c r="B149" s="325"/>
      <c r="C149" s="94"/>
      <c r="D149" s="62"/>
      <c r="F149" s="94"/>
      <c r="G149" s="94"/>
    </row>
    <row r="150" spans="1:7" x14ac:dyDescent="0.3">
      <c r="A150" s="325"/>
      <c r="B150" s="325"/>
      <c r="C150" s="94"/>
      <c r="D150" s="62"/>
      <c r="F150" s="94"/>
      <c r="G150" s="94"/>
    </row>
    <row r="151" spans="1:7" x14ac:dyDescent="0.3">
      <c r="A151" s="325"/>
      <c r="B151" s="325"/>
      <c r="C151" s="94"/>
      <c r="D151" s="62"/>
      <c r="F151" s="94"/>
      <c r="G151" s="94"/>
    </row>
    <row r="152" spans="1:7" x14ac:dyDescent="0.3">
      <c r="A152" s="325"/>
      <c r="B152" s="325"/>
      <c r="C152" s="94"/>
      <c r="D152" s="62"/>
      <c r="F152" s="94"/>
      <c r="G152" s="94"/>
    </row>
    <row r="153" spans="1:7" x14ac:dyDescent="0.3">
      <c r="A153" s="325"/>
      <c r="B153" s="325"/>
      <c r="C153" s="94"/>
      <c r="D153" s="62"/>
      <c r="F153" s="94"/>
      <c r="G153" s="94"/>
    </row>
    <row r="154" spans="1:7" x14ac:dyDescent="0.3">
      <c r="A154" s="325"/>
      <c r="B154" s="325"/>
      <c r="C154" s="94"/>
      <c r="D154" s="62"/>
      <c r="F154" s="94"/>
      <c r="G154" s="94"/>
    </row>
    <row r="155" spans="1:7" x14ac:dyDescent="0.3">
      <c r="A155" s="325"/>
      <c r="B155" s="325"/>
      <c r="C155" s="94"/>
      <c r="D155" s="62"/>
      <c r="F155" s="94"/>
      <c r="G155" s="94"/>
    </row>
    <row r="156" spans="1:7" x14ac:dyDescent="0.3">
      <c r="A156" s="325"/>
      <c r="B156" s="325"/>
      <c r="C156" s="94"/>
      <c r="D156" s="62"/>
      <c r="F156" s="94"/>
      <c r="G156" s="94"/>
    </row>
    <row r="157" spans="1:7" x14ac:dyDescent="0.3">
      <c r="A157" s="325"/>
      <c r="B157" s="325"/>
      <c r="C157" s="94"/>
      <c r="D157" s="62"/>
      <c r="F157" s="94"/>
      <c r="G157" s="94"/>
    </row>
    <row r="158" spans="1:7" x14ac:dyDescent="0.3">
      <c r="A158" s="325"/>
      <c r="B158" s="325"/>
      <c r="C158" s="94"/>
      <c r="D158" s="62"/>
      <c r="F158" s="94"/>
      <c r="G158" s="94"/>
    </row>
    <row r="159" spans="1:7" x14ac:dyDescent="0.3">
      <c r="A159" s="325"/>
      <c r="B159" s="325"/>
      <c r="C159" s="94"/>
      <c r="D159" s="62"/>
      <c r="F159" s="94"/>
      <c r="G159" s="94"/>
    </row>
    <row r="160" spans="1:7" x14ac:dyDescent="0.3">
      <c r="A160" s="325"/>
      <c r="B160" s="325"/>
      <c r="C160" s="94"/>
      <c r="D160" s="62"/>
      <c r="F160" s="94"/>
      <c r="G160" s="94"/>
    </row>
    <row r="161" spans="1:7" x14ac:dyDescent="0.3">
      <c r="A161" s="325"/>
      <c r="B161" s="325"/>
      <c r="C161" s="94"/>
      <c r="D161" s="62"/>
      <c r="F161" s="94"/>
      <c r="G161" s="94"/>
    </row>
    <row r="162" spans="1:7" x14ac:dyDescent="0.3">
      <c r="A162" s="325"/>
      <c r="B162" s="325"/>
      <c r="C162" s="94"/>
      <c r="D162" s="62"/>
      <c r="F162" s="94"/>
      <c r="G162" s="94"/>
    </row>
    <row r="163" spans="1:7" x14ac:dyDescent="0.3">
      <c r="A163" s="325"/>
      <c r="B163" s="325"/>
      <c r="C163" s="94"/>
      <c r="D163" s="62"/>
      <c r="F163" s="94"/>
      <c r="G163" s="94"/>
    </row>
    <row r="164" spans="1:7" x14ac:dyDescent="0.3">
      <c r="A164" s="325"/>
      <c r="B164" s="325"/>
      <c r="C164" s="94"/>
      <c r="D164" s="62"/>
      <c r="F164" s="94"/>
      <c r="G164" s="94"/>
    </row>
    <row r="165" spans="1:7" x14ac:dyDescent="0.3">
      <c r="A165" s="325"/>
      <c r="B165" s="325"/>
      <c r="C165" s="94"/>
      <c r="D165" s="62"/>
      <c r="F165" s="94"/>
      <c r="G165" s="94"/>
    </row>
    <row r="166" spans="1:7" x14ac:dyDescent="0.3">
      <c r="A166" s="325"/>
      <c r="B166" s="325"/>
      <c r="C166" s="94"/>
      <c r="D166" s="62"/>
      <c r="F166" s="94"/>
      <c r="G166" s="94"/>
    </row>
    <row r="167" spans="1:7" x14ac:dyDescent="0.3">
      <c r="A167" s="325"/>
      <c r="B167" s="325"/>
      <c r="C167" s="94"/>
      <c r="D167" s="62"/>
      <c r="F167" s="94"/>
      <c r="G167" s="94"/>
    </row>
    <row r="168" spans="1:7" x14ac:dyDescent="0.3">
      <c r="A168" s="325"/>
      <c r="B168" s="325"/>
      <c r="C168" s="94"/>
      <c r="D168" s="62"/>
      <c r="F168" s="94"/>
      <c r="G168" s="94"/>
    </row>
    <row r="169" spans="1:7" x14ac:dyDescent="0.3">
      <c r="A169" s="325"/>
      <c r="B169" s="325"/>
      <c r="C169" s="94"/>
      <c r="D169" s="62"/>
      <c r="F169" s="94"/>
      <c r="G169" s="94"/>
    </row>
    <row r="170" spans="1:7" x14ac:dyDescent="0.3">
      <c r="A170" s="325"/>
      <c r="B170" s="325"/>
      <c r="C170" s="94"/>
      <c r="D170" s="62"/>
      <c r="F170" s="94"/>
      <c r="G170" s="94"/>
    </row>
    <row r="171" spans="1:7" x14ac:dyDescent="0.3">
      <c r="A171" s="325"/>
      <c r="B171" s="325"/>
      <c r="C171" s="94"/>
      <c r="D171" s="62"/>
      <c r="F171" s="94"/>
      <c r="G171" s="94"/>
    </row>
    <row r="172" spans="1:7" x14ac:dyDescent="0.3">
      <c r="A172" s="325"/>
      <c r="B172" s="325"/>
      <c r="C172" s="94"/>
      <c r="D172" s="62"/>
      <c r="F172" s="94"/>
      <c r="G172" s="94"/>
    </row>
    <row r="173" spans="1:7" x14ac:dyDescent="0.3">
      <c r="A173" s="325"/>
      <c r="B173" s="325"/>
      <c r="C173" s="94"/>
      <c r="D173" s="62"/>
      <c r="F173" s="94"/>
      <c r="G173" s="94"/>
    </row>
    <row r="174" spans="1:7" x14ac:dyDescent="0.3">
      <c r="A174" s="325"/>
      <c r="B174" s="325"/>
      <c r="C174" s="94"/>
      <c r="D174" s="62"/>
      <c r="F174" s="94"/>
      <c r="G174" s="94"/>
    </row>
    <row r="175" spans="1:7" x14ac:dyDescent="0.3">
      <c r="A175" s="325"/>
      <c r="B175" s="325"/>
      <c r="C175" s="94"/>
      <c r="D175" s="62"/>
      <c r="F175" s="94"/>
      <c r="G175" s="94"/>
    </row>
    <row r="176" spans="1:7" x14ac:dyDescent="0.3">
      <c r="A176" s="325"/>
      <c r="B176" s="325"/>
      <c r="C176" s="94"/>
      <c r="D176" s="62"/>
      <c r="F176" s="94"/>
      <c r="G176" s="94"/>
    </row>
    <row r="177" spans="1:7" x14ac:dyDescent="0.3">
      <c r="A177" s="325"/>
      <c r="B177" s="325"/>
      <c r="C177" s="94"/>
      <c r="D177" s="62"/>
      <c r="F177" s="94"/>
      <c r="G177" s="94"/>
    </row>
    <row r="178" spans="1:7" x14ac:dyDescent="0.3">
      <c r="A178" s="325"/>
      <c r="B178" s="325"/>
      <c r="C178" s="94"/>
      <c r="D178" s="62"/>
      <c r="F178" s="94"/>
      <c r="G178" s="94"/>
    </row>
    <row r="179" spans="1:7" x14ac:dyDescent="0.3">
      <c r="A179" s="325"/>
      <c r="B179" s="325"/>
      <c r="C179" s="94"/>
      <c r="D179" s="62"/>
      <c r="F179" s="94"/>
      <c r="G179" s="94"/>
    </row>
    <row r="180" spans="1:7" x14ac:dyDescent="0.3">
      <c r="A180" s="325"/>
      <c r="B180" s="325"/>
      <c r="C180" s="94"/>
      <c r="D180" s="62"/>
      <c r="F180" s="94"/>
      <c r="G180" s="94"/>
    </row>
    <row r="181" spans="1:7" x14ac:dyDescent="0.3">
      <c r="A181" s="325"/>
      <c r="B181" s="325"/>
      <c r="C181" s="94"/>
      <c r="D181" s="62"/>
      <c r="F181" s="94"/>
      <c r="G181" s="94"/>
    </row>
    <row r="182" spans="1:7" x14ac:dyDescent="0.3">
      <c r="A182" s="325"/>
      <c r="B182" s="325"/>
      <c r="C182" s="94"/>
      <c r="D182" s="62"/>
      <c r="F182" s="94"/>
      <c r="G182" s="94"/>
    </row>
    <row r="183" spans="1:7" x14ac:dyDescent="0.3">
      <c r="A183" s="325"/>
      <c r="B183" s="325"/>
      <c r="C183" s="94"/>
      <c r="D183" s="62"/>
      <c r="F183" s="94"/>
      <c r="G183" s="94"/>
    </row>
    <row r="184" spans="1:7" x14ac:dyDescent="0.3">
      <c r="A184" s="325"/>
      <c r="B184" s="325"/>
      <c r="C184" s="94"/>
      <c r="D184" s="62"/>
      <c r="F184" s="94"/>
      <c r="G184" s="94"/>
    </row>
    <row r="185" spans="1:7" x14ac:dyDescent="0.3">
      <c r="A185" s="325"/>
      <c r="B185" s="325"/>
      <c r="C185" s="94"/>
      <c r="D185" s="62"/>
      <c r="F185" s="94"/>
      <c r="G185" s="94"/>
    </row>
    <row r="186" spans="1:7" x14ac:dyDescent="0.3">
      <c r="A186" s="325"/>
      <c r="B186" s="325"/>
      <c r="C186" s="94"/>
      <c r="D186" s="62"/>
      <c r="F186" s="94"/>
      <c r="G186" s="94"/>
    </row>
    <row r="187" spans="1:7" x14ac:dyDescent="0.3">
      <c r="A187" s="325"/>
      <c r="B187" s="325"/>
      <c r="C187" s="94"/>
      <c r="D187" s="62"/>
      <c r="F187" s="94"/>
      <c r="G187" s="94"/>
    </row>
    <row r="188" spans="1:7" x14ac:dyDescent="0.3">
      <c r="A188" s="325"/>
      <c r="B188" s="325"/>
      <c r="C188" s="94"/>
      <c r="D188" s="62"/>
      <c r="F188" s="94"/>
      <c r="G188" s="94"/>
    </row>
    <row r="189" spans="1:7" x14ac:dyDescent="0.3">
      <c r="A189" s="325"/>
      <c r="B189" s="325"/>
      <c r="C189" s="94"/>
      <c r="D189" s="62"/>
      <c r="F189" s="94"/>
      <c r="G189" s="94"/>
    </row>
    <row r="190" spans="1:7" x14ac:dyDescent="0.3">
      <c r="A190" s="325"/>
      <c r="B190" s="325"/>
      <c r="C190" s="94"/>
      <c r="D190" s="62"/>
      <c r="F190" s="94"/>
      <c r="G190" s="94"/>
    </row>
    <row r="191" spans="1:7" x14ac:dyDescent="0.3">
      <c r="A191" s="325"/>
      <c r="B191" s="325"/>
      <c r="C191" s="94"/>
      <c r="D191" s="62"/>
      <c r="F191" s="94"/>
      <c r="G191" s="94"/>
    </row>
    <row r="192" spans="1:7" x14ac:dyDescent="0.3">
      <c r="A192" s="325"/>
      <c r="B192" s="325"/>
      <c r="C192" s="94"/>
      <c r="D192" s="62"/>
      <c r="F192" s="94"/>
      <c r="G192" s="94"/>
    </row>
    <row r="193" spans="1:7" x14ac:dyDescent="0.3">
      <c r="A193" s="325"/>
      <c r="B193" s="325"/>
      <c r="C193" s="94"/>
      <c r="D193" s="62"/>
      <c r="F193" s="94"/>
      <c r="G193" s="94"/>
    </row>
    <row r="194" spans="1:7" x14ac:dyDescent="0.3">
      <c r="A194" s="325"/>
      <c r="B194" s="325"/>
      <c r="C194" s="94"/>
      <c r="D194" s="62"/>
      <c r="F194" s="94"/>
      <c r="G194" s="94"/>
    </row>
    <row r="195" spans="1:7" x14ac:dyDescent="0.3">
      <c r="A195" s="325"/>
      <c r="B195" s="325"/>
      <c r="C195" s="94"/>
      <c r="D195" s="62"/>
      <c r="F195" s="94"/>
      <c r="G195" s="94"/>
    </row>
    <row r="196" spans="1:7" x14ac:dyDescent="0.3">
      <c r="A196" s="325"/>
      <c r="B196" s="325"/>
      <c r="C196" s="94"/>
      <c r="D196" s="62"/>
      <c r="F196" s="94"/>
      <c r="G196" s="94"/>
    </row>
    <row r="197" spans="1:7" x14ac:dyDescent="0.3">
      <c r="A197" s="325"/>
      <c r="B197" s="325"/>
      <c r="C197" s="94"/>
      <c r="D197" s="62"/>
      <c r="F197" s="94"/>
      <c r="G197" s="94"/>
    </row>
    <row r="198" spans="1:7" x14ac:dyDescent="0.3">
      <c r="A198" s="325"/>
      <c r="B198" s="325"/>
      <c r="C198" s="94"/>
      <c r="D198" s="62"/>
      <c r="F198" s="94"/>
      <c r="G198" s="94"/>
    </row>
    <row r="199" spans="1:7" x14ac:dyDescent="0.3">
      <c r="A199" s="325"/>
      <c r="B199" s="325"/>
      <c r="C199" s="94"/>
      <c r="D199" s="62"/>
      <c r="F199" s="94"/>
      <c r="G199" s="94"/>
    </row>
    <row r="200" spans="1:7" x14ac:dyDescent="0.3">
      <c r="A200" s="325"/>
      <c r="B200" s="325"/>
      <c r="C200" s="94"/>
      <c r="D200" s="62"/>
      <c r="F200" s="94"/>
      <c r="G200" s="94"/>
    </row>
    <row r="201" spans="1:7" x14ac:dyDescent="0.3">
      <c r="A201" s="325"/>
      <c r="B201" s="325"/>
      <c r="C201" s="94"/>
      <c r="D201" s="62"/>
      <c r="F201" s="94"/>
      <c r="G201" s="94"/>
    </row>
    <row r="202" spans="1:7" x14ac:dyDescent="0.3">
      <c r="A202" s="325"/>
      <c r="B202" s="325"/>
      <c r="C202" s="94"/>
      <c r="D202" s="62"/>
      <c r="F202" s="94"/>
      <c r="G202" s="94"/>
    </row>
    <row r="203" spans="1:7" x14ac:dyDescent="0.3">
      <c r="A203" s="325"/>
      <c r="B203" s="325"/>
      <c r="C203" s="94"/>
      <c r="D203" s="62"/>
      <c r="F203" s="94"/>
      <c r="G203" s="94"/>
    </row>
    <row r="204" spans="1:7" x14ac:dyDescent="0.3">
      <c r="A204" s="325"/>
      <c r="B204" s="325"/>
      <c r="C204" s="94"/>
      <c r="D204" s="62"/>
      <c r="F204" s="94"/>
      <c r="G204" s="94"/>
    </row>
    <row r="205" spans="1:7" x14ac:dyDescent="0.3">
      <c r="A205" s="325"/>
      <c r="B205" s="325"/>
      <c r="C205" s="94"/>
      <c r="D205" s="62"/>
      <c r="F205" s="94"/>
      <c r="G205" s="94"/>
    </row>
    <row r="206" spans="1:7" x14ac:dyDescent="0.3">
      <c r="A206" s="325"/>
      <c r="B206" s="325"/>
      <c r="C206" s="94"/>
      <c r="D206" s="62"/>
      <c r="F206" s="94"/>
      <c r="G206" s="94"/>
    </row>
    <row r="207" spans="1:7" x14ac:dyDescent="0.3">
      <c r="A207" s="325"/>
      <c r="B207" s="325"/>
      <c r="C207" s="94"/>
      <c r="D207" s="62"/>
      <c r="F207" s="94"/>
      <c r="G207" s="94"/>
    </row>
    <row r="208" spans="1:7" x14ac:dyDescent="0.3">
      <c r="A208" s="325"/>
      <c r="B208" s="325"/>
      <c r="C208" s="94"/>
      <c r="D208" s="62"/>
      <c r="F208" s="94"/>
      <c r="G208" s="94"/>
    </row>
    <row r="209" spans="1:7" x14ac:dyDescent="0.3">
      <c r="A209" s="325"/>
      <c r="B209" s="325"/>
      <c r="C209" s="94"/>
      <c r="D209" s="62"/>
      <c r="F209" s="94"/>
      <c r="G209" s="94"/>
    </row>
    <row r="210" spans="1:7" x14ac:dyDescent="0.3">
      <c r="A210" s="325"/>
      <c r="B210" s="325"/>
      <c r="C210" s="94"/>
      <c r="D210" s="62"/>
      <c r="F210" s="94"/>
      <c r="G210" s="94"/>
    </row>
    <row r="211" spans="1:7" x14ac:dyDescent="0.3">
      <c r="A211" s="325"/>
      <c r="B211" s="325"/>
      <c r="C211" s="94"/>
      <c r="D211" s="62"/>
      <c r="F211" s="94"/>
      <c r="G211" s="94"/>
    </row>
    <row r="212" spans="1:7" x14ac:dyDescent="0.3">
      <c r="A212" s="325"/>
      <c r="B212" s="325"/>
      <c r="C212" s="94"/>
      <c r="D212" s="62"/>
      <c r="F212" s="94"/>
      <c r="G212" s="94"/>
    </row>
    <row r="213" spans="1:7" x14ac:dyDescent="0.3">
      <c r="A213" s="325"/>
      <c r="B213" s="325"/>
      <c r="C213" s="94"/>
      <c r="D213" s="62"/>
      <c r="F213" s="94"/>
      <c r="G213" s="94"/>
    </row>
    <row r="214" spans="1:7" x14ac:dyDescent="0.3">
      <c r="A214" s="325"/>
      <c r="B214" s="325"/>
      <c r="C214" s="94"/>
      <c r="D214" s="62"/>
      <c r="F214" s="94"/>
      <c r="G214" s="94"/>
    </row>
    <row r="215" spans="1:7" x14ac:dyDescent="0.3">
      <c r="A215" s="325"/>
      <c r="B215" s="325"/>
      <c r="C215" s="94"/>
      <c r="D215" s="62"/>
      <c r="F215" s="94"/>
      <c r="G215" s="94"/>
    </row>
    <row r="216" spans="1:7" x14ac:dyDescent="0.3">
      <c r="A216" s="325"/>
      <c r="B216" s="325"/>
      <c r="C216" s="94"/>
      <c r="D216" s="62"/>
      <c r="F216" s="94"/>
      <c r="G216" s="94"/>
    </row>
    <row r="217" spans="1:7" x14ac:dyDescent="0.3">
      <c r="A217" s="325"/>
      <c r="B217" s="325"/>
      <c r="C217" s="94"/>
      <c r="D217" s="62"/>
      <c r="F217" s="94"/>
      <c r="G217" s="94"/>
    </row>
    <row r="218" spans="1:7" x14ac:dyDescent="0.3">
      <c r="A218" s="325"/>
      <c r="B218" s="325"/>
      <c r="C218" s="94"/>
      <c r="D218" s="62"/>
      <c r="F218" s="94"/>
      <c r="G218" s="94"/>
    </row>
    <row r="219" spans="1:7" x14ac:dyDescent="0.3">
      <c r="A219" s="325"/>
      <c r="B219" s="325"/>
      <c r="C219" s="94"/>
      <c r="D219" s="62"/>
      <c r="F219" s="94"/>
      <c r="G219" s="94"/>
    </row>
    <row r="220" spans="1:7" x14ac:dyDescent="0.3">
      <c r="A220" s="325"/>
      <c r="B220" s="325"/>
      <c r="C220" s="94"/>
      <c r="D220" s="62"/>
      <c r="F220" s="94"/>
      <c r="G220" s="94"/>
    </row>
    <row r="221" spans="1:7" x14ac:dyDescent="0.3">
      <c r="A221" s="325"/>
      <c r="B221" s="325"/>
      <c r="C221" s="94"/>
      <c r="D221" s="62"/>
      <c r="F221" s="94"/>
      <c r="G221" s="94"/>
    </row>
    <row r="222" spans="1:7" x14ac:dyDescent="0.3">
      <c r="A222" s="325"/>
      <c r="B222" s="325"/>
      <c r="C222" s="94"/>
      <c r="D222" s="62"/>
      <c r="F222" s="94"/>
      <c r="G222" s="94"/>
    </row>
    <row r="223" spans="1:7" x14ac:dyDescent="0.3">
      <c r="A223" s="325"/>
      <c r="B223" s="325"/>
      <c r="C223" s="94"/>
      <c r="D223" s="62"/>
      <c r="F223" s="94"/>
      <c r="G223" s="94"/>
    </row>
    <row r="224" spans="1:7" x14ac:dyDescent="0.3">
      <c r="A224" s="325"/>
      <c r="B224" s="325"/>
      <c r="C224" s="94"/>
      <c r="D224" s="62"/>
      <c r="F224" s="94"/>
      <c r="G224" s="94"/>
    </row>
    <row r="225" spans="1:7" x14ac:dyDescent="0.3">
      <c r="A225" s="325"/>
      <c r="B225" s="325"/>
      <c r="C225" s="94"/>
      <c r="D225" s="62"/>
      <c r="F225" s="94"/>
      <c r="G225" s="94"/>
    </row>
    <row r="226" spans="1:7" x14ac:dyDescent="0.3">
      <c r="A226" s="325"/>
      <c r="B226" s="325"/>
      <c r="C226" s="94"/>
      <c r="D226" s="62"/>
      <c r="F226" s="94"/>
      <c r="G226" s="94"/>
    </row>
    <row r="227" spans="1:7" x14ac:dyDescent="0.3">
      <c r="A227" s="325"/>
      <c r="B227" s="325"/>
      <c r="C227" s="94"/>
      <c r="D227" s="62"/>
      <c r="F227" s="94"/>
      <c r="G227" s="94"/>
    </row>
    <row r="228" spans="1:7" x14ac:dyDescent="0.3">
      <c r="A228" s="325"/>
      <c r="B228" s="325"/>
      <c r="C228" s="94"/>
      <c r="D228" s="62"/>
      <c r="F228" s="94"/>
      <c r="G228" s="94"/>
    </row>
    <row r="229" spans="1:7" x14ac:dyDescent="0.3">
      <c r="A229" s="325"/>
      <c r="B229" s="325"/>
      <c r="C229" s="94"/>
      <c r="D229" s="62"/>
      <c r="F229" s="94"/>
      <c r="G229" s="94"/>
    </row>
    <row r="230" spans="1:7" x14ac:dyDescent="0.3">
      <c r="A230" s="325"/>
      <c r="B230" s="325"/>
      <c r="C230" s="94"/>
      <c r="D230" s="62"/>
      <c r="F230" s="94"/>
      <c r="G230" s="94"/>
    </row>
    <row r="231" spans="1:7" x14ac:dyDescent="0.3">
      <c r="A231" s="325"/>
      <c r="B231" s="325"/>
      <c r="C231" s="94"/>
      <c r="D231" s="62"/>
      <c r="F231" s="94"/>
      <c r="G231" s="94"/>
    </row>
    <row r="232" spans="1:7" x14ac:dyDescent="0.3">
      <c r="A232" s="325"/>
      <c r="B232" s="325"/>
      <c r="C232" s="94"/>
      <c r="D232" s="62"/>
      <c r="F232" s="94"/>
      <c r="G232" s="94"/>
    </row>
    <row r="233" spans="1:7" x14ac:dyDescent="0.3">
      <c r="A233" s="325"/>
      <c r="B233" s="325"/>
      <c r="C233" s="94"/>
      <c r="D233" s="62"/>
      <c r="F233" s="94"/>
      <c r="G233" s="94"/>
    </row>
    <row r="234" spans="1:7" x14ac:dyDescent="0.3">
      <c r="A234" s="325"/>
      <c r="B234" s="325"/>
      <c r="C234" s="94"/>
      <c r="D234" s="62"/>
      <c r="F234" s="94"/>
      <c r="G234" s="94"/>
    </row>
    <row r="235" spans="1:7" x14ac:dyDescent="0.3">
      <c r="A235" s="325"/>
      <c r="B235" s="325"/>
      <c r="C235" s="94"/>
      <c r="D235" s="62"/>
      <c r="F235" s="94"/>
      <c r="G235" s="94"/>
    </row>
    <row r="236" spans="1:7" x14ac:dyDescent="0.3">
      <c r="A236" s="325"/>
      <c r="B236" s="325"/>
      <c r="C236" s="94"/>
      <c r="D236" s="62"/>
      <c r="F236" s="94"/>
      <c r="G236" s="94"/>
    </row>
    <row r="237" spans="1:7" x14ac:dyDescent="0.3">
      <c r="A237" s="325"/>
      <c r="B237" s="325"/>
      <c r="C237" s="94"/>
      <c r="D237" s="62"/>
      <c r="F237" s="94"/>
      <c r="G237" s="94"/>
    </row>
    <row r="238" spans="1:7" x14ac:dyDescent="0.3">
      <c r="A238" s="325"/>
      <c r="B238" s="325"/>
      <c r="C238" s="94"/>
      <c r="D238" s="62"/>
      <c r="F238" s="94"/>
      <c r="G238" s="94"/>
    </row>
    <row r="239" spans="1:7" x14ac:dyDescent="0.3">
      <c r="A239" s="325"/>
      <c r="B239" s="325"/>
      <c r="C239" s="94"/>
      <c r="D239" s="62"/>
      <c r="F239" s="94"/>
      <c r="G239" s="94"/>
    </row>
    <row r="240" spans="1:7" x14ac:dyDescent="0.3">
      <c r="A240" s="325"/>
      <c r="B240" s="325"/>
      <c r="C240" s="94"/>
      <c r="D240" s="62"/>
      <c r="F240" s="94"/>
      <c r="G240" s="94"/>
    </row>
    <row r="241" spans="1:7" x14ac:dyDescent="0.3">
      <c r="A241" s="325"/>
      <c r="B241" s="325"/>
      <c r="C241" s="94"/>
      <c r="D241" s="62"/>
      <c r="F241" s="94"/>
      <c r="G241" s="94"/>
    </row>
    <row r="242" spans="1:7" x14ac:dyDescent="0.3">
      <c r="A242" s="325"/>
      <c r="B242" s="325"/>
      <c r="C242" s="94"/>
      <c r="D242" s="62"/>
      <c r="F242" s="94"/>
      <c r="G242" s="94"/>
    </row>
    <row r="243" spans="1:7" x14ac:dyDescent="0.3">
      <c r="A243" s="325"/>
      <c r="B243" s="325"/>
      <c r="C243" s="94"/>
      <c r="D243" s="62"/>
      <c r="F243" s="94"/>
      <c r="G243" s="94"/>
    </row>
    <row r="244" spans="1:7" x14ac:dyDescent="0.3">
      <c r="A244" s="325"/>
      <c r="B244" s="325"/>
      <c r="C244" s="94"/>
      <c r="D244" s="62"/>
      <c r="F244" s="94"/>
      <c r="G244" s="94"/>
    </row>
    <row r="245" spans="1:7" x14ac:dyDescent="0.3">
      <c r="A245" s="325"/>
      <c r="B245" s="325"/>
      <c r="C245" s="94"/>
      <c r="D245" s="62"/>
      <c r="F245" s="94"/>
      <c r="G245" s="94"/>
    </row>
    <row r="246" spans="1:7" x14ac:dyDescent="0.3">
      <c r="A246" s="325"/>
      <c r="B246" s="325"/>
      <c r="C246" s="94"/>
      <c r="D246" s="62"/>
      <c r="F246" s="94"/>
      <c r="G246" s="94"/>
    </row>
    <row r="247" spans="1:7" x14ac:dyDescent="0.3">
      <c r="A247" s="325"/>
      <c r="B247" s="325"/>
      <c r="C247" s="94"/>
      <c r="D247" s="62"/>
      <c r="F247" s="94"/>
      <c r="G247" s="94"/>
    </row>
    <row r="248" spans="1:7" x14ac:dyDescent="0.3">
      <c r="A248" s="325"/>
      <c r="B248" s="325"/>
      <c r="C248" s="94"/>
      <c r="D248" s="62"/>
      <c r="F248" s="94"/>
      <c r="G248" s="94"/>
    </row>
    <row r="249" spans="1:7" x14ac:dyDescent="0.3">
      <c r="A249" s="325"/>
      <c r="B249" s="325"/>
      <c r="C249" s="94"/>
      <c r="D249" s="62"/>
      <c r="F249" s="94"/>
      <c r="G249" s="94"/>
    </row>
    <row r="250" spans="1:7" x14ac:dyDescent="0.3">
      <c r="A250" s="325"/>
      <c r="B250" s="325"/>
      <c r="C250" s="94"/>
      <c r="D250" s="62"/>
      <c r="F250" s="94"/>
      <c r="G250" s="94"/>
    </row>
    <row r="251" spans="1:7" x14ac:dyDescent="0.3">
      <c r="A251" s="325"/>
      <c r="B251" s="325"/>
      <c r="C251" s="94"/>
      <c r="D251" s="62"/>
      <c r="F251" s="94"/>
      <c r="G251" s="94"/>
    </row>
    <row r="252" spans="1:7" x14ac:dyDescent="0.3">
      <c r="A252" s="325"/>
      <c r="B252" s="325"/>
      <c r="C252" s="94"/>
      <c r="D252" s="62"/>
      <c r="F252" s="94"/>
      <c r="G252" s="94"/>
    </row>
    <row r="253" spans="1:7" x14ac:dyDescent="0.3">
      <c r="A253" s="325"/>
      <c r="B253" s="325"/>
      <c r="C253" s="94"/>
      <c r="D253" s="62"/>
      <c r="F253" s="94"/>
      <c r="G253" s="94"/>
    </row>
    <row r="254" spans="1:7" x14ac:dyDescent="0.3">
      <c r="A254" s="325"/>
      <c r="B254" s="325"/>
      <c r="C254" s="94"/>
      <c r="D254" s="62"/>
      <c r="F254" s="94"/>
      <c r="G254" s="94"/>
    </row>
    <row r="255" spans="1:7" x14ac:dyDescent="0.3">
      <c r="A255" s="325"/>
      <c r="B255" s="325"/>
      <c r="C255" s="94"/>
      <c r="D255" s="62"/>
      <c r="F255" s="94"/>
      <c r="G255" s="94"/>
    </row>
    <row r="256" spans="1:7" x14ac:dyDescent="0.3">
      <c r="A256" s="325"/>
      <c r="B256" s="325"/>
      <c r="C256" s="94"/>
      <c r="D256" s="62"/>
      <c r="F256" s="94"/>
      <c r="G256" s="94"/>
    </row>
    <row r="257" spans="1:7" x14ac:dyDescent="0.3">
      <c r="A257" s="325"/>
      <c r="B257" s="325"/>
      <c r="C257" s="94"/>
      <c r="D257" s="62"/>
      <c r="F257" s="94"/>
      <c r="G257" s="94"/>
    </row>
    <row r="258" spans="1:7" x14ac:dyDescent="0.3">
      <c r="A258" s="325"/>
      <c r="B258" s="325"/>
      <c r="C258" s="94"/>
      <c r="D258" s="62"/>
      <c r="F258" s="94"/>
      <c r="G258" s="94"/>
    </row>
    <row r="259" spans="1:7" x14ac:dyDescent="0.3">
      <c r="A259" s="325"/>
      <c r="B259" s="325"/>
      <c r="C259" s="94"/>
      <c r="D259" s="62"/>
      <c r="F259" s="94"/>
      <c r="G259" s="94"/>
    </row>
    <row r="260" spans="1:7" x14ac:dyDescent="0.3">
      <c r="A260" s="325"/>
      <c r="B260" s="325"/>
      <c r="C260" s="94"/>
      <c r="D260" s="62"/>
      <c r="F260" s="94"/>
      <c r="G260" s="94"/>
    </row>
    <row r="261" spans="1:7" x14ac:dyDescent="0.3">
      <c r="A261" s="325"/>
      <c r="B261" s="325"/>
      <c r="C261" s="94"/>
      <c r="D261" s="62"/>
      <c r="F261" s="94"/>
      <c r="G261" s="94"/>
    </row>
    <row r="262" spans="1:7" x14ac:dyDescent="0.3">
      <c r="A262" s="325"/>
      <c r="B262" s="325"/>
      <c r="C262" s="94"/>
      <c r="D262" s="62"/>
      <c r="F262" s="94"/>
      <c r="G262" s="94"/>
    </row>
    <row r="263" spans="1:7" x14ac:dyDescent="0.3">
      <c r="A263" s="325"/>
      <c r="B263" s="325"/>
      <c r="C263" s="94"/>
      <c r="D263" s="62"/>
      <c r="F263" s="94"/>
      <c r="G263" s="94"/>
    </row>
    <row r="264" spans="1:7" x14ac:dyDescent="0.3">
      <c r="A264" s="325"/>
      <c r="B264" s="325"/>
      <c r="C264" s="94"/>
      <c r="D264" s="62"/>
      <c r="F264" s="94"/>
      <c r="G264" s="94"/>
    </row>
    <row r="265" spans="1:7" x14ac:dyDescent="0.3">
      <c r="A265" s="325"/>
      <c r="B265" s="325"/>
      <c r="C265" s="94"/>
      <c r="D265" s="62"/>
      <c r="F265" s="94"/>
      <c r="G265" s="94"/>
    </row>
    <row r="266" spans="1:7" x14ac:dyDescent="0.3">
      <c r="A266" s="325"/>
      <c r="B266" s="325"/>
      <c r="C266" s="94"/>
      <c r="D266" s="62"/>
      <c r="F266" s="94"/>
      <c r="G266" s="94"/>
    </row>
    <row r="267" spans="1:7" x14ac:dyDescent="0.3">
      <c r="A267" s="325"/>
      <c r="B267" s="325"/>
      <c r="C267" s="94"/>
      <c r="D267" s="62"/>
      <c r="F267" s="94"/>
      <c r="G267" s="94"/>
    </row>
    <row r="268" spans="1:7" x14ac:dyDescent="0.3">
      <c r="A268" s="325"/>
      <c r="B268" s="325"/>
      <c r="C268" s="94"/>
      <c r="D268" s="62"/>
      <c r="F268" s="94"/>
      <c r="G268" s="94"/>
    </row>
    <row r="269" spans="1:7" x14ac:dyDescent="0.3">
      <c r="A269" s="325"/>
      <c r="B269" s="325"/>
      <c r="C269" s="94"/>
      <c r="D269" s="62"/>
      <c r="F269" s="94"/>
      <c r="G269" s="94"/>
    </row>
    <row r="270" spans="1:7" x14ac:dyDescent="0.3">
      <c r="A270" s="325"/>
      <c r="B270" s="325"/>
      <c r="C270" s="94"/>
      <c r="D270" s="62"/>
      <c r="F270" s="94"/>
      <c r="G270" s="94"/>
    </row>
    <row r="271" spans="1:7" x14ac:dyDescent="0.3">
      <c r="A271" s="325"/>
      <c r="B271" s="325"/>
      <c r="C271" s="94"/>
      <c r="D271" s="62"/>
      <c r="F271" s="94"/>
      <c r="G271" s="94"/>
    </row>
    <row r="272" spans="1:7" x14ac:dyDescent="0.3">
      <c r="A272" s="325"/>
      <c r="B272" s="325"/>
      <c r="C272" s="94"/>
      <c r="D272" s="62"/>
      <c r="F272" s="94"/>
      <c r="G272" s="94"/>
    </row>
    <row r="273" spans="1:7" x14ac:dyDescent="0.3">
      <c r="A273" s="325"/>
      <c r="B273" s="325"/>
      <c r="C273" s="94"/>
      <c r="D273" s="62"/>
      <c r="F273" s="94"/>
      <c r="G273" s="94"/>
    </row>
    <row r="274" spans="1:7" x14ac:dyDescent="0.3">
      <c r="A274" s="325"/>
      <c r="B274" s="325"/>
      <c r="C274" s="94"/>
      <c r="D274" s="62"/>
      <c r="F274" s="94"/>
      <c r="G274" s="94"/>
    </row>
    <row r="275" spans="1:7" x14ac:dyDescent="0.3">
      <c r="A275" s="325"/>
      <c r="B275" s="325"/>
      <c r="C275" s="94"/>
      <c r="D275" s="62"/>
      <c r="F275" s="94"/>
      <c r="G275" s="94"/>
    </row>
    <row r="276" spans="1:7" x14ac:dyDescent="0.3">
      <c r="A276" s="325"/>
      <c r="B276" s="325"/>
      <c r="C276" s="94"/>
      <c r="D276" s="62"/>
      <c r="F276" s="94"/>
      <c r="G276" s="94"/>
    </row>
    <row r="277" spans="1:7" x14ac:dyDescent="0.3">
      <c r="A277" s="325"/>
      <c r="B277" s="325"/>
      <c r="C277" s="94"/>
      <c r="D277" s="62"/>
      <c r="F277" s="94"/>
      <c r="G277" s="94"/>
    </row>
    <row r="278" spans="1:7" x14ac:dyDescent="0.3">
      <c r="A278" s="325"/>
      <c r="B278" s="325"/>
      <c r="C278" s="94"/>
      <c r="D278" s="62"/>
      <c r="F278" s="94"/>
      <c r="G278" s="94"/>
    </row>
    <row r="279" spans="1:7" x14ac:dyDescent="0.3">
      <c r="A279" s="325"/>
      <c r="B279" s="325"/>
      <c r="C279" s="94"/>
      <c r="D279" s="62"/>
      <c r="F279" s="94"/>
      <c r="G279" s="94"/>
    </row>
    <row r="280" spans="1:7" x14ac:dyDescent="0.3">
      <c r="A280" s="325"/>
      <c r="B280" s="325"/>
      <c r="C280" s="94"/>
      <c r="D280" s="62"/>
      <c r="F280" s="94"/>
      <c r="G280" s="94"/>
    </row>
    <row r="281" spans="1:7" x14ac:dyDescent="0.3">
      <c r="A281" s="325"/>
      <c r="B281" s="325"/>
      <c r="C281" s="94"/>
      <c r="D281" s="62"/>
      <c r="F281" s="94"/>
      <c r="G281" s="94"/>
    </row>
    <row r="282" spans="1:7" x14ac:dyDescent="0.3">
      <c r="A282" s="325"/>
      <c r="B282" s="325"/>
      <c r="C282" s="94"/>
      <c r="D282" s="62"/>
      <c r="F282" s="94"/>
      <c r="G282" s="94"/>
    </row>
    <row r="283" spans="1:7" x14ac:dyDescent="0.3">
      <c r="A283" s="325"/>
      <c r="B283" s="325"/>
      <c r="C283" s="94"/>
      <c r="D283" s="62"/>
      <c r="F283" s="94"/>
      <c r="G283" s="94"/>
    </row>
    <row r="284" spans="1:7" x14ac:dyDescent="0.3">
      <c r="A284" s="325"/>
      <c r="B284" s="325"/>
      <c r="C284" s="94"/>
      <c r="D284" s="62"/>
      <c r="F284" s="94"/>
      <c r="G284" s="94"/>
    </row>
    <row r="285" spans="1:7" x14ac:dyDescent="0.3">
      <c r="A285" s="325"/>
      <c r="B285" s="325"/>
      <c r="C285" s="94"/>
      <c r="D285" s="62"/>
      <c r="F285" s="94"/>
      <c r="G285" s="94"/>
    </row>
    <row r="286" spans="1:7" x14ac:dyDescent="0.3">
      <c r="A286" s="325"/>
      <c r="B286" s="325"/>
      <c r="C286" s="94"/>
      <c r="D286" s="62"/>
      <c r="F286" s="94"/>
      <c r="G286" s="94"/>
    </row>
    <row r="287" spans="1:7" x14ac:dyDescent="0.3">
      <c r="A287" s="325"/>
      <c r="B287" s="325"/>
      <c r="C287" s="94"/>
      <c r="D287" s="62"/>
      <c r="F287" s="94"/>
      <c r="G287" s="94"/>
    </row>
    <row r="288" spans="1:7" x14ac:dyDescent="0.3">
      <c r="A288" s="325"/>
      <c r="B288" s="325"/>
      <c r="C288" s="94"/>
      <c r="D288" s="62"/>
      <c r="F288" s="94"/>
      <c r="G288" s="94"/>
    </row>
    <row r="289" spans="1:7" x14ac:dyDescent="0.3">
      <c r="A289" s="325"/>
      <c r="B289" s="325"/>
      <c r="C289" s="94"/>
      <c r="D289" s="62"/>
      <c r="F289" s="94"/>
      <c r="G289" s="94"/>
    </row>
    <row r="290" spans="1:7" x14ac:dyDescent="0.3">
      <c r="A290" s="325"/>
      <c r="B290" s="325"/>
      <c r="C290" s="94"/>
      <c r="D290" s="62"/>
      <c r="F290" s="94"/>
      <c r="G290" s="94"/>
    </row>
    <row r="291" spans="1:7" x14ac:dyDescent="0.3">
      <c r="A291" s="325"/>
      <c r="B291" s="325"/>
      <c r="C291" s="94"/>
      <c r="D291" s="62"/>
      <c r="F291" s="94"/>
      <c r="G291" s="94"/>
    </row>
    <row r="292" spans="1:7" x14ac:dyDescent="0.3">
      <c r="A292" s="325"/>
      <c r="B292" s="325"/>
      <c r="C292" s="94"/>
      <c r="D292" s="62"/>
      <c r="F292" s="94"/>
      <c r="G292" s="94"/>
    </row>
    <row r="293" spans="1:7" x14ac:dyDescent="0.3">
      <c r="A293" s="325"/>
      <c r="B293" s="325"/>
      <c r="C293" s="94"/>
      <c r="D293" s="62"/>
      <c r="F293" s="94"/>
      <c r="G293" s="94"/>
    </row>
    <row r="294" spans="1:7" x14ac:dyDescent="0.3">
      <c r="A294" s="325"/>
      <c r="B294" s="325"/>
      <c r="C294" s="94"/>
      <c r="D294" s="62"/>
      <c r="F294" s="94"/>
      <c r="G294" s="94"/>
    </row>
    <row r="295" spans="1:7" x14ac:dyDescent="0.3">
      <c r="A295" s="325"/>
      <c r="B295" s="325"/>
      <c r="C295" s="94"/>
      <c r="D295" s="62"/>
      <c r="F295" s="94"/>
      <c r="G295" s="94"/>
    </row>
    <row r="296" spans="1:7" x14ac:dyDescent="0.3">
      <c r="A296" s="325"/>
      <c r="B296" s="325"/>
      <c r="C296" s="94"/>
      <c r="D296" s="62"/>
      <c r="F296" s="94"/>
      <c r="G296" s="94"/>
    </row>
    <row r="297" spans="1:7" x14ac:dyDescent="0.3">
      <c r="A297" s="325"/>
      <c r="B297" s="325"/>
      <c r="C297" s="94"/>
      <c r="D297" s="62"/>
      <c r="F297" s="94"/>
      <c r="G297" s="94"/>
    </row>
    <row r="298" spans="1:7" x14ac:dyDescent="0.3">
      <c r="A298" s="325"/>
      <c r="B298" s="325"/>
      <c r="C298" s="94"/>
      <c r="D298" s="62"/>
      <c r="F298" s="94"/>
      <c r="G298" s="94"/>
    </row>
    <row r="299" spans="1:7" x14ac:dyDescent="0.3">
      <c r="A299" s="325"/>
      <c r="B299" s="325"/>
      <c r="C299" s="94"/>
      <c r="D299" s="62"/>
      <c r="F299" s="94"/>
      <c r="G299" s="94"/>
    </row>
    <row r="300" spans="1:7" x14ac:dyDescent="0.3">
      <c r="A300" s="325"/>
      <c r="B300" s="325"/>
      <c r="C300" s="94"/>
      <c r="D300" s="62"/>
      <c r="F300" s="94"/>
      <c r="G300" s="94"/>
    </row>
    <row r="301" spans="1:7" x14ac:dyDescent="0.3">
      <c r="A301" s="325"/>
      <c r="B301" s="325"/>
      <c r="C301" s="94"/>
      <c r="D301" s="62"/>
      <c r="F301" s="94"/>
      <c r="G301" s="94"/>
    </row>
    <row r="302" spans="1:7" x14ac:dyDescent="0.3">
      <c r="A302" s="325"/>
      <c r="B302" s="325"/>
      <c r="C302" s="94"/>
      <c r="D302" s="62"/>
      <c r="F302" s="94"/>
      <c r="G302" s="94"/>
    </row>
    <row r="303" spans="1:7" x14ac:dyDescent="0.3">
      <c r="A303" s="325"/>
      <c r="B303" s="325"/>
      <c r="C303" s="94"/>
      <c r="D303" s="62"/>
      <c r="F303" s="94"/>
      <c r="G303" s="94"/>
    </row>
    <row r="304" spans="1:7" x14ac:dyDescent="0.3">
      <c r="A304" s="325"/>
      <c r="B304" s="325"/>
      <c r="C304" s="94"/>
      <c r="D304" s="62"/>
      <c r="F304" s="94"/>
      <c r="G304" s="94"/>
    </row>
    <row r="305" spans="1:7" x14ac:dyDescent="0.3">
      <c r="A305" s="325"/>
      <c r="B305" s="325"/>
      <c r="C305" s="94"/>
      <c r="D305" s="62"/>
      <c r="F305" s="94"/>
      <c r="G305" s="94"/>
    </row>
    <row r="306" spans="1:7" x14ac:dyDescent="0.3">
      <c r="A306" s="325"/>
      <c r="B306" s="325"/>
      <c r="C306" s="94"/>
      <c r="D306" s="62"/>
      <c r="F306" s="94"/>
      <c r="G306" s="94"/>
    </row>
    <row r="307" spans="1:7" x14ac:dyDescent="0.3">
      <c r="A307" s="325"/>
      <c r="B307" s="325"/>
      <c r="C307" s="94"/>
      <c r="D307" s="62"/>
      <c r="F307" s="94"/>
      <c r="G307" s="94"/>
    </row>
    <row r="308" spans="1:7" x14ac:dyDescent="0.3">
      <c r="A308" s="325"/>
      <c r="B308" s="325"/>
      <c r="C308" s="94"/>
      <c r="D308" s="62"/>
      <c r="F308" s="94"/>
      <c r="G308" s="94"/>
    </row>
    <row r="309" spans="1:7" x14ac:dyDescent="0.3">
      <c r="A309" s="325"/>
      <c r="B309" s="325"/>
      <c r="C309" s="94"/>
      <c r="D309" s="62"/>
      <c r="F309" s="94"/>
      <c r="G309" s="94"/>
    </row>
    <row r="310" spans="1:7" x14ac:dyDescent="0.3">
      <c r="A310" s="325"/>
      <c r="B310" s="325"/>
      <c r="C310" s="94"/>
      <c r="D310" s="62"/>
      <c r="F310" s="94"/>
      <c r="G310" s="94"/>
    </row>
    <row r="311" spans="1:7" x14ac:dyDescent="0.3">
      <c r="A311" s="325"/>
      <c r="B311" s="325"/>
      <c r="C311" s="94"/>
      <c r="D311" s="62"/>
      <c r="F311" s="94"/>
      <c r="G311" s="94"/>
    </row>
    <row r="312" spans="1:7" x14ac:dyDescent="0.3">
      <c r="A312" s="325"/>
      <c r="B312" s="325"/>
      <c r="C312" s="94"/>
      <c r="D312" s="62"/>
      <c r="F312" s="94"/>
      <c r="G312" s="94"/>
    </row>
    <row r="313" spans="1:7" x14ac:dyDescent="0.3">
      <c r="A313" s="325"/>
      <c r="B313" s="325"/>
      <c r="C313" s="94"/>
      <c r="D313" s="62"/>
      <c r="F313" s="94"/>
      <c r="G313" s="94"/>
    </row>
    <row r="314" spans="1:7" x14ac:dyDescent="0.3">
      <c r="A314" s="325"/>
      <c r="B314" s="325"/>
      <c r="C314" s="94"/>
      <c r="D314" s="62"/>
      <c r="F314" s="94"/>
      <c r="G314" s="94"/>
    </row>
    <row r="315" spans="1:7" x14ac:dyDescent="0.3">
      <c r="A315" s="325"/>
      <c r="B315" s="325"/>
      <c r="C315" s="94"/>
      <c r="D315" s="62"/>
      <c r="F315" s="94"/>
      <c r="G315" s="94"/>
    </row>
    <row r="316" spans="1:7" x14ac:dyDescent="0.3">
      <c r="A316" s="325"/>
      <c r="B316" s="325"/>
      <c r="C316" s="94"/>
      <c r="D316" s="62"/>
      <c r="F316" s="94"/>
      <c r="G316" s="94"/>
    </row>
    <row r="317" spans="1:7" x14ac:dyDescent="0.3">
      <c r="A317" s="325"/>
      <c r="B317" s="325"/>
      <c r="C317" s="94"/>
      <c r="D317" s="62"/>
      <c r="F317" s="94"/>
      <c r="G317" s="94"/>
    </row>
    <row r="318" spans="1:7" x14ac:dyDescent="0.3">
      <c r="A318" s="325"/>
      <c r="B318" s="325"/>
      <c r="C318" s="94"/>
      <c r="D318" s="62"/>
      <c r="F318" s="94"/>
      <c r="G318" s="94"/>
    </row>
    <row r="319" spans="1:7" x14ac:dyDescent="0.3">
      <c r="A319" s="325"/>
      <c r="B319" s="325"/>
      <c r="C319" s="94"/>
      <c r="D319" s="62"/>
      <c r="F319" s="94"/>
      <c r="G319" s="94"/>
    </row>
    <row r="320" spans="1:7" x14ac:dyDescent="0.3">
      <c r="A320" s="325"/>
      <c r="B320" s="325"/>
      <c r="C320" s="94"/>
      <c r="D320" s="62"/>
      <c r="F320" s="94"/>
      <c r="G320" s="94"/>
    </row>
    <row r="321" spans="1:7" x14ac:dyDescent="0.3">
      <c r="A321" s="325"/>
      <c r="B321" s="325"/>
      <c r="C321" s="94"/>
      <c r="D321" s="62"/>
      <c r="F321" s="94"/>
      <c r="G321" s="94"/>
    </row>
    <row r="322" spans="1:7" x14ac:dyDescent="0.3">
      <c r="A322" s="325"/>
      <c r="B322" s="325"/>
      <c r="C322" s="94"/>
      <c r="D322" s="62"/>
      <c r="F322" s="94"/>
      <c r="G322" s="94"/>
    </row>
    <row r="323" spans="1:7" x14ac:dyDescent="0.3">
      <c r="A323" s="325"/>
      <c r="B323" s="325"/>
      <c r="C323" s="94"/>
      <c r="D323" s="62"/>
      <c r="F323" s="94"/>
      <c r="G323" s="94"/>
    </row>
    <row r="324" spans="1:7" x14ac:dyDescent="0.3">
      <c r="A324" s="325"/>
      <c r="B324" s="325"/>
      <c r="C324" s="94"/>
      <c r="D324" s="62"/>
      <c r="F324" s="94"/>
      <c r="G324" s="94"/>
    </row>
    <row r="325" spans="1:7" x14ac:dyDescent="0.3">
      <c r="A325" s="325"/>
      <c r="B325" s="325"/>
      <c r="C325" s="94"/>
      <c r="D325" s="62"/>
      <c r="F325" s="94"/>
      <c r="G325" s="94"/>
    </row>
    <row r="326" spans="1:7" x14ac:dyDescent="0.3">
      <c r="A326" s="325"/>
      <c r="B326" s="325"/>
      <c r="C326" s="94"/>
      <c r="D326" s="62"/>
      <c r="F326" s="94"/>
      <c r="G326" s="94"/>
    </row>
    <row r="327" spans="1:7" x14ac:dyDescent="0.3">
      <c r="A327" s="325"/>
      <c r="B327" s="325"/>
      <c r="C327" s="94"/>
      <c r="D327" s="62"/>
      <c r="F327" s="94"/>
      <c r="G327" s="94"/>
    </row>
    <row r="328" spans="1:7" x14ac:dyDescent="0.3">
      <c r="A328" s="325"/>
      <c r="B328" s="325"/>
      <c r="C328" s="94"/>
      <c r="D328" s="62"/>
      <c r="F328" s="94"/>
      <c r="G328" s="94"/>
    </row>
    <row r="329" spans="1:7" x14ac:dyDescent="0.3">
      <c r="A329" s="325"/>
      <c r="B329" s="325"/>
      <c r="C329" s="94"/>
      <c r="D329" s="62"/>
      <c r="F329" s="94"/>
      <c r="G329" s="94"/>
    </row>
    <row r="330" spans="1:7" x14ac:dyDescent="0.3">
      <c r="A330" s="325"/>
      <c r="B330" s="325"/>
      <c r="C330" s="94"/>
      <c r="D330" s="62"/>
      <c r="F330" s="94"/>
      <c r="G330" s="94"/>
    </row>
    <row r="331" spans="1:7" x14ac:dyDescent="0.3">
      <c r="A331" s="325"/>
      <c r="B331" s="325"/>
      <c r="C331" s="94"/>
      <c r="D331" s="62"/>
      <c r="F331" s="94"/>
      <c r="G331" s="94"/>
    </row>
    <row r="332" spans="1:7" x14ac:dyDescent="0.3">
      <c r="A332" s="325"/>
      <c r="B332" s="325"/>
      <c r="C332" s="94"/>
      <c r="D332" s="62"/>
      <c r="F332" s="94"/>
      <c r="G332" s="94"/>
    </row>
    <row r="333" spans="1:7" x14ac:dyDescent="0.3">
      <c r="A333" s="325"/>
      <c r="B333" s="325"/>
      <c r="C333" s="94"/>
      <c r="D333" s="62"/>
      <c r="F333" s="94"/>
      <c r="G333" s="94"/>
    </row>
    <row r="334" spans="1:7" x14ac:dyDescent="0.3">
      <c r="A334" s="325"/>
      <c r="B334" s="325"/>
      <c r="C334" s="94"/>
      <c r="D334" s="62"/>
      <c r="F334" s="94"/>
      <c r="G334" s="94"/>
    </row>
    <row r="335" spans="1:7" x14ac:dyDescent="0.3">
      <c r="A335" s="325"/>
      <c r="B335" s="325"/>
      <c r="C335" s="94"/>
      <c r="D335" s="62"/>
      <c r="F335" s="94"/>
      <c r="G335" s="94"/>
    </row>
    <row r="336" spans="1:7" x14ac:dyDescent="0.3">
      <c r="A336" s="325"/>
      <c r="B336" s="325"/>
      <c r="C336" s="94"/>
      <c r="D336" s="62"/>
      <c r="F336" s="94"/>
      <c r="G336" s="94"/>
    </row>
    <row r="337" spans="1:7" x14ac:dyDescent="0.3">
      <c r="A337" s="325"/>
      <c r="B337" s="325"/>
      <c r="C337" s="94"/>
      <c r="D337" s="62"/>
      <c r="F337" s="94"/>
      <c r="G337" s="94"/>
    </row>
    <row r="338" spans="1:7" x14ac:dyDescent="0.3">
      <c r="A338" s="325"/>
      <c r="B338" s="325"/>
      <c r="C338" s="94"/>
      <c r="D338" s="62"/>
      <c r="F338" s="94"/>
      <c r="G338" s="94"/>
    </row>
    <row r="339" spans="1:7" x14ac:dyDescent="0.3">
      <c r="A339" s="325"/>
      <c r="B339" s="325"/>
      <c r="C339" s="94"/>
      <c r="D339" s="62"/>
      <c r="F339" s="94"/>
      <c r="G339" s="94"/>
    </row>
    <row r="340" spans="1:7" x14ac:dyDescent="0.3">
      <c r="A340" s="325"/>
      <c r="B340" s="325"/>
      <c r="C340" s="94"/>
      <c r="D340" s="62"/>
      <c r="F340" s="94"/>
      <c r="G340" s="94"/>
    </row>
    <row r="341" spans="1:7" x14ac:dyDescent="0.3">
      <c r="A341" s="325"/>
      <c r="B341" s="325"/>
      <c r="C341" s="94"/>
      <c r="D341" s="62"/>
      <c r="F341" s="94"/>
      <c r="G341" s="94"/>
    </row>
    <row r="342" spans="1:7" x14ac:dyDescent="0.3">
      <c r="A342" s="325"/>
      <c r="B342" s="325"/>
      <c r="C342" s="94"/>
      <c r="D342" s="62"/>
      <c r="F342" s="94"/>
      <c r="G342" s="94"/>
    </row>
    <row r="343" spans="1:7" x14ac:dyDescent="0.3">
      <c r="A343" s="325"/>
      <c r="B343" s="325"/>
      <c r="C343" s="94"/>
      <c r="D343" s="62"/>
      <c r="F343" s="94"/>
      <c r="G343" s="94"/>
    </row>
    <row r="344" spans="1:7" x14ac:dyDescent="0.3">
      <c r="A344" s="325"/>
      <c r="B344" s="325"/>
      <c r="C344" s="94"/>
      <c r="D344" s="62"/>
      <c r="F344" s="94"/>
      <c r="G344" s="94"/>
    </row>
    <row r="345" spans="1:7" x14ac:dyDescent="0.3">
      <c r="A345" s="325"/>
      <c r="B345" s="325"/>
      <c r="C345" s="94"/>
      <c r="D345" s="62"/>
      <c r="F345" s="94"/>
      <c r="G345" s="94"/>
    </row>
    <row r="346" spans="1:7" x14ac:dyDescent="0.3">
      <c r="A346" s="325"/>
      <c r="B346" s="325"/>
      <c r="C346" s="94"/>
      <c r="D346" s="62"/>
      <c r="F346" s="94"/>
      <c r="G346" s="94"/>
    </row>
    <row r="347" spans="1:7" x14ac:dyDescent="0.3">
      <c r="A347" s="325"/>
      <c r="B347" s="325"/>
      <c r="C347" s="94"/>
      <c r="D347" s="62"/>
      <c r="F347" s="94"/>
      <c r="G347" s="94"/>
    </row>
    <row r="348" spans="1:7" x14ac:dyDescent="0.3">
      <c r="A348" s="325"/>
      <c r="B348" s="325"/>
      <c r="C348" s="94"/>
      <c r="D348" s="62"/>
      <c r="F348" s="94"/>
      <c r="G348" s="94"/>
    </row>
    <row r="349" spans="1:7" x14ac:dyDescent="0.3">
      <c r="A349" s="325"/>
      <c r="B349" s="325"/>
      <c r="C349" s="94"/>
      <c r="D349" s="62"/>
      <c r="F349" s="94"/>
      <c r="G349" s="94"/>
    </row>
    <row r="350" spans="1:7" x14ac:dyDescent="0.3">
      <c r="A350" s="325"/>
      <c r="B350" s="325"/>
      <c r="C350" s="94"/>
      <c r="D350" s="62"/>
      <c r="F350" s="94"/>
      <c r="G350" s="94"/>
    </row>
    <row r="351" spans="1:7" x14ac:dyDescent="0.3">
      <c r="A351" s="325"/>
      <c r="B351" s="325"/>
      <c r="C351" s="94"/>
      <c r="D351" s="62"/>
      <c r="F351" s="94"/>
      <c r="G351" s="94"/>
    </row>
    <row r="352" spans="1:7" x14ac:dyDescent="0.3">
      <c r="A352" s="325"/>
      <c r="B352" s="325"/>
      <c r="C352" s="94"/>
      <c r="D352" s="62"/>
      <c r="F352" s="94"/>
      <c r="G352" s="94"/>
    </row>
    <row r="353" spans="1:7" x14ac:dyDescent="0.3">
      <c r="A353" s="325"/>
      <c r="B353" s="325"/>
      <c r="C353" s="94"/>
      <c r="D353" s="62"/>
      <c r="F353" s="94"/>
      <c r="G353" s="94"/>
    </row>
    <row r="354" spans="1:7" x14ac:dyDescent="0.3">
      <c r="A354" s="325"/>
      <c r="B354" s="325"/>
      <c r="C354" s="94"/>
      <c r="D354" s="62"/>
      <c r="F354" s="94"/>
      <c r="G354" s="94"/>
    </row>
    <row r="355" spans="1:7" x14ac:dyDescent="0.3">
      <c r="A355" s="325"/>
      <c r="B355" s="325"/>
      <c r="C355" s="94"/>
      <c r="D355" s="62"/>
      <c r="F355" s="94"/>
      <c r="G355" s="94"/>
    </row>
    <row r="356" spans="1:7" x14ac:dyDescent="0.3">
      <c r="A356" s="325"/>
      <c r="B356" s="325"/>
      <c r="C356" s="94"/>
      <c r="D356" s="62"/>
      <c r="F356" s="94"/>
      <c r="G356" s="94"/>
    </row>
    <row r="357" spans="1:7" x14ac:dyDescent="0.3">
      <c r="A357" s="325"/>
      <c r="B357" s="325"/>
      <c r="C357" s="94"/>
      <c r="D357" s="62"/>
      <c r="F357" s="94"/>
      <c r="G357" s="94"/>
    </row>
    <row r="358" spans="1:7" x14ac:dyDescent="0.3">
      <c r="A358" s="325"/>
      <c r="B358" s="325"/>
      <c r="C358" s="94"/>
      <c r="D358" s="62"/>
      <c r="F358" s="94"/>
      <c r="G358" s="94"/>
    </row>
    <row r="359" spans="1:7" x14ac:dyDescent="0.3">
      <c r="A359" s="325"/>
      <c r="B359" s="325"/>
      <c r="C359" s="94"/>
      <c r="D359" s="62"/>
      <c r="F359" s="94"/>
      <c r="G359" s="94"/>
    </row>
    <row r="360" spans="1:7" x14ac:dyDescent="0.3">
      <c r="A360" s="325"/>
      <c r="B360" s="325"/>
      <c r="C360" s="94"/>
      <c r="D360" s="62"/>
      <c r="F360" s="94"/>
      <c r="G360" s="94"/>
    </row>
    <row r="361" spans="1:7" x14ac:dyDescent="0.3">
      <c r="A361" s="325"/>
      <c r="B361" s="325"/>
      <c r="C361" s="94"/>
      <c r="D361" s="62"/>
      <c r="F361" s="94"/>
      <c r="G361" s="94"/>
    </row>
    <row r="362" spans="1:7" x14ac:dyDescent="0.3">
      <c r="A362" s="325"/>
      <c r="B362" s="325"/>
      <c r="C362" s="94"/>
      <c r="D362" s="62"/>
      <c r="F362" s="94"/>
      <c r="G362" s="94"/>
    </row>
    <row r="363" spans="1:7" x14ac:dyDescent="0.3">
      <c r="A363" s="325"/>
      <c r="B363" s="325"/>
      <c r="C363" s="94"/>
      <c r="D363" s="62"/>
      <c r="F363" s="94"/>
      <c r="G363" s="94"/>
    </row>
    <row r="364" spans="1:7" x14ac:dyDescent="0.3">
      <c r="A364" s="325"/>
      <c r="B364" s="325"/>
      <c r="C364" s="94"/>
      <c r="D364" s="62"/>
      <c r="F364" s="94"/>
      <c r="G364" s="94"/>
    </row>
    <row r="365" spans="1:7" x14ac:dyDescent="0.3">
      <c r="A365" s="325"/>
      <c r="B365" s="325"/>
      <c r="C365" s="94"/>
      <c r="D365" s="62"/>
      <c r="F365" s="94"/>
      <c r="G365" s="94"/>
    </row>
    <row r="366" spans="1:7" x14ac:dyDescent="0.3">
      <c r="A366" s="325"/>
      <c r="B366" s="325"/>
      <c r="C366" s="94"/>
      <c r="D366" s="62"/>
      <c r="F366" s="94"/>
      <c r="G366" s="94"/>
    </row>
    <row r="367" spans="1:7" x14ac:dyDescent="0.3">
      <c r="A367" s="325"/>
      <c r="B367" s="325"/>
      <c r="C367" s="94"/>
      <c r="D367" s="62"/>
      <c r="F367" s="94"/>
      <c r="G367" s="94"/>
    </row>
    <row r="368" spans="1:7" x14ac:dyDescent="0.3">
      <c r="A368" s="325"/>
      <c r="B368" s="325"/>
      <c r="C368" s="94"/>
      <c r="D368" s="62"/>
      <c r="F368" s="94"/>
      <c r="G368" s="94"/>
    </row>
    <row r="369" spans="1:7" x14ac:dyDescent="0.3">
      <c r="A369" s="325"/>
      <c r="B369" s="325"/>
      <c r="C369" s="94"/>
      <c r="D369" s="62"/>
      <c r="F369" s="94"/>
      <c r="G369" s="94"/>
    </row>
    <row r="370" spans="1:7" x14ac:dyDescent="0.3">
      <c r="A370" s="325"/>
      <c r="B370" s="325"/>
      <c r="C370" s="94"/>
      <c r="D370" s="62"/>
      <c r="F370" s="94"/>
      <c r="G370" s="94"/>
    </row>
    <row r="371" spans="1:7" x14ac:dyDescent="0.3">
      <c r="A371" s="325"/>
      <c r="B371" s="325"/>
      <c r="C371" s="94"/>
      <c r="D371" s="62"/>
      <c r="F371" s="94"/>
      <c r="G371" s="94"/>
    </row>
    <row r="372" spans="1:7" x14ac:dyDescent="0.3">
      <c r="A372" s="325"/>
      <c r="B372" s="325"/>
      <c r="C372" s="94"/>
      <c r="D372" s="62"/>
      <c r="F372" s="94"/>
      <c r="G372" s="94"/>
    </row>
    <row r="373" spans="1:7" x14ac:dyDescent="0.3">
      <c r="A373" s="325"/>
      <c r="B373" s="325"/>
      <c r="C373" s="94"/>
      <c r="D373" s="62"/>
      <c r="F373" s="94"/>
      <c r="G373" s="94"/>
    </row>
    <row r="374" spans="1:7" x14ac:dyDescent="0.3">
      <c r="A374" s="325"/>
      <c r="B374" s="325"/>
      <c r="C374" s="94"/>
      <c r="D374" s="62"/>
      <c r="F374" s="94"/>
      <c r="G374" s="94"/>
    </row>
    <row r="375" spans="1:7" x14ac:dyDescent="0.3">
      <c r="A375" s="325"/>
      <c r="B375" s="325"/>
      <c r="C375" s="94"/>
      <c r="D375" s="62"/>
      <c r="F375" s="94"/>
      <c r="G375" s="94"/>
    </row>
    <row r="376" spans="1:7" x14ac:dyDescent="0.3">
      <c r="A376" s="325"/>
      <c r="B376" s="325"/>
      <c r="C376" s="94"/>
      <c r="D376" s="62"/>
      <c r="F376" s="94"/>
      <c r="G376" s="94"/>
    </row>
    <row r="377" spans="1:7" x14ac:dyDescent="0.3">
      <c r="A377" s="325"/>
      <c r="B377" s="325"/>
      <c r="C377" s="94"/>
      <c r="D377" s="62"/>
      <c r="F377" s="94"/>
      <c r="G377" s="94"/>
    </row>
    <row r="378" spans="1:7" x14ac:dyDescent="0.3">
      <c r="A378" s="325"/>
      <c r="B378" s="325"/>
      <c r="C378" s="94"/>
      <c r="D378" s="62"/>
      <c r="F378" s="94"/>
      <c r="G378" s="94"/>
    </row>
    <row r="379" spans="1:7" x14ac:dyDescent="0.3">
      <c r="A379" s="325"/>
      <c r="B379" s="325"/>
      <c r="C379" s="94"/>
      <c r="D379" s="62"/>
      <c r="F379" s="94"/>
      <c r="G379" s="94"/>
    </row>
    <row r="380" spans="1:7" x14ac:dyDescent="0.3">
      <c r="A380" s="325"/>
      <c r="B380" s="325"/>
      <c r="C380" s="94"/>
      <c r="D380" s="62"/>
      <c r="F380" s="94"/>
      <c r="G380" s="94"/>
    </row>
    <row r="381" spans="1:7" x14ac:dyDescent="0.3">
      <c r="A381" s="325"/>
      <c r="B381" s="325"/>
      <c r="C381" s="94"/>
      <c r="D381" s="62"/>
      <c r="F381" s="94"/>
      <c r="G381" s="94"/>
    </row>
    <row r="382" spans="1:7" x14ac:dyDescent="0.3">
      <c r="A382" s="325"/>
      <c r="B382" s="325"/>
      <c r="C382" s="94"/>
      <c r="D382" s="62"/>
      <c r="F382" s="94"/>
      <c r="G382" s="94"/>
    </row>
    <row r="383" spans="1:7" x14ac:dyDescent="0.3">
      <c r="A383" s="325"/>
      <c r="B383" s="325"/>
    </row>
    <row r="384" spans="1:7" x14ac:dyDescent="0.3">
      <c r="A384" s="325"/>
      <c r="B384" s="325"/>
    </row>
    <row r="385" spans="1:2" x14ac:dyDescent="0.3">
      <c r="A385" s="325"/>
      <c r="B385" s="325"/>
    </row>
    <row r="386" spans="1:2" x14ac:dyDescent="0.3">
      <c r="A386" s="325"/>
      <c r="B386" s="325"/>
    </row>
    <row r="387" spans="1:2" x14ac:dyDescent="0.3">
      <c r="A387" s="325"/>
      <c r="B387" s="325"/>
    </row>
    <row r="388" spans="1:2" x14ac:dyDescent="0.3">
      <c r="A388" s="325"/>
      <c r="B388" s="325"/>
    </row>
    <row r="389" spans="1:2" x14ac:dyDescent="0.3">
      <c r="A389" s="325"/>
      <c r="B389" s="325"/>
    </row>
    <row r="390" spans="1:2" x14ac:dyDescent="0.3">
      <c r="A390" s="325"/>
      <c r="B390" s="325"/>
    </row>
    <row r="391" spans="1:2" x14ac:dyDescent="0.3">
      <c r="A391" s="325"/>
      <c r="B391" s="325"/>
    </row>
    <row r="392" spans="1:2" x14ac:dyDescent="0.3">
      <c r="A392" s="325"/>
      <c r="B392" s="325"/>
    </row>
    <row r="393" spans="1:2" x14ac:dyDescent="0.3">
      <c r="A393" s="325"/>
      <c r="B393" s="325"/>
    </row>
    <row r="394" spans="1:2" x14ac:dyDescent="0.3">
      <c r="A394" s="325"/>
      <c r="B394" s="325"/>
    </row>
    <row r="395" spans="1:2" x14ac:dyDescent="0.3">
      <c r="A395" s="325"/>
      <c r="B395" s="325"/>
    </row>
    <row r="396" spans="1:2" x14ac:dyDescent="0.3">
      <c r="A396" s="325"/>
      <c r="B396" s="325"/>
    </row>
    <row r="397" spans="1:2" x14ac:dyDescent="0.3">
      <c r="A397" s="325"/>
      <c r="B397" s="325"/>
    </row>
    <row r="398" spans="1:2" x14ac:dyDescent="0.3">
      <c r="A398" s="325"/>
      <c r="B398" s="325"/>
    </row>
    <row r="399" spans="1:2" x14ac:dyDescent="0.3">
      <c r="A399" s="325"/>
      <c r="B399" s="325"/>
    </row>
    <row r="400" spans="1:2" x14ac:dyDescent="0.3">
      <c r="A400" s="325"/>
      <c r="B400" s="325"/>
    </row>
    <row r="401" spans="1:2" x14ac:dyDescent="0.3">
      <c r="A401" s="325"/>
      <c r="B401" s="325"/>
    </row>
    <row r="402" spans="1:2" x14ac:dyDescent="0.3">
      <c r="A402" s="325"/>
      <c r="B402" s="325"/>
    </row>
    <row r="403" spans="1:2" x14ac:dyDescent="0.3">
      <c r="A403" s="325"/>
      <c r="B403" s="325"/>
    </row>
    <row r="404" spans="1:2" x14ac:dyDescent="0.3">
      <c r="A404" s="325"/>
      <c r="B404" s="325"/>
    </row>
    <row r="405" spans="1:2" x14ac:dyDescent="0.3">
      <c r="A405" s="325"/>
      <c r="B405" s="325"/>
    </row>
    <row r="406" spans="1:2" x14ac:dyDescent="0.3">
      <c r="A406" s="325"/>
      <c r="B406" s="325"/>
    </row>
    <row r="407" spans="1:2" x14ac:dyDescent="0.3">
      <c r="A407" s="325"/>
      <c r="B407" s="325"/>
    </row>
    <row r="408" spans="1:2" x14ac:dyDescent="0.3">
      <c r="A408" s="325"/>
      <c r="B408" s="325"/>
    </row>
    <row r="409" spans="1:2" x14ac:dyDescent="0.3">
      <c r="A409" s="325"/>
      <c r="B409" s="325"/>
    </row>
    <row r="410" spans="1:2" x14ac:dyDescent="0.3">
      <c r="A410" s="325"/>
      <c r="B410" s="325"/>
    </row>
    <row r="411" spans="1:2" x14ac:dyDescent="0.3">
      <c r="A411" s="325"/>
      <c r="B411" s="325"/>
    </row>
    <row r="412" spans="1:2" x14ac:dyDescent="0.3">
      <c r="A412" s="325"/>
      <c r="B412" s="325"/>
    </row>
    <row r="413" spans="1:2" x14ac:dyDescent="0.3">
      <c r="A413" s="325"/>
      <c r="B413" s="325"/>
    </row>
    <row r="414" spans="1:2" x14ac:dyDescent="0.3">
      <c r="A414" s="325"/>
      <c r="B414" s="325"/>
    </row>
    <row r="415" spans="1:2" x14ac:dyDescent="0.3">
      <c r="A415" s="325"/>
      <c r="B415" s="325"/>
    </row>
    <row r="416" spans="1:2" x14ac:dyDescent="0.3">
      <c r="A416" s="325"/>
      <c r="B416" s="325"/>
    </row>
    <row r="417" spans="1:2" x14ac:dyDescent="0.3">
      <c r="A417" s="325"/>
      <c r="B417" s="325"/>
    </row>
    <row r="418" spans="1:2" x14ac:dyDescent="0.3">
      <c r="A418" s="325"/>
      <c r="B418" s="325"/>
    </row>
  </sheetData>
  <printOptions horizontalCentered="1"/>
  <pageMargins left="0.95" right="0.45" top="0.5" bottom="0.5" header="0.3" footer="0"/>
  <pageSetup scale="16" fitToHeight="0" orientation="portrait" r:id="rId1"/>
  <headerFooter>
    <oddFooter>&amp;L2013/2014 Investment&amp;RPage &amp;P of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5"/>
  <sheetViews>
    <sheetView workbookViewId="0">
      <selection sqref="A1:XFD1048576"/>
    </sheetView>
  </sheetViews>
  <sheetFormatPr defaultColWidth="9.109375" defaultRowHeight="14.4" x14ac:dyDescent="0.3"/>
  <cols>
    <col min="1" max="1" width="13.109375" style="15" customWidth="1"/>
    <col min="2" max="2" width="34.109375" style="15" bestFit="1" customWidth="1"/>
    <col min="3" max="3" width="30" style="15" customWidth="1"/>
    <col min="4" max="4" width="9.109375" style="15"/>
    <col min="5" max="5" width="3.33203125" style="15" customWidth="1"/>
    <col min="6" max="6" width="9.109375" style="15"/>
    <col min="7" max="7" width="34.109375" style="15" bestFit="1" customWidth="1"/>
    <col min="8" max="11" width="30.44140625" style="15" customWidth="1"/>
    <col min="12" max="16384" width="9.109375" style="15"/>
  </cols>
  <sheetData>
    <row r="1" spans="1:11" x14ac:dyDescent="0.3">
      <c r="B1" s="197" t="s">
        <v>296</v>
      </c>
      <c r="C1" s="197"/>
      <c r="G1" s="197" t="s">
        <v>296</v>
      </c>
      <c r="H1" s="197"/>
      <c r="I1" s="197"/>
      <c r="J1" s="197"/>
      <c r="K1" s="197"/>
    </row>
    <row r="2" spans="1:11" x14ac:dyDescent="0.3">
      <c r="B2" s="197" t="s">
        <v>297</v>
      </c>
      <c r="C2" s="197"/>
      <c r="G2" s="197" t="s">
        <v>297</v>
      </c>
      <c r="H2" s="197"/>
      <c r="I2" s="197"/>
      <c r="J2" s="197"/>
      <c r="K2" s="197"/>
    </row>
    <row r="3" spans="1:11" x14ac:dyDescent="0.3">
      <c r="B3" s="197" t="s">
        <v>298</v>
      </c>
      <c r="C3" s="197"/>
      <c r="G3" s="197" t="s">
        <v>298</v>
      </c>
      <c r="H3" s="197"/>
      <c r="I3" s="197"/>
      <c r="J3" s="197"/>
      <c r="K3" s="197"/>
    </row>
    <row r="4" spans="1:11" x14ac:dyDescent="0.3">
      <c r="B4" s="197" t="s">
        <v>299</v>
      </c>
      <c r="C4" s="197"/>
      <c r="G4" s="197" t="s">
        <v>299</v>
      </c>
      <c r="H4" s="197"/>
      <c r="I4" s="197"/>
      <c r="J4" s="197"/>
      <c r="K4" s="197"/>
    </row>
    <row r="5" spans="1:11" x14ac:dyDescent="0.3">
      <c r="B5" s="197" t="s">
        <v>300</v>
      </c>
      <c r="C5" s="197"/>
      <c r="G5" s="197" t="s">
        <v>300</v>
      </c>
      <c r="H5" s="197"/>
      <c r="I5" s="197"/>
      <c r="J5" s="197"/>
      <c r="K5" s="197"/>
    </row>
    <row r="6" spans="1:11" x14ac:dyDescent="0.3">
      <c r="B6" s="197" t="s">
        <v>301</v>
      </c>
      <c r="C6" s="197"/>
      <c r="G6" s="197" t="s">
        <v>301</v>
      </c>
      <c r="H6" s="197"/>
      <c r="I6" s="197"/>
      <c r="J6" s="197"/>
      <c r="K6" s="197"/>
    </row>
    <row r="8" spans="1:11" ht="66.599999999999994" x14ac:dyDescent="0.3">
      <c r="B8" s="197" t="s">
        <v>302</v>
      </c>
      <c r="C8" s="312" t="s">
        <v>303</v>
      </c>
      <c r="G8" s="197" t="s">
        <v>304</v>
      </c>
      <c r="H8" s="312" t="s">
        <v>305</v>
      </c>
      <c r="I8" s="312" t="s">
        <v>306</v>
      </c>
      <c r="J8" s="312" t="s">
        <v>307</v>
      </c>
      <c r="K8" s="312" t="s">
        <v>308</v>
      </c>
    </row>
    <row r="10" spans="1:11" x14ac:dyDescent="0.3">
      <c r="B10" s="197" t="s">
        <v>309</v>
      </c>
      <c r="C10" s="197"/>
      <c r="G10" s="197" t="s">
        <v>310</v>
      </c>
      <c r="H10" s="197"/>
      <c r="I10" s="197"/>
      <c r="J10" s="197"/>
      <c r="K10" s="197"/>
    </row>
    <row r="11" spans="1:11" x14ac:dyDescent="0.3">
      <c r="A11" s="15" t="s">
        <v>112</v>
      </c>
      <c r="B11" s="197" t="s">
        <v>311</v>
      </c>
      <c r="C11" s="197" t="s">
        <v>302</v>
      </c>
      <c r="F11" s="197" t="s">
        <v>112</v>
      </c>
      <c r="G11" s="197" t="s">
        <v>311</v>
      </c>
      <c r="H11" s="197" t="s">
        <v>304</v>
      </c>
      <c r="I11" s="197" t="s">
        <v>312</v>
      </c>
      <c r="J11" s="197" t="s">
        <v>313</v>
      </c>
      <c r="K11" s="197" t="s">
        <v>314</v>
      </c>
    </row>
    <row r="12" spans="1:11" x14ac:dyDescent="0.3">
      <c r="A12" s="15">
        <f t="shared" ref="A12:A43" si="0">YEAR(B12)</f>
        <v>2003</v>
      </c>
      <c r="B12" s="313">
        <v>37622</v>
      </c>
      <c r="C12" s="314">
        <v>87.9</v>
      </c>
      <c r="F12" s="15">
        <f t="shared" ref="F12:F43" si="1">YEAR(G12)</f>
        <v>2003</v>
      </c>
      <c r="G12" s="313">
        <v>37956</v>
      </c>
      <c r="H12" s="314">
        <v>100</v>
      </c>
      <c r="I12" s="314">
        <v>100</v>
      </c>
      <c r="J12" s="314">
        <v>100</v>
      </c>
      <c r="K12" s="314">
        <v>100</v>
      </c>
    </row>
    <row r="13" spans="1:11" x14ac:dyDescent="0.3">
      <c r="A13" s="15">
        <f t="shared" si="0"/>
        <v>2003</v>
      </c>
      <c r="B13" s="313">
        <v>37712</v>
      </c>
      <c r="C13" s="314">
        <v>88.6</v>
      </c>
      <c r="F13" s="15">
        <f t="shared" si="1"/>
        <v>2004</v>
      </c>
      <c r="G13" s="313">
        <v>37987</v>
      </c>
      <c r="H13" s="314">
        <v>101.7</v>
      </c>
      <c r="I13" s="314">
        <v>100.5</v>
      </c>
      <c r="J13" s="314">
        <v>102.2</v>
      </c>
      <c r="K13" s="314">
        <v>100.1</v>
      </c>
    </row>
    <row r="14" spans="1:11" x14ac:dyDescent="0.3">
      <c r="A14" s="15">
        <f t="shared" si="0"/>
        <v>2003</v>
      </c>
      <c r="B14" s="313">
        <v>37803</v>
      </c>
      <c r="C14" s="314">
        <v>89.7</v>
      </c>
      <c r="F14" s="15">
        <f t="shared" si="1"/>
        <v>2004</v>
      </c>
      <c r="G14" s="313">
        <v>38018</v>
      </c>
      <c r="H14" s="314">
        <v>102.5</v>
      </c>
      <c r="I14" s="314">
        <v>102.7</v>
      </c>
      <c r="J14" s="314">
        <v>102.1</v>
      </c>
      <c r="K14" s="314">
        <v>100.1</v>
      </c>
    </row>
    <row r="15" spans="1:11" x14ac:dyDescent="0.3">
      <c r="A15" s="15">
        <f t="shared" si="0"/>
        <v>2003</v>
      </c>
      <c r="B15" s="313">
        <v>37895</v>
      </c>
      <c r="C15" s="314">
        <v>90.8</v>
      </c>
      <c r="F15" s="15">
        <f t="shared" si="1"/>
        <v>2004</v>
      </c>
      <c r="G15" s="313">
        <v>38047</v>
      </c>
      <c r="H15" s="314">
        <v>101.2</v>
      </c>
      <c r="I15" s="314">
        <v>100.8</v>
      </c>
      <c r="J15" s="314">
        <v>101.8</v>
      </c>
      <c r="K15" s="314">
        <v>100.2</v>
      </c>
    </row>
    <row r="16" spans="1:11" x14ac:dyDescent="0.3">
      <c r="A16" s="15">
        <f t="shared" si="0"/>
        <v>2004</v>
      </c>
      <c r="B16" s="313">
        <v>37987</v>
      </c>
      <c r="C16" s="314">
        <v>92.2</v>
      </c>
      <c r="F16" s="15">
        <f t="shared" si="1"/>
        <v>2004</v>
      </c>
      <c r="G16" s="313">
        <v>38078</v>
      </c>
      <c r="H16" s="314">
        <v>101.8</v>
      </c>
      <c r="I16" s="314">
        <v>102.4</v>
      </c>
      <c r="J16" s="314">
        <v>101.6</v>
      </c>
      <c r="K16" s="314">
        <v>100.3</v>
      </c>
    </row>
    <row r="17" spans="1:11" x14ac:dyDescent="0.3">
      <c r="A17" s="15">
        <f t="shared" si="0"/>
        <v>2004</v>
      </c>
      <c r="B17" s="313">
        <v>38078</v>
      </c>
      <c r="C17" s="314">
        <v>94.3</v>
      </c>
      <c r="F17" s="15">
        <f t="shared" si="1"/>
        <v>2004</v>
      </c>
      <c r="G17" s="313">
        <v>38108</v>
      </c>
      <c r="H17" s="314">
        <v>103.1</v>
      </c>
      <c r="I17" s="314">
        <v>104.4</v>
      </c>
      <c r="J17" s="314">
        <v>102.8</v>
      </c>
      <c r="K17" s="314">
        <v>101.1</v>
      </c>
    </row>
    <row r="18" spans="1:11" x14ac:dyDescent="0.3">
      <c r="A18" s="15">
        <f t="shared" si="0"/>
        <v>2004</v>
      </c>
      <c r="B18" s="313">
        <v>38169</v>
      </c>
      <c r="C18" s="314">
        <v>95.2</v>
      </c>
      <c r="F18" s="15">
        <f t="shared" si="1"/>
        <v>2004</v>
      </c>
      <c r="G18" s="313">
        <v>38139</v>
      </c>
      <c r="H18" s="314">
        <v>106.9</v>
      </c>
      <c r="I18" s="314">
        <v>108.1</v>
      </c>
      <c r="J18" s="314">
        <v>101.9</v>
      </c>
      <c r="K18" s="314">
        <v>104.5</v>
      </c>
    </row>
    <row r="19" spans="1:11" x14ac:dyDescent="0.3">
      <c r="A19" s="15">
        <f t="shared" si="0"/>
        <v>2004</v>
      </c>
      <c r="B19" s="313">
        <v>38261</v>
      </c>
      <c r="C19" s="314">
        <v>95.7</v>
      </c>
      <c r="F19" s="15">
        <f t="shared" si="1"/>
        <v>2004</v>
      </c>
      <c r="G19" s="313">
        <v>38169</v>
      </c>
      <c r="H19" s="314">
        <v>107.1</v>
      </c>
      <c r="I19" s="314">
        <v>109.9</v>
      </c>
      <c r="J19" s="314">
        <v>100.9</v>
      </c>
      <c r="K19" s="314">
        <v>104.9</v>
      </c>
    </row>
    <row r="20" spans="1:11" x14ac:dyDescent="0.3">
      <c r="A20" s="15">
        <f t="shared" si="0"/>
        <v>2005</v>
      </c>
      <c r="B20" s="313">
        <v>38353</v>
      </c>
      <c r="C20" s="314">
        <v>98.1</v>
      </c>
      <c r="F20" s="15">
        <f t="shared" si="1"/>
        <v>2004</v>
      </c>
      <c r="G20" s="313">
        <v>38200</v>
      </c>
      <c r="H20" s="314">
        <v>107.4</v>
      </c>
      <c r="I20" s="314">
        <v>110.4</v>
      </c>
      <c r="J20" s="314">
        <v>100.8</v>
      </c>
      <c r="K20" s="314">
        <v>105.8</v>
      </c>
    </row>
    <row r="21" spans="1:11" x14ac:dyDescent="0.3">
      <c r="A21" s="15">
        <f t="shared" si="0"/>
        <v>2005</v>
      </c>
      <c r="B21" s="313">
        <v>38443</v>
      </c>
      <c r="C21" s="314">
        <v>98.7</v>
      </c>
      <c r="F21" s="15">
        <f t="shared" si="1"/>
        <v>2004</v>
      </c>
      <c r="G21" s="313">
        <v>38231</v>
      </c>
      <c r="H21" s="314">
        <v>105.2</v>
      </c>
      <c r="I21" s="314">
        <v>105.4</v>
      </c>
      <c r="J21" s="314">
        <v>101.9</v>
      </c>
      <c r="K21" s="314">
        <v>105.9</v>
      </c>
    </row>
    <row r="22" spans="1:11" x14ac:dyDescent="0.3">
      <c r="A22" s="15">
        <f t="shared" si="0"/>
        <v>2005</v>
      </c>
      <c r="B22" s="313">
        <v>38534</v>
      </c>
      <c r="C22" s="314">
        <v>99.5</v>
      </c>
      <c r="F22" s="15">
        <f t="shared" si="1"/>
        <v>2004</v>
      </c>
      <c r="G22" s="313">
        <v>38261</v>
      </c>
      <c r="H22" s="314">
        <v>104.3</v>
      </c>
      <c r="I22" s="314">
        <v>102.7</v>
      </c>
      <c r="J22" s="314">
        <v>98.6</v>
      </c>
      <c r="K22" s="314">
        <v>103</v>
      </c>
    </row>
    <row r="23" spans="1:11" x14ac:dyDescent="0.3">
      <c r="A23" s="15">
        <f t="shared" si="0"/>
        <v>2005</v>
      </c>
      <c r="B23" s="313">
        <v>38626</v>
      </c>
      <c r="C23" s="314">
        <v>100.6</v>
      </c>
      <c r="F23" s="15">
        <f t="shared" si="1"/>
        <v>2004</v>
      </c>
      <c r="G23" s="313">
        <v>38292</v>
      </c>
      <c r="H23" s="314">
        <v>108.8</v>
      </c>
      <c r="I23" s="314">
        <v>107.1</v>
      </c>
      <c r="J23" s="314">
        <v>99.3</v>
      </c>
      <c r="K23" s="314">
        <v>101.9</v>
      </c>
    </row>
    <row r="24" spans="1:11" x14ac:dyDescent="0.3">
      <c r="A24" s="15">
        <f t="shared" si="0"/>
        <v>2006</v>
      </c>
      <c r="B24" s="313">
        <v>38718</v>
      </c>
      <c r="C24" s="314">
        <v>107.7</v>
      </c>
      <c r="F24" s="15">
        <f t="shared" si="1"/>
        <v>2004</v>
      </c>
      <c r="G24" s="313">
        <v>38322</v>
      </c>
      <c r="H24" s="314">
        <v>108.9</v>
      </c>
      <c r="I24" s="314">
        <v>107.6</v>
      </c>
      <c r="J24" s="314">
        <v>103.1</v>
      </c>
      <c r="K24" s="314">
        <v>102.3</v>
      </c>
    </row>
    <row r="25" spans="1:11" x14ac:dyDescent="0.3">
      <c r="A25" s="15">
        <f t="shared" si="0"/>
        <v>2006</v>
      </c>
      <c r="B25" s="313">
        <v>38808</v>
      </c>
      <c r="C25" s="314">
        <v>108.7</v>
      </c>
      <c r="F25" s="15">
        <f t="shared" si="1"/>
        <v>2005</v>
      </c>
      <c r="G25" s="313">
        <v>38353</v>
      </c>
      <c r="H25" s="314">
        <v>108.3</v>
      </c>
      <c r="I25" s="314">
        <v>106.4</v>
      </c>
      <c r="J25" s="314">
        <v>101.5</v>
      </c>
      <c r="K25" s="314">
        <v>103.3</v>
      </c>
    </row>
    <row r="26" spans="1:11" x14ac:dyDescent="0.3">
      <c r="A26" s="15">
        <f t="shared" si="0"/>
        <v>2006</v>
      </c>
      <c r="B26" s="313">
        <v>38899</v>
      </c>
      <c r="C26" s="314">
        <v>110.1</v>
      </c>
      <c r="F26" s="15">
        <f t="shared" si="1"/>
        <v>2005</v>
      </c>
      <c r="G26" s="313">
        <v>38384</v>
      </c>
      <c r="H26" s="314">
        <v>107.5</v>
      </c>
      <c r="I26" s="314">
        <v>105.4</v>
      </c>
      <c r="J26" s="314">
        <v>101.6</v>
      </c>
      <c r="K26" s="314">
        <v>103.1</v>
      </c>
    </row>
    <row r="27" spans="1:11" x14ac:dyDescent="0.3">
      <c r="A27" s="15">
        <f t="shared" si="0"/>
        <v>2006</v>
      </c>
      <c r="B27" s="313">
        <v>38991</v>
      </c>
      <c r="C27" s="314">
        <v>111.1</v>
      </c>
      <c r="F27" s="15">
        <f t="shared" si="1"/>
        <v>2005</v>
      </c>
      <c r="G27" s="313">
        <v>38412</v>
      </c>
      <c r="H27" s="314">
        <v>108.7</v>
      </c>
      <c r="I27" s="314">
        <v>112</v>
      </c>
      <c r="J27" s="314">
        <v>101.3</v>
      </c>
      <c r="K27" s="314">
        <v>103.3</v>
      </c>
    </row>
    <row r="28" spans="1:11" x14ac:dyDescent="0.3">
      <c r="A28" s="15">
        <f t="shared" si="0"/>
        <v>2007</v>
      </c>
      <c r="B28" s="313">
        <v>39083</v>
      </c>
      <c r="C28" s="314">
        <v>102.8</v>
      </c>
      <c r="F28" s="15">
        <f t="shared" si="1"/>
        <v>2005</v>
      </c>
      <c r="G28" s="313">
        <v>38443</v>
      </c>
      <c r="H28" s="314">
        <v>110.6</v>
      </c>
      <c r="I28" s="314">
        <v>109</v>
      </c>
      <c r="J28" s="314">
        <v>102.5</v>
      </c>
      <c r="K28" s="314">
        <v>103.5</v>
      </c>
    </row>
    <row r="29" spans="1:11" x14ac:dyDescent="0.3">
      <c r="A29" s="15">
        <f t="shared" si="0"/>
        <v>2007</v>
      </c>
      <c r="B29" s="313">
        <v>39173</v>
      </c>
      <c r="C29" s="314">
        <v>104.2</v>
      </c>
      <c r="F29" s="15">
        <f t="shared" si="1"/>
        <v>2005</v>
      </c>
      <c r="G29" s="313">
        <v>38473</v>
      </c>
      <c r="H29" s="314">
        <v>111.2</v>
      </c>
      <c r="I29" s="314">
        <v>112.4</v>
      </c>
      <c r="J29" s="314">
        <v>102.3</v>
      </c>
      <c r="K29" s="314">
        <v>104.6</v>
      </c>
    </row>
    <row r="30" spans="1:11" x14ac:dyDescent="0.3">
      <c r="A30" s="15">
        <f t="shared" si="0"/>
        <v>2007</v>
      </c>
      <c r="B30" s="313">
        <v>39264</v>
      </c>
      <c r="C30" s="314">
        <v>104.9</v>
      </c>
      <c r="F30" s="15">
        <f t="shared" si="1"/>
        <v>2005</v>
      </c>
      <c r="G30" s="313">
        <v>38504</v>
      </c>
      <c r="H30" s="314">
        <v>112.2</v>
      </c>
      <c r="I30" s="314">
        <v>113.9</v>
      </c>
      <c r="J30" s="314">
        <v>103.5</v>
      </c>
      <c r="K30" s="314">
        <v>108.7</v>
      </c>
    </row>
    <row r="31" spans="1:11" x14ac:dyDescent="0.3">
      <c r="A31" s="15">
        <f t="shared" si="0"/>
        <v>2007</v>
      </c>
      <c r="B31" s="313">
        <v>39356</v>
      </c>
      <c r="C31" s="314">
        <v>106.2</v>
      </c>
      <c r="F31" s="15">
        <f t="shared" si="1"/>
        <v>2005</v>
      </c>
      <c r="G31" s="313">
        <v>38534</v>
      </c>
      <c r="H31" s="314">
        <v>116.2</v>
      </c>
      <c r="I31" s="314">
        <v>124.2</v>
      </c>
      <c r="J31" s="314">
        <v>102.7</v>
      </c>
      <c r="K31" s="314">
        <v>109.9</v>
      </c>
    </row>
    <row r="32" spans="1:11" x14ac:dyDescent="0.3">
      <c r="A32" s="15">
        <f t="shared" si="0"/>
        <v>2008</v>
      </c>
      <c r="B32" s="313">
        <v>39448</v>
      </c>
      <c r="C32" s="314">
        <v>106.5</v>
      </c>
      <c r="F32" s="15">
        <f t="shared" si="1"/>
        <v>2005</v>
      </c>
      <c r="G32" s="313">
        <v>38565</v>
      </c>
      <c r="H32" s="314">
        <v>119.9</v>
      </c>
      <c r="I32" s="314">
        <v>139.1</v>
      </c>
      <c r="J32" s="314">
        <v>99.7</v>
      </c>
      <c r="K32" s="314">
        <v>110.3</v>
      </c>
    </row>
    <row r="33" spans="1:11" x14ac:dyDescent="0.3">
      <c r="A33" s="15">
        <f t="shared" si="0"/>
        <v>2008</v>
      </c>
      <c r="B33" s="313">
        <v>39539</v>
      </c>
      <c r="C33" s="314">
        <v>107.6</v>
      </c>
      <c r="F33" s="15">
        <f t="shared" si="1"/>
        <v>2005</v>
      </c>
      <c r="G33" s="313">
        <v>38596</v>
      </c>
      <c r="H33" s="314">
        <v>125.5</v>
      </c>
      <c r="I33" s="314">
        <v>139</v>
      </c>
      <c r="J33" s="314">
        <v>99.8</v>
      </c>
      <c r="K33" s="314">
        <v>110.5</v>
      </c>
    </row>
    <row r="34" spans="1:11" x14ac:dyDescent="0.3">
      <c r="A34" s="15">
        <f t="shared" si="0"/>
        <v>2008</v>
      </c>
      <c r="B34" s="313">
        <v>39630</v>
      </c>
      <c r="C34" s="314">
        <v>108</v>
      </c>
      <c r="F34" s="15">
        <f t="shared" si="1"/>
        <v>2005</v>
      </c>
      <c r="G34" s="313">
        <v>38626</v>
      </c>
      <c r="H34" s="314">
        <v>131.19999999999999</v>
      </c>
      <c r="I34" s="314">
        <v>135.6</v>
      </c>
      <c r="J34" s="314">
        <v>99.6</v>
      </c>
      <c r="K34" s="314">
        <v>109.3</v>
      </c>
    </row>
    <row r="35" spans="1:11" x14ac:dyDescent="0.3">
      <c r="A35" s="15">
        <f t="shared" si="0"/>
        <v>2008</v>
      </c>
      <c r="B35" s="313">
        <v>39722</v>
      </c>
      <c r="C35" s="314">
        <v>109.5</v>
      </c>
      <c r="F35" s="15">
        <f t="shared" si="1"/>
        <v>2005</v>
      </c>
      <c r="G35" s="313">
        <v>38657</v>
      </c>
      <c r="H35" s="314">
        <v>130</v>
      </c>
      <c r="I35" s="314">
        <v>124.8</v>
      </c>
      <c r="J35" s="314">
        <v>99.9</v>
      </c>
      <c r="K35" s="314">
        <v>109.1</v>
      </c>
    </row>
    <row r="36" spans="1:11" x14ac:dyDescent="0.3">
      <c r="A36" s="15">
        <f t="shared" si="0"/>
        <v>2009</v>
      </c>
      <c r="B36" s="313">
        <v>39814</v>
      </c>
      <c r="C36" s="314">
        <v>109.6</v>
      </c>
      <c r="F36" s="15">
        <f t="shared" si="1"/>
        <v>2005</v>
      </c>
      <c r="G36" s="313">
        <v>38687</v>
      </c>
      <c r="H36" s="314">
        <v>129.6</v>
      </c>
      <c r="I36" s="314">
        <v>137.6</v>
      </c>
      <c r="J36" s="314">
        <v>101.3</v>
      </c>
      <c r="K36" s="314">
        <v>109.4</v>
      </c>
    </row>
    <row r="37" spans="1:11" x14ac:dyDescent="0.3">
      <c r="A37" s="15">
        <f t="shared" si="0"/>
        <v>2009</v>
      </c>
      <c r="B37" s="313">
        <v>39904</v>
      </c>
      <c r="C37" s="314">
        <v>110.4</v>
      </c>
      <c r="F37" s="15">
        <f t="shared" si="1"/>
        <v>2006</v>
      </c>
      <c r="G37" s="313">
        <v>38718</v>
      </c>
      <c r="H37" s="314">
        <v>131.30000000000001</v>
      </c>
      <c r="I37" s="314">
        <v>129.69999999999999</v>
      </c>
      <c r="J37" s="314">
        <v>101.9</v>
      </c>
      <c r="K37" s="314">
        <v>112.7</v>
      </c>
    </row>
    <row r="38" spans="1:11" x14ac:dyDescent="0.3">
      <c r="A38" s="15">
        <f t="shared" si="0"/>
        <v>2009</v>
      </c>
      <c r="B38" s="313">
        <v>39995</v>
      </c>
      <c r="C38" s="314">
        <v>111</v>
      </c>
      <c r="F38" s="15">
        <f t="shared" si="1"/>
        <v>2006</v>
      </c>
      <c r="G38" s="313">
        <v>38749</v>
      </c>
      <c r="H38" s="314">
        <v>127</v>
      </c>
      <c r="I38" s="314">
        <v>128.9</v>
      </c>
      <c r="J38" s="314">
        <v>104</v>
      </c>
      <c r="K38" s="314">
        <v>113.2</v>
      </c>
    </row>
    <row r="39" spans="1:11" x14ac:dyDescent="0.3">
      <c r="A39" s="15">
        <f t="shared" si="0"/>
        <v>2009</v>
      </c>
      <c r="B39" s="313">
        <v>40087</v>
      </c>
      <c r="C39" s="314">
        <v>112.7</v>
      </c>
      <c r="F39" s="15">
        <f t="shared" si="1"/>
        <v>2006</v>
      </c>
      <c r="G39" s="313">
        <v>38777</v>
      </c>
      <c r="H39" s="314">
        <v>123.5</v>
      </c>
      <c r="I39" s="314">
        <v>126.2</v>
      </c>
      <c r="J39" s="314">
        <v>104.2</v>
      </c>
      <c r="K39" s="314">
        <v>112.7</v>
      </c>
    </row>
    <row r="40" spans="1:11" x14ac:dyDescent="0.3">
      <c r="A40" s="15">
        <f t="shared" si="0"/>
        <v>2010</v>
      </c>
      <c r="B40" s="313">
        <v>40179</v>
      </c>
      <c r="C40" s="314">
        <v>115.5</v>
      </c>
      <c r="F40" s="15">
        <f t="shared" si="1"/>
        <v>2006</v>
      </c>
      <c r="G40" s="313">
        <v>38808</v>
      </c>
      <c r="H40" s="314">
        <v>121.5</v>
      </c>
      <c r="I40" s="314">
        <v>121.9</v>
      </c>
      <c r="J40" s="314">
        <v>103.2</v>
      </c>
      <c r="K40" s="314">
        <v>113.4</v>
      </c>
    </row>
    <row r="41" spans="1:11" x14ac:dyDescent="0.3">
      <c r="A41" s="15">
        <f t="shared" si="0"/>
        <v>2010</v>
      </c>
      <c r="B41" s="313">
        <v>40269</v>
      </c>
      <c r="C41" s="314">
        <v>116.5</v>
      </c>
      <c r="F41" s="15">
        <f t="shared" si="1"/>
        <v>2006</v>
      </c>
      <c r="G41" s="313">
        <v>38838</v>
      </c>
      <c r="H41" s="314">
        <v>121</v>
      </c>
      <c r="I41" s="314">
        <v>122</v>
      </c>
      <c r="J41" s="314">
        <v>103.8</v>
      </c>
      <c r="K41" s="314">
        <v>114.1</v>
      </c>
    </row>
    <row r="42" spans="1:11" x14ac:dyDescent="0.3">
      <c r="A42" s="15">
        <f t="shared" si="0"/>
        <v>2010</v>
      </c>
      <c r="B42" s="313">
        <v>40360</v>
      </c>
      <c r="C42" s="314">
        <v>117.7</v>
      </c>
      <c r="F42" s="15">
        <f t="shared" si="1"/>
        <v>2006</v>
      </c>
      <c r="G42" s="313">
        <v>38869</v>
      </c>
      <c r="H42" s="314">
        <v>120.8</v>
      </c>
      <c r="I42" s="314">
        <v>124.3</v>
      </c>
      <c r="J42" s="314">
        <v>105.2</v>
      </c>
      <c r="K42" s="314">
        <v>118.1</v>
      </c>
    </row>
    <row r="43" spans="1:11" x14ac:dyDescent="0.3">
      <c r="A43" s="15">
        <f t="shared" si="0"/>
        <v>2010</v>
      </c>
      <c r="B43" s="313">
        <v>40452</v>
      </c>
      <c r="C43" s="314">
        <v>118</v>
      </c>
      <c r="F43" s="15">
        <f t="shared" si="1"/>
        <v>2006</v>
      </c>
      <c r="G43" s="313">
        <v>38899</v>
      </c>
      <c r="H43" s="314">
        <v>122.3</v>
      </c>
      <c r="I43" s="314">
        <v>130.69999999999999</v>
      </c>
      <c r="J43" s="314">
        <v>104.4</v>
      </c>
      <c r="K43" s="314">
        <v>118.7</v>
      </c>
    </row>
    <row r="44" spans="1:11" x14ac:dyDescent="0.3">
      <c r="A44" s="15">
        <f t="shared" ref="A44:A75" si="2">YEAR(B44)</f>
        <v>2011</v>
      </c>
      <c r="B44" s="313">
        <v>40544</v>
      </c>
      <c r="C44" s="314">
        <v>119.4</v>
      </c>
      <c r="F44" s="15">
        <f t="shared" ref="F44:F75" si="3">YEAR(G44)</f>
        <v>2006</v>
      </c>
      <c r="G44" s="313">
        <v>38930</v>
      </c>
      <c r="H44" s="314">
        <v>126.2</v>
      </c>
      <c r="I44" s="314">
        <v>147.6</v>
      </c>
      <c r="J44" s="314">
        <v>101</v>
      </c>
      <c r="K44" s="314">
        <v>118.4</v>
      </c>
    </row>
    <row r="45" spans="1:11" x14ac:dyDescent="0.3">
      <c r="A45" s="15">
        <f t="shared" si="2"/>
        <v>2011</v>
      </c>
      <c r="B45" s="313">
        <v>40634</v>
      </c>
      <c r="C45" s="314">
        <v>120.4</v>
      </c>
      <c r="F45" s="15">
        <f t="shared" si="3"/>
        <v>2006</v>
      </c>
      <c r="G45" s="313">
        <v>38961</v>
      </c>
      <c r="H45" s="314">
        <v>123.3</v>
      </c>
      <c r="I45" s="314">
        <v>128.80000000000001</v>
      </c>
      <c r="J45" s="314">
        <v>101.9</v>
      </c>
      <c r="K45" s="314">
        <v>118.9</v>
      </c>
    </row>
    <row r="46" spans="1:11" x14ac:dyDescent="0.3">
      <c r="A46" s="15">
        <f t="shared" si="2"/>
        <v>2011</v>
      </c>
      <c r="B46" s="313">
        <v>40725</v>
      </c>
      <c r="C46" s="314">
        <v>121.5</v>
      </c>
      <c r="F46" s="15">
        <f t="shared" si="3"/>
        <v>2006</v>
      </c>
      <c r="G46" s="313">
        <v>38991</v>
      </c>
      <c r="H46" s="314">
        <v>116.3</v>
      </c>
      <c r="I46" s="314">
        <v>121.8</v>
      </c>
      <c r="J46" s="314">
        <v>102.1</v>
      </c>
      <c r="K46" s="314">
        <v>115</v>
      </c>
    </row>
    <row r="47" spans="1:11" x14ac:dyDescent="0.3">
      <c r="A47" s="15">
        <f t="shared" si="2"/>
        <v>2011</v>
      </c>
      <c r="B47" s="313">
        <v>40817</v>
      </c>
      <c r="C47" s="314">
        <v>122.2</v>
      </c>
      <c r="F47" s="15">
        <f t="shared" si="3"/>
        <v>2006</v>
      </c>
      <c r="G47" s="313">
        <v>39022</v>
      </c>
      <c r="H47" s="314">
        <v>121.4</v>
      </c>
      <c r="I47" s="314">
        <v>127.4</v>
      </c>
      <c r="J47" s="314">
        <v>104.2</v>
      </c>
      <c r="K47" s="314">
        <v>112.6</v>
      </c>
    </row>
    <row r="48" spans="1:11" x14ac:dyDescent="0.3">
      <c r="A48" s="15">
        <f t="shared" si="2"/>
        <v>2012</v>
      </c>
      <c r="B48" s="313">
        <v>40909</v>
      </c>
      <c r="C48" s="314">
        <v>122.9</v>
      </c>
      <c r="F48" s="15">
        <f t="shared" si="3"/>
        <v>2006</v>
      </c>
      <c r="G48" s="313">
        <v>39052</v>
      </c>
      <c r="H48" s="314">
        <v>122.9</v>
      </c>
      <c r="I48" s="314">
        <v>127.2</v>
      </c>
      <c r="J48" s="314">
        <v>103.9</v>
      </c>
      <c r="K48" s="314">
        <v>112.9</v>
      </c>
    </row>
    <row r="49" spans="1:11" x14ac:dyDescent="0.3">
      <c r="A49" s="15">
        <f t="shared" si="2"/>
        <v>2012</v>
      </c>
      <c r="B49" s="313">
        <v>41000</v>
      </c>
      <c r="C49" s="314">
        <v>124.7</v>
      </c>
      <c r="F49" s="15">
        <f t="shared" si="3"/>
        <v>2007</v>
      </c>
      <c r="G49" s="313">
        <v>39083</v>
      </c>
      <c r="H49" s="314">
        <v>122</v>
      </c>
      <c r="I49" s="314">
        <v>121.8</v>
      </c>
      <c r="J49" s="314">
        <v>103.2</v>
      </c>
      <c r="K49" s="314">
        <v>114.6</v>
      </c>
    </row>
    <row r="50" spans="1:11" x14ac:dyDescent="0.3">
      <c r="A50" s="15">
        <f t="shared" si="2"/>
        <v>2012</v>
      </c>
      <c r="B50" s="313">
        <v>41091</v>
      </c>
      <c r="C50" s="314">
        <v>125.3</v>
      </c>
      <c r="F50" s="15">
        <f t="shared" si="3"/>
        <v>2007</v>
      </c>
      <c r="G50" s="313">
        <v>39114</v>
      </c>
      <c r="H50" s="314">
        <v>125.6</v>
      </c>
      <c r="I50" s="314">
        <v>134.9</v>
      </c>
      <c r="J50" s="314">
        <v>105.1</v>
      </c>
      <c r="K50" s="314">
        <v>115.7</v>
      </c>
    </row>
    <row r="51" spans="1:11" x14ac:dyDescent="0.3">
      <c r="A51" s="15">
        <f t="shared" si="2"/>
        <v>2012</v>
      </c>
      <c r="B51" s="313">
        <v>41183</v>
      </c>
      <c r="C51" s="314">
        <v>126.3</v>
      </c>
      <c r="F51" s="15">
        <f t="shared" si="3"/>
        <v>2007</v>
      </c>
      <c r="G51" s="313">
        <v>39142</v>
      </c>
      <c r="H51" s="314">
        <v>124.4</v>
      </c>
      <c r="I51" s="314">
        <v>128.6</v>
      </c>
      <c r="J51" s="314">
        <v>104.8</v>
      </c>
      <c r="K51" s="314">
        <v>114.9</v>
      </c>
    </row>
    <row r="52" spans="1:11" x14ac:dyDescent="0.3">
      <c r="A52" s="15">
        <f t="shared" si="2"/>
        <v>2013</v>
      </c>
      <c r="B52" s="313">
        <v>41275</v>
      </c>
      <c r="C52" s="314">
        <v>126.5</v>
      </c>
      <c r="F52" s="15">
        <f t="shared" si="3"/>
        <v>2007</v>
      </c>
      <c r="G52" s="313">
        <v>39173</v>
      </c>
      <c r="H52" s="314">
        <v>124.5</v>
      </c>
      <c r="I52" s="314">
        <v>128.5</v>
      </c>
      <c r="J52" s="314">
        <v>105.3</v>
      </c>
      <c r="K52" s="314">
        <v>115.5</v>
      </c>
    </row>
    <row r="53" spans="1:11" x14ac:dyDescent="0.3">
      <c r="A53" s="15">
        <f t="shared" si="2"/>
        <v>2013</v>
      </c>
      <c r="B53" s="313">
        <v>41365</v>
      </c>
      <c r="C53" s="314">
        <v>126.9</v>
      </c>
      <c r="F53" s="15">
        <f t="shared" si="3"/>
        <v>2007</v>
      </c>
      <c r="G53" s="313">
        <v>39203</v>
      </c>
      <c r="H53" s="314">
        <v>125.4</v>
      </c>
      <c r="I53" s="314">
        <v>126.4</v>
      </c>
      <c r="J53" s="314">
        <v>104.5</v>
      </c>
      <c r="K53" s="314">
        <v>117.8</v>
      </c>
    </row>
    <row r="54" spans="1:11" x14ac:dyDescent="0.3">
      <c r="A54" s="15">
        <f t="shared" si="2"/>
        <v>2013</v>
      </c>
      <c r="B54" s="313">
        <v>41456</v>
      </c>
      <c r="C54" s="314">
        <v>126.3</v>
      </c>
      <c r="F54" s="15">
        <f t="shared" si="3"/>
        <v>2007</v>
      </c>
      <c r="G54" s="313">
        <v>39234</v>
      </c>
      <c r="H54" s="314">
        <v>129.9</v>
      </c>
      <c r="I54" s="314">
        <v>131.69999999999999</v>
      </c>
      <c r="J54" s="314">
        <v>105.7</v>
      </c>
      <c r="K54" s="314">
        <v>122.3</v>
      </c>
    </row>
    <row r="55" spans="1:11" x14ac:dyDescent="0.3">
      <c r="A55" s="15">
        <f t="shared" si="2"/>
        <v>2013</v>
      </c>
      <c r="B55" s="313">
        <v>41548</v>
      </c>
      <c r="C55" s="314">
        <v>127.5</v>
      </c>
      <c r="F55" s="15">
        <f t="shared" si="3"/>
        <v>2007</v>
      </c>
      <c r="G55" s="313">
        <v>39264</v>
      </c>
      <c r="H55" s="314">
        <v>131.6</v>
      </c>
      <c r="I55" s="314">
        <v>137.6</v>
      </c>
      <c r="J55" s="314">
        <v>105.6</v>
      </c>
      <c r="K55" s="314">
        <v>122.9</v>
      </c>
    </row>
    <row r="56" spans="1:11" x14ac:dyDescent="0.3">
      <c r="A56" s="15">
        <f t="shared" si="2"/>
        <v>2014</v>
      </c>
      <c r="B56" s="313">
        <v>41640</v>
      </c>
      <c r="C56" s="314">
        <v>128.19999999999999</v>
      </c>
      <c r="F56" s="15">
        <f t="shared" si="3"/>
        <v>2007</v>
      </c>
      <c r="G56" s="313">
        <v>39295</v>
      </c>
      <c r="H56" s="314">
        <v>130.80000000000001</v>
      </c>
      <c r="I56" s="314">
        <v>141.1</v>
      </c>
      <c r="J56" s="314">
        <v>104</v>
      </c>
      <c r="K56" s="314">
        <v>122.9</v>
      </c>
    </row>
    <row r="57" spans="1:11" x14ac:dyDescent="0.3">
      <c r="A57" s="15">
        <f t="shared" si="2"/>
        <v>2014</v>
      </c>
      <c r="B57" s="313">
        <v>41730</v>
      </c>
      <c r="C57" s="314">
        <v>128.9</v>
      </c>
      <c r="F57" s="15">
        <f t="shared" si="3"/>
        <v>2007</v>
      </c>
      <c r="G57" s="313">
        <v>39326</v>
      </c>
      <c r="H57" s="314">
        <v>129.30000000000001</v>
      </c>
      <c r="I57" s="314">
        <v>133.1</v>
      </c>
      <c r="J57" s="314">
        <v>104.3</v>
      </c>
      <c r="K57" s="314">
        <v>123.2</v>
      </c>
    </row>
    <row r="58" spans="1:11" x14ac:dyDescent="0.3">
      <c r="A58" s="15">
        <f t="shared" si="2"/>
        <v>2014</v>
      </c>
      <c r="B58" s="313">
        <v>41821</v>
      </c>
      <c r="C58" s="314">
        <v>129.9</v>
      </c>
      <c r="F58" s="15">
        <f t="shared" si="3"/>
        <v>2007</v>
      </c>
      <c r="G58" s="313">
        <v>39356</v>
      </c>
      <c r="H58" s="314">
        <v>127.2</v>
      </c>
      <c r="I58" s="314">
        <v>133.9</v>
      </c>
      <c r="J58" s="314">
        <v>104.2</v>
      </c>
      <c r="K58" s="314">
        <v>119.8</v>
      </c>
    </row>
    <row r="59" spans="1:11" x14ac:dyDescent="0.3">
      <c r="A59" s="15">
        <f t="shared" si="2"/>
        <v>2014</v>
      </c>
      <c r="B59" s="313">
        <v>41913</v>
      </c>
      <c r="C59" s="314">
        <v>130.6</v>
      </c>
      <c r="F59" s="15">
        <f t="shared" si="3"/>
        <v>2007</v>
      </c>
      <c r="G59" s="313">
        <v>39387</v>
      </c>
      <c r="H59" s="314">
        <v>126.6</v>
      </c>
      <c r="I59" s="314">
        <v>132.4</v>
      </c>
      <c r="J59" s="314">
        <v>104.7</v>
      </c>
      <c r="K59" s="314">
        <v>118.2</v>
      </c>
    </row>
    <row r="60" spans="1:11" x14ac:dyDescent="0.3">
      <c r="A60" s="15">
        <f t="shared" si="2"/>
        <v>2015</v>
      </c>
      <c r="B60" s="313">
        <v>42005</v>
      </c>
      <c r="C60" s="314">
        <v>132</v>
      </c>
      <c r="F60" s="15">
        <f t="shared" si="3"/>
        <v>2007</v>
      </c>
      <c r="G60" s="313">
        <v>39417</v>
      </c>
      <c r="H60" s="314">
        <v>127.4</v>
      </c>
      <c r="I60" s="314">
        <v>134.4</v>
      </c>
      <c r="J60" s="314">
        <v>105.2</v>
      </c>
      <c r="K60" s="314">
        <v>118.4</v>
      </c>
    </row>
    <row r="61" spans="1:11" x14ac:dyDescent="0.3">
      <c r="A61" s="15">
        <f t="shared" si="2"/>
        <v>2015</v>
      </c>
      <c r="B61" s="313">
        <v>42095</v>
      </c>
      <c r="C61" s="314">
        <v>132.9</v>
      </c>
      <c r="F61" s="15">
        <f t="shared" si="3"/>
        <v>2008</v>
      </c>
      <c r="G61" s="313">
        <v>39448</v>
      </c>
      <c r="H61" s="314">
        <v>127.8</v>
      </c>
      <c r="I61" s="314">
        <v>133.5</v>
      </c>
      <c r="J61" s="314">
        <v>106.4</v>
      </c>
      <c r="K61" s="314">
        <v>119.6</v>
      </c>
    </row>
    <row r="62" spans="1:11" x14ac:dyDescent="0.3">
      <c r="A62" s="15">
        <f t="shared" si="2"/>
        <v>2015</v>
      </c>
      <c r="B62" s="313">
        <v>42186</v>
      </c>
      <c r="C62" s="314">
        <v>134.1</v>
      </c>
      <c r="F62" s="15">
        <f t="shared" si="3"/>
        <v>2008</v>
      </c>
      <c r="G62" s="313">
        <v>39479</v>
      </c>
      <c r="H62" s="314">
        <v>129.69999999999999</v>
      </c>
      <c r="I62" s="314">
        <v>140.6</v>
      </c>
      <c r="J62" s="314">
        <v>109.7</v>
      </c>
      <c r="K62" s="314">
        <v>119</v>
      </c>
    </row>
    <row r="63" spans="1:11" x14ac:dyDescent="0.3">
      <c r="A63" s="15">
        <f t="shared" si="2"/>
        <v>2015</v>
      </c>
      <c r="B63" s="313">
        <v>42278</v>
      </c>
      <c r="C63" s="314">
        <v>134.9</v>
      </c>
      <c r="F63" s="15">
        <f t="shared" si="3"/>
        <v>2008</v>
      </c>
      <c r="G63" s="313">
        <v>39508</v>
      </c>
      <c r="H63" s="314">
        <v>131.1</v>
      </c>
      <c r="I63" s="314">
        <v>139.30000000000001</v>
      </c>
      <c r="J63" s="314">
        <v>111</v>
      </c>
      <c r="K63" s="314">
        <v>120.1</v>
      </c>
    </row>
    <row r="64" spans="1:11" x14ac:dyDescent="0.3">
      <c r="A64" s="15">
        <f t="shared" si="2"/>
        <v>2016</v>
      </c>
      <c r="B64" s="313">
        <v>42370</v>
      </c>
      <c r="C64" s="314">
        <v>135.69999999999999</v>
      </c>
      <c r="F64" s="15">
        <f t="shared" si="3"/>
        <v>2008</v>
      </c>
      <c r="G64" s="313">
        <v>39539</v>
      </c>
      <c r="H64" s="314">
        <v>134.5</v>
      </c>
      <c r="I64" s="314">
        <v>147.6</v>
      </c>
      <c r="J64" s="314">
        <v>110.7</v>
      </c>
      <c r="K64" s="314">
        <v>121.3</v>
      </c>
    </row>
    <row r="65" spans="1:11" x14ac:dyDescent="0.3">
      <c r="A65" s="15">
        <f t="shared" si="2"/>
        <v>2016</v>
      </c>
      <c r="B65" s="313">
        <v>42461</v>
      </c>
      <c r="C65" s="314">
        <v>136.4</v>
      </c>
      <c r="F65" s="15">
        <f t="shared" si="3"/>
        <v>2008</v>
      </c>
      <c r="G65" s="313">
        <v>39569</v>
      </c>
      <c r="H65" s="314">
        <v>137</v>
      </c>
      <c r="I65" s="314">
        <v>146.19999999999999</v>
      </c>
      <c r="J65" s="314">
        <v>114.4</v>
      </c>
      <c r="K65" s="314">
        <v>123.4</v>
      </c>
    </row>
    <row r="66" spans="1:11" x14ac:dyDescent="0.3">
      <c r="A66" s="15">
        <f t="shared" si="2"/>
        <v>2016</v>
      </c>
      <c r="B66" s="313">
        <v>42552</v>
      </c>
      <c r="C66" s="314">
        <v>137.30000000000001</v>
      </c>
      <c r="F66" s="15">
        <f t="shared" si="3"/>
        <v>2008</v>
      </c>
      <c r="G66" s="313">
        <v>39600</v>
      </c>
      <c r="H66" s="314">
        <v>141.69999999999999</v>
      </c>
      <c r="I66" s="314">
        <v>152.69999999999999</v>
      </c>
      <c r="J66" s="314">
        <v>114.2</v>
      </c>
      <c r="K66" s="314">
        <v>127</v>
      </c>
    </row>
    <row r="67" spans="1:11" x14ac:dyDescent="0.3">
      <c r="A67" s="15">
        <f t="shared" si="2"/>
        <v>2016</v>
      </c>
      <c r="B67" s="313">
        <v>42644</v>
      </c>
      <c r="C67" s="314">
        <v>138.4</v>
      </c>
      <c r="F67" s="15">
        <f t="shared" si="3"/>
        <v>2008</v>
      </c>
      <c r="G67" s="313">
        <v>39630</v>
      </c>
      <c r="H67" s="314">
        <v>146.80000000000001</v>
      </c>
      <c r="I67" s="314">
        <v>157.80000000000001</v>
      </c>
      <c r="J67" s="314">
        <v>114.6</v>
      </c>
      <c r="K67" s="314">
        <v>129.69999999999999</v>
      </c>
    </row>
    <row r="68" spans="1:11" x14ac:dyDescent="0.3">
      <c r="A68" s="15">
        <f t="shared" si="2"/>
        <v>2017</v>
      </c>
      <c r="B68" s="313">
        <v>42736</v>
      </c>
      <c r="C68" s="314">
        <v>139.19999999999999</v>
      </c>
      <c r="F68" s="15">
        <f t="shared" si="3"/>
        <v>2008</v>
      </c>
      <c r="G68" s="313">
        <v>39661</v>
      </c>
      <c r="H68" s="314">
        <v>145.69999999999999</v>
      </c>
      <c r="I68" s="314">
        <v>163.30000000000001</v>
      </c>
      <c r="J68" s="314">
        <v>107.4</v>
      </c>
      <c r="K68" s="314">
        <v>130</v>
      </c>
    </row>
    <row r="69" spans="1:11" x14ac:dyDescent="0.3">
      <c r="A69" s="15">
        <f t="shared" si="2"/>
        <v>2017</v>
      </c>
      <c r="B69" s="313">
        <v>42826</v>
      </c>
      <c r="C69" s="314">
        <v>139.9</v>
      </c>
      <c r="F69" s="15">
        <f t="shared" si="3"/>
        <v>2008</v>
      </c>
      <c r="G69" s="313">
        <v>39692</v>
      </c>
      <c r="H69" s="314">
        <v>140.80000000000001</v>
      </c>
      <c r="I69" s="314">
        <v>149.69999999999999</v>
      </c>
      <c r="J69" s="314">
        <v>108.6</v>
      </c>
      <c r="K69" s="314">
        <v>129.6</v>
      </c>
    </row>
    <row r="70" spans="1:11" x14ac:dyDescent="0.3">
      <c r="A70" s="15">
        <f t="shared" si="2"/>
        <v>2017</v>
      </c>
      <c r="B70" s="313">
        <v>42917</v>
      </c>
      <c r="C70" s="314">
        <v>140.9</v>
      </c>
      <c r="F70" s="15">
        <f t="shared" si="3"/>
        <v>2008</v>
      </c>
      <c r="G70" s="313">
        <v>39722</v>
      </c>
      <c r="H70" s="314">
        <v>136</v>
      </c>
      <c r="I70" s="314">
        <v>142.9</v>
      </c>
      <c r="J70" s="314">
        <v>109.3</v>
      </c>
      <c r="K70" s="314">
        <v>127.4</v>
      </c>
    </row>
    <row r="71" spans="1:11" x14ac:dyDescent="0.3">
      <c r="A71" s="15">
        <f t="shared" si="2"/>
        <v>2017</v>
      </c>
      <c r="B71" s="313">
        <v>43009</v>
      </c>
      <c r="C71" s="314">
        <v>141.80000000000001</v>
      </c>
      <c r="F71" s="15">
        <f t="shared" si="3"/>
        <v>2008</v>
      </c>
      <c r="G71" s="313">
        <v>39753</v>
      </c>
      <c r="H71" s="314">
        <v>133.4</v>
      </c>
      <c r="I71" s="314">
        <v>137.4</v>
      </c>
      <c r="J71" s="314">
        <v>110.9</v>
      </c>
      <c r="K71" s="314">
        <v>125.1</v>
      </c>
    </row>
    <row r="72" spans="1:11" x14ac:dyDescent="0.3">
      <c r="A72" s="15">
        <f t="shared" si="2"/>
        <v>2018</v>
      </c>
      <c r="B72" s="313">
        <v>43101</v>
      </c>
      <c r="C72" s="314">
        <v>143.4</v>
      </c>
      <c r="F72" s="15">
        <f t="shared" si="3"/>
        <v>2008</v>
      </c>
      <c r="G72" s="313">
        <v>39783</v>
      </c>
      <c r="H72" s="314">
        <v>133.1</v>
      </c>
      <c r="I72" s="314">
        <v>135.6</v>
      </c>
      <c r="J72" s="314">
        <v>111.8</v>
      </c>
      <c r="K72" s="314">
        <v>125.4</v>
      </c>
    </row>
    <row r="73" spans="1:11" x14ac:dyDescent="0.3">
      <c r="A73" s="15">
        <f t="shared" si="2"/>
        <v>2018</v>
      </c>
      <c r="B73" s="313">
        <v>43191</v>
      </c>
      <c r="C73" s="314">
        <v>143.9</v>
      </c>
      <c r="F73" s="15">
        <f t="shared" si="3"/>
        <v>2009</v>
      </c>
      <c r="G73" s="313">
        <v>39814</v>
      </c>
      <c r="H73" s="314">
        <v>133.9</v>
      </c>
      <c r="I73" s="314">
        <v>136.4</v>
      </c>
      <c r="J73" s="314">
        <v>109.6</v>
      </c>
      <c r="K73" s="314">
        <v>126.7</v>
      </c>
    </row>
    <row r="74" spans="1:11" x14ac:dyDescent="0.3">
      <c r="A74" s="15">
        <f t="shared" si="2"/>
        <v>2018</v>
      </c>
      <c r="B74" s="313">
        <v>43282</v>
      </c>
      <c r="C74" s="314">
        <v>144.80000000000001</v>
      </c>
      <c r="F74" s="15">
        <f t="shared" si="3"/>
        <v>2009</v>
      </c>
      <c r="G74" s="313">
        <v>39845</v>
      </c>
      <c r="H74" s="314">
        <v>132.9</v>
      </c>
      <c r="I74" s="314">
        <v>136.6</v>
      </c>
      <c r="J74" s="314">
        <v>109.7</v>
      </c>
      <c r="K74" s="314">
        <v>127</v>
      </c>
    </row>
    <row r="75" spans="1:11" x14ac:dyDescent="0.3">
      <c r="A75" s="15">
        <f t="shared" si="2"/>
        <v>2018</v>
      </c>
      <c r="B75" s="313">
        <v>43374</v>
      </c>
      <c r="C75" s="314">
        <v>145.6</v>
      </c>
      <c r="F75" s="15">
        <f t="shared" si="3"/>
        <v>2009</v>
      </c>
      <c r="G75" s="313">
        <v>39873</v>
      </c>
      <c r="H75" s="314">
        <v>130.4</v>
      </c>
      <c r="I75" s="314">
        <v>132.5</v>
      </c>
      <c r="J75" s="314">
        <v>112.4</v>
      </c>
      <c r="K75" s="314">
        <v>126</v>
      </c>
    </row>
    <row r="76" spans="1:11" x14ac:dyDescent="0.3">
      <c r="F76" s="15">
        <f t="shared" ref="F76:F107" si="4">YEAR(G76)</f>
        <v>2009</v>
      </c>
      <c r="G76" s="313">
        <v>39904</v>
      </c>
      <c r="H76" s="314">
        <v>128.1</v>
      </c>
      <c r="I76" s="314">
        <v>128.1</v>
      </c>
      <c r="J76" s="314">
        <v>113</v>
      </c>
      <c r="K76" s="314">
        <v>125.8</v>
      </c>
    </row>
    <row r="77" spans="1:11" x14ac:dyDescent="0.3">
      <c r="F77" s="15">
        <f t="shared" si="4"/>
        <v>2009</v>
      </c>
      <c r="G77" s="313">
        <v>39934</v>
      </c>
      <c r="H77" s="314">
        <v>128</v>
      </c>
      <c r="I77" s="314">
        <v>128</v>
      </c>
      <c r="J77" s="314">
        <v>114.8</v>
      </c>
      <c r="K77" s="314">
        <v>127.5</v>
      </c>
    </row>
    <row r="78" spans="1:11" x14ac:dyDescent="0.3">
      <c r="F78" s="15">
        <f t="shared" si="4"/>
        <v>2009</v>
      </c>
      <c r="G78" s="313">
        <v>39965</v>
      </c>
      <c r="H78" s="314">
        <v>129</v>
      </c>
      <c r="I78" s="314">
        <v>128.4</v>
      </c>
      <c r="J78" s="314">
        <v>112.6</v>
      </c>
      <c r="K78" s="314">
        <v>129.5</v>
      </c>
    </row>
    <row r="79" spans="1:11" x14ac:dyDescent="0.3">
      <c r="F79" s="15">
        <f t="shared" si="4"/>
        <v>2009</v>
      </c>
      <c r="G79" s="313">
        <v>39995</v>
      </c>
      <c r="H79" s="314">
        <v>130.9</v>
      </c>
      <c r="I79" s="314">
        <v>130.80000000000001</v>
      </c>
      <c r="J79" s="314">
        <v>114.7</v>
      </c>
      <c r="K79" s="314">
        <v>131</v>
      </c>
    </row>
    <row r="80" spans="1:11" x14ac:dyDescent="0.3">
      <c r="F80" s="15">
        <f t="shared" si="4"/>
        <v>2009</v>
      </c>
      <c r="G80" s="313">
        <v>40026</v>
      </c>
      <c r="H80" s="314">
        <v>131.80000000000001</v>
      </c>
      <c r="I80" s="314">
        <v>136.30000000000001</v>
      </c>
      <c r="J80" s="314">
        <v>116.5</v>
      </c>
      <c r="K80" s="314">
        <v>130.4</v>
      </c>
    </row>
    <row r="81" spans="6:11" x14ac:dyDescent="0.3">
      <c r="F81" s="15">
        <f t="shared" si="4"/>
        <v>2009</v>
      </c>
      <c r="G81" s="313">
        <v>40057</v>
      </c>
      <c r="H81" s="314">
        <v>130</v>
      </c>
      <c r="I81" s="314">
        <v>129.4</v>
      </c>
      <c r="J81" s="314">
        <v>113.8</v>
      </c>
      <c r="K81" s="314">
        <v>130.5</v>
      </c>
    </row>
    <row r="82" spans="6:11" x14ac:dyDescent="0.3">
      <c r="F82" s="15">
        <f t="shared" si="4"/>
        <v>2009</v>
      </c>
      <c r="G82" s="313">
        <v>40087</v>
      </c>
      <c r="H82" s="314">
        <v>128.80000000000001</v>
      </c>
      <c r="I82" s="314">
        <v>131.9</v>
      </c>
      <c r="J82" s="314">
        <v>112.3</v>
      </c>
      <c r="K82" s="314">
        <v>127.2</v>
      </c>
    </row>
    <row r="83" spans="6:11" x14ac:dyDescent="0.3">
      <c r="F83" s="15">
        <f t="shared" si="4"/>
        <v>2009</v>
      </c>
      <c r="G83" s="313">
        <v>40118</v>
      </c>
      <c r="H83" s="314">
        <v>128.9</v>
      </c>
      <c r="I83" s="314">
        <v>133.30000000000001</v>
      </c>
      <c r="J83" s="314">
        <v>109.8</v>
      </c>
      <c r="K83" s="314">
        <v>125.4</v>
      </c>
    </row>
    <row r="84" spans="6:11" x14ac:dyDescent="0.3">
      <c r="F84" s="15">
        <f t="shared" si="4"/>
        <v>2009</v>
      </c>
      <c r="G84" s="313">
        <v>40148</v>
      </c>
      <c r="H84" s="314">
        <v>129.4</v>
      </c>
      <c r="I84" s="314">
        <v>135.6</v>
      </c>
      <c r="J84" s="314">
        <v>112</v>
      </c>
      <c r="K84" s="314">
        <v>125.5</v>
      </c>
    </row>
    <row r="85" spans="6:11" x14ac:dyDescent="0.3">
      <c r="F85" s="15">
        <f t="shared" si="4"/>
        <v>2010</v>
      </c>
      <c r="G85" s="313">
        <v>40179</v>
      </c>
      <c r="H85" s="314">
        <v>132.19999999999999</v>
      </c>
      <c r="I85" s="314">
        <v>141.9</v>
      </c>
      <c r="J85" s="314">
        <v>112.8</v>
      </c>
      <c r="K85" s="314">
        <v>125.9</v>
      </c>
    </row>
    <row r="86" spans="6:11" x14ac:dyDescent="0.3">
      <c r="F86" s="15">
        <f t="shared" si="4"/>
        <v>2010</v>
      </c>
      <c r="G86" s="313">
        <v>40210</v>
      </c>
      <c r="H86" s="314">
        <v>133</v>
      </c>
      <c r="I86" s="314">
        <v>144.30000000000001</v>
      </c>
      <c r="J86" s="314">
        <v>116.9</v>
      </c>
      <c r="K86" s="314">
        <v>126.4</v>
      </c>
    </row>
    <row r="87" spans="6:11" x14ac:dyDescent="0.3">
      <c r="F87" s="15">
        <f t="shared" si="4"/>
        <v>2010</v>
      </c>
      <c r="G87" s="313">
        <v>40238</v>
      </c>
      <c r="H87" s="314">
        <v>132.19999999999999</v>
      </c>
      <c r="I87" s="314">
        <v>139.5</v>
      </c>
      <c r="J87" s="314">
        <v>114.5</v>
      </c>
      <c r="K87" s="314">
        <v>127.7</v>
      </c>
    </row>
    <row r="88" spans="6:11" x14ac:dyDescent="0.3">
      <c r="F88" s="15">
        <f t="shared" si="4"/>
        <v>2010</v>
      </c>
      <c r="G88" s="313">
        <v>40269</v>
      </c>
      <c r="H88" s="314">
        <v>131</v>
      </c>
      <c r="I88" s="314">
        <v>135.4</v>
      </c>
      <c r="J88" s="314">
        <v>116.6</v>
      </c>
      <c r="K88" s="314">
        <v>128.30000000000001</v>
      </c>
    </row>
    <row r="89" spans="6:11" x14ac:dyDescent="0.3">
      <c r="F89" s="15">
        <f t="shared" si="4"/>
        <v>2010</v>
      </c>
      <c r="G89" s="313">
        <v>40299</v>
      </c>
      <c r="H89" s="314">
        <v>131.30000000000001</v>
      </c>
      <c r="I89" s="314">
        <v>133.6</v>
      </c>
      <c r="J89" s="314">
        <v>115.1</v>
      </c>
      <c r="K89" s="314">
        <v>129.6</v>
      </c>
    </row>
    <row r="90" spans="6:11" x14ac:dyDescent="0.3">
      <c r="F90" s="15">
        <f t="shared" si="4"/>
        <v>2010</v>
      </c>
      <c r="G90" s="313">
        <v>40330</v>
      </c>
      <c r="H90" s="314">
        <v>134.5</v>
      </c>
      <c r="I90" s="314">
        <v>133.69999999999999</v>
      </c>
      <c r="J90" s="314">
        <v>116.6</v>
      </c>
      <c r="K90" s="314">
        <v>134.4</v>
      </c>
    </row>
    <row r="91" spans="6:11" x14ac:dyDescent="0.3">
      <c r="F91" s="15">
        <f t="shared" si="4"/>
        <v>2010</v>
      </c>
      <c r="G91" s="313">
        <v>40360</v>
      </c>
      <c r="H91" s="314">
        <v>137.1</v>
      </c>
      <c r="I91" s="314">
        <v>138.9</v>
      </c>
      <c r="J91" s="314">
        <v>118.6</v>
      </c>
      <c r="K91" s="314">
        <v>135.5</v>
      </c>
    </row>
    <row r="92" spans="6:11" x14ac:dyDescent="0.3">
      <c r="F92" s="15">
        <f t="shared" si="4"/>
        <v>2010</v>
      </c>
      <c r="G92" s="313">
        <v>40391</v>
      </c>
      <c r="H92" s="314">
        <v>138.80000000000001</v>
      </c>
      <c r="I92" s="314">
        <v>146.1</v>
      </c>
      <c r="J92" s="314">
        <v>118</v>
      </c>
      <c r="K92" s="314">
        <v>135.6</v>
      </c>
    </row>
    <row r="93" spans="6:11" x14ac:dyDescent="0.3">
      <c r="F93" s="15">
        <f t="shared" si="4"/>
        <v>2010</v>
      </c>
      <c r="G93" s="313">
        <v>40422</v>
      </c>
      <c r="H93" s="314">
        <v>136</v>
      </c>
      <c r="I93" s="314">
        <v>137.1</v>
      </c>
      <c r="J93" s="314">
        <v>116.1</v>
      </c>
      <c r="K93" s="314">
        <v>135.5</v>
      </c>
    </row>
    <row r="94" spans="6:11" x14ac:dyDescent="0.3">
      <c r="F94" s="15">
        <f t="shared" si="4"/>
        <v>2010</v>
      </c>
      <c r="G94" s="313">
        <v>40452</v>
      </c>
      <c r="H94" s="314">
        <v>131.80000000000001</v>
      </c>
      <c r="I94" s="314">
        <v>132.1</v>
      </c>
      <c r="J94" s="314">
        <v>117.3</v>
      </c>
      <c r="K94" s="314">
        <v>130.9</v>
      </c>
    </row>
    <row r="95" spans="6:11" x14ac:dyDescent="0.3">
      <c r="F95" s="15">
        <f t="shared" si="4"/>
        <v>2010</v>
      </c>
      <c r="G95" s="313">
        <v>40483</v>
      </c>
      <c r="H95" s="314">
        <v>130.5</v>
      </c>
      <c r="I95" s="314">
        <v>133.5</v>
      </c>
      <c r="J95" s="314">
        <v>118.1</v>
      </c>
      <c r="K95" s="314">
        <v>128.30000000000001</v>
      </c>
    </row>
    <row r="96" spans="6:11" x14ac:dyDescent="0.3">
      <c r="F96" s="15">
        <f t="shared" si="4"/>
        <v>2010</v>
      </c>
      <c r="G96" s="313">
        <v>40513</v>
      </c>
      <c r="H96" s="314">
        <v>132.4</v>
      </c>
      <c r="I96" s="314">
        <v>138.9</v>
      </c>
      <c r="J96" s="314">
        <v>122.3</v>
      </c>
      <c r="K96" s="314">
        <v>128.9</v>
      </c>
    </row>
    <row r="97" spans="6:11" x14ac:dyDescent="0.3">
      <c r="F97" s="15">
        <f t="shared" si="4"/>
        <v>2011</v>
      </c>
      <c r="G97" s="313">
        <v>40544</v>
      </c>
      <c r="H97" s="314">
        <v>134.4</v>
      </c>
      <c r="I97" s="314">
        <v>144.30000000000001</v>
      </c>
      <c r="J97" s="314">
        <v>122.6</v>
      </c>
      <c r="K97" s="314">
        <v>130</v>
      </c>
    </row>
    <row r="98" spans="6:11" x14ac:dyDescent="0.3">
      <c r="F98" s="15">
        <f t="shared" si="4"/>
        <v>2011</v>
      </c>
      <c r="G98" s="313">
        <v>40575</v>
      </c>
      <c r="H98" s="314">
        <v>135</v>
      </c>
      <c r="I98" s="314">
        <v>144.5</v>
      </c>
      <c r="J98" s="314">
        <v>125.1</v>
      </c>
      <c r="K98" s="314">
        <v>130.80000000000001</v>
      </c>
    </row>
    <row r="99" spans="6:11" x14ac:dyDescent="0.3">
      <c r="F99" s="15">
        <f t="shared" si="4"/>
        <v>2011</v>
      </c>
      <c r="G99" s="313">
        <v>40603</v>
      </c>
      <c r="H99" s="314">
        <v>133.19999999999999</v>
      </c>
      <c r="I99" s="314">
        <v>137.1</v>
      </c>
      <c r="J99" s="314">
        <v>128.80000000000001</v>
      </c>
      <c r="K99" s="314">
        <v>131.1</v>
      </c>
    </row>
    <row r="100" spans="6:11" x14ac:dyDescent="0.3">
      <c r="F100" s="15">
        <f t="shared" si="4"/>
        <v>2011</v>
      </c>
      <c r="G100" s="313">
        <v>40634</v>
      </c>
      <c r="H100" s="314">
        <v>133.5</v>
      </c>
      <c r="I100" s="314">
        <v>138.19999999999999</v>
      </c>
      <c r="J100" s="314">
        <v>125.9</v>
      </c>
      <c r="K100" s="314">
        <v>131.1</v>
      </c>
    </row>
    <row r="101" spans="6:11" x14ac:dyDescent="0.3">
      <c r="F101" s="15">
        <f t="shared" si="4"/>
        <v>2011</v>
      </c>
      <c r="G101" s="313">
        <v>40664</v>
      </c>
      <c r="H101" s="314">
        <v>134.69999999999999</v>
      </c>
      <c r="I101" s="314">
        <v>140.4</v>
      </c>
      <c r="J101" s="314">
        <v>122.5</v>
      </c>
      <c r="K101" s="314">
        <v>133</v>
      </c>
    </row>
    <row r="102" spans="6:11" x14ac:dyDescent="0.3">
      <c r="F102" s="15">
        <f t="shared" si="4"/>
        <v>2011</v>
      </c>
      <c r="G102" s="313">
        <v>40695</v>
      </c>
      <c r="H102" s="314">
        <v>138.80000000000001</v>
      </c>
      <c r="I102" s="314">
        <v>147.9</v>
      </c>
      <c r="J102" s="314">
        <v>122.7</v>
      </c>
      <c r="K102" s="314">
        <v>136.19999999999999</v>
      </c>
    </row>
    <row r="103" spans="6:11" x14ac:dyDescent="0.3">
      <c r="F103" s="15">
        <f t="shared" si="4"/>
        <v>2011</v>
      </c>
      <c r="G103" s="313">
        <v>40725</v>
      </c>
      <c r="H103" s="314">
        <v>140.4</v>
      </c>
      <c r="I103" s="314">
        <v>150.80000000000001</v>
      </c>
      <c r="J103" s="314">
        <v>120.7</v>
      </c>
      <c r="K103" s="314">
        <v>137.9</v>
      </c>
    </row>
    <row r="104" spans="6:11" x14ac:dyDescent="0.3">
      <c r="F104" s="15">
        <f t="shared" si="4"/>
        <v>2011</v>
      </c>
      <c r="G104" s="313">
        <v>40756</v>
      </c>
      <c r="H104" s="314">
        <v>141.5</v>
      </c>
      <c r="I104" s="314">
        <v>155.6</v>
      </c>
      <c r="J104" s="314">
        <v>120.7</v>
      </c>
      <c r="K104" s="314">
        <v>138.4</v>
      </c>
    </row>
    <row r="105" spans="6:11" x14ac:dyDescent="0.3">
      <c r="F105" s="15">
        <f t="shared" si="4"/>
        <v>2011</v>
      </c>
      <c r="G105" s="313">
        <v>40787</v>
      </c>
      <c r="H105" s="314">
        <v>139.19999999999999</v>
      </c>
      <c r="I105" s="314">
        <v>146.5</v>
      </c>
      <c r="J105" s="314">
        <v>123.4</v>
      </c>
      <c r="K105" s="314">
        <v>138</v>
      </c>
    </row>
    <row r="106" spans="6:11" x14ac:dyDescent="0.3">
      <c r="F106" s="15">
        <f t="shared" si="4"/>
        <v>2011</v>
      </c>
      <c r="G106" s="313">
        <v>40817</v>
      </c>
      <c r="H106" s="314">
        <v>133.4</v>
      </c>
      <c r="I106" s="314">
        <v>130.4</v>
      </c>
      <c r="J106" s="314">
        <v>124.7</v>
      </c>
      <c r="K106" s="314">
        <v>134.9</v>
      </c>
    </row>
    <row r="107" spans="6:11" x14ac:dyDescent="0.3">
      <c r="F107" s="15">
        <f t="shared" si="4"/>
        <v>2011</v>
      </c>
      <c r="G107" s="313">
        <v>40848</v>
      </c>
      <c r="H107" s="314">
        <v>131.4</v>
      </c>
      <c r="I107" s="314">
        <v>127.2</v>
      </c>
      <c r="J107" s="314">
        <v>125</v>
      </c>
      <c r="K107" s="314">
        <v>132.5</v>
      </c>
    </row>
    <row r="108" spans="6:11" x14ac:dyDescent="0.3">
      <c r="F108" s="15">
        <f t="shared" ref="F108:F139" si="5">YEAR(G108)</f>
        <v>2011</v>
      </c>
      <c r="G108" s="313">
        <v>40878</v>
      </c>
      <c r="H108" s="314">
        <v>131.4</v>
      </c>
      <c r="I108" s="314">
        <v>127.2</v>
      </c>
      <c r="J108" s="314">
        <v>123.6</v>
      </c>
      <c r="K108" s="314">
        <v>132.9</v>
      </c>
    </row>
    <row r="109" spans="6:11" x14ac:dyDescent="0.3">
      <c r="F109" s="15">
        <f t="shared" si="5"/>
        <v>2012</v>
      </c>
      <c r="G109" s="313">
        <v>40909</v>
      </c>
      <c r="H109" s="314">
        <v>130.4</v>
      </c>
      <c r="I109" s="314">
        <v>125.2</v>
      </c>
      <c r="J109" s="314">
        <v>123.6</v>
      </c>
      <c r="K109" s="314">
        <v>132.4</v>
      </c>
    </row>
    <row r="110" spans="6:11" x14ac:dyDescent="0.3">
      <c r="F110" s="15">
        <f t="shared" si="5"/>
        <v>2012</v>
      </c>
      <c r="G110" s="313">
        <v>40940</v>
      </c>
      <c r="H110" s="314">
        <v>129.4</v>
      </c>
      <c r="I110" s="314">
        <v>123.1</v>
      </c>
      <c r="J110" s="314">
        <v>125.8</v>
      </c>
      <c r="K110" s="314">
        <v>132.5</v>
      </c>
    </row>
    <row r="111" spans="6:11" x14ac:dyDescent="0.3">
      <c r="F111" s="15">
        <f t="shared" si="5"/>
        <v>2012</v>
      </c>
      <c r="G111" s="313">
        <v>40969</v>
      </c>
      <c r="H111" s="314">
        <v>128.19999999999999</v>
      </c>
      <c r="I111" s="314">
        <v>119.1</v>
      </c>
      <c r="J111" s="314">
        <v>125.7</v>
      </c>
      <c r="K111" s="314">
        <v>132.1</v>
      </c>
    </row>
    <row r="112" spans="6:11" x14ac:dyDescent="0.3">
      <c r="F112" s="15">
        <f t="shared" si="5"/>
        <v>2012</v>
      </c>
      <c r="G112" s="313">
        <v>41000</v>
      </c>
      <c r="H112" s="314">
        <v>127</v>
      </c>
      <c r="I112" s="314">
        <v>118.3</v>
      </c>
      <c r="J112" s="314">
        <v>124.2</v>
      </c>
      <c r="K112" s="314">
        <v>132</v>
      </c>
    </row>
    <row r="113" spans="6:11" x14ac:dyDescent="0.3">
      <c r="F113" s="15">
        <f t="shared" si="5"/>
        <v>2012</v>
      </c>
      <c r="G113" s="313">
        <v>41030</v>
      </c>
      <c r="H113" s="314">
        <v>128.4</v>
      </c>
      <c r="I113" s="314">
        <v>123.4</v>
      </c>
      <c r="J113" s="314">
        <v>123.1</v>
      </c>
      <c r="K113" s="314">
        <v>134</v>
      </c>
    </row>
    <row r="114" spans="6:11" x14ac:dyDescent="0.3">
      <c r="F114" s="15">
        <f t="shared" si="5"/>
        <v>2012</v>
      </c>
      <c r="G114" s="313">
        <v>41061</v>
      </c>
      <c r="H114" s="314">
        <v>131.4</v>
      </c>
      <c r="I114" s="314">
        <v>126.8</v>
      </c>
      <c r="J114" s="314">
        <v>124.3</v>
      </c>
      <c r="K114" s="314">
        <v>136.6</v>
      </c>
    </row>
    <row r="115" spans="6:11" x14ac:dyDescent="0.3">
      <c r="F115" s="15">
        <f t="shared" si="5"/>
        <v>2012</v>
      </c>
      <c r="G115" s="313">
        <v>41091</v>
      </c>
      <c r="H115" s="314">
        <v>134.5</v>
      </c>
      <c r="I115" s="314">
        <v>132.69999999999999</v>
      </c>
      <c r="J115" s="314">
        <v>125.1</v>
      </c>
      <c r="K115" s="314">
        <v>139.19999999999999</v>
      </c>
    </row>
    <row r="116" spans="6:11" x14ac:dyDescent="0.3">
      <c r="F116" s="15">
        <f t="shared" si="5"/>
        <v>2012</v>
      </c>
      <c r="G116" s="313">
        <v>41122</v>
      </c>
      <c r="H116" s="314">
        <v>134.69999999999999</v>
      </c>
      <c r="I116" s="314">
        <v>132.30000000000001</v>
      </c>
      <c r="J116" s="314">
        <v>125.1</v>
      </c>
      <c r="K116" s="314">
        <v>139.19999999999999</v>
      </c>
    </row>
    <row r="117" spans="6:11" x14ac:dyDescent="0.3">
      <c r="F117" s="15">
        <f t="shared" si="5"/>
        <v>2012</v>
      </c>
      <c r="G117" s="313">
        <v>41153</v>
      </c>
      <c r="H117" s="314">
        <v>133.6</v>
      </c>
      <c r="I117" s="314">
        <v>127.7</v>
      </c>
      <c r="J117" s="314">
        <v>127.3</v>
      </c>
      <c r="K117" s="314">
        <v>139.6</v>
      </c>
    </row>
    <row r="118" spans="6:11" x14ac:dyDescent="0.3">
      <c r="F118" s="15">
        <f t="shared" si="5"/>
        <v>2012</v>
      </c>
      <c r="G118" s="313">
        <v>41183</v>
      </c>
      <c r="H118" s="314">
        <v>131.19999999999999</v>
      </c>
      <c r="I118" s="314">
        <v>125.2</v>
      </c>
      <c r="J118" s="314">
        <v>128.1</v>
      </c>
      <c r="K118" s="314">
        <v>135.9</v>
      </c>
    </row>
    <row r="119" spans="6:11" x14ac:dyDescent="0.3">
      <c r="F119" s="15">
        <f t="shared" si="5"/>
        <v>2012</v>
      </c>
      <c r="G119" s="313">
        <v>41214</v>
      </c>
      <c r="H119" s="314">
        <v>131.69999999999999</v>
      </c>
      <c r="I119" s="314">
        <v>126.6</v>
      </c>
      <c r="J119" s="314">
        <v>127.8</v>
      </c>
      <c r="K119" s="314">
        <v>134.5</v>
      </c>
    </row>
    <row r="120" spans="6:11" x14ac:dyDescent="0.3">
      <c r="F120" s="15">
        <f t="shared" si="5"/>
        <v>2012</v>
      </c>
      <c r="G120" s="313">
        <v>41244</v>
      </c>
      <c r="H120" s="314">
        <v>132.80000000000001</v>
      </c>
      <c r="I120" s="314">
        <v>127.5</v>
      </c>
      <c r="J120" s="314">
        <v>127.5</v>
      </c>
      <c r="K120" s="314">
        <v>135.5</v>
      </c>
    </row>
    <row r="121" spans="6:11" x14ac:dyDescent="0.3">
      <c r="F121" s="15">
        <f t="shared" si="5"/>
        <v>2013</v>
      </c>
      <c r="G121" s="313">
        <v>41275</v>
      </c>
      <c r="H121" s="314">
        <v>132.30000000000001</v>
      </c>
      <c r="I121" s="314">
        <v>127.9</v>
      </c>
      <c r="J121" s="314">
        <v>131.5</v>
      </c>
      <c r="K121" s="314">
        <v>134.6</v>
      </c>
    </row>
    <row r="122" spans="6:11" x14ac:dyDescent="0.3">
      <c r="F122" s="15">
        <f t="shared" si="5"/>
        <v>2013</v>
      </c>
      <c r="G122" s="313">
        <v>41306</v>
      </c>
      <c r="H122" s="314">
        <v>132.4</v>
      </c>
      <c r="I122" s="314">
        <v>128.80000000000001</v>
      </c>
      <c r="J122" s="314">
        <v>135.30000000000001</v>
      </c>
      <c r="K122" s="314">
        <v>134.30000000000001</v>
      </c>
    </row>
    <row r="123" spans="6:11" x14ac:dyDescent="0.3">
      <c r="F123" s="15">
        <f t="shared" si="5"/>
        <v>2013</v>
      </c>
      <c r="G123" s="313">
        <v>41334</v>
      </c>
      <c r="H123" s="314">
        <v>132.19999999999999</v>
      </c>
      <c r="I123" s="314">
        <v>128.5</v>
      </c>
      <c r="J123" s="314">
        <v>134.80000000000001</v>
      </c>
      <c r="K123" s="314">
        <v>134.4</v>
      </c>
    </row>
    <row r="124" spans="6:11" x14ac:dyDescent="0.3">
      <c r="F124" s="15">
        <f t="shared" si="5"/>
        <v>2013</v>
      </c>
      <c r="G124" s="313">
        <v>41365</v>
      </c>
      <c r="H124" s="314">
        <v>133.30000000000001</v>
      </c>
      <c r="I124" s="314">
        <v>129.80000000000001</v>
      </c>
      <c r="J124" s="314">
        <v>133.5</v>
      </c>
      <c r="K124" s="314">
        <v>134.19999999999999</v>
      </c>
    </row>
    <row r="125" spans="6:11" x14ac:dyDescent="0.3">
      <c r="F125" s="15">
        <f t="shared" si="5"/>
        <v>2013</v>
      </c>
      <c r="G125" s="313">
        <v>41395</v>
      </c>
      <c r="H125" s="314">
        <v>136.1</v>
      </c>
      <c r="I125" s="314">
        <v>135.4</v>
      </c>
      <c r="J125" s="314">
        <v>132.1</v>
      </c>
      <c r="K125" s="314">
        <v>136.4</v>
      </c>
    </row>
    <row r="126" spans="6:11" x14ac:dyDescent="0.3">
      <c r="F126" s="15">
        <f t="shared" si="5"/>
        <v>2013</v>
      </c>
      <c r="G126" s="313">
        <v>41426</v>
      </c>
      <c r="H126" s="314">
        <v>137.6</v>
      </c>
      <c r="I126" s="314">
        <v>131.5</v>
      </c>
      <c r="J126" s="314">
        <v>134.5</v>
      </c>
      <c r="K126" s="314">
        <v>140.19999999999999</v>
      </c>
    </row>
    <row r="127" spans="6:11" x14ac:dyDescent="0.3">
      <c r="F127" s="15">
        <f t="shared" si="5"/>
        <v>2013</v>
      </c>
      <c r="G127" s="313">
        <v>41456</v>
      </c>
      <c r="H127" s="314">
        <v>139.4</v>
      </c>
      <c r="I127" s="314">
        <v>140.1</v>
      </c>
      <c r="J127" s="314">
        <v>136.19999999999999</v>
      </c>
      <c r="K127" s="314">
        <v>140.9</v>
      </c>
    </row>
    <row r="128" spans="6:11" x14ac:dyDescent="0.3">
      <c r="F128" s="15">
        <f t="shared" si="5"/>
        <v>2013</v>
      </c>
      <c r="G128" s="313">
        <v>41487</v>
      </c>
      <c r="H128" s="314">
        <v>137.4</v>
      </c>
      <c r="I128" s="314">
        <v>133.9</v>
      </c>
      <c r="J128" s="314">
        <v>136.6</v>
      </c>
      <c r="K128" s="314">
        <v>140.69999999999999</v>
      </c>
    </row>
    <row r="129" spans="6:11" x14ac:dyDescent="0.3">
      <c r="F129" s="15">
        <f t="shared" si="5"/>
        <v>2013</v>
      </c>
      <c r="G129" s="313">
        <v>41518</v>
      </c>
      <c r="H129" s="314">
        <v>138.4</v>
      </c>
      <c r="I129" s="314">
        <v>138.6</v>
      </c>
      <c r="J129" s="314">
        <v>136.6</v>
      </c>
      <c r="K129" s="314">
        <v>140.80000000000001</v>
      </c>
    </row>
    <row r="130" spans="6:11" x14ac:dyDescent="0.3">
      <c r="F130" s="15">
        <f t="shared" si="5"/>
        <v>2013</v>
      </c>
      <c r="G130" s="313">
        <v>41548</v>
      </c>
      <c r="H130" s="314">
        <v>134.5</v>
      </c>
      <c r="I130" s="314">
        <v>129.69999999999999</v>
      </c>
      <c r="J130" s="314">
        <v>141.1</v>
      </c>
      <c r="K130" s="314">
        <v>137.1</v>
      </c>
    </row>
    <row r="131" spans="6:11" x14ac:dyDescent="0.3">
      <c r="F131" s="15">
        <f t="shared" si="5"/>
        <v>2013</v>
      </c>
      <c r="G131" s="313">
        <v>41579</v>
      </c>
      <c r="H131" s="314">
        <v>134.30000000000001</v>
      </c>
      <c r="I131" s="314">
        <v>131</v>
      </c>
      <c r="J131" s="314">
        <v>139.19999999999999</v>
      </c>
      <c r="K131" s="314">
        <v>135.30000000000001</v>
      </c>
    </row>
    <row r="132" spans="6:11" x14ac:dyDescent="0.3">
      <c r="F132" s="15">
        <f t="shared" si="5"/>
        <v>2013</v>
      </c>
      <c r="G132" s="313">
        <v>41609</v>
      </c>
      <c r="H132" s="314">
        <v>140.30000000000001</v>
      </c>
      <c r="I132" s="314">
        <v>156</v>
      </c>
      <c r="J132" s="314">
        <v>137.19999999999999</v>
      </c>
      <c r="K132" s="314">
        <v>135.9</v>
      </c>
    </row>
    <row r="133" spans="6:11" x14ac:dyDescent="0.3">
      <c r="F133" s="15">
        <f t="shared" si="5"/>
        <v>2014</v>
      </c>
      <c r="G133" s="313">
        <v>41640</v>
      </c>
      <c r="H133" s="314">
        <v>148</v>
      </c>
      <c r="I133" s="314">
        <v>179.6</v>
      </c>
      <c r="J133" s="314">
        <v>142.19999999999999</v>
      </c>
      <c r="K133" s="314">
        <v>138.69999999999999</v>
      </c>
    </row>
    <row r="134" spans="6:11" x14ac:dyDescent="0.3">
      <c r="F134" s="15">
        <f t="shared" si="5"/>
        <v>2014</v>
      </c>
      <c r="G134" s="313">
        <v>41671</v>
      </c>
      <c r="H134" s="314">
        <v>150</v>
      </c>
      <c r="I134" s="314">
        <v>185.5</v>
      </c>
      <c r="J134" s="314">
        <v>143.9</v>
      </c>
      <c r="K134" s="314">
        <v>137.69999999999999</v>
      </c>
    </row>
    <row r="135" spans="6:11" x14ac:dyDescent="0.3">
      <c r="F135" s="15">
        <f t="shared" si="5"/>
        <v>2014</v>
      </c>
      <c r="G135" s="313">
        <v>41699</v>
      </c>
      <c r="H135" s="314">
        <v>147.80000000000001</v>
      </c>
      <c r="I135" s="314">
        <v>163.1</v>
      </c>
      <c r="J135" s="314">
        <v>142.6</v>
      </c>
      <c r="K135" s="314">
        <v>139.69999999999999</v>
      </c>
    </row>
    <row r="136" spans="6:11" x14ac:dyDescent="0.3">
      <c r="F136" s="15">
        <f t="shared" si="5"/>
        <v>2014</v>
      </c>
      <c r="G136" s="313">
        <v>41730</v>
      </c>
      <c r="H136" s="314">
        <v>145.69999999999999</v>
      </c>
      <c r="I136" s="314">
        <v>158.19999999999999</v>
      </c>
      <c r="J136" s="314">
        <v>147</v>
      </c>
      <c r="K136" s="314">
        <v>139</v>
      </c>
    </row>
    <row r="137" spans="6:11" x14ac:dyDescent="0.3">
      <c r="F137" s="15">
        <f t="shared" si="5"/>
        <v>2014</v>
      </c>
      <c r="G137" s="313">
        <v>41760</v>
      </c>
      <c r="H137" s="314">
        <v>142</v>
      </c>
      <c r="I137" s="314">
        <v>139.80000000000001</v>
      </c>
      <c r="J137" s="314">
        <v>145.4</v>
      </c>
      <c r="K137" s="314">
        <v>141.30000000000001</v>
      </c>
    </row>
    <row r="138" spans="6:11" x14ac:dyDescent="0.3">
      <c r="F138" s="15">
        <f t="shared" si="5"/>
        <v>2014</v>
      </c>
      <c r="G138" s="313">
        <v>41791</v>
      </c>
      <c r="H138" s="314">
        <v>144.19999999999999</v>
      </c>
      <c r="I138" s="314">
        <v>140.30000000000001</v>
      </c>
      <c r="J138" s="314">
        <v>150.1</v>
      </c>
      <c r="K138" s="314">
        <v>145.6</v>
      </c>
    </row>
    <row r="139" spans="6:11" x14ac:dyDescent="0.3">
      <c r="F139" s="15">
        <f t="shared" si="5"/>
        <v>2014</v>
      </c>
      <c r="G139" s="313">
        <v>41821</v>
      </c>
      <c r="H139" s="314">
        <v>145.30000000000001</v>
      </c>
      <c r="I139" s="314">
        <v>142.80000000000001</v>
      </c>
      <c r="J139" s="314">
        <v>149.5</v>
      </c>
      <c r="K139" s="314">
        <v>146.69999999999999</v>
      </c>
    </row>
    <row r="140" spans="6:11" x14ac:dyDescent="0.3">
      <c r="F140" s="15">
        <f t="shared" ref="F140:F171" si="6">YEAR(G140)</f>
        <v>2014</v>
      </c>
      <c r="G140" s="313">
        <v>41852</v>
      </c>
      <c r="H140" s="314">
        <v>143.9</v>
      </c>
      <c r="I140" s="314">
        <v>140.19999999999999</v>
      </c>
      <c r="J140" s="314">
        <v>149.69999999999999</v>
      </c>
      <c r="K140" s="314">
        <v>147.1</v>
      </c>
    </row>
    <row r="141" spans="6:11" x14ac:dyDescent="0.3">
      <c r="F141" s="15">
        <f t="shared" si="6"/>
        <v>2014</v>
      </c>
      <c r="G141" s="313">
        <v>41883</v>
      </c>
      <c r="H141" s="314">
        <v>143.6</v>
      </c>
      <c r="I141" s="314">
        <v>140.5</v>
      </c>
      <c r="J141" s="314">
        <v>147.6</v>
      </c>
      <c r="K141" s="314">
        <v>146.6</v>
      </c>
    </row>
    <row r="142" spans="6:11" x14ac:dyDescent="0.3">
      <c r="F142" s="15">
        <f t="shared" si="6"/>
        <v>2014</v>
      </c>
      <c r="G142" s="313">
        <v>41913</v>
      </c>
      <c r="H142" s="314">
        <v>140.19999999999999</v>
      </c>
      <c r="I142" s="314">
        <v>134.1</v>
      </c>
      <c r="J142" s="314">
        <v>148.30000000000001</v>
      </c>
      <c r="K142" s="314">
        <v>143.19999999999999</v>
      </c>
    </row>
    <row r="143" spans="6:11" x14ac:dyDescent="0.3">
      <c r="F143" s="15">
        <f t="shared" si="6"/>
        <v>2014</v>
      </c>
      <c r="G143" s="313">
        <v>41944</v>
      </c>
      <c r="H143" s="314">
        <v>138.1</v>
      </c>
      <c r="I143" s="314">
        <v>134.5</v>
      </c>
      <c r="J143" s="314">
        <v>147</v>
      </c>
      <c r="K143" s="314">
        <v>139.9</v>
      </c>
    </row>
    <row r="144" spans="6:11" x14ac:dyDescent="0.3">
      <c r="F144" s="15">
        <f t="shared" si="6"/>
        <v>2014</v>
      </c>
      <c r="G144" s="313">
        <v>41974</v>
      </c>
      <c r="H144" s="314">
        <v>139.69999999999999</v>
      </c>
      <c r="I144" s="314">
        <v>136.30000000000001</v>
      </c>
      <c r="J144" s="314">
        <v>145.5</v>
      </c>
      <c r="K144" s="314">
        <v>140.5</v>
      </c>
    </row>
    <row r="145" spans="6:11" x14ac:dyDescent="0.3">
      <c r="F145" s="15">
        <f t="shared" si="6"/>
        <v>2015</v>
      </c>
      <c r="G145" s="313">
        <v>42005</v>
      </c>
      <c r="H145" s="314">
        <v>142.30000000000001</v>
      </c>
      <c r="I145" s="314">
        <v>145.19999999999999</v>
      </c>
      <c r="J145" s="314">
        <v>150.69999999999999</v>
      </c>
      <c r="K145" s="314">
        <v>142.80000000000001</v>
      </c>
    </row>
    <row r="146" spans="6:11" x14ac:dyDescent="0.3">
      <c r="F146" s="15">
        <f t="shared" si="6"/>
        <v>2015</v>
      </c>
      <c r="G146" s="313">
        <v>42036</v>
      </c>
      <c r="H146" s="314">
        <v>138.19999999999999</v>
      </c>
      <c r="I146" s="314">
        <v>130.9</v>
      </c>
      <c r="J146" s="314">
        <v>152.5</v>
      </c>
      <c r="K146" s="314">
        <v>142.4</v>
      </c>
    </row>
    <row r="147" spans="6:11" x14ac:dyDescent="0.3">
      <c r="F147" s="15">
        <f t="shared" si="6"/>
        <v>2015</v>
      </c>
      <c r="G147" s="313">
        <v>42064</v>
      </c>
      <c r="H147" s="314">
        <v>143</v>
      </c>
      <c r="I147" s="314">
        <v>154.6</v>
      </c>
      <c r="J147" s="314">
        <v>151.80000000000001</v>
      </c>
      <c r="K147" s="314">
        <v>142.19999999999999</v>
      </c>
    </row>
    <row r="148" spans="6:11" x14ac:dyDescent="0.3">
      <c r="F148" s="15">
        <f t="shared" si="6"/>
        <v>2015</v>
      </c>
      <c r="G148" s="313">
        <v>42095</v>
      </c>
      <c r="H148" s="314">
        <v>135.9</v>
      </c>
      <c r="I148" s="314">
        <v>129.9</v>
      </c>
      <c r="J148" s="314">
        <v>151.80000000000001</v>
      </c>
      <c r="K148" s="314">
        <v>141.1</v>
      </c>
    </row>
    <row r="149" spans="6:11" x14ac:dyDescent="0.3">
      <c r="F149" s="15">
        <f t="shared" si="6"/>
        <v>2015</v>
      </c>
      <c r="G149" s="313">
        <v>42125</v>
      </c>
      <c r="H149" s="314">
        <v>135.6</v>
      </c>
      <c r="I149" s="314">
        <v>127.3</v>
      </c>
      <c r="J149" s="314">
        <v>151.1</v>
      </c>
      <c r="K149" s="314">
        <v>142.6</v>
      </c>
    </row>
    <row r="150" spans="6:11" x14ac:dyDescent="0.3">
      <c r="F150" s="15">
        <f t="shared" si="6"/>
        <v>2015</v>
      </c>
      <c r="G150" s="313">
        <v>42156</v>
      </c>
      <c r="H150" s="314">
        <v>140.69999999999999</v>
      </c>
      <c r="I150" s="314">
        <v>130.5</v>
      </c>
      <c r="J150" s="314">
        <v>151.19999999999999</v>
      </c>
      <c r="K150" s="314">
        <v>149.30000000000001</v>
      </c>
    </row>
    <row r="151" spans="6:11" x14ac:dyDescent="0.3">
      <c r="F151" s="15">
        <f t="shared" si="6"/>
        <v>2015</v>
      </c>
      <c r="G151" s="313">
        <v>42186</v>
      </c>
      <c r="H151" s="314">
        <v>142.9</v>
      </c>
      <c r="I151" s="314">
        <v>138.80000000000001</v>
      </c>
      <c r="J151" s="314">
        <v>152.69999999999999</v>
      </c>
      <c r="K151" s="314">
        <v>150</v>
      </c>
    </row>
    <row r="152" spans="6:11" x14ac:dyDescent="0.3">
      <c r="F152" s="15">
        <f t="shared" si="6"/>
        <v>2015</v>
      </c>
      <c r="G152" s="313">
        <v>42217</v>
      </c>
      <c r="H152" s="314">
        <v>142.19999999999999</v>
      </c>
      <c r="I152" s="314">
        <v>135.5</v>
      </c>
      <c r="J152" s="314">
        <v>153.4</v>
      </c>
      <c r="K152" s="314">
        <v>149.80000000000001</v>
      </c>
    </row>
    <row r="153" spans="6:11" x14ac:dyDescent="0.3">
      <c r="F153" s="15">
        <f t="shared" si="6"/>
        <v>2015</v>
      </c>
      <c r="G153" s="313">
        <v>42248</v>
      </c>
      <c r="H153" s="314">
        <v>140.4</v>
      </c>
      <c r="I153" s="314">
        <v>131.5</v>
      </c>
      <c r="J153" s="314">
        <v>154.6</v>
      </c>
      <c r="K153" s="314">
        <v>148.9</v>
      </c>
    </row>
    <row r="154" spans="6:11" x14ac:dyDescent="0.3">
      <c r="F154" s="15">
        <f t="shared" si="6"/>
        <v>2015</v>
      </c>
      <c r="G154" s="313">
        <v>42278</v>
      </c>
      <c r="H154" s="314">
        <v>135.5</v>
      </c>
      <c r="I154" s="314">
        <v>123.5</v>
      </c>
      <c r="J154" s="314">
        <v>157.4</v>
      </c>
      <c r="K154" s="314">
        <v>143.19999999999999</v>
      </c>
    </row>
    <row r="155" spans="6:11" x14ac:dyDescent="0.3">
      <c r="F155" s="15">
        <f t="shared" si="6"/>
        <v>2015</v>
      </c>
      <c r="G155" s="313">
        <v>42309</v>
      </c>
      <c r="H155" s="314">
        <v>133</v>
      </c>
      <c r="I155" s="314">
        <v>120.5</v>
      </c>
      <c r="J155" s="314">
        <v>155.4</v>
      </c>
      <c r="K155" s="314">
        <v>140.6</v>
      </c>
    </row>
    <row r="156" spans="6:11" x14ac:dyDescent="0.3">
      <c r="F156" s="15">
        <f t="shared" si="6"/>
        <v>2015</v>
      </c>
      <c r="G156" s="313">
        <v>42339</v>
      </c>
      <c r="H156" s="314">
        <v>132.9</v>
      </c>
      <c r="I156" s="314">
        <v>118.9</v>
      </c>
      <c r="J156" s="314">
        <v>155.1</v>
      </c>
      <c r="K156" s="314">
        <v>141</v>
      </c>
    </row>
    <row r="157" spans="6:11" x14ac:dyDescent="0.3">
      <c r="F157" s="15">
        <f t="shared" si="6"/>
        <v>2016</v>
      </c>
      <c r="G157" s="313">
        <v>42370</v>
      </c>
      <c r="H157" s="314">
        <v>132.9</v>
      </c>
      <c r="I157" s="314">
        <v>118.6</v>
      </c>
      <c r="J157" s="314">
        <v>159.19999999999999</v>
      </c>
      <c r="K157" s="314">
        <v>139.9</v>
      </c>
    </row>
    <row r="158" spans="6:11" x14ac:dyDescent="0.3">
      <c r="F158" s="15">
        <f t="shared" si="6"/>
        <v>2016</v>
      </c>
      <c r="G158" s="313">
        <v>42401</v>
      </c>
      <c r="H158" s="314">
        <v>131.5</v>
      </c>
      <c r="I158" s="314">
        <v>117.4</v>
      </c>
      <c r="J158" s="314">
        <v>159.4</v>
      </c>
      <c r="K158" s="314">
        <v>138.9</v>
      </c>
    </row>
    <row r="159" spans="6:11" x14ac:dyDescent="0.3">
      <c r="F159" s="15">
        <f t="shared" si="6"/>
        <v>2016</v>
      </c>
      <c r="G159" s="313">
        <v>42430</v>
      </c>
      <c r="H159" s="314">
        <v>130.80000000000001</v>
      </c>
      <c r="I159" s="314">
        <v>112.9</v>
      </c>
      <c r="J159" s="314">
        <v>157.1</v>
      </c>
      <c r="K159" s="314">
        <v>140.4</v>
      </c>
    </row>
    <row r="160" spans="6:11" x14ac:dyDescent="0.3">
      <c r="F160" s="15">
        <f t="shared" si="6"/>
        <v>2016</v>
      </c>
      <c r="G160" s="313">
        <v>42461</v>
      </c>
      <c r="H160" s="314">
        <v>130.19999999999999</v>
      </c>
      <c r="I160" s="314">
        <v>114.5</v>
      </c>
      <c r="J160" s="314">
        <v>157.19999999999999</v>
      </c>
      <c r="K160" s="314">
        <v>138.80000000000001</v>
      </c>
    </row>
    <row r="161" spans="6:11" x14ac:dyDescent="0.3">
      <c r="F161" s="15">
        <f t="shared" si="6"/>
        <v>2016</v>
      </c>
      <c r="G161" s="313">
        <v>42491</v>
      </c>
      <c r="H161" s="314">
        <v>131.4</v>
      </c>
      <c r="I161" s="314">
        <v>115.5</v>
      </c>
      <c r="J161" s="314">
        <v>153.80000000000001</v>
      </c>
      <c r="K161" s="314">
        <v>140.6</v>
      </c>
    </row>
    <row r="162" spans="6:11" x14ac:dyDescent="0.3">
      <c r="F162" s="15">
        <f t="shared" si="6"/>
        <v>2016</v>
      </c>
      <c r="G162" s="313">
        <v>42522</v>
      </c>
      <c r="H162" s="314">
        <v>136.1</v>
      </c>
      <c r="I162" s="314">
        <v>122.5</v>
      </c>
      <c r="J162" s="314">
        <v>154.5</v>
      </c>
      <c r="K162" s="314">
        <v>146</v>
      </c>
    </row>
    <row r="163" spans="6:11" x14ac:dyDescent="0.3">
      <c r="F163" s="15">
        <f t="shared" si="6"/>
        <v>2016</v>
      </c>
      <c r="G163" s="313">
        <v>42552</v>
      </c>
      <c r="H163" s="314">
        <v>138.6</v>
      </c>
      <c r="I163" s="314">
        <v>125.1</v>
      </c>
      <c r="J163" s="314">
        <v>157.5</v>
      </c>
      <c r="K163" s="314">
        <v>147.5</v>
      </c>
    </row>
    <row r="164" spans="6:11" x14ac:dyDescent="0.3">
      <c r="F164" s="15">
        <f t="shared" si="6"/>
        <v>2016</v>
      </c>
      <c r="G164" s="313">
        <v>42583</v>
      </c>
      <c r="H164" s="314">
        <v>140.4</v>
      </c>
      <c r="I164" s="314">
        <v>129.9</v>
      </c>
      <c r="J164" s="314">
        <v>157.80000000000001</v>
      </c>
      <c r="K164" s="314">
        <v>147.9</v>
      </c>
    </row>
    <row r="165" spans="6:11" x14ac:dyDescent="0.3">
      <c r="F165" s="15">
        <f t="shared" si="6"/>
        <v>2016</v>
      </c>
      <c r="G165" s="313">
        <v>42614</v>
      </c>
      <c r="H165" s="314">
        <v>139.9</v>
      </c>
      <c r="I165" s="314">
        <v>126.5</v>
      </c>
      <c r="J165" s="314">
        <v>157.80000000000001</v>
      </c>
      <c r="K165" s="314">
        <v>148.30000000000001</v>
      </c>
    </row>
    <row r="166" spans="6:11" x14ac:dyDescent="0.3">
      <c r="F166" s="15">
        <f t="shared" si="6"/>
        <v>2016</v>
      </c>
      <c r="G166" s="313">
        <v>42644</v>
      </c>
      <c r="H166" s="314">
        <v>136.1</v>
      </c>
      <c r="I166" s="314">
        <v>121.4</v>
      </c>
      <c r="J166" s="314">
        <v>158.69999999999999</v>
      </c>
      <c r="K166" s="314">
        <v>143.19999999999999</v>
      </c>
    </row>
    <row r="167" spans="6:11" x14ac:dyDescent="0.3">
      <c r="F167" s="15">
        <f t="shared" si="6"/>
        <v>2016</v>
      </c>
      <c r="G167" s="313">
        <v>42675</v>
      </c>
      <c r="H167" s="314">
        <v>134</v>
      </c>
      <c r="I167" s="314">
        <v>117.4</v>
      </c>
      <c r="J167" s="314">
        <v>158.4</v>
      </c>
      <c r="K167" s="314">
        <v>141.30000000000001</v>
      </c>
    </row>
    <row r="168" spans="6:11" x14ac:dyDescent="0.3">
      <c r="F168" s="15">
        <f t="shared" si="6"/>
        <v>2016</v>
      </c>
      <c r="G168" s="313">
        <v>42705</v>
      </c>
      <c r="H168" s="314">
        <v>136.19999999999999</v>
      </c>
      <c r="I168" s="314">
        <v>124.6</v>
      </c>
      <c r="J168" s="314">
        <v>157.80000000000001</v>
      </c>
      <c r="K168" s="314">
        <v>141.4</v>
      </c>
    </row>
    <row r="169" spans="6:11" x14ac:dyDescent="0.3">
      <c r="F169" s="15">
        <f t="shared" si="6"/>
        <v>2017</v>
      </c>
      <c r="G169" s="313">
        <v>42736</v>
      </c>
      <c r="H169" s="314">
        <v>140.4</v>
      </c>
      <c r="I169" s="314">
        <v>128.80000000000001</v>
      </c>
      <c r="J169" s="314">
        <v>159.19999999999999</v>
      </c>
      <c r="K169" s="314">
        <v>144.4</v>
      </c>
    </row>
    <row r="170" spans="6:11" x14ac:dyDescent="0.3">
      <c r="F170" s="15">
        <f t="shared" si="6"/>
        <v>2017</v>
      </c>
      <c r="G170" s="313">
        <v>42767</v>
      </c>
      <c r="H170" s="314">
        <v>139.5</v>
      </c>
      <c r="I170" s="314">
        <v>123.7</v>
      </c>
      <c r="J170" s="314">
        <v>158.5</v>
      </c>
      <c r="K170" s="314">
        <v>145.9</v>
      </c>
    </row>
    <row r="171" spans="6:11" x14ac:dyDescent="0.3">
      <c r="F171" s="15">
        <f t="shared" si="6"/>
        <v>2017</v>
      </c>
      <c r="G171" s="313">
        <v>42795</v>
      </c>
      <c r="H171" s="314">
        <v>138.1</v>
      </c>
      <c r="I171" s="314">
        <v>122.1</v>
      </c>
      <c r="J171" s="314">
        <v>158.6</v>
      </c>
      <c r="K171" s="314">
        <v>146.30000000000001</v>
      </c>
    </row>
    <row r="172" spans="6:11" x14ac:dyDescent="0.3">
      <c r="F172" s="15">
        <f t="shared" ref="F172:F195" si="7">YEAR(G172)</f>
        <v>2017</v>
      </c>
      <c r="G172" s="313">
        <v>42826</v>
      </c>
      <c r="H172" s="314">
        <v>138.69999999999999</v>
      </c>
      <c r="I172" s="314">
        <v>124.2</v>
      </c>
      <c r="J172" s="314">
        <v>160.6</v>
      </c>
      <c r="K172" s="314">
        <v>145</v>
      </c>
    </row>
    <row r="173" spans="6:11" x14ac:dyDescent="0.3">
      <c r="F173" s="15">
        <f t="shared" si="7"/>
        <v>2017</v>
      </c>
      <c r="G173" s="313">
        <v>42856</v>
      </c>
      <c r="H173" s="314">
        <v>139.4</v>
      </c>
      <c r="I173" s="314">
        <v>119.3</v>
      </c>
      <c r="J173" s="314">
        <v>159.69999999999999</v>
      </c>
      <c r="K173" s="314">
        <v>148.1</v>
      </c>
    </row>
    <row r="174" spans="6:11" x14ac:dyDescent="0.3">
      <c r="F174" s="15">
        <f t="shared" si="7"/>
        <v>2017</v>
      </c>
      <c r="G174" s="313">
        <v>42887</v>
      </c>
      <c r="H174" s="314">
        <v>143.5</v>
      </c>
      <c r="I174" s="314">
        <v>123.1</v>
      </c>
      <c r="J174" s="314">
        <v>163.4</v>
      </c>
      <c r="K174" s="314">
        <v>152.80000000000001</v>
      </c>
    </row>
    <row r="175" spans="6:11" x14ac:dyDescent="0.3">
      <c r="F175" s="15">
        <f t="shared" si="7"/>
        <v>2017</v>
      </c>
      <c r="G175" s="313">
        <v>42917</v>
      </c>
      <c r="H175" s="314">
        <v>144.9</v>
      </c>
      <c r="I175" s="314">
        <v>127.8</v>
      </c>
      <c r="J175" s="314">
        <v>164.5</v>
      </c>
      <c r="K175" s="314">
        <v>154</v>
      </c>
    </row>
    <row r="176" spans="6:11" x14ac:dyDescent="0.3">
      <c r="F176" s="15">
        <f t="shared" si="7"/>
        <v>2017</v>
      </c>
      <c r="G176" s="313">
        <v>42948</v>
      </c>
      <c r="H176" s="314">
        <v>144.6</v>
      </c>
      <c r="I176" s="314">
        <v>128.5</v>
      </c>
      <c r="J176" s="314">
        <v>164.1</v>
      </c>
      <c r="K176" s="314">
        <v>153.69999999999999</v>
      </c>
    </row>
    <row r="177" spans="6:11" x14ac:dyDescent="0.3">
      <c r="F177" s="15">
        <f t="shared" si="7"/>
        <v>2017</v>
      </c>
      <c r="G177" s="313">
        <v>42979</v>
      </c>
      <c r="H177" s="314">
        <v>144.1</v>
      </c>
      <c r="I177" s="314">
        <v>129.30000000000001</v>
      </c>
      <c r="J177" s="314">
        <v>164.1</v>
      </c>
      <c r="K177" s="314">
        <v>152.69999999999999</v>
      </c>
    </row>
    <row r="178" spans="6:11" x14ac:dyDescent="0.3">
      <c r="F178" s="15">
        <f t="shared" si="7"/>
        <v>2017</v>
      </c>
      <c r="G178" s="313">
        <v>43009</v>
      </c>
      <c r="H178" s="314">
        <v>140.5</v>
      </c>
      <c r="I178" s="314">
        <v>124</v>
      </c>
      <c r="J178" s="314">
        <v>162</v>
      </c>
      <c r="K178" s="314">
        <v>148.69999999999999</v>
      </c>
    </row>
    <row r="179" spans="6:11" x14ac:dyDescent="0.3">
      <c r="F179" s="15">
        <f t="shared" si="7"/>
        <v>2017</v>
      </c>
      <c r="G179" s="313">
        <v>43040</v>
      </c>
      <c r="H179" s="314">
        <v>139.19999999999999</v>
      </c>
      <c r="I179" s="314">
        <v>123.9</v>
      </c>
      <c r="J179" s="314">
        <v>163.1</v>
      </c>
      <c r="K179" s="314">
        <v>146.19999999999999</v>
      </c>
    </row>
    <row r="180" spans="6:11" x14ac:dyDescent="0.3">
      <c r="F180" s="15">
        <f t="shared" si="7"/>
        <v>2017</v>
      </c>
      <c r="G180" s="313">
        <v>43070</v>
      </c>
      <c r="H180" s="314">
        <v>139.6</v>
      </c>
      <c r="I180" s="314">
        <v>122.9</v>
      </c>
      <c r="J180" s="314">
        <v>161.9</v>
      </c>
      <c r="K180" s="314">
        <v>146.4</v>
      </c>
    </row>
    <row r="181" spans="6:11" x14ac:dyDescent="0.3">
      <c r="F181" s="15">
        <f t="shared" si="7"/>
        <v>2018</v>
      </c>
      <c r="G181" s="313">
        <v>43101</v>
      </c>
      <c r="H181" s="314">
        <v>147.30000000000001</v>
      </c>
      <c r="I181" s="314">
        <v>151.6</v>
      </c>
      <c r="J181" s="314">
        <v>166.5</v>
      </c>
      <c r="K181" s="314">
        <v>148.4</v>
      </c>
    </row>
    <row r="182" spans="6:11" x14ac:dyDescent="0.3">
      <c r="F182" s="15">
        <f t="shared" si="7"/>
        <v>2018</v>
      </c>
      <c r="G182" s="313">
        <v>43132</v>
      </c>
      <c r="H182" s="314">
        <v>144.4</v>
      </c>
      <c r="I182" s="314">
        <v>129.19999999999999</v>
      </c>
      <c r="J182" s="314">
        <v>169.6</v>
      </c>
      <c r="K182" s="314">
        <v>149.80000000000001</v>
      </c>
    </row>
    <row r="183" spans="6:11" x14ac:dyDescent="0.3">
      <c r="F183" s="15">
        <f t="shared" si="7"/>
        <v>2018</v>
      </c>
      <c r="G183" s="313">
        <v>43160</v>
      </c>
      <c r="H183" s="314">
        <v>140.6</v>
      </c>
      <c r="I183" s="314">
        <v>124</v>
      </c>
      <c r="J183" s="314">
        <v>170.5</v>
      </c>
      <c r="K183" s="314">
        <v>148</v>
      </c>
    </row>
    <row r="184" spans="6:11" x14ac:dyDescent="0.3">
      <c r="F184" s="15">
        <f t="shared" si="7"/>
        <v>2018</v>
      </c>
      <c r="G184" s="313">
        <v>43191</v>
      </c>
      <c r="H184" s="314">
        <v>140.80000000000001</v>
      </c>
      <c r="I184" s="314">
        <v>128.80000000000001</v>
      </c>
      <c r="J184" s="314">
        <v>169.2</v>
      </c>
      <c r="K184" s="314">
        <v>146.69999999999999</v>
      </c>
    </row>
    <row r="185" spans="6:11" x14ac:dyDescent="0.3">
      <c r="F185" s="15">
        <f t="shared" si="7"/>
        <v>2018</v>
      </c>
      <c r="G185" s="313">
        <v>43221</v>
      </c>
      <c r="H185" s="314">
        <v>140.80000000000001</v>
      </c>
      <c r="I185" s="314">
        <v>123.4</v>
      </c>
      <c r="J185" s="314">
        <v>169.4</v>
      </c>
      <c r="K185" s="314">
        <v>149.19999999999999</v>
      </c>
    </row>
    <row r="186" spans="6:11" x14ac:dyDescent="0.3">
      <c r="F186" s="15">
        <f t="shared" si="7"/>
        <v>2018</v>
      </c>
      <c r="G186" s="313">
        <v>43252</v>
      </c>
      <c r="H186" s="314">
        <v>146</v>
      </c>
      <c r="I186" s="314">
        <v>131</v>
      </c>
      <c r="J186" s="314">
        <v>168.2</v>
      </c>
      <c r="K186" s="314">
        <v>155.1</v>
      </c>
    </row>
    <row r="187" spans="6:11" x14ac:dyDescent="0.3">
      <c r="F187" s="15">
        <f t="shared" si="7"/>
        <v>2018</v>
      </c>
      <c r="G187" s="313">
        <v>43282</v>
      </c>
      <c r="H187" s="314">
        <v>148.69999999999999</v>
      </c>
      <c r="I187" s="314">
        <v>140.6</v>
      </c>
      <c r="J187" s="314">
        <v>167</v>
      </c>
      <c r="K187" s="314">
        <v>155.6</v>
      </c>
    </row>
    <row r="188" spans="6:11" x14ac:dyDescent="0.3">
      <c r="F188" s="15">
        <f t="shared" si="7"/>
        <v>2018</v>
      </c>
      <c r="G188" s="313">
        <v>43313</v>
      </c>
      <c r="H188" s="314">
        <v>153.6</v>
      </c>
      <c r="I188" s="314">
        <v>162.4</v>
      </c>
      <c r="J188" s="314">
        <v>166.9</v>
      </c>
      <c r="K188" s="314">
        <v>154.9</v>
      </c>
    </row>
    <row r="189" spans="6:11" x14ac:dyDescent="0.3">
      <c r="F189" s="15">
        <f t="shared" si="7"/>
        <v>2018</v>
      </c>
      <c r="G189" s="313">
        <v>43344</v>
      </c>
      <c r="H189" s="314">
        <v>146.6</v>
      </c>
      <c r="I189" s="314">
        <v>136</v>
      </c>
      <c r="J189" s="314">
        <v>167.5</v>
      </c>
      <c r="K189" s="314">
        <v>154</v>
      </c>
    </row>
    <row r="190" spans="6:11" x14ac:dyDescent="0.3">
      <c r="F190" s="15">
        <f t="shared" si="7"/>
        <v>2018</v>
      </c>
      <c r="G190" s="313">
        <v>43374</v>
      </c>
      <c r="H190" s="314">
        <v>145</v>
      </c>
      <c r="I190" s="314">
        <v>138.4</v>
      </c>
      <c r="J190" s="314">
        <v>166.5</v>
      </c>
      <c r="K190" s="314">
        <v>150</v>
      </c>
    </row>
    <row r="191" spans="6:11" x14ac:dyDescent="0.3">
      <c r="F191" s="15">
        <f t="shared" si="7"/>
        <v>2018</v>
      </c>
      <c r="G191" s="313">
        <v>43405</v>
      </c>
      <c r="H191" s="314">
        <v>144.80000000000001</v>
      </c>
      <c r="I191" s="314">
        <v>141.80000000000001</v>
      </c>
      <c r="J191" s="314">
        <v>167.5</v>
      </c>
      <c r="K191" s="314">
        <v>146.9</v>
      </c>
    </row>
    <row r="192" spans="6:11" x14ac:dyDescent="0.3">
      <c r="F192" s="15">
        <f t="shared" si="7"/>
        <v>2018</v>
      </c>
      <c r="G192" s="313">
        <v>43435</v>
      </c>
      <c r="H192" s="314">
        <v>153</v>
      </c>
      <c r="I192" s="314">
        <v>158.69999999999999</v>
      </c>
      <c r="J192" s="314">
        <v>165.5</v>
      </c>
      <c r="K192" s="314">
        <v>148.1</v>
      </c>
    </row>
    <row r="193" spans="6:11" x14ac:dyDescent="0.3">
      <c r="F193" s="15">
        <f t="shared" si="7"/>
        <v>2019</v>
      </c>
      <c r="G193" s="313">
        <v>43466</v>
      </c>
      <c r="H193" s="314">
        <v>144.1</v>
      </c>
      <c r="I193" s="314">
        <v>129.6</v>
      </c>
      <c r="J193" s="314">
        <v>165.4</v>
      </c>
      <c r="K193" s="314">
        <v>148.5</v>
      </c>
    </row>
    <row r="194" spans="6:11" x14ac:dyDescent="0.3">
      <c r="F194" s="15">
        <f t="shared" si="7"/>
        <v>2019</v>
      </c>
      <c r="G194" s="313">
        <v>43497</v>
      </c>
      <c r="H194" s="314">
        <v>149.19999999999999</v>
      </c>
      <c r="I194" s="314">
        <v>154.6</v>
      </c>
      <c r="J194" s="314">
        <v>166.6</v>
      </c>
      <c r="K194" s="314">
        <v>148.6</v>
      </c>
    </row>
    <row r="195" spans="6:11" x14ac:dyDescent="0.3">
      <c r="F195" s="15">
        <f t="shared" si="7"/>
        <v>2019</v>
      </c>
      <c r="G195" s="313">
        <v>43525</v>
      </c>
      <c r="H195" s="314">
        <v>148.6</v>
      </c>
      <c r="I195" s="314">
        <v>154</v>
      </c>
      <c r="J195" s="314">
        <v>166.7</v>
      </c>
      <c r="K195" s="314">
        <v>148.4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workbookViewId="0">
      <selection sqref="A1:XFD1048576"/>
    </sheetView>
  </sheetViews>
  <sheetFormatPr defaultColWidth="9.109375" defaultRowHeight="14.4" x14ac:dyDescent="0.3"/>
  <cols>
    <col min="1" max="1" width="45.5546875" style="15" customWidth="1"/>
    <col min="2" max="2" width="16.5546875" style="15" customWidth="1"/>
    <col min="3" max="3" width="15.5546875" style="15" customWidth="1"/>
    <col min="4" max="4" width="16.5546875" style="15" customWidth="1"/>
    <col min="5" max="5" width="18.109375" style="15" customWidth="1"/>
    <col min="6" max="7" width="15.44140625" style="15" customWidth="1"/>
    <col min="8" max="8" width="16.5546875" style="15" customWidth="1"/>
    <col min="9" max="16384" width="9.109375" style="15"/>
  </cols>
  <sheetData>
    <row r="1" spans="1:12" x14ac:dyDescent="0.3">
      <c r="A1" s="66" t="s">
        <v>315</v>
      </c>
    </row>
    <row r="2" spans="1:12" x14ac:dyDescent="0.3">
      <c r="A2" s="15" t="s">
        <v>316</v>
      </c>
      <c r="L2" s="97"/>
    </row>
    <row r="3" spans="1:12" x14ac:dyDescent="0.3">
      <c r="A3" s="15" t="s">
        <v>317</v>
      </c>
      <c r="L3" s="97"/>
    </row>
    <row r="4" spans="1:12" x14ac:dyDescent="0.3">
      <c r="B4" s="64" t="s">
        <v>318</v>
      </c>
      <c r="H4" s="64"/>
      <c r="L4" s="97"/>
    </row>
    <row r="5" spans="1:12" x14ac:dyDescent="0.3">
      <c r="A5" s="66" t="s">
        <v>319</v>
      </c>
      <c r="B5" s="64" t="s">
        <v>320</v>
      </c>
      <c r="C5" s="64" t="s">
        <v>321</v>
      </c>
      <c r="D5" s="64" t="s">
        <v>322</v>
      </c>
      <c r="E5" s="64" t="s">
        <v>323</v>
      </c>
      <c r="F5" s="64" t="s">
        <v>324</v>
      </c>
      <c r="G5" s="64" t="s">
        <v>325</v>
      </c>
      <c r="H5" s="64" t="s">
        <v>326</v>
      </c>
      <c r="L5" s="97"/>
    </row>
    <row r="6" spans="1:12" x14ac:dyDescent="0.3">
      <c r="A6" s="15" t="s">
        <v>327</v>
      </c>
      <c r="B6" s="186">
        <f>SUM(C6:H6)</f>
        <v>137920843.95999998</v>
      </c>
      <c r="C6" s="186">
        <v>22610385.899999999</v>
      </c>
      <c r="D6" s="186">
        <v>19335894.57</v>
      </c>
      <c r="E6" s="186">
        <v>23507333.469999999</v>
      </c>
      <c r="F6" s="186">
        <v>28829322.969999999</v>
      </c>
      <c r="G6" s="186">
        <v>31557310.489999998</v>
      </c>
      <c r="H6" s="186">
        <v>12080596.559999999</v>
      </c>
      <c r="L6" s="97"/>
    </row>
    <row r="7" spans="1:12" x14ac:dyDescent="0.3">
      <c r="A7" s="15" t="s">
        <v>328</v>
      </c>
      <c r="B7" s="95">
        <f>SUM(C7:H7)</f>
        <v>3485805.32</v>
      </c>
      <c r="C7" s="95">
        <v>687927</v>
      </c>
      <c r="D7" s="95">
        <v>672629.23</v>
      </c>
      <c r="E7" s="95">
        <v>645631.92000000004</v>
      </c>
      <c r="F7" s="95">
        <v>618282.07999999996</v>
      </c>
      <c r="G7" s="95">
        <v>600283.38</v>
      </c>
      <c r="H7" s="186">
        <v>261051.71</v>
      </c>
      <c r="L7" s="309"/>
    </row>
    <row r="8" spans="1:12" x14ac:dyDescent="0.3">
      <c r="A8" s="15" t="s">
        <v>329</v>
      </c>
      <c r="B8" s="95">
        <f>SUM(C8:H8)</f>
        <v>51302498</v>
      </c>
      <c r="C8" s="95">
        <v>10434323</v>
      </c>
      <c r="D8" s="95">
        <v>9951565</v>
      </c>
      <c r="E8" s="95">
        <v>8578000</v>
      </c>
      <c r="F8" s="95">
        <v>9294054</v>
      </c>
      <c r="G8" s="95">
        <v>10148944</v>
      </c>
      <c r="H8" s="186">
        <v>2895612</v>
      </c>
      <c r="L8" s="309"/>
    </row>
    <row r="9" spans="1:12" x14ac:dyDescent="0.3">
      <c r="A9" s="15" t="s">
        <v>330</v>
      </c>
      <c r="B9" s="310">
        <f>SUM(C9:H9)</f>
        <v>1273324</v>
      </c>
      <c r="C9" s="310">
        <v>103456</v>
      </c>
      <c r="D9" s="310">
        <v>823672.22</v>
      </c>
      <c r="E9" s="310">
        <v>346195.78</v>
      </c>
      <c r="F9" s="310">
        <v>0</v>
      </c>
      <c r="G9" s="310">
        <v>0</v>
      </c>
      <c r="H9" s="310">
        <v>0</v>
      </c>
      <c r="L9" s="309"/>
    </row>
    <row r="10" spans="1:12" x14ac:dyDescent="0.3">
      <c r="A10" s="66" t="s">
        <v>331</v>
      </c>
      <c r="B10" s="123">
        <f t="shared" ref="B10:H10" si="0">SUM(B6:B9)</f>
        <v>193982471.27999997</v>
      </c>
      <c r="C10" s="123">
        <f t="shared" si="0"/>
        <v>33836091.899999999</v>
      </c>
      <c r="D10" s="123">
        <f t="shared" si="0"/>
        <v>30783761.02</v>
      </c>
      <c r="E10" s="123">
        <f t="shared" si="0"/>
        <v>33077161.170000002</v>
      </c>
      <c r="F10" s="123">
        <f t="shared" si="0"/>
        <v>38741659.049999997</v>
      </c>
      <c r="G10" s="123">
        <f t="shared" si="0"/>
        <v>42306537.869999997</v>
      </c>
      <c r="H10" s="123">
        <f t="shared" si="0"/>
        <v>15237260.27</v>
      </c>
      <c r="L10" s="124"/>
    </row>
    <row r="11" spans="1:12" x14ac:dyDescent="0.3">
      <c r="L11" s="124"/>
    </row>
    <row r="12" spans="1:12" x14ac:dyDescent="0.3">
      <c r="A12" s="66" t="s">
        <v>332</v>
      </c>
      <c r="L12" s="124"/>
    </row>
    <row r="13" spans="1:12" x14ac:dyDescent="0.3">
      <c r="A13" s="15" t="s">
        <v>333</v>
      </c>
      <c r="B13" s="310">
        <f>SUM(C13:H13)</f>
        <v>-483636</v>
      </c>
      <c r="C13" s="310">
        <v>-220380</v>
      </c>
      <c r="D13" s="310">
        <v>-121560</v>
      </c>
      <c r="E13" s="310">
        <v>-141696</v>
      </c>
      <c r="F13" s="310">
        <v>0</v>
      </c>
      <c r="G13" s="310">
        <v>0</v>
      </c>
      <c r="H13" s="310">
        <v>0</v>
      </c>
      <c r="L13" s="124"/>
    </row>
    <row r="14" spans="1:12" x14ac:dyDescent="0.3">
      <c r="A14" s="66" t="s">
        <v>334</v>
      </c>
      <c r="B14" s="123">
        <f t="shared" ref="B14:H14" si="1">SUM(B13)</f>
        <v>-483636</v>
      </c>
      <c r="C14" s="123">
        <f t="shared" si="1"/>
        <v>-220380</v>
      </c>
      <c r="D14" s="123">
        <f t="shared" si="1"/>
        <v>-121560</v>
      </c>
      <c r="E14" s="123">
        <f t="shared" si="1"/>
        <v>-141696</v>
      </c>
      <c r="F14" s="123">
        <f t="shared" si="1"/>
        <v>0</v>
      </c>
      <c r="G14" s="123">
        <f t="shared" si="1"/>
        <v>0</v>
      </c>
      <c r="H14" s="123">
        <f t="shared" si="1"/>
        <v>0</v>
      </c>
      <c r="L14" s="124"/>
    </row>
    <row r="15" spans="1:12" x14ac:dyDescent="0.3">
      <c r="L15" s="309"/>
    </row>
    <row r="16" spans="1:12" ht="15" thickBot="1" x14ac:dyDescent="0.35">
      <c r="A16" s="66" t="s">
        <v>335</v>
      </c>
      <c r="B16" s="125">
        <f>SUM(C16:H16)</f>
        <v>193498835.28</v>
      </c>
      <c r="C16" s="125">
        <f t="shared" ref="C16:H16" si="2">C10+C13</f>
        <v>33615711.899999999</v>
      </c>
      <c r="D16" s="125">
        <f t="shared" si="2"/>
        <v>30662201.02</v>
      </c>
      <c r="E16" s="125">
        <f t="shared" si="2"/>
        <v>32935465.170000002</v>
      </c>
      <c r="F16" s="125">
        <f t="shared" si="2"/>
        <v>38741659.049999997</v>
      </c>
      <c r="G16" s="125">
        <f t="shared" si="2"/>
        <v>42306537.869999997</v>
      </c>
      <c r="H16" s="125">
        <f t="shared" si="2"/>
        <v>15237260.27</v>
      </c>
      <c r="L16" s="309"/>
    </row>
    <row r="17" spans="1:12" ht="15" thickTop="1" x14ac:dyDescent="0.3">
      <c r="A17" s="66"/>
      <c r="L17" s="309"/>
    </row>
    <row r="18" spans="1:12" x14ac:dyDescent="0.3">
      <c r="A18" s="66"/>
      <c r="L18" s="309"/>
    </row>
    <row r="19" spans="1:12" x14ac:dyDescent="0.3">
      <c r="A19" s="66"/>
      <c r="L19" s="309"/>
    </row>
    <row r="20" spans="1:12" x14ac:dyDescent="0.3">
      <c r="A20" s="66"/>
      <c r="L20" s="309"/>
    </row>
    <row r="21" spans="1:12" x14ac:dyDescent="0.3">
      <c r="L21" s="309"/>
    </row>
    <row r="22" spans="1:12" ht="18" x14ac:dyDescent="0.3">
      <c r="B22" s="64" t="s">
        <v>336</v>
      </c>
      <c r="H22" s="64"/>
      <c r="L22" s="126"/>
    </row>
    <row r="23" spans="1:12" x14ac:dyDescent="0.3">
      <c r="A23" s="66" t="s">
        <v>337</v>
      </c>
      <c r="B23" s="64" t="s">
        <v>320</v>
      </c>
      <c r="C23" s="64" t="s">
        <v>321</v>
      </c>
      <c r="D23" s="64" t="s">
        <v>322</v>
      </c>
      <c r="E23" s="64" t="s">
        <v>323</v>
      </c>
      <c r="F23" s="64" t="s">
        <v>324</v>
      </c>
      <c r="G23" s="64" t="s">
        <v>325</v>
      </c>
      <c r="H23" s="64" t="s">
        <v>326</v>
      </c>
      <c r="L23" s="309"/>
    </row>
    <row r="24" spans="1:12" x14ac:dyDescent="0.3">
      <c r="A24" s="15" t="s">
        <v>338</v>
      </c>
      <c r="B24" s="311">
        <f>SUM(C24:H24)</f>
        <v>79688508.040000007</v>
      </c>
      <c r="C24" s="311">
        <v>10262423.16</v>
      </c>
      <c r="D24" s="311">
        <v>11086943</v>
      </c>
      <c r="E24" s="311">
        <v>14375106.24</v>
      </c>
      <c r="F24" s="311">
        <v>17974985.989999998</v>
      </c>
      <c r="G24" s="311">
        <v>19573829.420000002</v>
      </c>
      <c r="H24" s="311">
        <v>6415220.2300000004</v>
      </c>
      <c r="L24" s="309"/>
    </row>
    <row r="25" spans="1:12" x14ac:dyDescent="0.3">
      <c r="A25" s="66" t="s">
        <v>339</v>
      </c>
      <c r="B25" s="123">
        <f t="shared" ref="B25:H25" si="3">SUM(B24)</f>
        <v>79688508.040000007</v>
      </c>
      <c r="C25" s="123">
        <f t="shared" si="3"/>
        <v>10262423.16</v>
      </c>
      <c r="D25" s="123">
        <f t="shared" si="3"/>
        <v>11086943</v>
      </c>
      <c r="E25" s="123">
        <f t="shared" si="3"/>
        <v>14375106.24</v>
      </c>
      <c r="F25" s="123">
        <f t="shared" si="3"/>
        <v>17974985.989999998</v>
      </c>
      <c r="G25" s="123">
        <f t="shared" si="3"/>
        <v>19573829.420000002</v>
      </c>
      <c r="H25" s="123">
        <f t="shared" si="3"/>
        <v>6415220.2300000004</v>
      </c>
    </row>
    <row r="27" spans="1:12" x14ac:dyDescent="0.3">
      <c r="A27" s="66" t="s">
        <v>340</v>
      </c>
    </row>
    <row r="28" spans="1:12" x14ac:dyDescent="0.3">
      <c r="A28" s="15" t="s">
        <v>341</v>
      </c>
      <c r="B28" s="95">
        <f>SUM(C28:H28)</f>
        <v>-180657</v>
      </c>
      <c r="C28" s="95">
        <v>-50802</v>
      </c>
      <c r="D28" s="95">
        <v>-60219</v>
      </c>
      <c r="E28" s="95">
        <v>-69636</v>
      </c>
      <c r="F28" s="95">
        <v>0</v>
      </c>
      <c r="G28" s="95">
        <v>0</v>
      </c>
      <c r="H28" s="95">
        <v>0</v>
      </c>
    </row>
    <row r="29" spans="1:12" x14ac:dyDescent="0.3">
      <c r="A29" s="15" t="s">
        <v>342</v>
      </c>
      <c r="B29" s="310">
        <f>SUM(C29:H29)</f>
        <v>-189960</v>
      </c>
      <c r="C29" s="310">
        <v>-48204</v>
      </c>
      <c r="D29" s="310">
        <v>-65460</v>
      </c>
      <c r="E29" s="310">
        <v>-76296</v>
      </c>
      <c r="F29" s="310">
        <v>0</v>
      </c>
      <c r="G29" s="310">
        <v>0</v>
      </c>
      <c r="H29" s="310">
        <v>0</v>
      </c>
    </row>
    <row r="30" spans="1:12" x14ac:dyDescent="0.3">
      <c r="A30" s="66" t="s">
        <v>343</v>
      </c>
      <c r="B30" s="123">
        <f t="shared" ref="B30:H30" si="4">SUM(B28:B29)</f>
        <v>-370617</v>
      </c>
      <c r="C30" s="123">
        <f t="shared" si="4"/>
        <v>-99006</v>
      </c>
      <c r="D30" s="123">
        <f t="shared" si="4"/>
        <v>-125679</v>
      </c>
      <c r="E30" s="123">
        <f t="shared" si="4"/>
        <v>-145932</v>
      </c>
      <c r="F30" s="123">
        <f t="shared" si="4"/>
        <v>0</v>
      </c>
      <c r="G30" s="123">
        <f t="shared" si="4"/>
        <v>0</v>
      </c>
      <c r="H30" s="123">
        <f t="shared" si="4"/>
        <v>0</v>
      </c>
    </row>
    <row r="32" spans="1:12" ht="15" thickBot="1" x14ac:dyDescent="0.35">
      <c r="A32" s="66" t="s">
        <v>344</v>
      </c>
      <c r="B32" s="125">
        <f>SUM(C32:H32)</f>
        <v>79317891.040000007</v>
      </c>
      <c r="C32" s="125">
        <f t="shared" ref="C32:H32" si="5">C25+C30</f>
        <v>10163417.16</v>
      </c>
      <c r="D32" s="125">
        <f t="shared" si="5"/>
        <v>10961264</v>
      </c>
      <c r="E32" s="125">
        <f t="shared" si="5"/>
        <v>14229174.24</v>
      </c>
      <c r="F32" s="125">
        <f t="shared" si="5"/>
        <v>17974985.989999998</v>
      </c>
      <c r="G32" s="125">
        <f t="shared" si="5"/>
        <v>19573829.420000002</v>
      </c>
      <c r="H32" s="125">
        <f t="shared" si="5"/>
        <v>6415220.2300000004</v>
      </c>
    </row>
    <row r="33" spans="1:8" ht="15" thickTop="1" x14ac:dyDescent="0.3"/>
    <row r="34" spans="1:8" x14ac:dyDescent="0.3">
      <c r="A34" s="34" t="s">
        <v>345</v>
      </c>
      <c r="B34" s="123">
        <v>0</v>
      </c>
      <c r="H34" s="123"/>
    </row>
  </sheetData>
  <pageMargins left="0.7" right="0.7" top="0.75" bottom="0.75" header="0.3" footer="0.3"/>
  <pageSetup scale="85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workbookViewId="0">
      <selection sqref="A1:XFD1048576"/>
    </sheetView>
  </sheetViews>
  <sheetFormatPr defaultColWidth="8.88671875" defaultRowHeight="14.4" outlineLevelRow="2" outlineLevelCol="1" x14ac:dyDescent="0.3"/>
  <cols>
    <col min="1" max="1" width="37.88671875" style="15" customWidth="1"/>
    <col min="2" max="2" width="13.33203125" style="15" customWidth="1"/>
    <col min="3" max="3" width="15.33203125" style="95" customWidth="1"/>
    <col min="4" max="4" width="14.33203125" style="15" customWidth="1"/>
    <col min="5" max="5" width="14.6640625" style="15" customWidth="1"/>
    <col min="6" max="6" width="17.109375" style="15" bestFit="1" customWidth="1"/>
    <col min="7" max="7" width="15.33203125" style="15" bestFit="1" customWidth="1"/>
    <col min="8" max="8" width="11" style="15" hidden="1" customWidth="1" outlineLevel="1"/>
    <col min="9" max="9" width="8.88671875" style="15" collapsed="1"/>
    <col min="10" max="16384" width="8.88671875" style="15"/>
  </cols>
  <sheetData>
    <row r="1" spans="1:10" ht="79.95" customHeight="1" outlineLevel="2" x14ac:dyDescent="0.3">
      <c r="A1" s="304"/>
      <c r="B1" s="3" t="s">
        <v>346</v>
      </c>
      <c r="C1" s="3" t="s">
        <v>347</v>
      </c>
      <c r="D1" s="3" t="s">
        <v>348</v>
      </c>
      <c r="E1" s="3" t="s">
        <v>349</v>
      </c>
      <c r="F1" s="44" t="s">
        <v>213</v>
      </c>
      <c r="G1" s="3" t="s">
        <v>350</v>
      </c>
      <c r="H1" s="119" t="s">
        <v>351</v>
      </c>
    </row>
    <row r="2" spans="1:10" outlineLevel="1" x14ac:dyDescent="0.3">
      <c r="A2" s="4" t="s">
        <v>352</v>
      </c>
      <c r="B2" s="5" t="s">
        <v>353</v>
      </c>
      <c r="C2" s="5" t="s">
        <v>354</v>
      </c>
      <c r="D2" s="5" t="s">
        <v>355</v>
      </c>
      <c r="E2" s="64" t="s">
        <v>356</v>
      </c>
      <c r="F2" s="64" t="s">
        <v>357</v>
      </c>
      <c r="G2" s="64" t="s">
        <v>358</v>
      </c>
      <c r="J2" s="97"/>
    </row>
    <row r="3" spans="1:10" outlineLevel="1" x14ac:dyDescent="0.3">
      <c r="B3" s="120"/>
      <c r="C3" s="121"/>
      <c r="D3" s="120"/>
      <c r="J3" s="97"/>
    </row>
    <row r="4" spans="1:10" outlineLevel="1" x14ac:dyDescent="0.3">
      <c r="A4" s="66" t="s">
        <v>359</v>
      </c>
      <c r="B4" s="52">
        <v>4.8599999999999997E-2</v>
      </c>
      <c r="C4" s="305">
        <v>453621.67</v>
      </c>
      <c r="D4" s="52">
        <v>1.7399999999999999E-2</v>
      </c>
      <c r="E4" s="52">
        <f>-(1-D4/B4)</f>
        <v>-0.64197530864197527</v>
      </c>
      <c r="F4" s="186">
        <f t="shared" ref="F4:F33" si="0">C4*E4</f>
        <v>-291213.91160493827</v>
      </c>
      <c r="G4" s="186">
        <f>C4+F4</f>
        <v>162407.75839506171</v>
      </c>
      <c r="H4" s="53">
        <v>5.7838598006534042E-2</v>
      </c>
      <c r="I4" s="306"/>
      <c r="J4" s="97"/>
    </row>
    <row r="5" spans="1:10" outlineLevel="1" x14ac:dyDescent="0.3">
      <c r="A5" s="66" t="s">
        <v>360</v>
      </c>
      <c r="B5" s="52">
        <v>2.6100000000000002E-2</v>
      </c>
      <c r="C5" s="188">
        <v>807126.84000000032</v>
      </c>
      <c r="D5" s="52">
        <v>1.23E-2</v>
      </c>
      <c r="E5" s="52">
        <f t="shared" ref="E5:E33" si="1">-(1-D5/B5)</f>
        <v>-0.52873563218390807</v>
      </c>
      <c r="F5" s="188">
        <f t="shared" si="0"/>
        <v>-426756.7200000002</v>
      </c>
      <c r="G5" s="186">
        <f t="shared" ref="G5:G33" si="2">C5+F5</f>
        <v>380370.12000000011</v>
      </c>
      <c r="H5" s="53">
        <v>5.909595883276305E-2</v>
      </c>
      <c r="J5" s="97"/>
    </row>
    <row r="6" spans="1:10" outlineLevel="1" x14ac:dyDescent="0.3">
      <c r="A6" s="66" t="s">
        <v>361</v>
      </c>
      <c r="B6" s="52">
        <v>7.4200000000000002E-2</v>
      </c>
      <c r="C6" s="188">
        <v>333800.14</v>
      </c>
      <c r="D6" s="52">
        <v>1.3200000000000002E-2</v>
      </c>
      <c r="E6" s="52">
        <f t="shared" si="1"/>
        <v>-0.82210242587601079</v>
      </c>
      <c r="F6" s="188">
        <f t="shared" si="0"/>
        <v>-274417.90485175204</v>
      </c>
      <c r="G6" s="186">
        <f t="shared" si="2"/>
        <v>59382.235148247972</v>
      </c>
      <c r="H6" s="53">
        <v>5.909595883276305E-2</v>
      </c>
    </row>
    <row r="7" spans="1:10" outlineLevel="1" x14ac:dyDescent="0.3">
      <c r="A7" s="66" t="s">
        <v>362</v>
      </c>
      <c r="B7" s="52">
        <v>3.4099999999999998E-2</v>
      </c>
      <c r="C7" s="188">
        <v>1012154.4299999999</v>
      </c>
      <c r="D7" s="52">
        <v>1.3300000000000001E-2</v>
      </c>
      <c r="E7" s="52">
        <f t="shared" si="1"/>
        <v>-0.60997067448680342</v>
      </c>
      <c r="F7" s="188">
        <f t="shared" si="0"/>
        <v>-617384.52035190607</v>
      </c>
      <c r="G7" s="186">
        <f t="shared" si="2"/>
        <v>394769.90964809386</v>
      </c>
      <c r="H7" s="52">
        <v>3.4099999999999998E-2</v>
      </c>
    </row>
    <row r="8" spans="1:10" outlineLevel="1" x14ac:dyDescent="0.3">
      <c r="A8" s="66" t="s">
        <v>363</v>
      </c>
      <c r="B8" s="52">
        <v>3.1699999999999999E-2</v>
      </c>
      <c r="C8" s="188">
        <v>-3015703.6000000006</v>
      </c>
      <c r="D8" s="52">
        <v>1.3100000000000001E-2</v>
      </c>
      <c r="E8" s="52">
        <f t="shared" si="1"/>
        <v>-0.58675078864353303</v>
      </c>
      <c r="F8" s="188">
        <f t="shared" si="0"/>
        <v>1769466.4656151419</v>
      </c>
      <c r="G8" s="186">
        <f t="shared" si="2"/>
        <v>-1246237.1343848587</v>
      </c>
      <c r="H8" s="52">
        <v>3.1699999999999999E-2</v>
      </c>
    </row>
    <row r="9" spans="1:10" outlineLevel="1" x14ac:dyDescent="0.3">
      <c r="A9" s="66" t="s">
        <v>364</v>
      </c>
      <c r="B9" s="52">
        <v>3.6799999999999999E-2</v>
      </c>
      <c r="C9" s="188">
        <v>1029827.2499999999</v>
      </c>
      <c r="D9" s="52">
        <v>1.4199999999999999E-2</v>
      </c>
      <c r="E9" s="52">
        <f t="shared" si="1"/>
        <v>-0.61413043478260865</v>
      </c>
      <c r="F9" s="188">
        <f t="shared" si="0"/>
        <v>-632448.25679347815</v>
      </c>
      <c r="G9" s="186">
        <f t="shared" si="2"/>
        <v>397378.99320652173</v>
      </c>
      <c r="H9" s="52">
        <v>3.6799999999999999E-2</v>
      </c>
    </row>
    <row r="10" spans="1:10" outlineLevel="1" x14ac:dyDescent="0.3">
      <c r="A10" s="66" t="s">
        <v>365</v>
      </c>
      <c r="B10" s="52">
        <v>6.1800000000000001E-2</v>
      </c>
      <c r="C10" s="188">
        <v>5600118.2399999993</v>
      </c>
      <c r="D10" s="52">
        <v>1.6899999999999998E-2</v>
      </c>
      <c r="E10" s="52">
        <f t="shared" si="1"/>
        <v>-0.72653721682847894</v>
      </c>
      <c r="F10" s="188">
        <f t="shared" si="0"/>
        <v>-4068694.3199999994</v>
      </c>
      <c r="G10" s="186">
        <f t="shared" si="2"/>
        <v>1531423.92</v>
      </c>
      <c r="H10" s="53">
        <v>5.7838598006534042E-2</v>
      </c>
    </row>
    <row r="11" spans="1:10" outlineLevel="1" x14ac:dyDescent="0.3">
      <c r="A11" s="66" t="s">
        <v>366</v>
      </c>
      <c r="B11" s="52">
        <v>2.5100000000000001E-2</v>
      </c>
      <c r="C11" s="95">
        <v>151509.48000000004</v>
      </c>
      <c r="D11" s="52">
        <v>1.2700000000000001E-2</v>
      </c>
      <c r="E11" s="52">
        <f t="shared" si="1"/>
        <v>-0.49402390438247012</v>
      </c>
      <c r="F11" s="188">
        <f t="shared" si="0"/>
        <v>-74849.304860557793</v>
      </c>
      <c r="G11" s="186">
        <f t="shared" si="2"/>
        <v>76660.175139442246</v>
      </c>
      <c r="H11" s="53">
        <v>5.909595883276305E-2</v>
      </c>
    </row>
    <row r="12" spans="1:10" outlineLevel="1" x14ac:dyDescent="0.3">
      <c r="A12" s="66" t="s">
        <v>367</v>
      </c>
      <c r="B12" s="52">
        <v>6.6900000000000001E-2</v>
      </c>
      <c r="C12" s="95">
        <v>6036649.7000000002</v>
      </c>
      <c r="D12" s="52">
        <v>1.78E-2</v>
      </c>
      <c r="E12" s="52">
        <f t="shared" si="1"/>
        <v>-0.7339312406576981</v>
      </c>
      <c r="F12" s="188">
        <f t="shared" si="0"/>
        <v>-4430485.8037369214</v>
      </c>
      <c r="G12" s="186">
        <f t="shared" si="2"/>
        <v>1606163.8962630788</v>
      </c>
      <c r="H12" s="53">
        <v>5.909595883276305E-2</v>
      </c>
    </row>
    <row r="13" spans="1:10" outlineLevel="1" x14ac:dyDescent="0.3">
      <c r="A13" s="66" t="s">
        <v>368</v>
      </c>
      <c r="B13" s="52">
        <v>4.1999999999999996E-2</v>
      </c>
      <c r="C13" s="95">
        <v>6173097.4000000004</v>
      </c>
      <c r="D13" s="52">
        <v>1.44E-2</v>
      </c>
      <c r="E13" s="52">
        <f t="shared" si="1"/>
        <v>-0.65714285714285714</v>
      </c>
      <c r="F13" s="188">
        <f t="shared" si="0"/>
        <v>-4056606.8628571429</v>
      </c>
      <c r="G13" s="186">
        <f t="shared" si="2"/>
        <v>2116490.5371428574</v>
      </c>
      <c r="H13" s="52">
        <v>4.2000000000000003E-2</v>
      </c>
    </row>
    <row r="14" spans="1:10" outlineLevel="1" x14ac:dyDescent="0.3">
      <c r="A14" s="66" t="s">
        <v>369</v>
      </c>
      <c r="B14" s="52">
        <v>4.0800000000000003E-2</v>
      </c>
      <c r="C14" s="95">
        <v>619010.28</v>
      </c>
      <c r="D14" s="52">
        <v>1.49E-2</v>
      </c>
      <c r="E14" s="52">
        <f t="shared" si="1"/>
        <v>-0.63480392156862742</v>
      </c>
      <c r="F14" s="188">
        <f t="shared" si="0"/>
        <v>-392950.1532352941</v>
      </c>
      <c r="G14" s="186">
        <f t="shared" si="2"/>
        <v>226060.12676470593</v>
      </c>
      <c r="H14" s="52">
        <v>4.0800000000000003E-2</v>
      </c>
    </row>
    <row r="15" spans="1:10" outlineLevel="1" x14ac:dyDescent="0.3">
      <c r="A15" s="66" t="s">
        <v>370</v>
      </c>
      <c r="B15" s="52">
        <v>4.7E-2</v>
      </c>
      <c r="C15" s="95">
        <v>6089903.040000001</v>
      </c>
      <c r="D15" s="52">
        <v>1.6399999999999998E-2</v>
      </c>
      <c r="E15" s="52">
        <f t="shared" si="1"/>
        <v>-0.65106382978723409</v>
      </c>
      <c r="F15" s="188">
        <f t="shared" si="0"/>
        <v>-3964915.5962553201</v>
      </c>
      <c r="G15" s="186">
        <f t="shared" si="2"/>
        <v>2124987.4437446808</v>
      </c>
      <c r="H15" s="52">
        <v>4.7E-2</v>
      </c>
    </row>
    <row r="16" spans="1:10" outlineLevel="1" x14ac:dyDescent="0.3">
      <c r="A16" s="66" t="s">
        <v>371</v>
      </c>
      <c r="B16" s="52">
        <v>6.7799999999999999E-2</v>
      </c>
      <c r="C16" s="95">
        <v>1961742.4999999995</v>
      </c>
      <c r="D16" s="52">
        <v>2.3599999999999999E-2</v>
      </c>
      <c r="E16" s="52">
        <f t="shared" si="1"/>
        <v>-0.65191740412979349</v>
      </c>
      <c r="F16" s="188">
        <f t="shared" si="0"/>
        <v>-1278894.0781710912</v>
      </c>
      <c r="G16" s="186">
        <f t="shared" si="2"/>
        <v>682848.42182890838</v>
      </c>
      <c r="H16" s="53">
        <v>5.7838598006534042E-2</v>
      </c>
    </row>
    <row r="17" spans="1:8" outlineLevel="1" x14ac:dyDescent="0.3">
      <c r="A17" s="66" t="s">
        <v>372</v>
      </c>
      <c r="B17" s="52">
        <v>2.76E-2</v>
      </c>
      <c r="C17" s="95">
        <v>105258.84000000003</v>
      </c>
      <c r="D17" s="52">
        <v>1.24E-2</v>
      </c>
      <c r="E17" s="52">
        <f t="shared" si="1"/>
        <v>-0.55072463768115942</v>
      </c>
      <c r="F17" s="188">
        <f t="shared" si="0"/>
        <v>-57968.636521739143</v>
      </c>
      <c r="G17" s="186">
        <f t="shared" si="2"/>
        <v>47290.203478260883</v>
      </c>
      <c r="H17" s="53">
        <v>5.909595883276305E-2</v>
      </c>
    </row>
    <row r="18" spans="1:8" outlineLevel="1" x14ac:dyDescent="0.3">
      <c r="A18" s="66" t="s">
        <v>373</v>
      </c>
      <c r="B18" s="52">
        <v>6.6699999999999995E-2</v>
      </c>
      <c r="C18" s="95">
        <v>2275594.3199999998</v>
      </c>
      <c r="D18" s="52">
        <v>2.29E-2</v>
      </c>
      <c r="E18" s="52">
        <f t="shared" si="1"/>
        <v>-0.656671664167916</v>
      </c>
      <c r="F18" s="188">
        <f t="shared" si="0"/>
        <v>-1494318.3090854571</v>
      </c>
      <c r="G18" s="186">
        <f t="shared" si="2"/>
        <v>781276.01091454271</v>
      </c>
      <c r="H18" s="53">
        <v>5.909595883276305E-2</v>
      </c>
    </row>
    <row r="19" spans="1:8" outlineLevel="1" x14ac:dyDescent="0.3">
      <c r="A19" s="66" t="s">
        <v>374</v>
      </c>
      <c r="B19" s="52">
        <v>6.9699999999999998E-2</v>
      </c>
      <c r="C19" s="95">
        <v>2950676.65</v>
      </c>
      <c r="D19" s="52">
        <v>1.8700000000000001E-2</v>
      </c>
      <c r="E19" s="52">
        <f t="shared" si="1"/>
        <v>-0.73170731707317072</v>
      </c>
      <c r="F19" s="188">
        <f t="shared" si="0"/>
        <v>-2159031.6951219509</v>
      </c>
      <c r="G19" s="186">
        <f t="shared" si="2"/>
        <v>791644.95487804897</v>
      </c>
      <c r="H19" s="52">
        <v>6.9699999999999998E-2</v>
      </c>
    </row>
    <row r="20" spans="1:8" outlineLevel="1" x14ac:dyDescent="0.3">
      <c r="A20" s="66" t="s">
        <v>375</v>
      </c>
      <c r="B20" s="52">
        <v>6.6000000000000003E-2</v>
      </c>
      <c r="C20" s="95">
        <v>2616916.29</v>
      </c>
      <c r="D20" s="52">
        <v>1.9199999999999998E-2</v>
      </c>
      <c r="E20" s="52">
        <f t="shared" si="1"/>
        <v>-0.70909090909090911</v>
      </c>
      <c r="F20" s="188">
        <f t="shared" si="0"/>
        <v>-1855631.5510909092</v>
      </c>
      <c r="G20" s="186">
        <f t="shared" si="2"/>
        <v>761284.73890909087</v>
      </c>
      <c r="H20" s="52">
        <v>6.6000000000000003E-2</v>
      </c>
    </row>
    <row r="21" spans="1:8" outlineLevel="1" x14ac:dyDescent="0.3">
      <c r="A21" s="66" t="s">
        <v>376</v>
      </c>
      <c r="B21" s="52">
        <v>5.3600000000000002E-2</v>
      </c>
      <c r="C21" s="95">
        <v>396318.55000000005</v>
      </c>
      <c r="D21" s="52">
        <v>9.300000000000001E-3</v>
      </c>
      <c r="E21" s="52">
        <f t="shared" si="1"/>
        <v>-0.82649253731343286</v>
      </c>
      <c r="F21" s="188">
        <f t="shared" si="0"/>
        <v>-327554.32397388067</v>
      </c>
      <c r="G21" s="186">
        <f t="shared" si="2"/>
        <v>68764.226026119373</v>
      </c>
      <c r="H21" s="53">
        <v>5.7838598006534042E-2</v>
      </c>
    </row>
    <row r="22" spans="1:8" outlineLevel="1" x14ac:dyDescent="0.3">
      <c r="A22" s="66" t="s">
        <v>377</v>
      </c>
      <c r="B22" s="52">
        <v>2.3599999999999999E-2</v>
      </c>
      <c r="C22" s="95">
        <v>53639.519999999997</v>
      </c>
      <c r="D22" s="52">
        <v>1.1399999999999999E-2</v>
      </c>
      <c r="E22" s="52">
        <f t="shared" si="1"/>
        <v>-0.51694915254237295</v>
      </c>
      <c r="F22" s="188">
        <f t="shared" si="0"/>
        <v>-27728.904406779664</v>
      </c>
      <c r="G22" s="186">
        <f t="shared" si="2"/>
        <v>25910.615593220333</v>
      </c>
      <c r="H22" s="53">
        <v>5.909595883276305E-2</v>
      </c>
    </row>
    <row r="23" spans="1:8" outlineLevel="1" x14ac:dyDescent="0.3">
      <c r="A23" s="66" t="s">
        <v>378</v>
      </c>
      <c r="B23" s="52">
        <v>6.5299999999999997E-2</v>
      </c>
      <c r="C23" s="95">
        <v>270380.17000000004</v>
      </c>
      <c r="D23" s="52">
        <v>1.3600000000000001E-2</v>
      </c>
      <c r="E23" s="52">
        <f t="shared" si="1"/>
        <v>-0.79173047473200608</v>
      </c>
      <c r="F23" s="188">
        <f t="shared" si="0"/>
        <v>-214068.22035222055</v>
      </c>
      <c r="G23" s="186">
        <f t="shared" si="2"/>
        <v>56311.949647779489</v>
      </c>
      <c r="H23" s="53">
        <v>5.9095958832763043E-2</v>
      </c>
    </row>
    <row r="24" spans="1:8" outlineLevel="1" x14ac:dyDescent="0.3">
      <c r="A24" s="66" t="s">
        <v>379</v>
      </c>
      <c r="B24" s="52">
        <v>4.0099999999999997E-2</v>
      </c>
      <c r="C24" s="95">
        <v>288763.08</v>
      </c>
      <c r="D24" s="52">
        <v>1.2800000000000001E-2</v>
      </c>
      <c r="E24" s="52">
        <f t="shared" si="1"/>
        <v>-0.68079800498753107</v>
      </c>
      <c r="F24" s="188">
        <f t="shared" si="0"/>
        <v>-196589.32877805486</v>
      </c>
      <c r="G24" s="186">
        <f t="shared" si="2"/>
        <v>92173.75122194516</v>
      </c>
      <c r="H24" s="52">
        <v>4.0099999999999997E-2</v>
      </c>
    </row>
    <row r="25" spans="1:8" outlineLevel="1" x14ac:dyDescent="0.3">
      <c r="A25" s="66" t="s">
        <v>380</v>
      </c>
      <c r="B25" s="52">
        <v>3.5499999999999997E-2</v>
      </c>
      <c r="C25" s="95">
        <v>271184.64000000001</v>
      </c>
      <c r="D25" s="52">
        <v>1.2800000000000001E-2</v>
      </c>
      <c r="E25" s="52">
        <f t="shared" si="1"/>
        <v>-0.63943661971830978</v>
      </c>
      <c r="F25" s="188">
        <f t="shared" si="0"/>
        <v>-173405.38952112675</v>
      </c>
      <c r="G25" s="186">
        <f t="shared" si="2"/>
        <v>97779.250478873262</v>
      </c>
      <c r="H25" s="52">
        <v>3.5499999999999997E-2</v>
      </c>
    </row>
    <row r="26" spans="1:8" outlineLevel="1" x14ac:dyDescent="0.3">
      <c r="A26" s="66" t="s">
        <v>381</v>
      </c>
      <c r="B26" s="52">
        <v>4.7100000000000003E-2</v>
      </c>
      <c r="C26" s="95">
        <v>307071.15999999997</v>
      </c>
      <c r="D26" s="52">
        <v>1.3999999999999999E-2</v>
      </c>
      <c r="E26" s="52">
        <f t="shared" si="1"/>
        <v>-0.70276008492569009</v>
      </c>
      <c r="F26" s="188">
        <f t="shared" si="0"/>
        <v>-215797.35447983016</v>
      </c>
      <c r="G26" s="186">
        <f t="shared" si="2"/>
        <v>91273.805520169815</v>
      </c>
      <c r="H26" s="52">
        <v>4.7100000000000003E-2</v>
      </c>
    </row>
    <row r="27" spans="1:8" outlineLevel="1" x14ac:dyDescent="0.3">
      <c r="A27" s="66" t="s">
        <v>382</v>
      </c>
      <c r="B27" s="52">
        <v>6.7500000000000004E-2</v>
      </c>
      <c r="C27" s="95">
        <v>66775.329999999987</v>
      </c>
      <c r="D27" s="52">
        <v>2.3100000000000002E-2</v>
      </c>
      <c r="E27" s="52">
        <f t="shared" si="1"/>
        <v>-0.65777777777777779</v>
      </c>
      <c r="F27" s="188">
        <f t="shared" si="0"/>
        <v>-43923.328177777774</v>
      </c>
      <c r="G27" s="186">
        <f t="shared" si="2"/>
        <v>22852.001822222213</v>
      </c>
      <c r="H27" s="53">
        <v>5.7838598006534049E-2</v>
      </c>
    </row>
    <row r="28" spans="1:8" outlineLevel="1" x14ac:dyDescent="0.3">
      <c r="A28" s="66" t="s">
        <v>383</v>
      </c>
      <c r="B28" s="52">
        <v>3.27E-2</v>
      </c>
      <c r="C28" s="95">
        <v>202893.36</v>
      </c>
      <c r="D28" s="52">
        <v>1.3999999999999999E-2</v>
      </c>
      <c r="E28" s="52">
        <f t="shared" si="1"/>
        <v>-0.5718654434250765</v>
      </c>
      <c r="F28" s="188">
        <f t="shared" si="0"/>
        <v>-116027.70128440367</v>
      </c>
      <c r="G28" s="186">
        <f t="shared" si="2"/>
        <v>86865.658715596321</v>
      </c>
      <c r="H28" s="53">
        <v>5.909595883276305E-2</v>
      </c>
    </row>
    <row r="29" spans="1:8" outlineLevel="1" x14ac:dyDescent="0.3">
      <c r="A29" s="66" t="s">
        <v>384</v>
      </c>
      <c r="B29" s="52">
        <v>2.9599999999999998E-2</v>
      </c>
      <c r="C29" s="95">
        <v>7445.3999999999987</v>
      </c>
      <c r="D29" s="52">
        <v>1.38E-2</v>
      </c>
      <c r="E29" s="52">
        <f t="shared" si="1"/>
        <v>-0.53378378378378377</v>
      </c>
      <c r="F29" s="188">
        <f t="shared" si="0"/>
        <v>-3974.2337837837831</v>
      </c>
      <c r="G29" s="186">
        <f t="shared" si="2"/>
        <v>3471.1662162162156</v>
      </c>
      <c r="H29" s="53">
        <v>1.9789049472734698E-2</v>
      </c>
    </row>
    <row r="30" spans="1:8" outlineLevel="1" x14ac:dyDescent="0.3">
      <c r="A30" s="66" t="s">
        <v>385</v>
      </c>
      <c r="B30" s="52">
        <v>6.3200000000000006E-2</v>
      </c>
      <c r="C30" s="95">
        <v>70765.029999999984</v>
      </c>
      <c r="D30" s="52">
        <v>2.3799999999999998E-2</v>
      </c>
      <c r="E30" s="52">
        <f t="shared" si="1"/>
        <v>-0.62341772151898733</v>
      </c>
      <c r="F30" s="188">
        <f t="shared" si="0"/>
        <v>-44116.173765822772</v>
      </c>
      <c r="G30" s="186">
        <f t="shared" si="2"/>
        <v>26648.856234177212</v>
      </c>
      <c r="H30" s="53">
        <v>5.9095958832763043E-2</v>
      </c>
    </row>
    <row r="31" spans="1:8" outlineLevel="1" x14ac:dyDescent="0.3">
      <c r="A31" s="66" t="s">
        <v>386</v>
      </c>
      <c r="B31" s="52">
        <v>6.7699999999999996E-2</v>
      </c>
      <c r="C31" s="95">
        <v>72526.899999999994</v>
      </c>
      <c r="D31" s="52">
        <v>2.01E-2</v>
      </c>
      <c r="E31" s="52">
        <f t="shared" si="1"/>
        <v>-0.70310192023633677</v>
      </c>
      <c r="F31" s="188">
        <f t="shared" si="0"/>
        <v>-50993.802658788773</v>
      </c>
      <c r="G31" s="186">
        <f t="shared" si="2"/>
        <v>21533.097341211222</v>
      </c>
      <c r="H31" s="52">
        <v>6.7699999999999996E-2</v>
      </c>
    </row>
    <row r="32" spans="1:8" outlineLevel="1" x14ac:dyDescent="0.3">
      <c r="A32" s="66" t="s">
        <v>387</v>
      </c>
      <c r="B32" s="52">
        <v>4.1599999999999998E-2</v>
      </c>
      <c r="C32" s="95">
        <v>179945.64</v>
      </c>
      <c r="D32" s="52">
        <v>1.6299999999999999E-2</v>
      </c>
      <c r="E32" s="52">
        <f t="shared" si="1"/>
        <v>-0.60817307692307687</v>
      </c>
      <c r="F32" s="188">
        <f t="shared" si="0"/>
        <v>-109438.09355769231</v>
      </c>
      <c r="G32" s="186">
        <f t="shared" si="2"/>
        <v>70507.546442307706</v>
      </c>
      <c r="H32" s="52">
        <v>4.1599999999999998E-2</v>
      </c>
    </row>
    <row r="33" spans="1:8" outlineLevel="1" x14ac:dyDescent="0.3">
      <c r="A33" s="66" t="s">
        <v>388</v>
      </c>
      <c r="B33" s="52">
        <v>6.8000000000000005E-2</v>
      </c>
      <c r="C33" s="95">
        <v>81123.16</v>
      </c>
      <c r="D33" s="52">
        <v>1.9300000000000001E-2</v>
      </c>
      <c r="E33" s="52">
        <f t="shared" si="1"/>
        <v>-0.7161764705882353</v>
      </c>
      <c r="F33" s="188">
        <f t="shared" si="0"/>
        <v>-58098.498411764711</v>
      </c>
      <c r="G33" s="186">
        <f t="shared" si="2"/>
        <v>23024.661588235293</v>
      </c>
      <c r="H33" s="52">
        <v>6.8000000000000005E-2</v>
      </c>
    </row>
    <row r="34" spans="1:8" ht="15" thickBot="1" x14ac:dyDescent="0.35">
      <c r="C34" s="122">
        <f>SUM(C4:C33)</f>
        <v>37470135.409999989</v>
      </c>
      <c r="F34" s="122">
        <f>SUM(F4:F33)</f>
        <v>-25888816.512075238</v>
      </c>
      <c r="G34" s="122">
        <f>SUM(G4:G33)</f>
        <v>11581318.897924757</v>
      </c>
    </row>
    <row r="35" spans="1:8" ht="15" thickTop="1" x14ac:dyDescent="0.3">
      <c r="B35" s="193" t="s">
        <v>345</v>
      </c>
      <c r="C35" s="95">
        <v>0</v>
      </c>
      <c r="F35" s="68">
        <f>-F34/C34</f>
        <v>0.6909186804050369</v>
      </c>
    </row>
    <row r="37" spans="1:8" x14ac:dyDescent="0.3">
      <c r="B37" s="193" t="s">
        <v>389</v>
      </c>
      <c r="C37" s="95">
        <v>13154447.09</v>
      </c>
    </row>
    <row r="38" spans="1:8" x14ac:dyDescent="0.3">
      <c r="B38" s="193" t="s">
        <v>390</v>
      </c>
      <c r="C38" s="95">
        <v>41353312.649320357</v>
      </c>
    </row>
    <row r="39" spans="1:8" ht="15" thickBot="1" x14ac:dyDescent="0.35">
      <c r="B39" s="193" t="s">
        <v>391</v>
      </c>
      <c r="C39" s="307">
        <f>C38-C37</f>
        <v>28198865.559320357</v>
      </c>
      <c r="D39" s="308">
        <f>C39/C38</f>
        <v>0.68190100750692351</v>
      </c>
    </row>
    <row r="40" spans="1:8" ht="15" thickTop="1" x14ac:dyDescent="0.3"/>
  </sheetData>
  <printOptions horizontalCentered="1"/>
  <pageMargins left="0.7" right="0.7" top="0.5" bottom="0.5" header="0.3" footer="0.3"/>
  <pageSetup scale="4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13"/>
  <sheetViews>
    <sheetView zoomScale="85" zoomScaleNormal="85" workbookViewId="0">
      <pane xSplit="2" ySplit="6" topLeftCell="W9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8.6640625" defaultRowHeight="14.4" outlineLevelRow="1" x14ac:dyDescent="0.3"/>
  <cols>
    <col min="1" max="1" width="4.88671875" style="15" bestFit="1" customWidth="1"/>
    <col min="2" max="2" width="40.88671875" style="15" bestFit="1" customWidth="1"/>
    <col min="3" max="3" width="17.88671875" style="15" bestFit="1" customWidth="1"/>
    <col min="4" max="6" width="13.44140625" style="15" bestFit="1" customWidth="1"/>
    <col min="7" max="7" width="16" style="15" bestFit="1" customWidth="1"/>
    <col min="8" max="8" width="9.88671875" style="15" bestFit="1" customWidth="1"/>
    <col min="9" max="9" width="16" style="15" bestFit="1" customWidth="1"/>
    <col min="10" max="10" width="13.6640625" style="15" bestFit="1" customWidth="1"/>
    <col min="11" max="12" width="13.44140625" style="15" bestFit="1" customWidth="1"/>
    <col min="13" max="13" width="16.6640625" style="15" customWidth="1"/>
    <col min="14" max="14" width="22.44140625" style="15" bestFit="1" customWidth="1"/>
    <col min="15" max="15" width="8.6640625" style="15"/>
    <col min="16" max="16" width="17.88671875" style="15" bestFit="1" customWidth="1"/>
    <col min="17" max="19" width="13.44140625" style="15" bestFit="1" customWidth="1"/>
    <col min="20" max="20" width="16" style="15" bestFit="1" customWidth="1"/>
    <col min="21" max="21" width="9.88671875" style="15" bestFit="1" customWidth="1"/>
    <col min="22" max="22" width="16" style="15" bestFit="1" customWidth="1"/>
    <col min="23" max="23" width="13.6640625" style="15" bestFit="1" customWidth="1"/>
    <col min="24" max="25" width="13.44140625" style="15" bestFit="1" customWidth="1"/>
    <col min="26" max="26" width="16.6640625" style="15" customWidth="1"/>
    <col min="27" max="27" width="8.6640625" style="15"/>
    <col min="28" max="28" width="17.88671875" style="15" bestFit="1" customWidth="1"/>
    <col min="29" max="31" width="13.44140625" style="15" bestFit="1" customWidth="1"/>
    <col min="32" max="32" width="16" style="15" bestFit="1" customWidth="1"/>
    <col min="33" max="33" width="9.88671875" style="15" bestFit="1" customWidth="1"/>
    <col min="34" max="34" width="16" style="15" bestFit="1" customWidth="1"/>
    <col min="35" max="35" width="13.6640625" style="15" bestFit="1" customWidth="1"/>
    <col min="36" max="37" width="13.44140625" style="15" bestFit="1" customWidth="1"/>
    <col min="38" max="38" width="16.6640625" style="15" customWidth="1"/>
    <col min="39" max="39" width="8.6640625" style="15"/>
    <col min="40" max="42" width="16.6640625" style="15" customWidth="1"/>
    <col min="43" max="16384" width="8.6640625" style="15"/>
  </cols>
  <sheetData>
    <row r="1" spans="1:38" ht="15" customHeight="1" outlineLevel="1" x14ac:dyDescent="0.3">
      <c r="A1" s="66"/>
    </row>
    <row r="2" spans="1:38" ht="15" customHeight="1" outlineLevel="1" x14ac:dyDescent="0.3">
      <c r="A2" s="66"/>
    </row>
    <row r="3" spans="1:38" ht="15" customHeight="1" outlineLevel="1" x14ac:dyDescent="0.3"/>
    <row r="4" spans="1:38" x14ac:dyDescent="0.3">
      <c r="A4" s="66" t="s">
        <v>601</v>
      </c>
      <c r="B4" s="155"/>
      <c r="C4" s="156" t="s">
        <v>12</v>
      </c>
      <c r="D4" s="156"/>
      <c r="E4" s="156"/>
      <c r="F4" s="156"/>
      <c r="G4" s="156"/>
      <c r="I4" s="79" t="s">
        <v>202</v>
      </c>
      <c r="J4" s="79"/>
      <c r="K4" s="79"/>
      <c r="L4" s="79"/>
      <c r="M4" s="79"/>
      <c r="P4" s="156" t="s">
        <v>12</v>
      </c>
      <c r="Q4" s="156"/>
      <c r="R4" s="156"/>
      <c r="S4" s="156"/>
      <c r="T4" s="156"/>
      <c r="V4" s="79" t="s">
        <v>202</v>
      </c>
      <c r="W4" s="79"/>
      <c r="X4" s="79"/>
      <c r="Y4" s="79"/>
      <c r="Z4" s="79"/>
      <c r="AB4" s="156" t="s">
        <v>12</v>
      </c>
      <c r="AC4" s="156"/>
      <c r="AD4" s="156"/>
      <c r="AE4" s="156"/>
      <c r="AF4" s="156"/>
      <c r="AH4" s="79" t="s">
        <v>202</v>
      </c>
      <c r="AI4" s="79"/>
      <c r="AJ4" s="79"/>
      <c r="AK4" s="79"/>
      <c r="AL4" s="79"/>
    </row>
    <row r="5" spans="1:38" ht="28.8" x14ac:dyDescent="0.3">
      <c r="A5" s="157" t="s">
        <v>587</v>
      </c>
      <c r="B5" s="433"/>
      <c r="C5" s="157" t="s">
        <v>592</v>
      </c>
      <c r="D5" s="157" t="s">
        <v>190</v>
      </c>
      <c r="E5" s="157" t="s">
        <v>17</v>
      </c>
      <c r="F5" s="157" t="s">
        <v>18</v>
      </c>
      <c r="G5" s="157" t="s">
        <v>19</v>
      </c>
      <c r="H5" s="157" t="s">
        <v>20</v>
      </c>
      <c r="I5" s="157" t="s">
        <v>21</v>
      </c>
      <c r="J5" s="157" t="s">
        <v>190</v>
      </c>
      <c r="K5" s="157" t="s">
        <v>17</v>
      </c>
      <c r="L5" s="157" t="s">
        <v>18</v>
      </c>
      <c r="M5" s="157" t="s">
        <v>591</v>
      </c>
      <c r="P5" s="157" t="s">
        <v>592</v>
      </c>
      <c r="Q5" s="157" t="s">
        <v>190</v>
      </c>
      <c r="R5" s="157" t="s">
        <v>17</v>
      </c>
      <c r="S5" s="157" t="s">
        <v>18</v>
      </c>
      <c r="T5" s="157" t="s">
        <v>19</v>
      </c>
      <c r="U5" s="157" t="s">
        <v>20</v>
      </c>
      <c r="V5" s="157" t="s">
        <v>21</v>
      </c>
      <c r="W5" s="157" t="s">
        <v>190</v>
      </c>
      <c r="X5" s="157" t="s">
        <v>17</v>
      </c>
      <c r="Y5" s="157" t="s">
        <v>18</v>
      </c>
      <c r="Z5" s="157" t="s">
        <v>591</v>
      </c>
      <c r="AB5" s="157" t="s">
        <v>592</v>
      </c>
      <c r="AC5" s="157" t="s">
        <v>190</v>
      </c>
      <c r="AD5" s="157" t="s">
        <v>17</v>
      </c>
      <c r="AE5" s="157" t="s">
        <v>18</v>
      </c>
      <c r="AF5" s="157" t="s">
        <v>19</v>
      </c>
      <c r="AG5" s="157" t="s">
        <v>20</v>
      </c>
      <c r="AH5" s="157" t="s">
        <v>21</v>
      </c>
      <c r="AI5" s="157" t="s">
        <v>190</v>
      </c>
      <c r="AJ5" s="157" t="s">
        <v>17</v>
      </c>
      <c r="AK5" s="157" t="s">
        <v>18</v>
      </c>
      <c r="AL5" s="157" t="s">
        <v>591</v>
      </c>
    </row>
    <row r="6" spans="1:38" x14ac:dyDescent="0.3">
      <c r="A6" s="76"/>
      <c r="B6" s="76"/>
      <c r="C6" s="24" t="s">
        <v>353</v>
      </c>
      <c r="D6" s="24" t="s">
        <v>354</v>
      </c>
      <c r="E6" s="24" t="s">
        <v>355</v>
      </c>
      <c r="F6" s="24" t="s">
        <v>581</v>
      </c>
      <c r="G6" s="24" t="s">
        <v>589</v>
      </c>
      <c r="H6" s="24" t="s">
        <v>582</v>
      </c>
      <c r="I6" s="24" t="s">
        <v>242</v>
      </c>
      <c r="J6" s="24" t="s">
        <v>583</v>
      </c>
      <c r="K6" s="24" t="s">
        <v>584</v>
      </c>
      <c r="L6" s="24" t="s">
        <v>585</v>
      </c>
      <c r="M6" s="24" t="s">
        <v>593</v>
      </c>
      <c r="P6" s="24" t="s">
        <v>353</v>
      </c>
      <c r="Q6" s="24" t="s">
        <v>354</v>
      </c>
      <c r="R6" s="24" t="s">
        <v>355</v>
      </c>
      <c r="S6" s="24" t="s">
        <v>581</v>
      </c>
      <c r="T6" s="24" t="s">
        <v>589</v>
      </c>
      <c r="U6" s="24" t="s">
        <v>582</v>
      </c>
      <c r="V6" s="24" t="s">
        <v>242</v>
      </c>
      <c r="W6" s="24" t="s">
        <v>583</v>
      </c>
      <c r="X6" s="24" t="s">
        <v>584</v>
      </c>
      <c r="Y6" s="24" t="s">
        <v>585</v>
      </c>
      <c r="Z6" s="24" t="s">
        <v>593</v>
      </c>
      <c r="AB6" s="24" t="s">
        <v>353</v>
      </c>
      <c r="AC6" s="24" t="s">
        <v>354</v>
      </c>
      <c r="AD6" s="24" t="s">
        <v>355</v>
      </c>
      <c r="AE6" s="24" t="s">
        <v>581</v>
      </c>
      <c r="AF6" s="24" t="s">
        <v>589</v>
      </c>
      <c r="AG6" s="24" t="s">
        <v>582</v>
      </c>
      <c r="AH6" s="24" t="s">
        <v>242</v>
      </c>
      <c r="AI6" s="24" t="s">
        <v>583</v>
      </c>
      <c r="AJ6" s="24" t="s">
        <v>584</v>
      </c>
      <c r="AK6" s="24" t="s">
        <v>585</v>
      </c>
      <c r="AL6" s="24" t="s">
        <v>593</v>
      </c>
    </row>
    <row r="7" spans="1:38" x14ac:dyDescent="0.3">
      <c r="A7" s="158">
        <f>IF(ISBLANK(B7),"",MAX(A$6:A6)+1)</f>
        <v>1</v>
      </c>
      <c r="B7" s="159" t="s">
        <v>23</v>
      </c>
    </row>
    <row r="8" spans="1:38" x14ac:dyDescent="0.3">
      <c r="A8" s="158">
        <f>IF(ISBLANK(B8),"",MAX(A$6:A7)+1)</f>
        <v>2</v>
      </c>
      <c r="B8" s="15" t="s">
        <v>24</v>
      </c>
      <c r="C8" s="499">
        <v>434673079.7856375</v>
      </c>
      <c r="D8" s="499"/>
      <c r="E8" s="499"/>
      <c r="F8" s="499"/>
      <c r="G8" s="499">
        <v>434673079.7856375</v>
      </c>
      <c r="H8" s="52"/>
      <c r="I8" s="499">
        <v>448235286.15228266</v>
      </c>
      <c r="J8" s="499"/>
      <c r="K8" s="499"/>
      <c r="L8" s="499"/>
      <c r="M8" s="499">
        <v>448235286.15228266</v>
      </c>
      <c r="N8" s="16"/>
      <c r="P8" s="499">
        <v>434643649.76651776</v>
      </c>
      <c r="Q8" s="499"/>
      <c r="R8" s="499"/>
      <c r="S8" s="499"/>
      <c r="T8" s="499">
        <v>434643649.76651776</v>
      </c>
      <c r="U8" s="52"/>
      <c r="V8" s="499">
        <v>448235286.15228266</v>
      </c>
      <c r="W8" s="499"/>
      <c r="X8" s="499"/>
      <c r="Y8" s="499"/>
      <c r="Z8" s="499">
        <v>448235286.15228266</v>
      </c>
      <c r="AB8" s="499">
        <f>+C8-P8</f>
        <v>29430.019119739532</v>
      </c>
      <c r="AC8" s="499">
        <f t="shared" ref="AC8:AL23" si="0">+D8-Q8</f>
        <v>0</v>
      </c>
      <c r="AD8" s="499">
        <f t="shared" si="0"/>
        <v>0</v>
      </c>
      <c r="AE8" s="499">
        <f t="shared" si="0"/>
        <v>0</v>
      </c>
      <c r="AF8" s="499">
        <f t="shared" si="0"/>
        <v>29430.019119739532</v>
      </c>
      <c r="AG8" s="52">
        <f t="shared" si="0"/>
        <v>0</v>
      </c>
      <c r="AH8" s="499">
        <f t="shared" si="0"/>
        <v>0</v>
      </c>
      <c r="AI8" s="499">
        <f t="shared" si="0"/>
        <v>0</v>
      </c>
      <c r="AJ8" s="499">
        <f t="shared" si="0"/>
        <v>0</v>
      </c>
      <c r="AK8" s="499">
        <f t="shared" si="0"/>
        <v>0</v>
      </c>
      <c r="AL8" s="499">
        <f t="shared" si="0"/>
        <v>0</v>
      </c>
    </row>
    <row r="9" spans="1:38" x14ac:dyDescent="0.3">
      <c r="A9" s="158">
        <f>IF(ISBLANK(B9),"",MAX(A$6:A8)+1)</f>
        <v>3</v>
      </c>
      <c r="B9" s="15" t="s">
        <v>176</v>
      </c>
      <c r="C9" s="57">
        <v>0</v>
      </c>
      <c r="D9" s="57"/>
      <c r="E9" s="57"/>
      <c r="F9" s="57"/>
      <c r="G9" s="57">
        <v>0</v>
      </c>
      <c r="H9" s="59"/>
      <c r="I9" s="57">
        <v>0</v>
      </c>
      <c r="J9" s="57"/>
      <c r="K9" s="57"/>
      <c r="L9" s="57"/>
      <c r="M9" s="57">
        <v>0</v>
      </c>
      <c r="P9" s="57">
        <v>0</v>
      </c>
      <c r="Q9" s="57"/>
      <c r="R9" s="57"/>
      <c r="S9" s="57"/>
      <c r="T9" s="57">
        <v>0</v>
      </c>
      <c r="U9" s="59"/>
      <c r="V9" s="57">
        <v>0</v>
      </c>
      <c r="W9" s="57"/>
      <c r="X9" s="57"/>
      <c r="Y9" s="57"/>
      <c r="Z9" s="57">
        <v>0</v>
      </c>
      <c r="AB9" s="57">
        <f t="shared" ref="AB9:AL45" si="1">+C9-P9</f>
        <v>0</v>
      </c>
      <c r="AC9" s="57">
        <f t="shared" si="0"/>
        <v>0</v>
      </c>
      <c r="AD9" s="57">
        <f t="shared" si="0"/>
        <v>0</v>
      </c>
      <c r="AE9" s="57">
        <f t="shared" si="0"/>
        <v>0</v>
      </c>
      <c r="AF9" s="57">
        <f t="shared" si="0"/>
        <v>0</v>
      </c>
      <c r="AG9" s="59">
        <f t="shared" si="0"/>
        <v>0</v>
      </c>
      <c r="AH9" s="57">
        <f t="shared" si="0"/>
        <v>0</v>
      </c>
      <c r="AI9" s="57">
        <f t="shared" si="0"/>
        <v>0</v>
      </c>
      <c r="AJ9" s="57">
        <f t="shared" si="0"/>
        <v>0</v>
      </c>
      <c r="AK9" s="57">
        <f t="shared" si="0"/>
        <v>0</v>
      </c>
      <c r="AL9" s="57">
        <f t="shared" si="0"/>
        <v>0</v>
      </c>
    </row>
    <row r="10" spans="1:38" x14ac:dyDescent="0.3">
      <c r="A10" s="158">
        <f>IF(ISBLANK(B10),"",MAX(A$6:A9)+1)</f>
        <v>4</v>
      </c>
      <c r="B10" s="15" t="s">
        <v>27</v>
      </c>
      <c r="C10" s="500">
        <v>14089923.029999997</v>
      </c>
      <c r="D10" s="500"/>
      <c r="E10" s="500"/>
      <c r="F10" s="500"/>
      <c r="G10" s="500">
        <v>14089923.029999997</v>
      </c>
      <c r="H10" s="59">
        <v>2.5999649153138904E-2</v>
      </c>
      <c r="I10" s="500">
        <v>14959558.713321999</v>
      </c>
      <c r="J10" s="500"/>
      <c r="K10" s="500"/>
      <c r="L10" s="500"/>
      <c r="M10" s="500">
        <v>14959558.713321999</v>
      </c>
      <c r="P10" s="500">
        <v>14089923.029999997</v>
      </c>
      <c r="Q10" s="500"/>
      <c r="R10" s="500"/>
      <c r="S10" s="500"/>
      <c r="T10" s="500">
        <v>14089923.029999997</v>
      </c>
      <c r="U10" s="59">
        <v>2.5999649153138904E-2</v>
      </c>
      <c r="V10" s="500">
        <v>14959558.713321999</v>
      </c>
      <c r="W10" s="500"/>
      <c r="X10" s="500"/>
      <c r="Y10" s="500"/>
      <c r="Z10" s="500">
        <v>14959558.713321999</v>
      </c>
      <c r="AB10" s="500">
        <f t="shared" si="1"/>
        <v>0</v>
      </c>
      <c r="AC10" s="500">
        <f t="shared" si="0"/>
        <v>0</v>
      </c>
      <c r="AD10" s="500">
        <f t="shared" si="0"/>
        <v>0</v>
      </c>
      <c r="AE10" s="500">
        <f t="shared" si="0"/>
        <v>0</v>
      </c>
      <c r="AF10" s="500">
        <f t="shared" si="0"/>
        <v>0</v>
      </c>
      <c r="AG10" s="59">
        <f t="shared" si="0"/>
        <v>0</v>
      </c>
      <c r="AH10" s="500">
        <f t="shared" si="0"/>
        <v>0</v>
      </c>
      <c r="AI10" s="500">
        <f t="shared" si="0"/>
        <v>0</v>
      </c>
      <c r="AJ10" s="500">
        <f t="shared" si="0"/>
        <v>0</v>
      </c>
      <c r="AK10" s="500">
        <f t="shared" si="0"/>
        <v>0</v>
      </c>
      <c r="AL10" s="500">
        <f t="shared" si="0"/>
        <v>0</v>
      </c>
    </row>
    <row r="11" spans="1:38" x14ac:dyDescent="0.3">
      <c r="A11" s="158">
        <f>IF(ISBLANK(B11),"",MAX(A$6:A10)+1)</f>
        <v>5</v>
      </c>
      <c r="B11" s="15" t="s">
        <v>28</v>
      </c>
      <c r="C11" s="501">
        <v>448763002.81563747</v>
      </c>
      <c r="D11" s="501">
        <v>0</v>
      </c>
      <c r="E11" s="501">
        <v>0</v>
      </c>
      <c r="F11" s="501">
        <v>0</v>
      </c>
      <c r="G11" s="501">
        <v>448763002.81563747</v>
      </c>
      <c r="H11" s="26">
        <v>1.3657949920243828E-2</v>
      </c>
      <c r="I11" s="501">
        <v>463194844.86560464</v>
      </c>
      <c r="J11" s="501">
        <v>0</v>
      </c>
      <c r="K11" s="501">
        <v>0</v>
      </c>
      <c r="L11" s="501">
        <v>0</v>
      </c>
      <c r="M11" s="501">
        <v>463194844.86560464</v>
      </c>
      <c r="P11" s="501">
        <v>448733572.79651773</v>
      </c>
      <c r="Q11" s="501">
        <v>0</v>
      </c>
      <c r="R11" s="501">
        <v>0</v>
      </c>
      <c r="S11" s="501">
        <v>0</v>
      </c>
      <c r="T11" s="501">
        <v>448733572.79651773</v>
      </c>
      <c r="U11" s="26">
        <v>1.3686440972462188E-2</v>
      </c>
      <c r="V11" s="501">
        <v>463194844.86560464</v>
      </c>
      <c r="W11" s="501">
        <v>0</v>
      </c>
      <c r="X11" s="501">
        <v>0</v>
      </c>
      <c r="Y11" s="501">
        <v>0</v>
      </c>
      <c r="Z11" s="501">
        <v>463194844.86560464</v>
      </c>
      <c r="AB11" s="501">
        <f t="shared" si="1"/>
        <v>29430.019119739532</v>
      </c>
      <c r="AC11" s="501">
        <f t="shared" si="0"/>
        <v>0</v>
      </c>
      <c r="AD11" s="501">
        <f t="shared" si="0"/>
        <v>0</v>
      </c>
      <c r="AE11" s="501">
        <f t="shared" si="0"/>
        <v>0</v>
      </c>
      <c r="AF11" s="501">
        <f t="shared" si="0"/>
        <v>29430.019119739532</v>
      </c>
      <c r="AG11" s="26">
        <f t="shared" si="0"/>
        <v>-2.8491052218360124E-5</v>
      </c>
      <c r="AH11" s="501">
        <f t="shared" si="0"/>
        <v>0</v>
      </c>
      <c r="AI11" s="501">
        <f t="shared" si="0"/>
        <v>0</v>
      </c>
      <c r="AJ11" s="501">
        <f t="shared" si="0"/>
        <v>0</v>
      </c>
      <c r="AK11" s="501">
        <f t="shared" si="0"/>
        <v>0</v>
      </c>
      <c r="AL11" s="501">
        <f t="shared" si="0"/>
        <v>0</v>
      </c>
    </row>
    <row r="12" spans="1:38" x14ac:dyDescent="0.3">
      <c r="A12" s="158" t="str">
        <f>IF(ISBLANK(B12),"",MAX(A$6:A11)+1)</f>
        <v/>
      </c>
      <c r="C12" s="76"/>
      <c r="D12" s="76"/>
      <c r="E12" s="76"/>
      <c r="F12" s="76"/>
      <c r="G12" s="76"/>
      <c r="H12" s="25"/>
      <c r="I12" s="76"/>
      <c r="J12" s="76"/>
      <c r="K12" s="76"/>
      <c r="L12" s="76"/>
      <c r="M12" s="76"/>
      <c r="P12" s="76"/>
      <c r="Q12" s="76"/>
      <c r="R12" s="76"/>
      <c r="S12" s="76"/>
      <c r="T12" s="76"/>
      <c r="U12" s="25"/>
      <c r="V12" s="76"/>
      <c r="W12" s="76"/>
      <c r="X12" s="76"/>
      <c r="Y12" s="76"/>
      <c r="Z12" s="76"/>
      <c r="AB12" s="76">
        <f t="shared" si="1"/>
        <v>0</v>
      </c>
      <c r="AC12" s="76">
        <f t="shared" si="0"/>
        <v>0</v>
      </c>
      <c r="AD12" s="76">
        <f t="shared" si="0"/>
        <v>0</v>
      </c>
      <c r="AE12" s="76">
        <f t="shared" si="0"/>
        <v>0</v>
      </c>
      <c r="AF12" s="76">
        <f t="shared" si="0"/>
        <v>0</v>
      </c>
      <c r="AG12" s="25">
        <f t="shared" si="0"/>
        <v>0</v>
      </c>
      <c r="AH12" s="76">
        <f t="shared" si="0"/>
        <v>0</v>
      </c>
      <c r="AI12" s="76">
        <f t="shared" si="0"/>
        <v>0</v>
      </c>
      <c r="AJ12" s="76">
        <f t="shared" si="0"/>
        <v>0</v>
      </c>
      <c r="AK12" s="76">
        <f t="shared" si="0"/>
        <v>0</v>
      </c>
      <c r="AL12" s="76">
        <f t="shared" si="0"/>
        <v>0</v>
      </c>
    </row>
    <row r="13" spans="1:38" x14ac:dyDescent="0.3">
      <c r="A13" s="158" t="str">
        <f>IF(ISBLANK(B13),"",MAX(A$6:A12)+1)</f>
        <v/>
      </c>
      <c r="C13" s="168"/>
      <c r="D13" s="168"/>
      <c r="E13" s="168"/>
      <c r="F13" s="168"/>
      <c r="G13" s="168"/>
      <c r="H13" s="25"/>
      <c r="I13" s="168"/>
      <c r="J13" s="168"/>
      <c r="K13" s="168"/>
      <c r="L13" s="168"/>
      <c r="M13" s="168"/>
      <c r="P13" s="168"/>
      <c r="Q13" s="168"/>
      <c r="R13" s="168"/>
      <c r="S13" s="168"/>
      <c r="T13" s="168"/>
      <c r="U13" s="25"/>
      <c r="V13" s="168"/>
      <c r="W13" s="168"/>
      <c r="X13" s="168"/>
      <c r="Y13" s="168"/>
      <c r="Z13" s="168"/>
      <c r="AB13" s="168">
        <f t="shared" si="1"/>
        <v>0</v>
      </c>
      <c r="AC13" s="168">
        <f t="shared" si="0"/>
        <v>0</v>
      </c>
      <c r="AD13" s="168">
        <f t="shared" si="0"/>
        <v>0</v>
      </c>
      <c r="AE13" s="168">
        <f t="shared" si="0"/>
        <v>0</v>
      </c>
      <c r="AF13" s="168">
        <f t="shared" si="0"/>
        <v>0</v>
      </c>
      <c r="AG13" s="25">
        <f t="shared" si="0"/>
        <v>0</v>
      </c>
      <c r="AH13" s="168">
        <f t="shared" si="0"/>
        <v>0</v>
      </c>
      <c r="AI13" s="168">
        <f t="shared" si="0"/>
        <v>0</v>
      </c>
      <c r="AJ13" s="168">
        <f t="shared" si="0"/>
        <v>0</v>
      </c>
      <c r="AK13" s="168">
        <f t="shared" si="0"/>
        <v>0</v>
      </c>
      <c r="AL13" s="168">
        <f t="shared" si="0"/>
        <v>0</v>
      </c>
    </row>
    <row r="14" spans="1:38" x14ac:dyDescent="0.3">
      <c r="A14" s="158">
        <f>IF(ISBLANK(B14),"",MAX(A$6:A13)+1)</f>
        <v>6</v>
      </c>
      <c r="B14" s="15" t="s">
        <v>29</v>
      </c>
      <c r="C14" s="168"/>
      <c r="D14" s="168"/>
      <c r="E14" s="168"/>
      <c r="F14" s="168"/>
      <c r="G14" s="168"/>
      <c r="H14" s="25"/>
      <c r="I14" s="168"/>
      <c r="J14" s="168"/>
      <c r="K14" s="168"/>
      <c r="L14" s="168"/>
      <c r="M14" s="168"/>
      <c r="P14" s="168"/>
      <c r="Q14" s="168"/>
      <c r="R14" s="168"/>
      <c r="S14" s="168"/>
      <c r="T14" s="168"/>
      <c r="U14" s="25"/>
      <c r="V14" s="168"/>
      <c r="W14" s="168"/>
      <c r="X14" s="168"/>
      <c r="Y14" s="168"/>
      <c r="Z14" s="168"/>
      <c r="AB14" s="168">
        <f t="shared" si="1"/>
        <v>0</v>
      </c>
      <c r="AC14" s="168">
        <f t="shared" si="0"/>
        <v>0</v>
      </c>
      <c r="AD14" s="168">
        <f t="shared" si="0"/>
        <v>0</v>
      </c>
      <c r="AE14" s="168">
        <f t="shared" si="0"/>
        <v>0</v>
      </c>
      <c r="AF14" s="168">
        <f t="shared" si="0"/>
        <v>0</v>
      </c>
      <c r="AG14" s="25">
        <f t="shared" si="0"/>
        <v>0</v>
      </c>
      <c r="AH14" s="168">
        <f t="shared" si="0"/>
        <v>0</v>
      </c>
      <c r="AI14" s="168">
        <f t="shared" si="0"/>
        <v>0</v>
      </c>
      <c r="AJ14" s="168">
        <f t="shared" si="0"/>
        <v>0</v>
      </c>
      <c r="AK14" s="168">
        <f t="shared" si="0"/>
        <v>0</v>
      </c>
      <c r="AL14" s="168">
        <f t="shared" si="0"/>
        <v>0</v>
      </c>
    </row>
    <row r="15" spans="1:38" x14ac:dyDescent="0.3">
      <c r="A15" s="158" t="str">
        <f>IF(ISBLANK(B15),"",MAX(A$6:A14)+1)</f>
        <v/>
      </c>
      <c r="C15" s="168"/>
      <c r="D15" s="168"/>
      <c r="E15" s="168"/>
      <c r="F15" s="168"/>
      <c r="G15" s="168"/>
      <c r="H15" s="25"/>
      <c r="I15" s="168"/>
      <c r="J15" s="168"/>
      <c r="K15" s="168"/>
      <c r="L15" s="168"/>
      <c r="M15" s="168"/>
      <c r="P15" s="168"/>
      <c r="Q15" s="168"/>
      <c r="R15" s="168"/>
      <c r="S15" s="168"/>
      <c r="T15" s="168"/>
      <c r="U15" s="25"/>
      <c r="V15" s="168"/>
      <c r="W15" s="168"/>
      <c r="X15" s="168"/>
      <c r="Y15" s="168"/>
      <c r="Z15" s="168"/>
      <c r="AB15" s="168">
        <f t="shared" si="1"/>
        <v>0</v>
      </c>
      <c r="AC15" s="168">
        <f t="shared" si="0"/>
        <v>0</v>
      </c>
      <c r="AD15" s="168">
        <f t="shared" si="0"/>
        <v>0</v>
      </c>
      <c r="AE15" s="168">
        <f t="shared" si="0"/>
        <v>0</v>
      </c>
      <c r="AF15" s="168">
        <f t="shared" si="0"/>
        <v>0</v>
      </c>
      <c r="AG15" s="25">
        <f t="shared" si="0"/>
        <v>0</v>
      </c>
      <c r="AH15" s="168">
        <f t="shared" si="0"/>
        <v>0</v>
      </c>
      <c r="AI15" s="168">
        <f t="shared" si="0"/>
        <v>0</v>
      </c>
      <c r="AJ15" s="168">
        <f t="shared" si="0"/>
        <v>0</v>
      </c>
      <c r="AK15" s="168">
        <f t="shared" si="0"/>
        <v>0</v>
      </c>
      <c r="AL15" s="168">
        <f t="shared" si="0"/>
        <v>0</v>
      </c>
    </row>
    <row r="16" spans="1:38" x14ac:dyDescent="0.3">
      <c r="A16" s="158">
        <f>IF(ISBLANK(B16),"",MAX(A$6:A15)+1)</f>
        <v>7</v>
      </c>
      <c r="B16" s="15" t="s">
        <v>177</v>
      </c>
      <c r="C16" s="168"/>
      <c r="D16" s="168"/>
      <c r="E16" s="168"/>
      <c r="F16" s="168"/>
      <c r="G16" s="168"/>
      <c r="H16" s="25"/>
      <c r="I16" s="168"/>
      <c r="J16" s="168"/>
      <c r="K16" s="168"/>
      <c r="L16" s="168"/>
      <c r="M16" s="168"/>
      <c r="P16" s="168"/>
      <c r="Q16" s="168"/>
      <c r="R16" s="168"/>
      <c r="S16" s="168"/>
      <c r="T16" s="168"/>
      <c r="U16" s="25"/>
      <c r="V16" s="168"/>
      <c r="W16" s="168"/>
      <c r="X16" s="168"/>
      <c r="Y16" s="168"/>
      <c r="Z16" s="168"/>
      <c r="AB16" s="168">
        <f t="shared" si="1"/>
        <v>0</v>
      </c>
      <c r="AC16" s="168">
        <f t="shared" si="0"/>
        <v>0</v>
      </c>
      <c r="AD16" s="168">
        <f t="shared" si="0"/>
        <v>0</v>
      </c>
      <c r="AE16" s="168">
        <f t="shared" si="0"/>
        <v>0</v>
      </c>
      <c r="AF16" s="168">
        <f t="shared" si="0"/>
        <v>0</v>
      </c>
      <c r="AG16" s="25">
        <f t="shared" si="0"/>
        <v>0</v>
      </c>
      <c r="AH16" s="168">
        <f t="shared" si="0"/>
        <v>0</v>
      </c>
      <c r="AI16" s="168">
        <f t="shared" si="0"/>
        <v>0</v>
      </c>
      <c r="AJ16" s="168">
        <f t="shared" si="0"/>
        <v>0</v>
      </c>
      <c r="AK16" s="168">
        <f t="shared" si="0"/>
        <v>0</v>
      </c>
      <c r="AL16" s="168">
        <f t="shared" si="0"/>
        <v>0</v>
      </c>
    </row>
    <row r="17" spans="1:38" x14ac:dyDescent="0.3">
      <c r="A17" s="158" t="str">
        <f>IF(ISBLANK(B17),"",MAX(A$6:A16)+1)</f>
        <v/>
      </c>
      <c r="C17" s="57"/>
      <c r="D17" s="57"/>
      <c r="E17" s="57"/>
      <c r="F17" s="57"/>
      <c r="G17" s="57"/>
      <c r="H17" s="25"/>
      <c r="I17" s="57"/>
      <c r="J17" s="57"/>
      <c r="K17" s="57"/>
      <c r="L17" s="57"/>
      <c r="M17" s="57"/>
      <c r="P17" s="57"/>
      <c r="Q17" s="57"/>
      <c r="R17" s="57"/>
      <c r="S17" s="57"/>
      <c r="T17" s="57"/>
      <c r="U17" s="25"/>
      <c r="V17" s="57"/>
      <c r="W17" s="57"/>
      <c r="X17" s="57"/>
      <c r="Y17" s="57"/>
      <c r="Z17" s="57"/>
      <c r="AB17" s="57">
        <f t="shared" si="1"/>
        <v>0</v>
      </c>
      <c r="AC17" s="57">
        <f t="shared" si="0"/>
        <v>0</v>
      </c>
      <c r="AD17" s="57">
        <f t="shared" si="0"/>
        <v>0</v>
      </c>
      <c r="AE17" s="57">
        <f t="shared" si="0"/>
        <v>0</v>
      </c>
      <c r="AF17" s="57">
        <f t="shared" si="0"/>
        <v>0</v>
      </c>
      <c r="AG17" s="25">
        <f t="shared" si="0"/>
        <v>0</v>
      </c>
      <c r="AH17" s="57">
        <f t="shared" si="0"/>
        <v>0</v>
      </c>
      <c r="AI17" s="57">
        <f t="shared" si="0"/>
        <v>0</v>
      </c>
      <c r="AJ17" s="57">
        <f t="shared" si="0"/>
        <v>0</v>
      </c>
      <c r="AK17" s="57">
        <f t="shared" si="0"/>
        <v>0</v>
      </c>
      <c r="AL17" s="57">
        <f t="shared" si="0"/>
        <v>0</v>
      </c>
    </row>
    <row r="18" spans="1:38" x14ac:dyDescent="0.3">
      <c r="A18" s="158">
        <f>IF(ISBLANK(B18),"",MAX(A$6:A17)+1)</f>
        <v>8</v>
      </c>
      <c r="B18" s="15" t="s">
        <v>178</v>
      </c>
      <c r="C18" s="499">
        <v>0</v>
      </c>
      <c r="D18" s="499"/>
      <c r="E18" s="499"/>
      <c r="F18" s="499"/>
      <c r="G18" s="499">
        <v>0</v>
      </c>
      <c r="H18" s="59"/>
      <c r="I18" s="499">
        <v>0</v>
      </c>
      <c r="J18" s="499"/>
      <c r="K18" s="499"/>
      <c r="L18" s="499"/>
      <c r="M18" s="499">
        <v>0</v>
      </c>
      <c r="P18" s="499">
        <v>0</v>
      </c>
      <c r="Q18" s="499"/>
      <c r="R18" s="499"/>
      <c r="S18" s="499"/>
      <c r="T18" s="499">
        <v>0</v>
      </c>
      <c r="U18" s="59"/>
      <c r="V18" s="499">
        <v>0</v>
      </c>
      <c r="W18" s="499"/>
      <c r="X18" s="499"/>
      <c r="Y18" s="499"/>
      <c r="Z18" s="499">
        <v>0</v>
      </c>
      <c r="AB18" s="499">
        <f t="shared" si="1"/>
        <v>0</v>
      </c>
      <c r="AC18" s="499">
        <f t="shared" si="0"/>
        <v>0</v>
      </c>
      <c r="AD18" s="499">
        <f t="shared" si="0"/>
        <v>0</v>
      </c>
      <c r="AE18" s="499">
        <f t="shared" si="0"/>
        <v>0</v>
      </c>
      <c r="AF18" s="499">
        <f t="shared" si="0"/>
        <v>0</v>
      </c>
      <c r="AG18" s="59">
        <f t="shared" si="0"/>
        <v>0</v>
      </c>
      <c r="AH18" s="499">
        <f t="shared" si="0"/>
        <v>0</v>
      </c>
      <c r="AI18" s="499">
        <f t="shared" si="0"/>
        <v>0</v>
      </c>
      <c r="AJ18" s="499">
        <f t="shared" si="0"/>
        <v>0</v>
      </c>
      <c r="AK18" s="499">
        <f t="shared" si="0"/>
        <v>0</v>
      </c>
      <c r="AL18" s="499">
        <f t="shared" si="0"/>
        <v>0</v>
      </c>
    </row>
    <row r="19" spans="1:38" x14ac:dyDescent="0.3">
      <c r="A19" s="158" t="str">
        <f>IF(ISBLANK(B19),"",MAX(A$6:A18)+1)</f>
        <v/>
      </c>
      <c r="C19" s="57"/>
      <c r="D19" s="57"/>
      <c r="E19" s="57"/>
      <c r="F19" s="57"/>
      <c r="G19" s="57"/>
      <c r="H19" s="25"/>
      <c r="I19" s="57"/>
      <c r="J19" s="57"/>
      <c r="K19" s="57"/>
      <c r="L19" s="57"/>
      <c r="M19" s="57"/>
      <c r="P19" s="57"/>
      <c r="Q19" s="57"/>
      <c r="R19" s="57"/>
      <c r="S19" s="57"/>
      <c r="T19" s="57"/>
      <c r="U19" s="25"/>
      <c r="V19" s="57"/>
      <c r="W19" s="57"/>
      <c r="X19" s="57"/>
      <c r="Y19" s="57"/>
      <c r="Z19" s="57"/>
      <c r="AB19" s="57">
        <f t="shared" si="1"/>
        <v>0</v>
      </c>
      <c r="AC19" s="57">
        <f t="shared" si="0"/>
        <v>0</v>
      </c>
      <c r="AD19" s="57">
        <f t="shared" si="0"/>
        <v>0</v>
      </c>
      <c r="AE19" s="57">
        <f t="shared" si="0"/>
        <v>0</v>
      </c>
      <c r="AF19" s="57">
        <f t="shared" si="0"/>
        <v>0</v>
      </c>
      <c r="AG19" s="25">
        <f t="shared" si="0"/>
        <v>0</v>
      </c>
      <c r="AH19" s="57">
        <f t="shared" si="0"/>
        <v>0</v>
      </c>
      <c r="AI19" s="57">
        <f t="shared" si="0"/>
        <v>0</v>
      </c>
      <c r="AJ19" s="57">
        <f t="shared" si="0"/>
        <v>0</v>
      </c>
      <c r="AK19" s="57">
        <f t="shared" si="0"/>
        <v>0</v>
      </c>
      <c r="AL19" s="57">
        <f t="shared" si="0"/>
        <v>0</v>
      </c>
    </row>
    <row r="20" spans="1:38" x14ac:dyDescent="0.3">
      <c r="A20" s="158">
        <f>IF(ISBLANK(B20),"",MAX(A$6:A19)+1)</f>
        <v>9</v>
      </c>
      <c r="B20" s="15" t="s">
        <v>35</v>
      </c>
      <c r="C20" s="173">
        <v>0</v>
      </c>
      <c r="D20" s="173">
        <v>0</v>
      </c>
      <c r="E20" s="173">
        <v>0</v>
      </c>
      <c r="F20" s="173">
        <v>0</v>
      </c>
      <c r="G20" s="173">
        <v>0</v>
      </c>
      <c r="H20" s="25"/>
      <c r="I20" s="173">
        <v>0</v>
      </c>
      <c r="J20" s="173">
        <v>0</v>
      </c>
      <c r="K20" s="173">
        <v>0</v>
      </c>
      <c r="L20" s="173">
        <v>0</v>
      </c>
      <c r="M20" s="173">
        <v>0</v>
      </c>
      <c r="P20" s="173">
        <v>0</v>
      </c>
      <c r="Q20" s="173">
        <v>0</v>
      </c>
      <c r="R20" s="173">
        <v>0</v>
      </c>
      <c r="S20" s="173">
        <v>0</v>
      </c>
      <c r="T20" s="173">
        <v>0</v>
      </c>
      <c r="U20" s="25"/>
      <c r="V20" s="173">
        <v>0</v>
      </c>
      <c r="W20" s="173">
        <v>0</v>
      </c>
      <c r="X20" s="173">
        <v>0</v>
      </c>
      <c r="Y20" s="173">
        <v>0</v>
      </c>
      <c r="Z20" s="173">
        <v>0</v>
      </c>
      <c r="AB20" s="173">
        <f t="shared" si="1"/>
        <v>0</v>
      </c>
      <c r="AC20" s="173">
        <f t="shared" si="0"/>
        <v>0</v>
      </c>
      <c r="AD20" s="173">
        <f t="shared" si="0"/>
        <v>0</v>
      </c>
      <c r="AE20" s="173">
        <f t="shared" si="0"/>
        <v>0</v>
      </c>
      <c r="AF20" s="173">
        <f t="shared" si="0"/>
        <v>0</v>
      </c>
      <c r="AG20" s="25">
        <f t="shared" si="0"/>
        <v>0</v>
      </c>
      <c r="AH20" s="173">
        <f t="shared" si="0"/>
        <v>0</v>
      </c>
      <c r="AI20" s="173">
        <f t="shared" si="0"/>
        <v>0</v>
      </c>
      <c r="AJ20" s="173">
        <f t="shared" si="0"/>
        <v>0</v>
      </c>
      <c r="AK20" s="173">
        <f t="shared" si="0"/>
        <v>0</v>
      </c>
      <c r="AL20" s="173">
        <f t="shared" si="0"/>
        <v>0</v>
      </c>
    </row>
    <row r="21" spans="1:38" x14ac:dyDescent="0.3">
      <c r="A21" s="158" t="str">
        <f>IF(ISBLANK(B21),"",MAX(A$6:A20)+1)</f>
        <v/>
      </c>
      <c r="C21" s="76"/>
      <c r="D21" s="76"/>
      <c r="E21" s="76"/>
      <c r="F21" s="76"/>
      <c r="G21" s="76"/>
      <c r="H21" s="25"/>
      <c r="I21" s="76"/>
      <c r="J21" s="76"/>
      <c r="K21" s="76"/>
      <c r="L21" s="76"/>
      <c r="M21" s="76"/>
      <c r="P21" s="76"/>
      <c r="Q21" s="76"/>
      <c r="R21" s="76"/>
      <c r="S21" s="76"/>
      <c r="T21" s="76"/>
      <c r="U21" s="25"/>
      <c r="V21" s="76"/>
      <c r="W21" s="76"/>
      <c r="X21" s="76"/>
      <c r="Y21" s="76"/>
      <c r="Z21" s="76"/>
      <c r="AB21" s="76">
        <f t="shared" si="1"/>
        <v>0</v>
      </c>
      <c r="AC21" s="76">
        <f t="shared" si="0"/>
        <v>0</v>
      </c>
      <c r="AD21" s="76">
        <f t="shared" si="0"/>
        <v>0</v>
      </c>
      <c r="AE21" s="76">
        <f t="shared" si="0"/>
        <v>0</v>
      </c>
      <c r="AF21" s="76">
        <f t="shared" si="0"/>
        <v>0</v>
      </c>
      <c r="AG21" s="25">
        <f t="shared" si="0"/>
        <v>0</v>
      </c>
      <c r="AH21" s="76">
        <f t="shared" si="0"/>
        <v>0</v>
      </c>
      <c r="AI21" s="76">
        <f t="shared" si="0"/>
        <v>0</v>
      </c>
      <c r="AJ21" s="76">
        <f t="shared" si="0"/>
        <v>0</v>
      </c>
      <c r="AK21" s="76">
        <f t="shared" si="0"/>
        <v>0</v>
      </c>
      <c r="AL21" s="76">
        <f t="shared" si="0"/>
        <v>0</v>
      </c>
    </row>
    <row r="22" spans="1:38" x14ac:dyDescent="0.3">
      <c r="A22" s="158">
        <f>IF(ISBLANK(B22),"",MAX(A$6:A21)+1)</f>
        <v>10</v>
      </c>
      <c r="B22" s="15" t="s">
        <v>36</v>
      </c>
      <c r="C22" s="499">
        <v>6061388.8613986634</v>
      </c>
      <c r="D22" s="499"/>
      <c r="E22" s="499"/>
      <c r="F22" s="499"/>
      <c r="G22" s="499">
        <v>6061388.8613986634</v>
      </c>
      <c r="H22" s="26">
        <v>5.5920238063720262E-2</v>
      </c>
      <c r="I22" s="499">
        <v>6881948.4002242647</v>
      </c>
      <c r="J22" s="499"/>
      <c r="K22" s="499"/>
      <c r="L22" s="499"/>
      <c r="M22" s="499">
        <v>6881948.4002242647</v>
      </c>
      <c r="P22" s="499">
        <v>6061388.8613986634</v>
      </c>
      <c r="Q22" s="499"/>
      <c r="R22" s="499"/>
      <c r="S22" s="499"/>
      <c r="T22" s="499">
        <v>6061388.8613986634</v>
      </c>
      <c r="U22" s="26">
        <v>5.5920238063720262E-2</v>
      </c>
      <c r="V22" s="499">
        <v>6881948.4002242647</v>
      </c>
      <c r="W22" s="499"/>
      <c r="X22" s="499"/>
      <c r="Y22" s="499"/>
      <c r="Z22" s="499">
        <v>6881948.4002242647</v>
      </c>
      <c r="AB22" s="499">
        <f t="shared" si="1"/>
        <v>0</v>
      </c>
      <c r="AC22" s="499">
        <f t="shared" si="0"/>
        <v>0</v>
      </c>
      <c r="AD22" s="499">
        <f t="shared" si="0"/>
        <v>0</v>
      </c>
      <c r="AE22" s="499">
        <f t="shared" si="0"/>
        <v>0</v>
      </c>
      <c r="AF22" s="499">
        <f t="shared" si="0"/>
        <v>0</v>
      </c>
      <c r="AG22" s="26">
        <f t="shared" si="0"/>
        <v>0</v>
      </c>
      <c r="AH22" s="499">
        <f t="shared" si="0"/>
        <v>0</v>
      </c>
      <c r="AI22" s="499">
        <f t="shared" si="0"/>
        <v>0</v>
      </c>
      <c r="AJ22" s="499">
        <f t="shared" si="0"/>
        <v>0</v>
      </c>
      <c r="AK22" s="499">
        <f t="shared" si="0"/>
        <v>0</v>
      </c>
      <c r="AL22" s="499">
        <f t="shared" si="0"/>
        <v>0</v>
      </c>
    </row>
    <row r="23" spans="1:38" x14ac:dyDescent="0.3">
      <c r="A23" s="158">
        <f>IF(ISBLANK(B23),"",MAX(A$6:A22)+1)</f>
        <v>11</v>
      </c>
      <c r="B23" s="15" t="s">
        <v>37</v>
      </c>
      <c r="C23" s="57">
        <v>2110.77</v>
      </c>
      <c r="D23" s="57"/>
      <c r="E23" s="57"/>
      <c r="F23" s="57"/>
      <c r="G23" s="57">
        <v>2110.77</v>
      </c>
      <c r="H23" s="26"/>
      <c r="I23" s="57">
        <v>2110.77</v>
      </c>
      <c r="J23" s="57"/>
      <c r="K23" s="57"/>
      <c r="L23" s="57"/>
      <c r="M23" s="57">
        <v>2110.77</v>
      </c>
      <c r="P23" s="57">
        <v>2110.77</v>
      </c>
      <c r="Q23" s="57"/>
      <c r="R23" s="57"/>
      <c r="S23" s="57"/>
      <c r="T23" s="57">
        <v>2110.77</v>
      </c>
      <c r="U23" s="26"/>
      <c r="V23" s="57">
        <v>2110.77</v>
      </c>
      <c r="W23" s="57"/>
      <c r="X23" s="57"/>
      <c r="Y23" s="57"/>
      <c r="Z23" s="57">
        <v>2110.77</v>
      </c>
      <c r="AB23" s="57">
        <f t="shared" si="1"/>
        <v>0</v>
      </c>
      <c r="AC23" s="57">
        <f t="shared" si="0"/>
        <v>0</v>
      </c>
      <c r="AD23" s="57">
        <f t="shared" si="0"/>
        <v>0</v>
      </c>
      <c r="AE23" s="57">
        <f t="shared" si="0"/>
        <v>0</v>
      </c>
      <c r="AF23" s="57">
        <f t="shared" si="0"/>
        <v>0</v>
      </c>
      <c r="AG23" s="26">
        <f t="shared" si="0"/>
        <v>0</v>
      </c>
      <c r="AH23" s="57">
        <f t="shared" si="0"/>
        <v>0</v>
      </c>
      <c r="AI23" s="57">
        <f t="shared" si="0"/>
        <v>0</v>
      </c>
      <c r="AJ23" s="57">
        <f t="shared" si="0"/>
        <v>0</v>
      </c>
      <c r="AK23" s="57">
        <f t="shared" si="0"/>
        <v>0</v>
      </c>
      <c r="AL23" s="57">
        <f t="shared" si="0"/>
        <v>0</v>
      </c>
    </row>
    <row r="24" spans="1:38" x14ac:dyDescent="0.3">
      <c r="A24" s="158">
        <f>IF(ISBLANK(B24),"",MAX(A$6:A23)+1)</f>
        <v>12</v>
      </c>
      <c r="B24" s="15" t="s">
        <v>38</v>
      </c>
      <c r="C24" s="57">
        <v>60697625.368441522</v>
      </c>
      <c r="D24" s="57"/>
      <c r="E24" s="57"/>
      <c r="F24" s="57"/>
      <c r="G24" s="57">
        <v>60697625.368441522</v>
      </c>
      <c r="H24" s="26">
        <v>9.3026586584459281E-3</v>
      </c>
      <c r="I24" s="57">
        <v>62023319.739795186</v>
      </c>
      <c r="J24" s="57"/>
      <c r="K24" s="57"/>
      <c r="L24" s="57"/>
      <c r="M24" s="57">
        <v>62023319.739795186</v>
      </c>
      <c r="P24" s="57">
        <v>60697625.368441522</v>
      </c>
      <c r="Q24" s="57"/>
      <c r="R24" s="57"/>
      <c r="S24" s="57"/>
      <c r="T24" s="57">
        <v>60697625.368441522</v>
      </c>
      <c r="U24" s="26">
        <v>9.3026586584459281E-3</v>
      </c>
      <c r="V24" s="57">
        <v>62023319.739795186</v>
      </c>
      <c r="W24" s="57"/>
      <c r="X24" s="57"/>
      <c r="Y24" s="57"/>
      <c r="Z24" s="57">
        <v>62023319.739795186</v>
      </c>
      <c r="AB24" s="57">
        <f t="shared" si="1"/>
        <v>0</v>
      </c>
      <c r="AC24" s="57">
        <f t="shared" si="1"/>
        <v>0</v>
      </c>
      <c r="AD24" s="57">
        <f t="shared" si="1"/>
        <v>0</v>
      </c>
      <c r="AE24" s="57">
        <f t="shared" si="1"/>
        <v>0</v>
      </c>
      <c r="AF24" s="57">
        <f t="shared" si="1"/>
        <v>0</v>
      </c>
      <c r="AG24" s="26">
        <f t="shared" si="1"/>
        <v>0</v>
      </c>
      <c r="AH24" s="57">
        <f t="shared" si="1"/>
        <v>0</v>
      </c>
      <c r="AI24" s="57">
        <f t="shared" si="1"/>
        <v>0</v>
      </c>
      <c r="AJ24" s="57">
        <f t="shared" si="1"/>
        <v>0</v>
      </c>
      <c r="AK24" s="57">
        <f t="shared" si="1"/>
        <v>0</v>
      </c>
      <c r="AL24" s="57">
        <f t="shared" si="1"/>
        <v>0</v>
      </c>
    </row>
    <row r="25" spans="1:38" x14ac:dyDescent="0.3">
      <c r="A25" s="158">
        <f>IF(ISBLANK(B25),"",MAX(A$6:A24)+1)</f>
        <v>13</v>
      </c>
      <c r="B25" s="15" t="s">
        <v>39</v>
      </c>
      <c r="C25" s="57">
        <v>28153388.160692897</v>
      </c>
      <c r="D25" s="57"/>
      <c r="E25" s="57"/>
      <c r="F25" s="57"/>
      <c r="G25" s="57">
        <v>28153388.160692897</v>
      </c>
      <c r="H25" s="26">
        <v>1.0934921542960385E-2</v>
      </c>
      <c r="I25" s="57">
        <v>28876959.634036496</v>
      </c>
      <c r="J25" s="57"/>
      <c r="K25" s="57"/>
      <c r="L25" s="57"/>
      <c r="M25" s="57">
        <v>28876959.634036496</v>
      </c>
      <c r="P25" s="57">
        <v>28153237.361274928</v>
      </c>
      <c r="Q25" s="57"/>
      <c r="R25" s="57"/>
      <c r="S25" s="57"/>
      <c r="T25" s="57">
        <v>28153237.361274928</v>
      </c>
      <c r="U25" s="26">
        <v>1.0934921542960385E-2</v>
      </c>
      <c r="V25" s="57">
        <v>28876804.958916023</v>
      </c>
      <c r="W25" s="57"/>
      <c r="X25" s="57"/>
      <c r="Y25" s="57"/>
      <c r="Z25" s="57">
        <v>28876804.958916023</v>
      </c>
      <c r="AB25" s="57">
        <f t="shared" si="1"/>
        <v>150.79941796883941</v>
      </c>
      <c r="AC25" s="57">
        <f t="shared" si="1"/>
        <v>0</v>
      </c>
      <c r="AD25" s="57">
        <f t="shared" si="1"/>
        <v>0</v>
      </c>
      <c r="AE25" s="57">
        <f t="shared" si="1"/>
        <v>0</v>
      </c>
      <c r="AF25" s="57">
        <f t="shared" si="1"/>
        <v>150.79941796883941</v>
      </c>
      <c r="AG25" s="26">
        <f t="shared" si="1"/>
        <v>0</v>
      </c>
      <c r="AH25" s="57">
        <f t="shared" si="1"/>
        <v>154.67512047290802</v>
      </c>
      <c r="AI25" s="57">
        <f t="shared" si="1"/>
        <v>0</v>
      </c>
      <c r="AJ25" s="57">
        <f t="shared" si="1"/>
        <v>0</v>
      </c>
      <c r="AK25" s="57">
        <f t="shared" si="1"/>
        <v>0</v>
      </c>
      <c r="AL25" s="57">
        <f t="shared" si="1"/>
        <v>154.67512047290802</v>
      </c>
    </row>
    <row r="26" spans="1:38" x14ac:dyDescent="0.3">
      <c r="A26" s="158">
        <f>IF(ISBLANK(B26),"",MAX(A$6:A25)+1)</f>
        <v>14</v>
      </c>
      <c r="B26" s="15" t="s">
        <v>40</v>
      </c>
      <c r="C26" s="57">
        <v>1763236.0746447137</v>
      </c>
      <c r="D26" s="57"/>
      <c r="E26" s="57"/>
      <c r="F26" s="57"/>
      <c r="G26" s="57">
        <v>1763236.0746447137</v>
      </c>
      <c r="H26" s="26">
        <v>1.0934921542960385E-2</v>
      </c>
      <c r="I26" s="57">
        <v>1808553.0829245392</v>
      </c>
      <c r="J26" s="57"/>
      <c r="K26" s="57"/>
      <c r="L26" s="57"/>
      <c r="M26" s="57">
        <v>1808553.0829245392</v>
      </c>
      <c r="P26" s="57">
        <v>1763236.0746447137</v>
      </c>
      <c r="Q26" s="57"/>
      <c r="R26" s="57"/>
      <c r="S26" s="57"/>
      <c r="T26" s="57">
        <v>1763236.0746447137</v>
      </c>
      <c r="U26" s="26">
        <v>1.0934921542960385E-2</v>
      </c>
      <c r="V26" s="57">
        <v>1808553.0829245392</v>
      </c>
      <c r="W26" s="57"/>
      <c r="X26" s="57"/>
      <c r="Y26" s="57"/>
      <c r="Z26" s="57">
        <v>1808553.0829245392</v>
      </c>
      <c r="AB26" s="57">
        <f t="shared" si="1"/>
        <v>0</v>
      </c>
      <c r="AC26" s="57">
        <f t="shared" si="1"/>
        <v>0</v>
      </c>
      <c r="AD26" s="57">
        <f t="shared" si="1"/>
        <v>0</v>
      </c>
      <c r="AE26" s="57">
        <f t="shared" si="1"/>
        <v>0</v>
      </c>
      <c r="AF26" s="57">
        <f t="shared" si="1"/>
        <v>0</v>
      </c>
      <c r="AG26" s="26">
        <f t="shared" si="1"/>
        <v>0</v>
      </c>
      <c r="AH26" s="57">
        <f t="shared" si="1"/>
        <v>0</v>
      </c>
      <c r="AI26" s="57">
        <f t="shared" si="1"/>
        <v>0</v>
      </c>
      <c r="AJ26" s="57">
        <f t="shared" si="1"/>
        <v>0</v>
      </c>
      <c r="AK26" s="57">
        <f t="shared" si="1"/>
        <v>0</v>
      </c>
      <c r="AL26" s="57">
        <f t="shared" si="1"/>
        <v>0</v>
      </c>
    </row>
    <row r="27" spans="1:38" x14ac:dyDescent="0.3">
      <c r="A27" s="158">
        <f>IF(ISBLANK(B27),"",MAX(A$6:A26)+1)</f>
        <v>15</v>
      </c>
      <c r="B27" s="15" t="s">
        <v>41</v>
      </c>
      <c r="C27" s="57">
        <v>0</v>
      </c>
      <c r="D27" s="57"/>
      <c r="E27" s="57"/>
      <c r="F27" s="57"/>
      <c r="G27" s="57">
        <v>0</v>
      </c>
      <c r="H27" s="26"/>
      <c r="I27" s="57">
        <v>0</v>
      </c>
      <c r="J27" s="57"/>
      <c r="K27" s="57"/>
      <c r="L27" s="57"/>
      <c r="M27" s="57">
        <v>0</v>
      </c>
      <c r="P27" s="57">
        <v>0</v>
      </c>
      <c r="Q27" s="57"/>
      <c r="R27" s="57"/>
      <c r="S27" s="57"/>
      <c r="T27" s="57">
        <v>0</v>
      </c>
      <c r="U27" s="26"/>
      <c r="V27" s="57">
        <v>0</v>
      </c>
      <c r="W27" s="57"/>
      <c r="X27" s="57"/>
      <c r="Y27" s="57"/>
      <c r="Z27" s="57">
        <v>0</v>
      </c>
      <c r="AB27" s="57">
        <f t="shared" si="1"/>
        <v>0</v>
      </c>
      <c r="AC27" s="57">
        <f t="shared" si="1"/>
        <v>0</v>
      </c>
      <c r="AD27" s="57">
        <f t="shared" si="1"/>
        <v>0</v>
      </c>
      <c r="AE27" s="57">
        <f t="shared" si="1"/>
        <v>0</v>
      </c>
      <c r="AF27" s="57">
        <f t="shared" si="1"/>
        <v>0</v>
      </c>
      <c r="AG27" s="26">
        <f t="shared" si="1"/>
        <v>0</v>
      </c>
      <c r="AH27" s="57">
        <f t="shared" si="1"/>
        <v>0</v>
      </c>
      <c r="AI27" s="57">
        <f t="shared" si="1"/>
        <v>0</v>
      </c>
      <c r="AJ27" s="57">
        <f t="shared" si="1"/>
        <v>0</v>
      </c>
      <c r="AK27" s="57">
        <f t="shared" si="1"/>
        <v>0</v>
      </c>
      <c r="AL27" s="57">
        <f t="shared" si="1"/>
        <v>0</v>
      </c>
    </row>
    <row r="28" spans="1:38" x14ac:dyDescent="0.3">
      <c r="A28" s="158">
        <f>IF(ISBLANK(B28),"",MAX(A$6:A27)+1)</f>
        <v>16</v>
      </c>
      <c r="B28" s="15" t="s">
        <v>42</v>
      </c>
      <c r="C28" s="57">
        <v>59109968.726902723</v>
      </c>
      <c r="D28" s="57"/>
      <c r="E28" s="57"/>
      <c r="F28" s="57"/>
      <c r="G28" s="57">
        <v>59109968.726902723</v>
      </c>
      <c r="H28" s="26">
        <v>2.0158787434836345E-2</v>
      </c>
      <c r="I28" s="57">
        <v>61927783.697323285</v>
      </c>
      <c r="J28" s="57"/>
      <c r="K28" s="57"/>
      <c r="L28" s="57"/>
      <c r="M28" s="57">
        <v>61927783.697323285</v>
      </c>
      <c r="P28" s="57">
        <v>59109909.86686448</v>
      </c>
      <c r="Q28" s="57"/>
      <c r="R28" s="57"/>
      <c r="S28" s="57"/>
      <c r="T28" s="57">
        <v>59109909.86686448</v>
      </c>
      <c r="U28" s="26">
        <v>2.0158787434836345E-2</v>
      </c>
      <c r="V28" s="57">
        <v>61927722.031384438</v>
      </c>
      <c r="W28" s="57"/>
      <c r="X28" s="57"/>
      <c r="Y28" s="57"/>
      <c r="Z28" s="57">
        <v>61927722.031384438</v>
      </c>
      <c r="AB28" s="57">
        <f t="shared" si="1"/>
        <v>58.860038243234158</v>
      </c>
      <c r="AC28" s="57">
        <f t="shared" si="1"/>
        <v>0</v>
      </c>
      <c r="AD28" s="57">
        <f t="shared" si="1"/>
        <v>0</v>
      </c>
      <c r="AE28" s="57">
        <f t="shared" si="1"/>
        <v>0</v>
      </c>
      <c r="AF28" s="57">
        <f t="shared" si="1"/>
        <v>58.860038243234158</v>
      </c>
      <c r="AG28" s="26">
        <f t="shared" si="1"/>
        <v>0</v>
      </c>
      <c r="AH28" s="57">
        <f t="shared" si="1"/>
        <v>61.665938846766949</v>
      </c>
      <c r="AI28" s="57">
        <f t="shared" si="1"/>
        <v>0</v>
      </c>
      <c r="AJ28" s="57">
        <f t="shared" si="1"/>
        <v>0</v>
      </c>
      <c r="AK28" s="57">
        <f t="shared" si="1"/>
        <v>0</v>
      </c>
      <c r="AL28" s="57">
        <f t="shared" si="1"/>
        <v>61.665938846766949</v>
      </c>
    </row>
    <row r="29" spans="1:38" x14ac:dyDescent="0.3">
      <c r="A29" s="158">
        <f>IF(ISBLANK(B29),"",MAX(A$6:A28)+1)</f>
        <v>17</v>
      </c>
      <c r="B29" s="15" t="s">
        <v>1</v>
      </c>
      <c r="C29" s="57">
        <v>116957730.5099999</v>
      </c>
      <c r="D29" s="57">
        <v>-2616179.6237217812</v>
      </c>
      <c r="E29" s="57">
        <v>-2455596.1125766858</v>
      </c>
      <c r="F29" s="57">
        <v>-3294178.3411877672</v>
      </c>
      <c r="G29" s="57">
        <v>108591776.43251367</v>
      </c>
      <c r="H29" s="26"/>
      <c r="I29" s="57">
        <v>135112552.94691035</v>
      </c>
      <c r="J29" s="57"/>
      <c r="K29" s="171" t="s">
        <v>596</v>
      </c>
      <c r="L29" s="57"/>
      <c r="M29" s="57">
        <v>135112552.94691035</v>
      </c>
      <c r="P29" s="57">
        <v>116957730.5099999</v>
      </c>
      <c r="Q29" s="57">
        <v>-2616179.6237217812</v>
      </c>
      <c r="R29" s="57">
        <v>-2455596.1125766858</v>
      </c>
      <c r="S29" s="57">
        <v>-3294178.3411877672</v>
      </c>
      <c r="T29" s="57">
        <v>108591776.43251367</v>
      </c>
      <c r="U29" s="26"/>
      <c r="V29" s="57">
        <v>135112552.94691035</v>
      </c>
      <c r="W29" s="57"/>
      <c r="X29" s="171" t="s">
        <v>596</v>
      </c>
      <c r="Y29" s="57"/>
      <c r="Z29" s="57">
        <v>135112552.94691035</v>
      </c>
      <c r="AB29" s="57">
        <f t="shared" si="1"/>
        <v>0</v>
      </c>
      <c r="AC29" s="57">
        <f t="shared" si="1"/>
        <v>0</v>
      </c>
      <c r="AD29" s="57">
        <f t="shared" si="1"/>
        <v>0</v>
      </c>
      <c r="AE29" s="57">
        <f t="shared" si="1"/>
        <v>0</v>
      </c>
      <c r="AF29" s="57">
        <f t="shared" si="1"/>
        <v>0</v>
      </c>
      <c r="AG29" s="26">
        <f t="shared" si="1"/>
        <v>0</v>
      </c>
      <c r="AH29" s="57">
        <f t="shared" si="1"/>
        <v>0</v>
      </c>
      <c r="AI29" s="57">
        <f t="shared" si="1"/>
        <v>0</v>
      </c>
      <c r="AJ29" s="171" t="e">
        <f t="shared" si="1"/>
        <v>#VALUE!</v>
      </c>
      <c r="AK29" s="57">
        <f t="shared" si="1"/>
        <v>0</v>
      </c>
      <c r="AL29" s="57">
        <f t="shared" si="1"/>
        <v>0</v>
      </c>
    </row>
    <row r="30" spans="1:38" x14ac:dyDescent="0.3">
      <c r="A30" s="158">
        <f>IF(ISBLANK(B30),"",MAX(A$6:A29)+1)</f>
        <v>18</v>
      </c>
      <c r="B30" s="15" t="s">
        <v>43</v>
      </c>
      <c r="C30" s="57">
        <v>26117569.960000005</v>
      </c>
      <c r="D30" s="57"/>
      <c r="E30" s="57"/>
      <c r="F30" s="57"/>
      <c r="G30" s="57">
        <v>26117569.960000005</v>
      </c>
      <c r="H30" s="26"/>
      <c r="I30" s="57">
        <v>39655705.639344297</v>
      </c>
      <c r="J30" s="57"/>
      <c r="K30" s="57"/>
      <c r="L30" s="171" t="s">
        <v>596</v>
      </c>
      <c r="M30" s="57">
        <v>39655705.639344297</v>
      </c>
      <c r="P30" s="57">
        <v>26117569.960000005</v>
      </c>
      <c r="Q30" s="57"/>
      <c r="R30" s="57"/>
      <c r="S30" s="57"/>
      <c r="T30" s="57">
        <v>26117569.960000005</v>
      </c>
      <c r="U30" s="26"/>
      <c r="V30" s="57">
        <v>39655705.639344297</v>
      </c>
      <c r="W30" s="57"/>
      <c r="X30" s="57"/>
      <c r="Y30" s="171" t="s">
        <v>596</v>
      </c>
      <c r="Z30" s="57">
        <v>39655705.639344297</v>
      </c>
      <c r="AB30" s="57">
        <f t="shared" si="1"/>
        <v>0</v>
      </c>
      <c r="AC30" s="57">
        <f t="shared" si="1"/>
        <v>0</v>
      </c>
      <c r="AD30" s="57">
        <f t="shared" si="1"/>
        <v>0</v>
      </c>
      <c r="AE30" s="57">
        <f t="shared" si="1"/>
        <v>0</v>
      </c>
      <c r="AF30" s="57">
        <f t="shared" si="1"/>
        <v>0</v>
      </c>
      <c r="AG30" s="26">
        <f t="shared" si="1"/>
        <v>0</v>
      </c>
      <c r="AH30" s="57">
        <f t="shared" si="1"/>
        <v>0</v>
      </c>
      <c r="AI30" s="57">
        <f t="shared" si="1"/>
        <v>0</v>
      </c>
      <c r="AJ30" s="57">
        <f t="shared" si="1"/>
        <v>0</v>
      </c>
      <c r="AK30" s="171" t="e">
        <f t="shared" si="1"/>
        <v>#VALUE!</v>
      </c>
      <c r="AL30" s="57">
        <f t="shared" si="1"/>
        <v>0</v>
      </c>
    </row>
    <row r="31" spans="1:38" x14ac:dyDescent="0.3">
      <c r="A31" s="158">
        <f>IF(ISBLANK(B31),"",MAX(A$6:A30)+1)</f>
        <v>19</v>
      </c>
      <c r="B31" s="15" t="s">
        <v>179</v>
      </c>
      <c r="C31" s="57">
        <v>0</v>
      </c>
      <c r="D31" s="57"/>
      <c r="E31" s="57"/>
      <c r="F31" s="57"/>
      <c r="G31" s="57">
        <v>0</v>
      </c>
      <c r="H31" s="26"/>
      <c r="I31" s="57">
        <v>0</v>
      </c>
      <c r="J31" s="57"/>
      <c r="K31" s="57"/>
      <c r="L31" s="57"/>
      <c r="M31" s="57">
        <v>0</v>
      </c>
      <c r="P31" s="57">
        <v>0</v>
      </c>
      <c r="Q31" s="57"/>
      <c r="R31" s="57"/>
      <c r="S31" s="57"/>
      <c r="T31" s="57">
        <v>0</v>
      </c>
      <c r="U31" s="26"/>
      <c r="V31" s="57">
        <v>0</v>
      </c>
      <c r="W31" s="57"/>
      <c r="X31" s="57"/>
      <c r="Y31" s="57"/>
      <c r="Z31" s="57">
        <v>0</v>
      </c>
      <c r="AB31" s="57">
        <f t="shared" si="1"/>
        <v>0</v>
      </c>
      <c r="AC31" s="57">
        <f t="shared" si="1"/>
        <v>0</v>
      </c>
      <c r="AD31" s="57">
        <f t="shared" si="1"/>
        <v>0</v>
      </c>
      <c r="AE31" s="57">
        <f t="shared" si="1"/>
        <v>0</v>
      </c>
      <c r="AF31" s="57">
        <f t="shared" si="1"/>
        <v>0</v>
      </c>
      <c r="AG31" s="26">
        <f t="shared" si="1"/>
        <v>0</v>
      </c>
      <c r="AH31" s="57">
        <f t="shared" si="1"/>
        <v>0</v>
      </c>
      <c r="AI31" s="57">
        <f t="shared" si="1"/>
        <v>0</v>
      </c>
      <c r="AJ31" s="57">
        <f t="shared" si="1"/>
        <v>0</v>
      </c>
      <c r="AK31" s="57">
        <f t="shared" si="1"/>
        <v>0</v>
      </c>
      <c r="AL31" s="57">
        <f t="shared" si="1"/>
        <v>0</v>
      </c>
    </row>
    <row r="32" spans="1:38" x14ac:dyDescent="0.3">
      <c r="A32" s="158">
        <f>IF(ISBLANK(B32),"",MAX(A$6:A31)+1)</f>
        <v>20</v>
      </c>
      <c r="B32" s="15" t="s">
        <v>45</v>
      </c>
      <c r="C32" s="57">
        <v>15879143.377125692</v>
      </c>
      <c r="D32" s="57"/>
      <c r="E32" s="57"/>
      <c r="F32" s="57"/>
      <c r="G32" s="57">
        <v>15879143.377125692</v>
      </c>
      <c r="H32" s="26">
        <v>0</v>
      </c>
      <c r="I32" s="57">
        <v>15879143.377125692</v>
      </c>
      <c r="J32" s="57"/>
      <c r="K32" s="57"/>
      <c r="L32" s="57"/>
      <c r="M32" s="57">
        <v>15879143.377125692</v>
      </c>
      <c r="P32" s="57">
        <v>15879143.377125692</v>
      </c>
      <c r="Q32" s="57"/>
      <c r="R32" s="57"/>
      <c r="S32" s="57"/>
      <c r="T32" s="57">
        <v>15879143.377125692</v>
      </c>
      <c r="U32" s="26">
        <v>0</v>
      </c>
      <c r="V32" s="57">
        <v>15879143.377125692</v>
      </c>
      <c r="W32" s="57"/>
      <c r="X32" s="57"/>
      <c r="Y32" s="57"/>
      <c r="Z32" s="57">
        <v>15879143.377125692</v>
      </c>
      <c r="AB32" s="57">
        <f t="shared" si="1"/>
        <v>0</v>
      </c>
      <c r="AC32" s="57">
        <f t="shared" si="1"/>
        <v>0</v>
      </c>
      <c r="AD32" s="57">
        <f t="shared" si="1"/>
        <v>0</v>
      </c>
      <c r="AE32" s="57">
        <f t="shared" si="1"/>
        <v>0</v>
      </c>
      <c r="AF32" s="57">
        <f t="shared" si="1"/>
        <v>0</v>
      </c>
      <c r="AG32" s="26">
        <f t="shared" si="1"/>
        <v>0</v>
      </c>
      <c r="AH32" s="57">
        <f t="shared" si="1"/>
        <v>0</v>
      </c>
      <c r="AI32" s="57">
        <f t="shared" si="1"/>
        <v>0</v>
      </c>
      <c r="AJ32" s="57">
        <f t="shared" si="1"/>
        <v>0</v>
      </c>
      <c r="AK32" s="57">
        <f t="shared" si="1"/>
        <v>0</v>
      </c>
      <c r="AL32" s="57">
        <f t="shared" si="1"/>
        <v>0</v>
      </c>
    </row>
    <row r="33" spans="1:38" x14ac:dyDescent="0.3">
      <c r="A33" s="158">
        <f>IF(ISBLANK(B33),"",MAX(A$6:A32)+1)</f>
        <v>21</v>
      </c>
      <c r="B33" s="15" t="s">
        <v>47</v>
      </c>
      <c r="C33" s="57">
        <v>24126527.513585337</v>
      </c>
      <c r="D33" s="57"/>
      <c r="E33" s="57"/>
      <c r="F33" s="57"/>
      <c r="G33" s="57">
        <v>24126527.513585337</v>
      </c>
      <c r="H33" s="26">
        <v>3.1473722098515289E-2</v>
      </c>
      <c r="I33" s="57">
        <v>25935654.491653703</v>
      </c>
      <c r="J33" s="57"/>
      <c r="K33" s="57"/>
      <c r="L33" s="57"/>
      <c r="M33" s="57">
        <v>25935654.491653703</v>
      </c>
      <c r="P33" s="57">
        <v>24125399.666962616</v>
      </c>
      <c r="Q33" s="57"/>
      <c r="R33" s="57"/>
      <c r="S33" s="57"/>
      <c r="T33" s="57">
        <v>24125399.666962616</v>
      </c>
      <c r="U33" s="26">
        <v>3.1473722098515289E-2</v>
      </c>
      <c r="V33" s="57">
        <v>25934442.073484119</v>
      </c>
      <c r="W33" s="57"/>
      <c r="X33" s="57"/>
      <c r="Y33" s="57"/>
      <c r="Z33" s="57">
        <v>25934442.073484119</v>
      </c>
      <c r="AB33" s="57">
        <f t="shared" si="1"/>
        <v>1127.8466227203608</v>
      </c>
      <c r="AC33" s="57">
        <f t="shared" si="1"/>
        <v>0</v>
      </c>
      <c r="AD33" s="57">
        <f t="shared" si="1"/>
        <v>0</v>
      </c>
      <c r="AE33" s="57">
        <f t="shared" si="1"/>
        <v>0</v>
      </c>
      <c r="AF33" s="57">
        <f t="shared" si="1"/>
        <v>1127.8466227203608</v>
      </c>
      <c r="AG33" s="26">
        <f t="shared" si="1"/>
        <v>0</v>
      </c>
      <c r="AH33" s="57">
        <f t="shared" si="1"/>
        <v>1212.4181695841253</v>
      </c>
      <c r="AI33" s="57">
        <f t="shared" si="1"/>
        <v>0</v>
      </c>
      <c r="AJ33" s="57">
        <f t="shared" si="1"/>
        <v>0</v>
      </c>
      <c r="AK33" s="57">
        <f t="shared" si="1"/>
        <v>0</v>
      </c>
      <c r="AL33" s="57">
        <f t="shared" si="1"/>
        <v>1212.4181695841253</v>
      </c>
    </row>
    <row r="34" spans="1:38" x14ac:dyDescent="0.3">
      <c r="A34" s="158">
        <f>IF(ISBLANK(B34),"",MAX(A$6:A33)+1)</f>
        <v>22</v>
      </c>
      <c r="B34" s="15" t="s">
        <v>48</v>
      </c>
      <c r="C34" s="57">
        <v>5694739.5742254965</v>
      </c>
      <c r="D34" s="57"/>
      <c r="E34" s="57"/>
      <c r="F34" s="57"/>
      <c r="G34" s="57">
        <v>5694739.5742254965</v>
      </c>
      <c r="H34" s="26"/>
      <c r="I34" s="57">
        <v>17330178.748116042</v>
      </c>
      <c r="J34" s="57"/>
      <c r="K34" s="57"/>
      <c r="L34" s="57"/>
      <c r="M34" s="57">
        <v>17330178.748116042</v>
      </c>
      <c r="P34" s="57">
        <v>5694739.5742254965</v>
      </c>
      <c r="Q34" s="57"/>
      <c r="R34" s="57"/>
      <c r="S34" s="57"/>
      <c r="T34" s="57">
        <v>5694739.5742254965</v>
      </c>
      <c r="U34" s="26"/>
      <c r="V34" s="57">
        <v>17330478.787554108</v>
      </c>
      <c r="W34" s="57"/>
      <c r="X34" s="57"/>
      <c r="Y34" s="57"/>
      <c r="Z34" s="57">
        <v>17330478.787554108</v>
      </c>
      <c r="AB34" s="57">
        <f t="shared" si="1"/>
        <v>0</v>
      </c>
      <c r="AC34" s="57">
        <f t="shared" si="1"/>
        <v>0</v>
      </c>
      <c r="AD34" s="57">
        <f t="shared" si="1"/>
        <v>0</v>
      </c>
      <c r="AE34" s="57">
        <f t="shared" si="1"/>
        <v>0</v>
      </c>
      <c r="AF34" s="57">
        <f t="shared" si="1"/>
        <v>0</v>
      </c>
      <c r="AG34" s="26">
        <f t="shared" si="1"/>
        <v>0</v>
      </c>
      <c r="AH34" s="57">
        <f t="shared" si="1"/>
        <v>-300.03943806514144</v>
      </c>
      <c r="AI34" s="57">
        <f t="shared" si="1"/>
        <v>0</v>
      </c>
      <c r="AJ34" s="57">
        <f t="shared" si="1"/>
        <v>0</v>
      </c>
      <c r="AK34" s="57">
        <f t="shared" si="1"/>
        <v>0</v>
      </c>
      <c r="AL34" s="57">
        <f t="shared" si="1"/>
        <v>-300.03943806514144</v>
      </c>
    </row>
    <row r="35" spans="1:38" x14ac:dyDescent="0.3">
      <c r="A35" s="158">
        <f>IF(ISBLANK(B35),"",MAX(A$6:A34)+1)</f>
        <v>23</v>
      </c>
      <c r="B35" s="15" t="s">
        <v>49</v>
      </c>
      <c r="C35" s="500">
        <v>523320</v>
      </c>
      <c r="D35" s="500"/>
      <c r="E35" s="500"/>
      <c r="F35" s="500"/>
      <c r="G35" s="500">
        <v>523320</v>
      </c>
      <c r="H35" s="26"/>
      <c r="I35" s="500">
        <v>-19324083.772600427</v>
      </c>
      <c r="J35" s="500"/>
      <c r="K35" s="500"/>
      <c r="L35" s="500"/>
      <c r="M35" s="500">
        <v>-19324083.772600427</v>
      </c>
      <c r="P35" s="500">
        <v>523320</v>
      </c>
      <c r="Q35" s="500"/>
      <c r="R35" s="500"/>
      <c r="S35" s="500"/>
      <c r="T35" s="500">
        <v>523320</v>
      </c>
      <c r="U35" s="26"/>
      <c r="V35" s="500">
        <v>-19324083.772600427</v>
      </c>
      <c r="W35" s="500"/>
      <c r="X35" s="500"/>
      <c r="Y35" s="500"/>
      <c r="Z35" s="500">
        <v>-19324083.772600427</v>
      </c>
      <c r="AB35" s="500">
        <f t="shared" si="1"/>
        <v>0</v>
      </c>
      <c r="AC35" s="500">
        <f t="shared" si="1"/>
        <v>0</v>
      </c>
      <c r="AD35" s="500">
        <f t="shared" si="1"/>
        <v>0</v>
      </c>
      <c r="AE35" s="500">
        <f t="shared" si="1"/>
        <v>0</v>
      </c>
      <c r="AF35" s="500">
        <f t="shared" si="1"/>
        <v>0</v>
      </c>
      <c r="AG35" s="26">
        <f t="shared" si="1"/>
        <v>0</v>
      </c>
      <c r="AH35" s="500">
        <f t="shared" si="1"/>
        <v>0</v>
      </c>
      <c r="AI35" s="500">
        <f t="shared" si="1"/>
        <v>0</v>
      </c>
      <c r="AJ35" s="500">
        <f t="shared" si="1"/>
        <v>0</v>
      </c>
      <c r="AK35" s="500">
        <f t="shared" si="1"/>
        <v>0</v>
      </c>
      <c r="AL35" s="500">
        <f t="shared" si="1"/>
        <v>0</v>
      </c>
    </row>
    <row r="36" spans="1:38" x14ac:dyDescent="0.3">
      <c r="A36" s="158">
        <f>IF(ISBLANK(B36),"",MAX(A$6:A35)+1)</f>
        <v>24</v>
      </c>
      <c r="B36" s="15" t="s">
        <v>50</v>
      </c>
      <c r="C36" s="173">
        <v>345086748.89701694</v>
      </c>
      <c r="D36" s="173">
        <v>-2616179.6237217812</v>
      </c>
      <c r="E36" s="173">
        <v>-2455596.1125766858</v>
      </c>
      <c r="F36" s="173">
        <v>-3294178.3411877672</v>
      </c>
      <c r="G36" s="173">
        <v>336720794.81953067</v>
      </c>
      <c r="H36" s="27"/>
      <c r="I36" s="173">
        <v>376109826.75485337</v>
      </c>
      <c r="J36" s="173">
        <v>0</v>
      </c>
      <c r="K36" s="173">
        <v>0</v>
      </c>
      <c r="L36" s="173">
        <v>0</v>
      </c>
      <c r="M36" s="173">
        <v>376109826.75485337</v>
      </c>
      <c r="P36" s="173">
        <v>345085411.39093798</v>
      </c>
      <c r="Q36" s="173">
        <v>-2616179.6237217812</v>
      </c>
      <c r="R36" s="173">
        <v>-2455596.1125766858</v>
      </c>
      <c r="S36" s="173">
        <v>-3294178.3411877672</v>
      </c>
      <c r="T36" s="173">
        <v>336719457.31345177</v>
      </c>
      <c r="U36" s="27"/>
      <c r="V36" s="173">
        <v>376108698.03506255</v>
      </c>
      <c r="W36" s="173">
        <v>0</v>
      </c>
      <c r="X36" s="173">
        <v>0</v>
      </c>
      <c r="Y36" s="173">
        <v>0</v>
      </c>
      <c r="Z36" s="173">
        <v>376108698.03506255</v>
      </c>
      <c r="AB36" s="173">
        <f t="shared" si="1"/>
        <v>1337.5060789585114</v>
      </c>
      <c r="AC36" s="173">
        <f t="shared" si="1"/>
        <v>0</v>
      </c>
      <c r="AD36" s="173">
        <f t="shared" si="1"/>
        <v>0</v>
      </c>
      <c r="AE36" s="173">
        <f t="shared" si="1"/>
        <v>0</v>
      </c>
      <c r="AF36" s="173">
        <f t="shared" si="1"/>
        <v>1337.5060788989067</v>
      </c>
      <c r="AG36" s="27">
        <f t="shared" si="1"/>
        <v>0</v>
      </c>
      <c r="AH36" s="173">
        <f t="shared" si="1"/>
        <v>1128.7197908163071</v>
      </c>
      <c r="AI36" s="173">
        <f t="shared" si="1"/>
        <v>0</v>
      </c>
      <c r="AJ36" s="173">
        <f t="shared" si="1"/>
        <v>0</v>
      </c>
      <c r="AK36" s="173">
        <f t="shared" si="1"/>
        <v>0</v>
      </c>
      <c r="AL36" s="173">
        <f t="shared" si="1"/>
        <v>1128.7197908163071</v>
      </c>
    </row>
    <row r="37" spans="1:38" x14ac:dyDescent="0.3">
      <c r="A37" s="158" t="str">
        <f>IF(ISBLANK(B37),"",MAX(A$6:A36)+1)</f>
        <v/>
      </c>
      <c r="C37" s="77"/>
      <c r="D37" s="77"/>
      <c r="E37" s="77"/>
      <c r="F37" s="77"/>
      <c r="G37" s="77"/>
      <c r="H37" s="27"/>
      <c r="I37" s="77"/>
      <c r="J37" s="77"/>
      <c r="K37" s="77"/>
      <c r="L37" s="77"/>
      <c r="M37" s="77"/>
      <c r="P37" s="77"/>
      <c r="Q37" s="77"/>
      <c r="R37" s="77"/>
      <c r="S37" s="77"/>
      <c r="T37" s="77"/>
      <c r="U37" s="27"/>
      <c r="V37" s="77"/>
      <c r="W37" s="77"/>
      <c r="X37" s="77"/>
      <c r="Y37" s="77"/>
      <c r="Z37" s="77"/>
      <c r="AB37" s="77">
        <f t="shared" si="1"/>
        <v>0</v>
      </c>
      <c r="AC37" s="77">
        <f t="shared" si="1"/>
        <v>0</v>
      </c>
      <c r="AD37" s="77">
        <f t="shared" si="1"/>
        <v>0</v>
      </c>
      <c r="AE37" s="77">
        <f t="shared" si="1"/>
        <v>0</v>
      </c>
      <c r="AF37" s="77">
        <f t="shared" si="1"/>
        <v>0</v>
      </c>
      <c r="AG37" s="27">
        <f t="shared" si="1"/>
        <v>0</v>
      </c>
      <c r="AH37" s="77">
        <f t="shared" si="1"/>
        <v>0</v>
      </c>
      <c r="AI37" s="77">
        <f t="shared" si="1"/>
        <v>0</v>
      </c>
      <c r="AJ37" s="77">
        <f t="shared" si="1"/>
        <v>0</v>
      </c>
      <c r="AK37" s="77">
        <f t="shared" si="1"/>
        <v>0</v>
      </c>
      <c r="AL37" s="77">
        <f t="shared" si="1"/>
        <v>0</v>
      </c>
    </row>
    <row r="38" spans="1:38" x14ac:dyDescent="0.3">
      <c r="A38" s="158">
        <f>IF(ISBLANK(B38),"",MAX(A$6:A37)+1)</f>
        <v>25</v>
      </c>
      <c r="B38" s="15" t="s">
        <v>51</v>
      </c>
      <c r="C38" s="161">
        <v>103676253.91862053</v>
      </c>
      <c r="D38" s="161">
        <v>2616179.6237217812</v>
      </c>
      <c r="E38" s="161">
        <v>2455596.1125766858</v>
      </c>
      <c r="F38" s="161">
        <v>3294178.3411877672</v>
      </c>
      <c r="G38" s="161">
        <v>112042207.9961068</v>
      </c>
      <c r="H38" s="27"/>
      <c r="I38" s="161">
        <v>87085018.110751271</v>
      </c>
      <c r="J38" s="161"/>
      <c r="K38" s="161"/>
      <c r="L38" s="161"/>
      <c r="M38" s="161">
        <v>87085018.110751271</v>
      </c>
      <c r="P38" s="161">
        <v>103648161.40557975</v>
      </c>
      <c r="Q38" s="161">
        <v>2616179.6237217812</v>
      </c>
      <c r="R38" s="161">
        <v>2455596.1125766858</v>
      </c>
      <c r="S38" s="161">
        <v>3294178.3411877672</v>
      </c>
      <c r="T38" s="161">
        <v>112014115.48306596</v>
      </c>
      <c r="U38" s="27"/>
      <c r="V38" s="161">
        <v>87086146.830542088</v>
      </c>
      <c r="W38" s="161"/>
      <c r="X38" s="161"/>
      <c r="Y38" s="161"/>
      <c r="Z38" s="161">
        <v>87086146.830542088</v>
      </c>
      <c r="AB38" s="161">
        <f t="shared" si="1"/>
        <v>28092.513040781021</v>
      </c>
      <c r="AC38" s="161">
        <f t="shared" si="1"/>
        <v>0</v>
      </c>
      <c r="AD38" s="161">
        <f t="shared" si="1"/>
        <v>0</v>
      </c>
      <c r="AE38" s="161">
        <f t="shared" si="1"/>
        <v>0</v>
      </c>
      <c r="AF38" s="161">
        <f t="shared" si="1"/>
        <v>28092.513040840626</v>
      </c>
      <c r="AG38" s="27">
        <f t="shared" si="1"/>
        <v>0</v>
      </c>
      <c r="AH38" s="161">
        <f t="shared" si="1"/>
        <v>-1128.7197908163071</v>
      </c>
      <c r="AI38" s="161">
        <f t="shared" si="1"/>
        <v>0</v>
      </c>
      <c r="AJ38" s="161">
        <f t="shared" si="1"/>
        <v>0</v>
      </c>
      <c r="AK38" s="161">
        <f t="shared" si="1"/>
        <v>0</v>
      </c>
      <c r="AL38" s="161">
        <f t="shared" si="1"/>
        <v>-1128.7197908163071</v>
      </c>
    </row>
    <row r="39" spans="1:38" x14ac:dyDescent="0.3">
      <c r="A39" s="158">
        <f>IF(ISBLANK(B39),"",MAX(A$6:A38)+1)</f>
        <v>26</v>
      </c>
      <c r="B39" s="15" t="s">
        <v>571</v>
      </c>
      <c r="C39" s="77">
        <v>109894313.49284603</v>
      </c>
      <c r="D39" s="77"/>
      <c r="E39" s="77"/>
      <c r="F39" s="77"/>
      <c r="G39" s="77"/>
      <c r="H39" s="27"/>
      <c r="I39" s="77"/>
      <c r="J39" s="77"/>
      <c r="K39" s="77"/>
      <c r="L39" s="77"/>
      <c r="M39" s="77">
        <v>85091113.086266875</v>
      </c>
      <c r="P39" s="77">
        <v>109866220.97980525</v>
      </c>
      <c r="Q39" s="77"/>
      <c r="R39" s="77"/>
      <c r="S39" s="77"/>
      <c r="T39" s="77"/>
      <c r="U39" s="27"/>
      <c r="V39" s="77"/>
      <c r="W39" s="77"/>
      <c r="X39" s="77"/>
      <c r="Y39" s="77"/>
      <c r="Z39" s="77">
        <v>85092541.84549576</v>
      </c>
      <c r="AB39" s="77">
        <f t="shared" si="1"/>
        <v>28092.513040781021</v>
      </c>
      <c r="AC39" s="77">
        <f t="shared" si="1"/>
        <v>0</v>
      </c>
      <c r="AD39" s="77">
        <f t="shared" si="1"/>
        <v>0</v>
      </c>
      <c r="AE39" s="77">
        <f t="shared" si="1"/>
        <v>0</v>
      </c>
      <c r="AF39" s="77">
        <f t="shared" si="1"/>
        <v>0</v>
      </c>
      <c r="AG39" s="27">
        <f t="shared" si="1"/>
        <v>0</v>
      </c>
      <c r="AH39" s="77">
        <f t="shared" si="1"/>
        <v>0</v>
      </c>
      <c r="AI39" s="77">
        <f t="shared" si="1"/>
        <v>0</v>
      </c>
      <c r="AJ39" s="77">
        <f t="shared" si="1"/>
        <v>0</v>
      </c>
      <c r="AK39" s="77">
        <f t="shared" si="1"/>
        <v>0</v>
      </c>
      <c r="AL39" s="77">
        <f t="shared" si="1"/>
        <v>-1428.7592288851738</v>
      </c>
    </row>
    <row r="40" spans="1:38" x14ac:dyDescent="0.3">
      <c r="A40" s="158">
        <f>IF(ISBLANK(B40),"",MAX(A$6:A39)+1)</f>
        <v>27</v>
      </c>
      <c r="B40" s="15" t="s">
        <v>52</v>
      </c>
      <c r="C40" s="77">
        <v>1962589183.1507938</v>
      </c>
      <c r="D40" s="77">
        <v>-73516466.176427826</v>
      </c>
      <c r="E40" s="77">
        <v>-13642850.873609414</v>
      </c>
      <c r="F40" s="77">
        <v>-14239197.195381718</v>
      </c>
      <c r="G40" s="77">
        <v>1861190668.9053748</v>
      </c>
      <c r="H40" s="27"/>
      <c r="I40" s="77">
        <v>2097911052.4043577</v>
      </c>
      <c r="J40" s="77"/>
      <c r="K40" s="77"/>
      <c r="L40" s="77"/>
      <c r="M40" s="77">
        <v>2296049297.4567351</v>
      </c>
      <c r="P40" s="77">
        <v>1962589183.1507938</v>
      </c>
      <c r="Q40" s="77">
        <v>-73516466.176427826</v>
      </c>
      <c r="R40" s="77">
        <v>-13642850.873609414</v>
      </c>
      <c r="S40" s="77">
        <v>-14239197.195381718</v>
      </c>
      <c r="T40" s="77">
        <v>1861190668.9053748</v>
      </c>
      <c r="U40" s="27"/>
      <c r="V40" s="77">
        <v>2097911052.4043577</v>
      </c>
      <c r="W40" s="77"/>
      <c r="X40" s="77"/>
      <c r="Y40" s="77"/>
      <c r="Z40" s="77">
        <v>2296049297.4567351</v>
      </c>
      <c r="AB40" s="77">
        <f t="shared" si="1"/>
        <v>0</v>
      </c>
      <c r="AC40" s="77">
        <f t="shared" si="1"/>
        <v>0</v>
      </c>
      <c r="AD40" s="77">
        <f t="shared" si="1"/>
        <v>0</v>
      </c>
      <c r="AE40" s="77">
        <f t="shared" si="1"/>
        <v>0</v>
      </c>
      <c r="AF40" s="77">
        <f t="shared" si="1"/>
        <v>0</v>
      </c>
      <c r="AG40" s="27">
        <f t="shared" si="1"/>
        <v>0</v>
      </c>
      <c r="AH40" s="77">
        <f t="shared" si="1"/>
        <v>0</v>
      </c>
      <c r="AI40" s="77">
        <f t="shared" si="1"/>
        <v>0</v>
      </c>
      <c r="AJ40" s="77">
        <f t="shared" si="1"/>
        <v>0</v>
      </c>
      <c r="AK40" s="77">
        <f t="shared" si="1"/>
        <v>0</v>
      </c>
      <c r="AL40" s="77">
        <f t="shared" si="1"/>
        <v>0</v>
      </c>
    </row>
    <row r="41" spans="1:38" x14ac:dyDescent="0.3">
      <c r="A41" s="158" t="str">
        <f>IF(ISBLANK(B41),"",MAX(A$6:A40)+1)</f>
        <v/>
      </c>
      <c r="C41" s="76"/>
      <c r="D41" s="76"/>
      <c r="E41" s="76"/>
      <c r="F41" s="76"/>
      <c r="G41" s="76"/>
      <c r="H41" s="27"/>
      <c r="I41" s="76"/>
      <c r="J41" s="76"/>
      <c r="K41" s="76"/>
      <c r="L41" s="76"/>
      <c r="M41" s="76"/>
      <c r="P41" s="76"/>
      <c r="Q41" s="76"/>
      <c r="R41" s="76"/>
      <c r="S41" s="76"/>
      <c r="T41" s="76"/>
      <c r="U41" s="27"/>
      <c r="V41" s="76"/>
      <c r="W41" s="76"/>
      <c r="X41" s="76"/>
      <c r="Y41" s="76"/>
      <c r="Z41" s="76"/>
      <c r="AB41" s="76">
        <f t="shared" si="1"/>
        <v>0</v>
      </c>
      <c r="AC41" s="76">
        <f t="shared" si="1"/>
        <v>0</v>
      </c>
      <c r="AD41" s="76">
        <f t="shared" si="1"/>
        <v>0</v>
      </c>
      <c r="AE41" s="76">
        <f t="shared" si="1"/>
        <v>0</v>
      </c>
      <c r="AF41" s="76">
        <f t="shared" si="1"/>
        <v>0</v>
      </c>
      <c r="AG41" s="27">
        <f t="shared" si="1"/>
        <v>0</v>
      </c>
      <c r="AH41" s="76">
        <f t="shared" si="1"/>
        <v>0</v>
      </c>
      <c r="AI41" s="76">
        <f t="shared" si="1"/>
        <v>0</v>
      </c>
      <c r="AJ41" s="76">
        <f t="shared" si="1"/>
        <v>0</v>
      </c>
      <c r="AK41" s="76">
        <f t="shared" si="1"/>
        <v>0</v>
      </c>
      <c r="AL41" s="76">
        <f t="shared" si="1"/>
        <v>0</v>
      </c>
    </row>
    <row r="42" spans="1:38" x14ac:dyDescent="0.3">
      <c r="A42" s="158">
        <f>IF(ISBLANK(B42),"",MAX(A$6:A41)+1)</f>
        <v>28</v>
      </c>
      <c r="B42" s="15" t="s">
        <v>53</v>
      </c>
      <c r="C42" s="175">
        <v>6.5199999999999994E-2</v>
      </c>
      <c r="D42" s="175"/>
      <c r="E42" s="175"/>
      <c r="F42" s="175"/>
      <c r="G42" s="175">
        <v>6.5199999999999994E-2</v>
      </c>
      <c r="H42" s="27"/>
      <c r="I42" s="175">
        <v>6.5199999999999994E-2</v>
      </c>
      <c r="J42" s="175"/>
      <c r="K42" s="175"/>
      <c r="L42" s="175"/>
      <c r="M42" s="175">
        <v>6.5199999999999994E-2</v>
      </c>
      <c r="P42" s="175">
        <v>6.5199999999999994E-2</v>
      </c>
      <c r="Q42" s="175"/>
      <c r="R42" s="175"/>
      <c r="S42" s="175"/>
      <c r="T42" s="175">
        <v>6.5199999999999994E-2</v>
      </c>
      <c r="U42" s="27"/>
      <c r="V42" s="175">
        <v>6.5199999999999994E-2</v>
      </c>
      <c r="W42" s="175"/>
      <c r="X42" s="175"/>
      <c r="Y42" s="175"/>
      <c r="Z42" s="175">
        <v>6.5199999999999994E-2</v>
      </c>
      <c r="AB42" s="175">
        <f t="shared" si="1"/>
        <v>0</v>
      </c>
      <c r="AC42" s="175">
        <f t="shared" si="1"/>
        <v>0</v>
      </c>
      <c r="AD42" s="175">
        <f t="shared" si="1"/>
        <v>0</v>
      </c>
      <c r="AE42" s="175">
        <f t="shared" si="1"/>
        <v>0</v>
      </c>
      <c r="AF42" s="175">
        <f t="shared" si="1"/>
        <v>0</v>
      </c>
      <c r="AG42" s="27">
        <f t="shared" si="1"/>
        <v>0</v>
      </c>
      <c r="AH42" s="175">
        <f t="shared" si="1"/>
        <v>0</v>
      </c>
      <c r="AI42" s="175">
        <f t="shared" si="1"/>
        <v>0</v>
      </c>
      <c r="AJ42" s="175">
        <f t="shared" si="1"/>
        <v>0</v>
      </c>
      <c r="AK42" s="175">
        <f t="shared" si="1"/>
        <v>0</v>
      </c>
      <c r="AL42" s="175">
        <f t="shared" si="1"/>
        <v>0</v>
      </c>
    </row>
    <row r="43" spans="1:38" x14ac:dyDescent="0.3">
      <c r="A43" s="158" t="str">
        <f>IF(ISBLANK(B43),"",MAX(A$6:A42)+1)</f>
        <v/>
      </c>
      <c r="C43" s="502"/>
      <c r="D43" s="502"/>
      <c r="E43" s="502"/>
      <c r="F43" s="502"/>
      <c r="G43" s="502"/>
      <c r="H43" s="27"/>
      <c r="I43" s="502"/>
      <c r="J43" s="502"/>
      <c r="K43" s="502"/>
      <c r="L43" s="502"/>
      <c r="M43" s="502"/>
      <c r="P43" s="502"/>
      <c r="Q43" s="502"/>
      <c r="R43" s="502"/>
      <c r="S43" s="502"/>
      <c r="T43" s="502"/>
      <c r="U43" s="27"/>
      <c r="V43" s="502"/>
      <c r="W43" s="502"/>
      <c r="X43" s="502"/>
      <c r="Y43" s="502"/>
      <c r="Z43" s="502"/>
      <c r="AB43" s="502">
        <f t="shared" si="1"/>
        <v>0</v>
      </c>
      <c r="AC43" s="502">
        <f t="shared" si="1"/>
        <v>0</v>
      </c>
      <c r="AD43" s="502">
        <f t="shared" si="1"/>
        <v>0</v>
      </c>
      <c r="AE43" s="502">
        <f t="shared" si="1"/>
        <v>0</v>
      </c>
      <c r="AF43" s="502">
        <f t="shared" si="1"/>
        <v>0</v>
      </c>
      <c r="AG43" s="27">
        <f t="shared" si="1"/>
        <v>0</v>
      </c>
      <c r="AH43" s="502">
        <f t="shared" si="1"/>
        <v>0</v>
      </c>
      <c r="AI43" s="502">
        <f t="shared" si="1"/>
        <v>0</v>
      </c>
      <c r="AJ43" s="502">
        <f t="shared" si="1"/>
        <v>0</v>
      </c>
      <c r="AK43" s="502">
        <f t="shared" si="1"/>
        <v>0</v>
      </c>
      <c r="AL43" s="502">
        <f t="shared" si="1"/>
        <v>0</v>
      </c>
    </row>
    <row r="44" spans="1:38" x14ac:dyDescent="0.3">
      <c r="A44" s="158">
        <f>IF(ISBLANK(B44),"",MAX(A$6:A43)+1)</f>
        <v>29</v>
      </c>
      <c r="B44" s="15" t="s">
        <v>54</v>
      </c>
      <c r="C44" s="76"/>
      <c r="D44" s="76"/>
      <c r="E44" s="76"/>
      <c r="F44" s="76"/>
      <c r="G44" s="76"/>
      <c r="H44" s="27"/>
      <c r="I44" s="76"/>
      <c r="J44" s="76"/>
      <c r="K44" s="76"/>
      <c r="L44" s="76"/>
      <c r="M44" s="76"/>
      <c r="P44" s="76"/>
      <c r="Q44" s="76"/>
      <c r="R44" s="76"/>
      <c r="S44" s="76"/>
      <c r="T44" s="76"/>
      <c r="U44" s="27"/>
      <c r="V44" s="76"/>
      <c r="W44" s="76"/>
      <c r="X44" s="76"/>
      <c r="Y44" s="76"/>
      <c r="Z44" s="76"/>
      <c r="AB44" s="76">
        <f t="shared" si="1"/>
        <v>0</v>
      </c>
      <c r="AC44" s="76">
        <f t="shared" si="1"/>
        <v>0</v>
      </c>
      <c r="AD44" s="76">
        <f t="shared" si="1"/>
        <v>0</v>
      </c>
      <c r="AE44" s="76">
        <f t="shared" si="1"/>
        <v>0</v>
      </c>
      <c r="AF44" s="76">
        <f t="shared" si="1"/>
        <v>0</v>
      </c>
      <c r="AG44" s="27">
        <f t="shared" si="1"/>
        <v>0</v>
      </c>
      <c r="AH44" s="76">
        <f t="shared" si="1"/>
        <v>0</v>
      </c>
      <c r="AI44" s="76">
        <f t="shared" si="1"/>
        <v>0</v>
      </c>
      <c r="AJ44" s="76">
        <f t="shared" si="1"/>
        <v>0</v>
      </c>
      <c r="AK44" s="76">
        <f t="shared" si="1"/>
        <v>0</v>
      </c>
      <c r="AL44" s="76">
        <f t="shared" si="1"/>
        <v>0</v>
      </c>
    </row>
    <row r="45" spans="1:38" x14ac:dyDescent="0.3">
      <c r="A45" s="158">
        <f>IF(ISBLANK(B45),"",MAX(A$6:A44)+1)</f>
        <v>30</v>
      </c>
      <c r="B45" s="15" t="s">
        <v>180</v>
      </c>
      <c r="C45" s="161">
        <v>4100486956.6681142</v>
      </c>
      <c r="D45" s="161">
        <v>-84751774.307916671</v>
      </c>
      <c r="E45" s="161">
        <v>-16228881.069029139</v>
      </c>
      <c r="F45" s="161">
        <v>-16597798.789668249</v>
      </c>
      <c r="G45" s="161">
        <v>3982908502.5015001</v>
      </c>
      <c r="H45" s="26"/>
      <c r="I45" s="161">
        <v>4532472039.5173817</v>
      </c>
      <c r="J45" s="161">
        <v>105802468.1600001</v>
      </c>
      <c r="K45" s="161">
        <v>66784661.41225782</v>
      </c>
      <c r="L45" s="161">
        <v>82865659.666204244</v>
      </c>
      <c r="M45" s="161">
        <v>4787924828.7558432</v>
      </c>
      <c r="P45" s="161">
        <v>4100486956.6681142</v>
      </c>
      <c r="Q45" s="161">
        <v>-84751774.307916671</v>
      </c>
      <c r="R45" s="161">
        <v>-16228881.069029139</v>
      </c>
      <c r="S45" s="161">
        <v>-16597798.789668249</v>
      </c>
      <c r="T45" s="161">
        <v>3982908502.5015001</v>
      </c>
      <c r="U45" s="26"/>
      <c r="V45" s="161">
        <v>4532472039.5173817</v>
      </c>
      <c r="W45" s="161">
        <v>105802468.1600001</v>
      </c>
      <c r="X45" s="161">
        <v>66784661.41225782</v>
      </c>
      <c r="Y45" s="161">
        <v>82865659.666204244</v>
      </c>
      <c r="Z45" s="161">
        <v>4787924828.7558432</v>
      </c>
      <c r="AB45" s="161">
        <f t="shared" si="1"/>
        <v>0</v>
      </c>
      <c r="AC45" s="161">
        <f t="shared" si="1"/>
        <v>0</v>
      </c>
      <c r="AD45" s="161">
        <f t="shared" si="1"/>
        <v>0</v>
      </c>
      <c r="AE45" s="161">
        <f t="shared" si="1"/>
        <v>0</v>
      </c>
      <c r="AF45" s="161">
        <f t="shared" si="1"/>
        <v>0</v>
      </c>
      <c r="AG45" s="26">
        <f t="shared" si="1"/>
        <v>0</v>
      </c>
      <c r="AH45" s="161">
        <f t="shared" si="1"/>
        <v>0</v>
      </c>
      <c r="AI45" s="161">
        <f t="shared" si="1"/>
        <v>0</v>
      </c>
      <c r="AJ45" s="161">
        <f t="shared" si="1"/>
        <v>0</v>
      </c>
      <c r="AK45" s="161">
        <f t="shared" ref="AK45:AL108" si="2">+L45-Y45</f>
        <v>0</v>
      </c>
      <c r="AL45" s="161">
        <f t="shared" si="2"/>
        <v>0</v>
      </c>
    </row>
    <row r="46" spans="1:38" x14ac:dyDescent="0.3">
      <c r="A46" s="158">
        <f>IF(ISBLANK(B46),"",MAX(A$6:A45)+1)</f>
        <v>31</v>
      </c>
      <c r="B46" s="15" t="s">
        <v>181</v>
      </c>
      <c r="C46" s="162">
        <v>-1569795174.7788</v>
      </c>
      <c r="D46" s="162">
        <v>3209723.1798207625</v>
      </c>
      <c r="E46" s="162">
        <v>1296178.4092875994</v>
      </c>
      <c r="F46" s="162">
        <v>1430783.8862761646</v>
      </c>
      <c r="G46" s="162">
        <v>-1563858489.3034153</v>
      </c>
      <c r="H46" s="26"/>
      <c r="I46" s="162">
        <v>-1886812085.3659108</v>
      </c>
      <c r="J46" s="162">
        <v>-10067230.849618189</v>
      </c>
      <c r="K46" s="162">
        <v>-10582560.510378484</v>
      </c>
      <c r="L46" s="162">
        <v>-18729954.286813222</v>
      </c>
      <c r="M46" s="162">
        <v>-1926191831.0127208</v>
      </c>
      <c r="P46" s="162">
        <v>-1569795174.7788</v>
      </c>
      <c r="Q46" s="162">
        <v>3209723.1798207625</v>
      </c>
      <c r="R46" s="162">
        <v>1296178.4092875994</v>
      </c>
      <c r="S46" s="162">
        <v>1430783.8862761646</v>
      </c>
      <c r="T46" s="162">
        <v>-1563858489.3034153</v>
      </c>
      <c r="U46" s="26"/>
      <c r="V46" s="162">
        <v>-1886812085.3659108</v>
      </c>
      <c r="W46" s="162">
        <v>-10067230.849618189</v>
      </c>
      <c r="X46" s="162">
        <v>-10582560.510378484</v>
      </c>
      <c r="Y46" s="162">
        <v>-18729954.286813222</v>
      </c>
      <c r="Z46" s="162">
        <v>-1926191831.0127208</v>
      </c>
      <c r="AB46" s="162">
        <f t="shared" ref="AB46:AJ74" si="3">+C46-P46</f>
        <v>0</v>
      </c>
      <c r="AC46" s="162">
        <f t="shared" si="3"/>
        <v>0</v>
      </c>
      <c r="AD46" s="162">
        <f t="shared" si="3"/>
        <v>0</v>
      </c>
      <c r="AE46" s="162">
        <f t="shared" si="3"/>
        <v>0</v>
      </c>
      <c r="AF46" s="162">
        <f t="shared" si="3"/>
        <v>0</v>
      </c>
      <c r="AG46" s="26">
        <f t="shared" si="3"/>
        <v>0</v>
      </c>
      <c r="AH46" s="162">
        <f t="shared" si="3"/>
        <v>0</v>
      </c>
      <c r="AI46" s="162">
        <f t="shared" si="3"/>
        <v>0</v>
      </c>
      <c r="AJ46" s="162">
        <f t="shared" si="3"/>
        <v>0</v>
      </c>
      <c r="AK46" s="162">
        <f t="shared" si="2"/>
        <v>0</v>
      </c>
      <c r="AL46" s="162">
        <f t="shared" si="2"/>
        <v>0</v>
      </c>
    </row>
    <row r="47" spans="1:38" x14ac:dyDescent="0.3">
      <c r="A47" s="158">
        <f>IF(ISBLANK(B47),"",MAX(A$6:A46)+1)</f>
        <v>32</v>
      </c>
      <c r="B47" s="15" t="s">
        <v>182</v>
      </c>
      <c r="C47" s="80">
        <v>-607066028.19967902</v>
      </c>
      <c r="D47" s="80">
        <v>8025584.9516680902</v>
      </c>
      <c r="E47" s="80">
        <v>1289851.786132125</v>
      </c>
      <c r="F47" s="80">
        <v>927817.70801036642</v>
      </c>
      <c r="G47" s="80">
        <v>-596822773.75386846</v>
      </c>
      <c r="H47" s="26"/>
      <c r="I47" s="80">
        <v>-586712331.2082721</v>
      </c>
      <c r="J47" s="80">
        <v>-8937256.0344074257</v>
      </c>
      <c r="K47" s="80">
        <v>-2256392.3988461853</v>
      </c>
      <c r="L47" s="80">
        <v>-6741150.1060194559</v>
      </c>
      <c r="M47" s="80">
        <v>-604647129.74754512</v>
      </c>
      <c r="P47" s="80">
        <v>-607066028.19967902</v>
      </c>
      <c r="Q47" s="80">
        <v>8025584.9516680902</v>
      </c>
      <c r="R47" s="80">
        <v>1289851.786132125</v>
      </c>
      <c r="S47" s="80">
        <v>927817.70801036642</v>
      </c>
      <c r="T47" s="80">
        <v>-596822773.75386846</v>
      </c>
      <c r="U47" s="26"/>
      <c r="V47" s="80">
        <v>-586712331.2082721</v>
      </c>
      <c r="W47" s="80">
        <v>-8937256.0344074257</v>
      </c>
      <c r="X47" s="80">
        <v>-2256392.3988461853</v>
      </c>
      <c r="Y47" s="80">
        <v>-6741150.1060194559</v>
      </c>
      <c r="Z47" s="80">
        <v>-604647129.74754512</v>
      </c>
      <c r="AB47" s="80">
        <f t="shared" si="3"/>
        <v>0</v>
      </c>
      <c r="AC47" s="80">
        <f t="shared" si="3"/>
        <v>0</v>
      </c>
      <c r="AD47" s="80">
        <f t="shared" si="3"/>
        <v>0</v>
      </c>
      <c r="AE47" s="80">
        <f t="shared" si="3"/>
        <v>0</v>
      </c>
      <c r="AF47" s="80">
        <f t="shared" si="3"/>
        <v>0</v>
      </c>
      <c r="AG47" s="26">
        <f t="shared" si="3"/>
        <v>0</v>
      </c>
      <c r="AH47" s="80">
        <f t="shared" si="3"/>
        <v>0</v>
      </c>
      <c r="AI47" s="80">
        <f t="shared" si="3"/>
        <v>0</v>
      </c>
      <c r="AJ47" s="80">
        <f t="shared" si="3"/>
        <v>0</v>
      </c>
      <c r="AK47" s="80">
        <f t="shared" si="2"/>
        <v>0</v>
      </c>
      <c r="AL47" s="80">
        <f t="shared" si="2"/>
        <v>0</v>
      </c>
    </row>
    <row r="48" spans="1:38" x14ac:dyDescent="0.3">
      <c r="A48" s="158">
        <f>IF(ISBLANK(B48),"",MAX(A$6:A47)+1)</f>
        <v>33</v>
      </c>
      <c r="B48" s="15" t="s">
        <v>183</v>
      </c>
      <c r="C48" s="503">
        <v>-15468370.592007965</v>
      </c>
      <c r="D48" s="503">
        <v>0</v>
      </c>
      <c r="E48" s="503">
        <v>0</v>
      </c>
      <c r="F48" s="503">
        <v>0</v>
      </c>
      <c r="G48" s="503">
        <v>-15468370.592007965</v>
      </c>
      <c r="H48" s="26"/>
      <c r="I48" s="503">
        <v>-15468370.592007965</v>
      </c>
      <c r="J48" s="503">
        <v>0</v>
      </c>
      <c r="K48" s="503">
        <v>0</v>
      </c>
      <c r="L48" s="503">
        <v>0</v>
      </c>
      <c r="M48" s="503">
        <v>-15468370.592007965</v>
      </c>
      <c r="P48" s="503">
        <v>-15468370.592007965</v>
      </c>
      <c r="Q48" s="503">
        <v>0</v>
      </c>
      <c r="R48" s="503">
        <v>0</v>
      </c>
      <c r="S48" s="503">
        <v>0</v>
      </c>
      <c r="T48" s="503">
        <v>-15468370.592007965</v>
      </c>
      <c r="U48" s="26"/>
      <c r="V48" s="503">
        <v>-15468370.592007965</v>
      </c>
      <c r="W48" s="503">
        <v>0</v>
      </c>
      <c r="X48" s="503">
        <v>0</v>
      </c>
      <c r="Y48" s="503">
        <v>0</v>
      </c>
      <c r="Z48" s="503">
        <v>-15468370.592007965</v>
      </c>
      <c r="AB48" s="503">
        <f t="shared" si="3"/>
        <v>0</v>
      </c>
      <c r="AC48" s="503">
        <f t="shared" si="3"/>
        <v>0</v>
      </c>
      <c r="AD48" s="503">
        <f t="shared" si="3"/>
        <v>0</v>
      </c>
      <c r="AE48" s="503">
        <f t="shared" si="3"/>
        <v>0</v>
      </c>
      <c r="AF48" s="503">
        <f t="shared" si="3"/>
        <v>0</v>
      </c>
      <c r="AG48" s="26">
        <f t="shared" si="3"/>
        <v>0</v>
      </c>
      <c r="AH48" s="503">
        <f t="shared" si="3"/>
        <v>0</v>
      </c>
      <c r="AI48" s="503">
        <f t="shared" si="3"/>
        <v>0</v>
      </c>
      <c r="AJ48" s="503">
        <f t="shared" si="3"/>
        <v>0</v>
      </c>
      <c r="AK48" s="503">
        <f t="shared" si="2"/>
        <v>0</v>
      </c>
      <c r="AL48" s="503">
        <f t="shared" si="2"/>
        <v>0</v>
      </c>
    </row>
    <row r="49" spans="1:38" x14ac:dyDescent="0.3">
      <c r="A49" s="158">
        <f>IF(ISBLANK(B49),"",MAX(A$6:A48)+1)</f>
        <v>34</v>
      </c>
      <c r="B49" s="15" t="s">
        <v>184</v>
      </c>
      <c r="C49" s="504">
        <v>1908157383.0976274</v>
      </c>
      <c r="D49" s="504">
        <v>-73516466.176427826</v>
      </c>
      <c r="E49" s="504">
        <v>-13642850.873609414</v>
      </c>
      <c r="F49" s="504">
        <v>-14239197.195381718</v>
      </c>
      <c r="G49" s="504">
        <v>1806758868.8522084</v>
      </c>
      <c r="H49" s="505"/>
      <c r="I49" s="504">
        <v>2043479252.3511913</v>
      </c>
      <c r="J49" s="504">
        <v>86797981.275974497</v>
      </c>
      <c r="K49" s="504">
        <v>53945708.503033154</v>
      </c>
      <c r="L49" s="504">
        <v>57394555.273371562</v>
      </c>
      <c r="M49" s="504">
        <v>2241617497.4035687</v>
      </c>
      <c r="P49" s="504">
        <v>1908157383.0976274</v>
      </c>
      <c r="Q49" s="504">
        <v>-73516466.176427826</v>
      </c>
      <c r="R49" s="504">
        <v>-13642850.873609414</v>
      </c>
      <c r="S49" s="504">
        <v>-14239197.195381718</v>
      </c>
      <c r="T49" s="504">
        <v>1806758868.8522084</v>
      </c>
      <c r="U49" s="505"/>
      <c r="V49" s="504">
        <v>2043479252.3511913</v>
      </c>
      <c r="W49" s="504">
        <v>86797981.275974497</v>
      </c>
      <c r="X49" s="504">
        <v>53945708.503033154</v>
      </c>
      <c r="Y49" s="504">
        <v>57394555.273371562</v>
      </c>
      <c r="Z49" s="504">
        <v>2241617497.4035687</v>
      </c>
      <c r="AB49" s="504">
        <f t="shared" si="3"/>
        <v>0</v>
      </c>
      <c r="AC49" s="504">
        <f t="shared" si="3"/>
        <v>0</v>
      </c>
      <c r="AD49" s="504">
        <f t="shared" si="3"/>
        <v>0</v>
      </c>
      <c r="AE49" s="504">
        <f t="shared" si="3"/>
        <v>0</v>
      </c>
      <c r="AF49" s="504">
        <f t="shared" si="3"/>
        <v>0</v>
      </c>
      <c r="AG49" s="505">
        <f t="shared" si="3"/>
        <v>0</v>
      </c>
      <c r="AH49" s="504">
        <f t="shared" si="3"/>
        <v>0</v>
      </c>
      <c r="AI49" s="504">
        <f t="shared" si="3"/>
        <v>0</v>
      </c>
      <c r="AJ49" s="504">
        <f t="shared" si="3"/>
        <v>0</v>
      </c>
      <c r="AK49" s="504">
        <f t="shared" si="2"/>
        <v>0</v>
      </c>
      <c r="AL49" s="504">
        <f t="shared" si="2"/>
        <v>0</v>
      </c>
    </row>
    <row r="50" spans="1:38" x14ac:dyDescent="0.3">
      <c r="A50" s="158">
        <f>IF(ISBLANK(B50),"",MAX(A$6:A49)+1)</f>
        <v>35</v>
      </c>
      <c r="B50" s="15" t="s">
        <v>60</v>
      </c>
      <c r="C50" s="503">
        <v>54431800.053166389</v>
      </c>
      <c r="D50" s="503">
        <v>0</v>
      </c>
      <c r="E50" s="503">
        <v>0</v>
      </c>
      <c r="F50" s="503">
        <v>0</v>
      </c>
      <c r="G50" s="503">
        <v>54431800.053166389</v>
      </c>
      <c r="H50" s="26"/>
      <c r="I50" s="503">
        <v>54431800.053166389</v>
      </c>
      <c r="J50" s="503">
        <v>0</v>
      </c>
      <c r="K50" s="503">
        <v>0</v>
      </c>
      <c r="L50" s="503">
        <v>0</v>
      </c>
      <c r="M50" s="503">
        <v>54431800.053166389</v>
      </c>
      <c r="P50" s="503">
        <v>54431800.053166389</v>
      </c>
      <c r="Q50" s="503">
        <v>0</v>
      </c>
      <c r="R50" s="503">
        <v>0</v>
      </c>
      <c r="S50" s="503">
        <v>0</v>
      </c>
      <c r="T50" s="503">
        <v>54431800.053166389</v>
      </c>
      <c r="U50" s="26"/>
      <c r="V50" s="503">
        <v>54431800.053166389</v>
      </c>
      <c r="W50" s="503">
        <v>0</v>
      </c>
      <c r="X50" s="503">
        <v>0</v>
      </c>
      <c r="Y50" s="503">
        <v>0</v>
      </c>
      <c r="Z50" s="503">
        <v>54431800.053166389</v>
      </c>
      <c r="AB50" s="503">
        <f t="shared" si="3"/>
        <v>0</v>
      </c>
      <c r="AC50" s="503">
        <f t="shared" si="3"/>
        <v>0</v>
      </c>
      <c r="AD50" s="503">
        <f t="shared" si="3"/>
        <v>0</v>
      </c>
      <c r="AE50" s="503">
        <f t="shared" si="3"/>
        <v>0</v>
      </c>
      <c r="AF50" s="503">
        <f t="shared" si="3"/>
        <v>0</v>
      </c>
      <c r="AG50" s="26">
        <f t="shared" si="3"/>
        <v>0</v>
      </c>
      <c r="AH50" s="503">
        <f t="shared" si="3"/>
        <v>0</v>
      </c>
      <c r="AI50" s="503">
        <f t="shared" si="3"/>
        <v>0</v>
      </c>
      <c r="AJ50" s="503">
        <f t="shared" si="3"/>
        <v>0</v>
      </c>
      <c r="AK50" s="503">
        <f t="shared" si="2"/>
        <v>0</v>
      </c>
      <c r="AL50" s="503">
        <f t="shared" si="2"/>
        <v>0</v>
      </c>
    </row>
    <row r="51" spans="1:38" ht="15" thickBot="1" x14ac:dyDescent="0.35">
      <c r="A51" s="158">
        <f>IF(ISBLANK(B51),"",MAX(A$6:A50)+1)</f>
        <v>36</v>
      </c>
      <c r="B51" s="15" t="s">
        <v>62</v>
      </c>
      <c r="C51" s="179">
        <v>1962589183.1507938</v>
      </c>
      <c r="D51" s="179">
        <v>-73516466.176427826</v>
      </c>
      <c r="E51" s="179">
        <v>-13642850.873609414</v>
      </c>
      <c r="F51" s="179">
        <v>-14239197.195381718</v>
      </c>
      <c r="G51" s="179">
        <v>1861190668.9053748</v>
      </c>
      <c r="H51" s="505"/>
      <c r="I51" s="179">
        <v>2097911052.4043577</v>
      </c>
      <c r="J51" s="179">
        <v>86797981.275974497</v>
      </c>
      <c r="K51" s="179">
        <v>53945708.503033154</v>
      </c>
      <c r="L51" s="179">
        <v>57394555.273371562</v>
      </c>
      <c r="M51" s="179">
        <v>2296049297.4567351</v>
      </c>
      <c r="P51" s="179">
        <v>1962589183.1507938</v>
      </c>
      <c r="Q51" s="179">
        <v>-73516466.176427826</v>
      </c>
      <c r="R51" s="179">
        <v>-13642850.873609414</v>
      </c>
      <c r="S51" s="179">
        <v>-14239197.195381718</v>
      </c>
      <c r="T51" s="179">
        <v>1861190668.9053748</v>
      </c>
      <c r="U51" s="505"/>
      <c r="V51" s="179">
        <v>2097911052.4043577</v>
      </c>
      <c r="W51" s="179">
        <v>86797981.275974497</v>
      </c>
      <c r="X51" s="179">
        <v>53945708.503033154</v>
      </c>
      <c r="Y51" s="179">
        <v>57394555.273371562</v>
      </c>
      <c r="Z51" s="179">
        <v>2296049297.4567351</v>
      </c>
      <c r="AB51" s="179">
        <f t="shared" si="3"/>
        <v>0</v>
      </c>
      <c r="AC51" s="179">
        <f t="shared" si="3"/>
        <v>0</v>
      </c>
      <c r="AD51" s="179">
        <f t="shared" si="3"/>
        <v>0</v>
      </c>
      <c r="AE51" s="179">
        <f t="shared" si="3"/>
        <v>0</v>
      </c>
      <c r="AF51" s="179">
        <f t="shared" si="3"/>
        <v>0</v>
      </c>
      <c r="AG51" s="505">
        <f t="shared" si="3"/>
        <v>0</v>
      </c>
      <c r="AH51" s="179">
        <f t="shared" si="3"/>
        <v>0</v>
      </c>
      <c r="AI51" s="179">
        <f t="shared" si="3"/>
        <v>0</v>
      </c>
      <c r="AJ51" s="179">
        <f t="shared" si="3"/>
        <v>0</v>
      </c>
      <c r="AK51" s="179">
        <f t="shared" si="2"/>
        <v>0</v>
      </c>
      <c r="AL51" s="179">
        <f t="shared" si="2"/>
        <v>0</v>
      </c>
    </row>
    <row r="52" spans="1:38" ht="15" thickTop="1" x14ac:dyDescent="0.3">
      <c r="A52" s="158">
        <f>IF(ISBLANK(B52),"",MAX(A$6:A51)+1)</f>
        <v>37</v>
      </c>
      <c r="B52" s="193" t="s">
        <v>570</v>
      </c>
      <c r="C52" s="20">
        <v>0</v>
      </c>
      <c r="D52" s="20"/>
      <c r="E52" s="20"/>
      <c r="F52" s="20"/>
      <c r="G52" s="20"/>
      <c r="H52" s="27"/>
      <c r="I52" s="20"/>
      <c r="J52" s="20"/>
      <c r="K52" s="20"/>
      <c r="L52" s="20"/>
      <c r="M52" s="20"/>
      <c r="P52" s="20">
        <v>0</v>
      </c>
      <c r="Q52" s="20"/>
      <c r="R52" s="20"/>
      <c r="S52" s="20"/>
      <c r="T52" s="20"/>
      <c r="U52" s="27"/>
      <c r="V52" s="20"/>
      <c r="W52" s="20"/>
      <c r="X52" s="20"/>
      <c r="Y52" s="20"/>
      <c r="Z52" s="20"/>
      <c r="AB52" s="20">
        <f t="shared" si="3"/>
        <v>0</v>
      </c>
      <c r="AC52" s="20">
        <f t="shared" si="3"/>
        <v>0</v>
      </c>
      <c r="AD52" s="20">
        <f t="shared" si="3"/>
        <v>0</v>
      </c>
      <c r="AE52" s="20">
        <f t="shared" si="3"/>
        <v>0</v>
      </c>
      <c r="AF52" s="20">
        <f t="shared" si="3"/>
        <v>0</v>
      </c>
      <c r="AG52" s="27">
        <f t="shared" si="3"/>
        <v>0</v>
      </c>
      <c r="AH52" s="20">
        <f t="shared" si="3"/>
        <v>0</v>
      </c>
      <c r="AI52" s="20">
        <f t="shared" si="3"/>
        <v>0</v>
      </c>
      <c r="AJ52" s="20">
        <f t="shared" si="3"/>
        <v>0</v>
      </c>
      <c r="AK52" s="20">
        <f t="shared" si="2"/>
        <v>0</v>
      </c>
      <c r="AL52" s="20">
        <f t="shared" si="2"/>
        <v>0</v>
      </c>
    </row>
    <row r="53" spans="1:38" x14ac:dyDescent="0.3">
      <c r="A53" s="158">
        <f>IF(ISBLANK(B53),"",MAX(A$6:A52)+1)</f>
        <v>38</v>
      </c>
      <c r="B53" s="15" t="s">
        <v>63</v>
      </c>
      <c r="H53" s="27"/>
      <c r="U53" s="27"/>
      <c r="AB53" s="15">
        <f t="shared" si="3"/>
        <v>0</v>
      </c>
      <c r="AC53" s="15">
        <f t="shared" si="3"/>
        <v>0</v>
      </c>
      <c r="AD53" s="15">
        <f t="shared" si="3"/>
        <v>0</v>
      </c>
      <c r="AE53" s="15">
        <f t="shared" si="3"/>
        <v>0</v>
      </c>
      <c r="AF53" s="15">
        <f t="shared" si="3"/>
        <v>0</v>
      </c>
      <c r="AG53" s="27">
        <f t="shared" si="3"/>
        <v>0</v>
      </c>
      <c r="AH53" s="15">
        <f t="shared" si="3"/>
        <v>0</v>
      </c>
      <c r="AI53" s="15">
        <f t="shared" si="3"/>
        <v>0</v>
      </c>
      <c r="AJ53" s="15">
        <f t="shared" si="3"/>
        <v>0</v>
      </c>
      <c r="AK53" s="15">
        <f t="shared" si="2"/>
        <v>0</v>
      </c>
      <c r="AL53" s="15">
        <f t="shared" si="2"/>
        <v>0</v>
      </c>
    </row>
    <row r="54" spans="1:38" x14ac:dyDescent="0.3">
      <c r="A54" s="158">
        <f>IF(ISBLANK(B54),"",MAX(A$6:A53)+1)</f>
        <v>39</v>
      </c>
      <c r="B54" s="21" t="s">
        <v>185</v>
      </c>
      <c r="C54" s="16">
        <v>76474409.469999999</v>
      </c>
      <c r="D54" s="16"/>
      <c r="E54" s="16"/>
      <c r="F54" s="16"/>
      <c r="G54" s="16">
        <v>76474409.469999999</v>
      </c>
      <c r="H54" s="26">
        <v>1.3282089954823606E-2</v>
      </c>
      <c r="I54" s="177">
        <v>70765039.407125533</v>
      </c>
      <c r="J54" s="177"/>
      <c r="K54" s="177"/>
      <c r="L54" s="177"/>
      <c r="M54" s="177">
        <v>70765039.407125533</v>
      </c>
      <c r="P54" s="16">
        <v>76474409.469999999</v>
      </c>
      <c r="Q54" s="16"/>
      <c r="R54" s="16"/>
      <c r="S54" s="16"/>
      <c r="T54" s="16">
        <v>76474409.469999999</v>
      </c>
      <c r="U54" s="26">
        <v>1.3282089954823606E-2</v>
      </c>
      <c r="V54" s="177">
        <v>70765039.407125533</v>
      </c>
      <c r="W54" s="177"/>
      <c r="X54" s="177"/>
      <c r="Y54" s="177"/>
      <c r="Z54" s="177">
        <v>70765039.407125533</v>
      </c>
      <c r="AB54" s="16">
        <f t="shared" si="3"/>
        <v>0</v>
      </c>
      <c r="AC54" s="16">
        <f t="shared" si="3"/>
        <v>0</v>
      </c>
      <c r="AD54" s="16">
        <f t="shared" si="3"/>
        <v>0</v>
      </c>
      <c r="AE54" s="16">
        <f t="shared" si="3"/>
        <v>0</v>
      </c>
      <c r="AF54" s="16">
        <f t="shared" si="3"/>
        <v>0</v>
      </c>
      <c r="AG54" s="26">
        <f t="shared" si="3"/>
        <v>0</v>
      </c>
      <c r="AH54" s="177">
        <f t="shared" si="3"/>
        <v>0</v>
      </c>
      <c r="AI54" s="177">
        <f t="shared" si="3"/>
        <v>0</v>
      </c>
      <c r="AJ54" s="177">
        <f t="shared" si="3"/>
        <v>0</v>
      </c>
      <c r="AK54" s="177">
        <f t="shared" si="2"/>
        <v>0</v>
      </c>
      <c r="AL54" s="177">
        <f t="shared" si="2"/>
        <v>0</v>
      </c>
    </row>
    <row r="55" spans="1:38" x14ac:dyDescent="0.3">
      <c r="A55" s="158">
        <f>IF(ISBLANK(B55),"",MAX(A$6:A54)+1)</f>
        <v>40</v>
      </c>
      <c r="B55" s="21" t="s">
        <v>65</v>
      </c>
      <c r="C55" s="162">
        <v>0</v>
      </c>
      <c r="D55" s="162"/>
      <c r="E55" s="162"/>
      <c r="F55" s="162"/>
      <c r="G55" s="162">
        <v>0</v>
      </c>
      <c r="H55" s="26"/>
      <c r="I55" s="162">
        <v>0</v>
      </c>
      <c r="J55" s="162"/>
      <c r="K55" s="162"/>
      <c r="L55" s="162"/>
      <c r="M55" s="162">
        <v>0</v>
      </c>
      <c r="P55" s="162">
        <v>0</v>
      </c>
      <c r="Q55" s="162"/>
      <c r="R55" s="162"/>
      <c r="S55" s="162"/>
      <c r="T55" s="162">
        <v>0</v>
      </c>
      <c r="U55" s="26"/>
      <c r="V55" s="162">
        <v>0</v>
      </c>
      <c r="W55" s="162"/>
      <c r="X55" s="162"/>
      <c r="Y55" s="162"/>
      <c r="Z55" s="162">
        <v>0</v>
      </c>
      <c r="AB55" s="162">
        <f t="shared" si="3"/>
        <v>0</v>
      </c>
      <c r="AC55" s="162">
        <f t="shared" si="3"/>
        <v>0</v>
      </c>
      <c r="AD55" s="162">
        <f t="shared" si="3"/>
        <v>0</v>
      </c>
      <c r="AE55" s="162">
        <f t="shared" si="3"/>
        <v>0</v>
      </c>
      <c r="AF55" s="162">
        <f t="shared" si="3"/>
        <v>0</v>
      </c>
      <c r="AG55" s="26">
        <f t="shared" si="3"/>
        <v>0</v>
      </c>
      <c r="AH55" s="162">
        <f t="shared" si="3"/>
        <v>0</v>
      </c>
      <c r="AI55" s="162">
        <f t="shared" si="3"/>
        <v>0</v>
      </c>
      <c r="AJ55" s="162">
        <f t="shared" si="3"/>
        <v>0</v>
      </c>
      <c r="AK55" s="162">
        <f t="shared" si="2"/>
        <v>0</v>
      </c>
      <c r="AL55" s="162">
        <f t="shared" si="2"/>
        <v>0</v>
      </c>
    </row>
    <row r="56" spans="1:38" x14ac:dyDescent="0.3">
      <c r="A56" s="158">
        <f>IF(ISBLANK(B56),"",MAX(A$6:A55)+1)</f>
        <v>41</v>
      </c>
      <c r="B56" s="21" t="s">
        <v>66</v>
      </c>
      <c r="C56" s="162">
        <v>3710993361</v>
      </c>
      <c r="D56" s="162">
        <v>-84751774.307916671</v>
      </c>
      <c r="E56" s="162">
        <v>-16228881.069029139</v>
      </c>
      <c r="F56" s="162"/>
      <c r="G56" s="162">
        <v>3610012705.623054</v>
      </c>
      <c r="H56" s="26">
        <v>5.2166066813214673E-2</v>
      </c>
      <c r="I56" s="35">
        <v>4083711622.2839174</v>
      </c>
      <c r="J56" s="35">
        <v>105802468.1600001</v>
      </c>
      <c r="K56" s="35">
        <v>66784661.41225782</v>
      </c>
      <c r="L56" s="35"/>
      <c r="M56" s="35">
        <v>4256298751.8561754</v>
      </c>
      <c r="P56" s="162">
        <v>3710993361</v>
      </c>
      <c r="Q56" s="162">
        <v>-84751774.307916671</v>
      </c>
      <c r="R56" s="162">
        <v>-16228881.069029139</v>
      </c>
      <c r="S56" s="162"/>
      <c r="T56" s="162">
        <v>3610012705.623054</v>
      </c>
      <c r="U56" s="26">
        <v>5.2166066813214673E-2</v>
      </c>
      <c r="V56" s="35">
        <v>4083711622.2839174</v>
      </c>
      <c r="W56" s="35">
        <v>105802468.1600001</v>
      </c>
      <c r="X56" s="35">
        <v>66784661.41225782</v>
      </c>
      <c r="Y56" s="35"/>
      <c r="Z56" s="35">
        <v>4256298751.8561754</v>
      </c>
      <c r="AB56" s="162">
        <f t="shared" si="3"/>
        <v>0</v>
      </c>
      <c r="AC56" s="162">
        <f t="shared" si="3"/>
        <v>0</v>
      </c>
      <c r="AD56" s="162">
        <f t="shared" si="3"/>
        <v>0</v>
      </c>
      <c r="AE56" s="162">
        <f t="shared" si="3"/>
        <v>0</v>
      </c>
      <c r="AF56" s="162">
        <f t="shared" si="3"/>
        <v>0</v>
      </c>
      <c r="AG56" s="26">
        <f t="shared" si="3"/>
        <v>0</v>
      </c>
      <c r="AH56" s="35">
        <f t="shared" si="3"/>
        <v>0</v>
      </c>
      <c r="AI56" s="35">
        <f t="shared" si="3"/>
        <v>0</v>
      </c>
      <c r="AJ56" s="35">
        <f t="shared" si="3"/>
        <v>0</v>
      </c>
      <c r="AK56" s="35">
        <f t="shared" si="2"/>
        <v>0</v>
      </c>
      <c r="AL56" s="35">
        <f t="shared" si="2"/>
        <v>0</v>
      </c>
    </row>
    <row r="57" spans="1:38" x14ac:dyDescent="0.3">
      <c r="A57" s="158">
        <f>IF(ISBLANK(B57),"",MAX(A$6:A56)+1)</f>
        <v>42</v>
      </c>
      <c r="B57" s="21" t="s">
        <v>67</v>
      </c>
      <c r="C57" s="162">
        <v>139418656.4843142</v>
      </c>
      <c r="D57" s="162"/>
      <c r="E57" s="162"/>
      <c r="F57" s="162">
        <v>-16597798.789668249</v>
      </c>
      <c r="G57" s="162">
        <v>122820857.69464596</v>
      </c>
      <c r="H57" s="26">
        <v>0.15105801563149757</v>
      </c>
      <c r="I57" s="35">
        <v>152894023.34968811</v>
      </c>
      <c r="J57" s="35"/>
      <c r="K57" s="35"/>
      <c r="L57" s="35">
        <v>82865659.666204244</v>
      </c>
      <c r="M57" s="35">
        <v>235759683.01589236</v>
      </c>
      <c r="P57" s="162">
        <v>139418656.4843142</v>
      </c>
      <c r="Q57" s="162"/>
      <c r="R57" s="162"/>
      <c r="S57" s="162">
        <v>-16597798.789668249</v>
      </c>
      <c r="T57" s="162">
        <v>122820857.69464596</v>
      </c>
      <c r="U57" s="26">
        <v>0.15105801563149757</v>
      </c>
      <c r="V57" s="35">
        <v>152894023.34968811</v>
      </c>
      <c r="W57" s="35"/>
      <c r="X57" s="35"/>
      <c r="Y57" s="35">
        <v>82865659.666204244</v>
      </c>
      <c r="Z57" s="35">
        <v>235759683.01589236</v>
      </c>
      <c r="AB57" s="162">
        <f t="shared" si="3"/>
        <v>0</v>
      </c>
      <c r="AC57" s="162">
        <f t="shared" si="3"/>
        <v>0</v>
      </c>
      <c r="AD57" s="162">
        <f t="shared" si="3"/>
        <v>0</v>
      </c>
      <c r="AE57" s="162">
        <f t="shared" si="3"/>
        <v>0</v>
      </c>
      <c r="AF57" s="162">
        <f t="shared" si="3"/>
        <v>0</v>
      </c>
      <c r="AG57" s="26">
        <f t="shared" si="3"/>
        <v>0</v>
      </c>
      <c r="AH57" s="35">
        <f t="shared" si="3"/>
        <v>0</v>
      </c>
      <c r="AI57" s="35">
        <f t="shared" si="3"/>
        <v>0</v>
      </c>
      <c r="AJ57" s="35">
        <f t="shared" si="3"/>
        <v>0</v>
      </c>
      <c r="AK57" s="35">
        <f t="shared" si="2"/>
        <v>0</v>
      </c>
      <c r="AL57" s="35">
        <f t="shared" si="2"/>
        <v>0</v>
      </c>
    </row>
    <row r="58" spans="1:38" x14ac:dyDescent="0.3">
      <c r="A58" s="158">
        <f>IF(ISBLANK(B58),"",MAX(A$6:A57)+1)</f>
        <v>43</v>
      </c>
      <c r="B58" s="21" t="s">
        <v>68</v>
      </c>
      <c r="C58" s="162">
        <v>173600529.71380004</v>
      </c>
      <c r="D58" s="162"/>
      <c r="E58" s="162"/>
      <c r="F58" s="162"/>
      <c r="G58" s="162">
        <v>173600529.71380004</v>
      </c>
      <c r="H58" s="26">
        <v>2.903099810414056E-2</v>
      </c>
      <c r="I58" s="35">
        <v>225101354.47665015</v>
      </c>
      <c r="J58" s="35"/>
      <c r="K58" s="35"/>
      <c r="L58" s="35"/>
      <c r="M58" s="35">
        <v>225101354.47665015</v>
      </c>
      <c r="P58" s="162">
        <v>173600529.71380004</v>
      </c>
      <c r="Q58" s="162"/>
      <c r="R58" s="162"/>
      <c r="S58" s="162"/>
      <c r="T58" s="162">
        <v>173600529.71380004</v>
      </c>
      <c r="U58" s="26">
        <v>2.903099810414056E-2</v>
      </c>
      <c r="V58" s="35">
        <v>225101354.47665015</v>
      </c>
      <c r="W58" s="35"/>
      <c r="X58" s="35"/>
      <c r="Y58" s="35"/>
      <c r="Z58" s="35">
        <v>225101354.47665015</v>
      </c>
      <c r="AB58" s="162">
        <f t="shared" si="3"/>
        <v>0</v>
      </c>
      <c r="AC58" s="162">
        <f t="shared" si="3"/>
        <v>0</v>
      </c>
      <c r="AD58" s="162">
        <f t="shared" si="3"/>
        <v>0</v>
      </c>
      <c r="AE58" s="162">
        <f t="shared" si="3"/>
        <v>0</v>
      </c>
      <c r="AF58" s="162">
        <f t="shared" si="3"/>
        <v>0</v>
      </c>
      <c r="AG58" s="26">
        <f t="shared" si="3"/>
        <v>0</v>
      </c>
      <c r="AH58" s="35">
        <f t="shared" si="3"/>
        <v>0</v>
      </c>
      <c r="AI58" s="35">
        <f t="shared" si="3"/>
        <v>0</v>
      </c>
      <c r="AJ58" s="35">
        <f t="shared" si="3"/>
        <v>0</v>
      </c>
      <c r="AK58" s="35">
        <f t="shared" si="2"/>
        <v>0</v>
      </c>
      <c r="AL58" s="35">
        <f t="shared" si="2"/>
        <v>0</v>
      </c>
    </row>
    <row r="59" spans="1:38" x14ac:dyDescent="0.3">
      <c r="A59" s="158">
        <f>IF(ISBLANK(B59),"",MAX(A$6:A58)+1)</f>
        <v>44</v>
      </c>
      <c r="B59" s="452" t="s">
        <v>0</v>
      </c>
      <c r="C59" s="17">
        <v>4100486956.6681142</v>
      </c>
      <c r="D59" s="17">
        <v>-84751774.307916671</v>
      </c>
      <c r="E59" s="17">
        <v>-16228881.069029139</v>
      </c>
      <c r="F59" s="17">
        <v>-16597798.789668249</v>
      </c>
      <c r="G59" s="17">
        <v>3982908502.5014997</v>
      </c>
      <c r="H59" s="28"/>
      <c r="I59" s="181">
        <v>4532472039.5173817</v>
      </c>
      <c r="J59" s="181">
        <v>105802468.1600001</v>
      </c>
      <c r="K59" s="181">
        <v>66784661.41225782</v>
      </c>
      <c r="L59" s="181">
        <v>82865659.666204244</v>
      </c>
      <c r="M59" s="181">
        <v>4787924828.7558432</v>
      </c>
      <c r="P59" s="17">
        <v>4100486956.6681142</v>
      </c>
      <c r="Q59" s="17">
        <v>-84751774.307916671</v>
      </c>
      <c r="R59" s="17">
        <v>-16228881.069029139</v>
      </c>
      <c r="S59" s="17">
        <v>-16597798.789668249</v>
      </c>
      <c r="T59" s="17">
        <v>3982908502.5014997</v>
      </c>
      <c r="U59" s="28"/>
      <c r="V59" s="181">
        <v>4532472039.5173817</v>
      </c>
      <c r="W59" s="181">
        <v>105802468.1600001</v>
      </c>
      <c r="X59" s="181">
        <v>66784661.41225782</v>
      </c>
      <c r="Y59" s="181">
        <v>82865659.666204244</v>
      </c>
      <c r="Z59" s="181">
        <v>4787924828.7558432</v>
      </c>
      <c r="AB59" s="17">
        <f t="shared" si="3"/>
        <v>0</v>
      </c>
      <c r="AC59" s="17">
        <f t="shared" si="3"/>
        <v>0</v>
      </c>
      <c r="AD59" s="17">
        <f t="shared" si="3"/>
        <v>0</v>
      </c>
      <c r="AE59" s="17">
        <f t="shared" si="3"/>
        <v>0</v>
      </c>
      <c r="AF59" s="17">
        <f t="shared" si="3"/>
        <v>0</v>
      </c>
      <c r="AG59" s="28">
        <f t="shared" si="3"/>
        <v>0</v>
      </c>
      <c r="AH59" s="181">
        <f t="shared" si="3"/>
        <v>0</v>
      </c>
      <c r="AI59" s="181">
        <f t="shared" si="3"/>
        <v>0</v>
      </c>
      <c r="AJ59" s="181">
        <f t="shared" si="3"/>
        <v>0</v>
      </c>
      <c r="AK59" s="181">
        <f t="shared" si="2"/>
        <v>0</v>
      </c>
      <c r="AL59" s="181">
        <f t="shared" si="2"/>
        <v>0</v>
      </c>
    </row>
    <row r="60" spans="1:38" x14ac:dyDescent="0.3">
      <c r="A60" s="158" t="str">
        <f>IF(ISBLANK(B60),"",MAX(A$6:A59)+1)</f>
        <v/>
      </c>
      <c r="H60" s="27"/>
      <c r="U60" s="27"/>
      <c r="AB60" s="15">
        <f t="shared" si="3"/>
        <v>0</v>
      </c>
      <c r="AC60" s="15">
        <f t="shared" si="3"/>
        <v>0</v>
      </c>
      <c r="AD60" s="15">
        <f t="shared" si="3"/>
        <v>0</v>
      </c>
      <c r="AE60" s="15">
        <f t="shared" si="3"/>
        <v>0</v>
      </c>
      <c r="AF60" s="15">
        <f t="shared" si="3"/>
        <v>0</v>
      </c>
      <c r="AG60" s="27">
        <f t="shared" si="3"/>
        <v>0</v>
      </c>
      <c r="AH60" s="15">
        <f t="shared" si="3"/>
        <v>0</v>
      </c>
      <c r="AI60" s="15">
        <f t="shared" si="3"/>
        <v>0</v>
      </c>
      <c r="AJ60" s="15">
        <f t="shared" si="3"/>
        <v>0</v>
      </c>
      <c r="AK60" s="15">
        <f t="shared" si="2"/>
        <v>0</v>
      </c>
      <c r="AL60" s="15">
        <f t="shared" si="2"/>
        <v>0</v>
      </c>
    </row>
    <row r="61" spans="1:38" x14ac:dyDescent="0.3">
      <c r="A61" s="158">
        <f>IF(ISBLANK(B61),"",MAX(A$6:A60)+1)</f>
        <v>45</v>
      </c>
      <c r="B61" s="281" t="s">
        <v>186</v>
      </c>
      <c r="H61" s="27"/>
      <c r="U61" s="27"/>
      <c r="AB61" s="15">
        <f t="shared" si="3"/>
        <v>0</v>
      </c>
      <c r="AC61" s="15">
        <f t="shared" si="3"/>
        <v>0</v>
      </c>
      <c r="AD61" s="15">
        <f t="shared" si="3"/>
        <v>0</v>
      </c>
      <c r="AE61" s="15">
        <f t="shared" si="3"/>
        <v>0</v>
      </c>
      <c r="AF61" s="15">
        <f t="shared" si="3"/>
        <v>0</v>
      </c>
      <c r="AG61" s="27">
        <f t="shared" si="3"/>
        <v>0</v>
      </c>
      <c r="AH61" s="15">
        <f t="shared" si="3"/>
        <v>0</v>
      </c>
      <c r="AI61" s="15">
        <f t="shared" si="3"/>
        <v>0</v>
      </c>
      <c r="AJ61" s="15">
        <f t="shared" si="3"/>
        <v>0</v>
      </c>
      <c r="AK61" s="15">
        <f t="shared" si="2"/>
        <v>0</v>
      </c>
      <c r="AL61" s="15">
        <f t="shared" si="2"/>
        <v>0</v>
      </c>
    </row>
    <row r="62" spans="1:38" x14ac:dyDescent="0.3">
      <c r="A62" s="158">
        <f>IF(ISBLANK(B62),"",MAX(A$6:A61)+1)</f>
        <v>46</v>
      </c>
      <c r="B62" s="21" t="s">
        <v>185</v>
      </c>
      <c r="C62" s="16">
        <v>-33125037.959271803</v>
      </c>
      <c r="D62" s="16"/>
      <c r="E62" s="16"/>
      <c r="F62" s="16"/>
      <c r="G62" s="16">
        <v>-33125037.959271803</v>
      </c>
      <c r="H62" s="26"/>
      <c r="I62" s="177">
        <v>-36714095.662006587</v>
      </c>
      <c r="J62" s="177"/>
      <c r="K62" s="177"/>
      <c r="L62" s="177"/>
      <c r="M62" s="177">
        <v>-36714095.662006587</v>
      </c>
      <c r="P62" s="16">
        <v>-33125037.959271803</v>
      </c>
      <c r="Q62" s="16"/>
      <c r="R62" s="16"/>
      <c r="S62" s="16"/>
      <c r="T62" s="16">
        <v>-33125037.959271803</v>
      </c>
      <c r="U62" s="26"/>
      <c r="V62" s="177">
        <v>-36714095.662006587</v>
      </c>
      <c r="W62" s="177"/>
      <c r="X62" s="177"/>
      <c r="Y62" s="177"/>
      <c r="Z62" s="177">
        <v>-36714095.662006587</v>
      </c>
      <c r="AB62" s="16">
        <f t="shared" si="3"/>
        <v>0</v>
      </c>
      <c r="AC62" s="16">
        <f t="shared" si="3"/>
        <v>0</v>
      </c>
      <c r="AD62" s="16">
        <f t="shared" si="3"/>
        <v>0</v>
      </c>
      <c r="AE62" s="16">
        <f t="shared" si="3"/>
        <v>0</v>
      </c>
      <c r="AF62" s="16">
        <f t="shared" si="3"/>
        <v>0</v>
      </c>
      <c r="AG62" s="26">
        <f t="shared" si="3"/>
        <v>0</v>
      </c>
      <c r="AH62" s="177">
        <f t="shared" si="3"/>
        <v>0</v>
      </c>
      <c r="AI62" s="177">
        <f t="shared" si="3"/>
        <v>0</v>
      </c>
      <c r="AJ62" s="177">
        <f t="shared" si="3"/>
        <v>0</v>
      </c>
      <c r="AK62" s="177">
        <f t="shared" si="2"/>
        <v>0</v>
      </c>
      <c r="AL62" s="177">
        <f t="shared" si="2"/>
        <v>0</v>
      </c>
    </row>
    <row r="63" spans="1:38" x14ac:dyDescent="0.3">
      <c r="A63" s="158">
        <f>IF(ISBLANK(B63),"",MAX(A$6:A62)+1)</f>
        <v>47</v>
      </c>
      <c r="B63" s="21" t="s">
        <v>65</v>
      </c>
      <c r="C63" s="162">
        <v>0</v>
      </c>
      <c r="D63" s="162"/>
      <c r="E63" s="162"/>
      <c r="F63" s="162"/>
      <c r="G63" s="162">
        <v>0</v>
      </c>
      <c r="H63" s="26"/>
      <c r="I63" s="162">
        <v>0</v>
      </c>
      <c r="J63" s="162"/>
      <c r="K63" s="162"/>
      <c r="L63" s="162"/>
      <c r="M63" s="162">
        <v>0</v>
      </c>
      <c r="P63" s="162">
        <v>0</v>
      </c>
      <c r="Q63" s="162"/>
      <c r="R63" s="162"/>
      <c r="S63" s="162"/>
      <c r="T63" s="162">
        <v>0</v>
      </c>
      <c r="U63" s="26"/>
      <c r="V63" s="162">
        <v>0</v>
      </c>
      <c r="W63" s="162"/>
      <c r="X63" s="162"/>
      <c r="Y63" s="162"/>
      <c r="Z63" s="162">
        <v>0</v>
      </c>
      <c r="AB63" s="162">
        <f t="shared" si="3"/>
        <v>0</v>
      </c>
      <c r="AC63" s="162">
        <f t="shared" si="3"/>
        <v>0</v>
      </c>
      <c r="AD63" s="162">
        <f t="shared" si="3"/>
        <v>0</v>
      </c>
      <c r="AE63" s="162">
        <f t="shared" si="3"/>
        <v>0</v>
      </c>
      <c r="AF63" s="162">
        <f t="shared" si="3"/>
        <v>0</v>
      </c>
      <c r="AG63" s="26">
        <f t="shared" si="3"/>
        <v>0</v>
      </c>
      <c r="AH63" s="162">
        <f t="shared" si="3"/>
        <v>0</v>
      </c>
      <c r="AI63" s="162">
        <f t="shared" si="3"/>
        <v>0</v>
      </c>
      <c r="AJ63" s="162">
        <f t="shared" si="3"/>
        <v>0</v>
      </c>
      <c r="AK63" s="162">
        <f t="shared" si="2"/>
        <v>0</v>
      </c>
      <c r="AL63" s="162">
        <f t="shared" si="2"/>
        <v>0</v>
      </c>
    </row>
    <row r="64" spans="1:38" x14ac:dyDescent="0.3">
      <c r="A64" s="158">
        <f>IF(ISBLANK(B64),"",MAX(A$6:A63)+1)</f>
        <v>48</v>
      </c>
      <c r="B64" s="21" t="s">
        <v>66</v>
      </c>
      <c r="C64" s="162">
        <v>-1433137826.69191</v>
      </c>
      <c r="D64" s="162">
        <v>3209723.1798207625</v>
      </c>
      <c r="E64" s="162">
        <v>1296178.4092875994</v>
      </c>
      <c r="F64" s="162"/>
      <c r="G64" s="162">
        <v>-1428631925.1028016</v>
      </c>
      <c r="H64" s="26"/>
      <c r="I64" s="35">
        <v>-1664843836.2142625</v>
      </c>
      <c r="J64" s="35">
        <v>-10067230.849618189</v>
      </c>
      <c r="K64" s="35">
        <v>-10582560.510378484</v>
      </c>
      <c r="L64" s="35"/>
      <c r="M64" s="35">
        <v>-1685493627.5742593</v>
      </c>
      <c r="P64" s="162">
        <v>-1433137826.69191</v>
      </c>
      <c r="Q64" s="162">
        <v>3209723.1798207625</v>
      </c>
      <c r="R64" s="162">
        <v>1296178.4092875994</v>
      </c>
      <c r="S64" s="162"/>
      <c r="T64" s="162">
        <v>-1428631925.1028016</v>
      </c>
      <c r="U64" s="26"/>
      <c r="V64" s="35">
        <v>-1664843836.2142625</v>
      </c>
      <c r="W64" s="35">
        <v>-10067230.849618189</v>
      </c>
      <c r="X64" s="35">
        <v>-10582560.510378484</v>
      </c>
      <c r="Y64" s="35"/>
      <c r="Z64" s="35">
        <v>-1685493627.5742593</v>
      </c>
      <c r="AB64" s="162">
        <f t="shared" si="3"/>
        <v>0</v>
      </c>
      <c r="AC64" s="162">
        <f t="shared" si="3"/>
        <v>0</v>
      </c>
      <c r="AD64" s="162">
        <f t="shared" si="3"/>
        <v>0</v>
      </c>
      <c r="AE64" s="162">
        <f t="shared" si="3"/>
        <v>0</v>
      </c>
      <c r="AF64" s="162">
        <f t="shared" si="3"/>
        <v>0</v>
      </c>
      <c r="AG64" s="26">
        <f t="shared" si="3"/>
        <v>0</v>
      </c>
      <c r="AH64" s="35">
        <f t="shared" si="3"/>
        <v>0</v>
      </c>
      <c r="AI64" s="35">
        <f t="shared" si="3"/>
        <v>0</v>
      </c>
      <c r="AJ64" s="35">
        <f t="shared" si="3"/>
        <v>0</v>
      </c>
      <c r="AK64" s="35">
        <f t="shared" si="2"/>
        <v>0</v>
      </c>
      <c r="AL64" s="35">
        <f t="shared" si="2"/>
        <v>0</v>
      </c>
    </row>
    <row r="65" spans="1:38" x14ac:dyDescent="0.3">
      <c r="A65" s="158">
        <f>IF(ISBLANK(B65),"",MAX(A$6:A64)+1)</f>
        <v>49</v>
      </c>
      <c r="B65" s="21" t="s">
        <v>67</v>
      </c>
      <c r="C65" s="162">
        <v>-47274087.95805271</v>
      </c>
      <c r="D65" s="162"/>
      <c r="E65" s="162"/>
      <c r="F65" s="162">
        <v>1430783.8862761646</v>
      </c>
      <c r="G65" s="162">
        <v>-45843304.071776547</v>
      </c>
      <c r="H65" s="26"/>
      <c r="I65" s="35">
        <v>-99671678.002397284</v>
      </c>
      <c r="J65" s="35"/>
      <c r="K65" s="35"/>
      <c r="L65" s="35">
        <v>-18729954.286813222</v>
      </c>
      <c r="M65" s="35">
        <v>-118401632.2892105</v>
      </c>
      <c r="P65" s="162">
        <v>-47274087.95805271</v>
      </c>
      <c r="Q65" s="162"/>
      <c r="R65" s="162"/>
      <c r="S65" s="162">
        <v>1430783.8862761646</v>
      </c>
      <c r="T65" s="162">
        <v>-45843304.071776547</v>
      </c>
      <c r="U65" s="26"/>
      <c r="V65" s="35">
        <v>-99671678.002397284</v>
      </c>
      <c r="W65" s="35"/>
      <c r="X65" s="35"/>
      <c r="Y65" s="35">
        <v>-18729954.286813222</v>
      </c>
      <c r="Z65" s="35">
        <v>-118401632.2892105</v>
      </c>
      <c r="AB65" s="162">
        <f t="shared" si="3"/>
        <v>0</v>
      </c>
      <c r="AC65" s="162">
        <f t="shared" si="3"/>
        <v>0</v>
      </c>
      <c r="AD65" s="162">
        <f t="shared" si="3"/>
        <v>0</v>
      </c>
      <c r="AE65" s="162">
        <f t="shared" si="3"/>
        <v>0</v>
      </c>
      <c r="AF65" s="162">
        <f t="shared" si="3"/>
        <v>0</v>
      </c>
      <c r="AG65" s="26">
        <f t="shared" si="3"/>
        <v>0</v>
      </c>
      <c r="AH65" s="35">
        <f t="shared" si="3"/>
        <v>0</v>
      </c>
      <c r="AI65" s="35">
        <f t="shared" si="3"/>
        <v>0</v>
      </c>
      <c r="AJ65" s="35">
        <f t="shared" si="3"/>
        <v>0</v>
      </c>
      <c r="AK65" s="35">
        <f t="shared" si="2"/>
        <v>0</v>
      </c>
      <c r="AL65" s="35">
        <f t="shared" si="2"/>
        <v>0</v>
      </c>
    </row>
    <row r="66" spans="1:38" x14ac:dyDescent="0.3">
      <c r="A66" s="158">
        <f>IF(ISBLANK(B66),"",MAX(A$6:A65)+1)</f>
        <v>50</v>
      </c>
      <c r="B66" s="21" t="s">
        <v>68</v>
      </c>
      <c r="C66" s="162">
        <v>-56258222.169565432</v>
      </c>
      <c r="D66" s="162"/>
      <c r="E66" s="162"/>
      <c r="F66" s="162"/>
      <c r="G66" s="162">
        <v>-56258222.169565432</v>
      </c>
      <c r="H66" s="26"/>
      <c r="I66" s="35">
        <v>-85582475.487244323</v>
      </c>
      <c r="J66" s="35"/>
      <c r="K66" s="35"/>
      <c r="L66" s="35"/>
      <c r="M66" s="35">
        <v>-85582475.487244323</v>
      </c>
      <c r="P66" s="162">
        <v>-56258222.169565432</v>
      </c>
      <c r="Q66" s="162"/>
      <c r="R66" s="162"/>
      <c r="S66" s="162"/>
      <c r="T66" s="162">
        <v>-56258222.169565432</v>
      </c>
      <c r="U66" s="26"/>
      <c r="V66" s="35">
        <v>-85582475.487244323</v>
      </c>
      <c r="W66" s="35"/>
      <c r="X66" s="35"/>
      <c r="Y66" s="35"/>
      <c r="Z66" s="35">
        <v>-85582475.487244323</v>
      </c>
      <c r="AB66" s="162">
        <f t="shared" si="3"/>
        <v>0</v>
      </c>
      <c r="AC66" s="162">
        <f t="shared" si="3"/>
        <v>0</v>
      </c>
      <c r="AD66" s="162">
        <f t="shared" si="3"/>
        <v>0</v>
      </c>
      <c r="AE66" s="162">
        <f t="shared" si="3"/>
        <v>0</v>
      </c>
      <c r="AF66" s="162">
        <f t="shared" si="3"/>
        <v>0</v>
      </c>
      <c r="AG66" s="26">
        <f t="shared" si="3"/>
        <v>0</v>
      </c>
      <c r="AH66" s="35">
        <f t="shared" si="3"/>
        <v>0</v>
      </c>
      <c r="AI66" s="35">
        <f t="shared" si="3"/>
        <v>0</v>
      </c>
      <c r="AJ66" s="35">
        <f t="shared" si="3"/>
        <v>0</v>
      </c>
      <c r="AK66" s="35">
        <f t="shared" si="2"/>
        <v>0</v>
      </c>
      <c r="AL66" s="35">
        <f t="shared" si="2"/>
        <v>0</v>
      </c>
    </row>
    <row r="67" spans="1:38" x14ac:dyDescent="0.3">
      <c r="A67" s="158">
        <f>IF(ISBLANK(B67),"",MAX(A$6:A66)+1)</f>
        <v>51</v>
      </c>
      <c r="B67" s="452" t="s">
        <v>0</v>
      </c>
      <c r="C67" s="17">
        <v>-1569795174.7788</v>
      </c>
      <c r="D67" s="17">
        <v>3209723.1798207625</v>
      </c>
      <c r="E67" s="17">
        <v>1296178.4092875994</v>
      </c>
      <c r="F67" s="17">
        <v>1430783.8862761646</v>
      </c>
      <c r="G67" s="17">
        <v>-1563858489.3034155</v>
      </c>
      <c r="H67" s="28"/>
      <c r="I67" s="181">
        <v>-1886812085.3659108</v>
      </c>
      <c r="J67" s="181">
        <v>-10067230.849618189</v>
      </c>
      <c r="K67" s="181">
        <v>-10582560.510378484</v>
      </c>
      <c r="L67" s="181">
        <v>-18729954.286813222</v>
      </c>
      <c r="M67" s="181">
        <v>-1926191831.0127208</v>
      </c>
      <c r="P67" s="17">
        <v>-1569795174.7788</v>
      </c>
      <c r="Q67" s="17">
        <v>3209723.1798207625</v>
      </c>
      <c r="R67" s="17">
        <v>1296178.4092875994</v>
      </c>
      <c r="S67" s="17">
        <v>1430783.8862761646</v>
      </c>
      <c r="T67" s="17">
        <v>-1563858489.3034155</v>
      </c>
      <c r="U67" s="28"/>
      <c r="V67" s="181">
        <v>-1886812085.3659108</v>
      </c>
      <c r="W67" s="181">
        <v>-10067230.849618189</v>
      </c>
      <c r="X67" s="181">
        <v>-10582560.510378484</v>
      </c>
      <c r="Y67" s="181">
        <v>-18729954.286813222</v>
      </c>
      <c r="Z67" s="181">
        <v>-1926191831.0127208</v>
      </c>
      <c r="AB67" s="17">
        <f t="shared" si="3"/>
        <v>0</v>
      </c>
      <c r="AC67" s="17">
        <f t="shared" si="3"/>
        <v>0</v>
      </c>
      <c r="AD67" s="17">
        <f t="shared" si="3"/>
        <v>0</v>
      </c>
      <c r="AE67" s="17">
        <f t="shared" si="3"/>
        <v>0</v>
      </c>
      <c r="AF67" s="17">
        <f t="shared" si="3"/>
        <v>0</v>
      </c>
      <c r="AG67" s="28">
        <f t="shared" si="3"/>
        <v>0</v>
      </c>
      <c r="AH67" s="181">
        <f t="shared" si="3"/>
        <v>0</v>
      </c>
      <c r="AI67" s="181">
        <f t="shared" si="3"/>
        <v>0</v>
      </c>
      <c r="AJ67" s="181">
        <f t="shared" si="3"/>
        <v>0</v>
      </c>
      <c r="AK67" s="181">
        <f t="shared" si="2"/>
        <v>0</v>
      </c>
      <c r="AL67" s="181">
        <f t="shared" si="2"/>
        <v>0</v>
      </c>
    </row>
    <row r="68" spans="1:38" x14ac:dyDescent="0.3">
      <c r="A68" s="158" t="str">
        <f>IF(ISBLANK(B68),"",MAX(A$6:A67)+1)</f>
        <v/>
      </c>
      <c r="H68" s="27"/>
      <c r="U68" s="27"/>
      <c r="AB68" s="15">
        <f t="shared" si="3"/>
        <v>0</v>
      </c>
      <c r="AC68" s="15">
        <f t="shared" si="3"/>
        <v>0</v>
      </c>
      <c r="AD68" s="15">
        <f t="shared" si="3"/>
        <v>0</v>
      </c>
      <c r="AE68" s="15">
        <f t="shared" si="3"/>
        <v>0</v>
      </c>
      <c r="AF68" s="15">
        <f t="shared" si="3"/>
        <v>0</v>
      </c>
      <c r="AG68" s="27">
        <f t="shared" si="3"/>
        <v>0</v>
      </c>
      <c r="AH68" s="15">
        <f t="shared" si="3"/>
        <v>0</v>
      </c>
      <c r="AI68" s="15">
        <f t="shared" si="3"/>
        <v>0</v>
      </c>
      <c r="AJ68" s="15">
        <f t="shared" si="3"/>
        <v>0</v>
      </c>
      <c r="AK68" s="15">
        <f t="shared" si="2"/>
        <v>0</v>
      </c>
      <c r="AL68" s="15">
        <f t="shared" si="2"/>
        <v>0</v>
      </c>
    </row>
    <row r="69" spans="1:38" x14ac:dyDescent="0.3">
      <c r="A69" s="158">
        <f>IF(ISBLANK(B69),"",MAX(A$6:A68)+1)</f>
        <v>52</v>
      </c>
      <c r="B69" s="281" t="s">
        <v>90</v>
      </c>
      <c r="H69" s="27"/>
      <c r="U69" s="27"/>
      <c r="AB69" s="15">
        <f t="shared" si="3"/>
        <v>0</v>
      </c>
      <c r="AC69" s="15">
        <f t="shared" si="3"/>
        <v>0</v>
      </c>
      <c r="AD69" s="15">
        <f t="shared" si="3"/>
        <v>0</v>
      </c>
      <c r="AE69" s="15">
        <f t="shared" si="3"/>
        <v>0</v>
      </c>
      <c r="AF69" s="15">
        <f t="shared" si="3"/>
        <v>0</v>
      </c>
      <c r="AG69" s="27">
        <f t="shared" si="3"/>
        <v>0</v>
      </c>
      <c r="AH69" s="15">
        <f t="shared" si="3"/>
        <v>0</v>
      </c>
      <c r="AI69" s="15">
        <f t="shared" si="3"/>
        <v>0</v>
      </c>
      <c r="AJ69" s="15">
        <f t="shared" si="3"/>
        <v>0</v>
      </c>
      <c r="AK69" s="15">
        <f t="shared" si="2"/>
        <v>0</v>
      </c>
      <c r="AL69" s="15">
        <f t="shared" si="2"/>
        <v>0</v>
      </c>
    </row>
    <row r="70" spans="1:38" x14ac:dyDescent="0.3">
      <c r="A70" s="158">
        <f>IF(ISBLANK(B70),"",MAX(A$6:A69)+1)</f>
        <v>53</v>
      </c>
      <c r="B70" s="21" t="s">
        <v>185</v>
      </c>
      <c r="C70" s="16">
        <v>0</v>
      </c>
      <c r="D70" s="16"/>
      <c r="E70" s="16"/>
      <c r="F70" s="16"/>
      <c r="G70" s="16">
        <v>0</v>
      </c>
      <c r="H70" s="26"/>
      <c r="I70" s="177"/>
      <c r="J70" s="177"/>
      <c r="K70" s="177"/>
      <c r="L70" s="177"/>
      <c r="M70" s="177">
        <v>0</v>
      </c>
      <c r="P70" s="16">
        <v>0</v>
      </c>
      <c r="Q70" s="16"/>
      <c r="R70" s="16"/>
      <c r="S70" s="16"/>
      <c r="T70" s="16">
        <v>0</v>
      </c>
      <c r="U70" s="26"/>
      <c r="V70" s="177"/>
      <c r="W70" s="177"/>
      <c r="X70" s="177"/>
      <c r="Y70" s="177"/>
      <c r="Z70" s="177">
        <v>0</v>
      </c>
      <c r="AB70" s="16">
        <f t="shared" si="3"/>
        <v>0</v>
      </c>
      <c r="AC70" s="16">
        <f t="shared" si="3"/>
        <v>0</v>
      </c>
      <c r="AD70" s="16">
        <f t="shared" si="3"/>
        <v>0</v>
      </c>
      <c r="AE70" s="16">
        <f t="shared" si="3"/>
        <v>0</v>
      </c>
      <c r="AF70" s="16">
        <f t="shared" si="3"/>
        <v>0</v>
      </c>
      <c r="AG70" s="26">
        <f t="shared" si="3"/>
        <v>0</v>
      </c>
      <c r="AH70" s="177">
        <f t="shared" si="3"/>
        <v>0</v>
      </c>
      <c r="AI70" s="177">
        <f t="shared" si="3"/>
        <v>0</v>
      </c>
      <c r="AJ70" s="177">
        <f t="shared" si="3"/>
        <v>0</v>
      </c>
      <c r="AK70" s="177">
        <f t="shared" si="2"/>
        <v>0</v>
      </c>
      <c r="AL70" s="177">
        <f t="shared" si="2"/>
        <v>0</v>
      </c>
    </row>
    <row r="71" spans="1:38" x14ac:dyDescent="0.3">
      <c r="A71" s="158">
        <f>IF(ISBLANK(B71),"",MAX(A$6:A70)+1)</f>
        <v>54</v>
      </c>
      <c r="B71" s="21" t="s">
        <v>65</v>
      </c>
      <c r="C71" s="162">
        <v>0</v>
      </c>
      <c r="D71" s="162"/>
      <c r="E71" s="162"/>
      <c r="F71" s="162"/>
      <c r="G71" s="162">
        <v>0</v>
      </c>
      <c r="H71" s="26"/>
      <c r="I71" s="162"/>
      <c r="J71" s="162"/>
      <c r="K71" s="162"/>
      <c r="L71" s="162"/>
      <c r="M71" s="162">
        <v>0</v>
      </c>
      <c r="P71" s="162">
        <v>0</v>
      </c>
      <c r="Q71" s="162"/>
      <c r="R71" s="162"/>
      <c r="S71" s="162"/>
      <c r="T71" s="162">
        <v>0</v>
      </c>
      <c r="U71" s="26"/>
      <c r="V71" s="162"/>
      <c r="W71" s="162"/>
      <c r="X71" s="162"/>
      <c r="Y71" s="162"/>
      <c r="Z71" s="162">
        <v>0</v>
      </c>
      <c r="AB71" s="162">
        <f t="shared" si="3"/>
        <v>0</v>
      </c>
      <c r="AC71" s="162">
        <f t="shared" si="3"/>
        <v>0</v>
      </c>
      <c r="AD71" s="162">
        <f t="shared" si="3"/>
        <v>0</v>
      </c>
      <c r="AE71" s="162">
        <f t="shared" si="3"/>
        <v>0</v>
      </c>
      <c r="AF71" s="162">
        <f t="shared" si="3"/>
        <v>0</v>
      </c>
      <c r="AG71" s="26">
        <f t="shared" si="3"/>
        <v>0</v>
      </c>
      <c r="AH71" s="162">
        <f t="shared" si="3"/>
        <v>0</v>
      </c>
      <c r="AI71" s="162">
        <f t="shared" si="3"/>
        <v>0</v>
      </c>
      <c r="AJ71" s="162">
        <f t="shared" si="3"/>
        <v>0</v>
      </c>
      <c r="AK71" s="162">
        <f t="shared" si="2"/>
        <v>0</v>
      </c>
      <c r="AL71" s="162">
        <f t="shared" si="2"/>
        <v>0</v>
      </c>
    </row>
    <row r="72" spans="1:38" x14ac:dyDescent="0.3">
      <c r="A72" s="158">
        <f>IF(ISBLANK(B72),"",MAX(A$6:A71)+1)</f>
        <v>55</v>
      </c>
      <c r="B72" s="21" t="s">
        <v>66</v>
      </c>
      <c r="C72" s="162">
        <v>-271846932.69267762</v>
      </c>
      <c r="D72" s="162">
        <v>8025584.9516680902</v>
      </c>
      <c r="E72" s="162">
        <v>1289851.786132125</v>
      </c>
      <c r="F72" s="162"/>
      <c r="G72" s="162">
        <v>-262531495.95487741</v>
      </c>
      <c r="H72" s="26"/>
      <c r="I72" s="35"/>
      <c r="J72" s="35"/>
      <c r="K72" s="35"/>
      <c r="L72" s="35"/>
      <c r="M72" s="35">
        <v>0</v>
      </c>
      <c r="P72" s="162">
        <v>-271846932.69267762</v>
      </c>
      <c r="Q72" s="162">
        <v>8025584.9516680902</v>
      </c>
      <c r="R72" s="162">
        <v>1289851.786132125</v>
      </c>
      <c r="S72" s="162"/>
      <c r="T72" s="162">
        <v>-262531495.95487741</v>
      </c>
      <c r="U72" s="26"/>
      <c r="V72" s="35"/>
      <c r="W72" s="35"/>
      <c r="X72" s="35"/>
      <c r="Y72" s="35"/>
      <c r="Z72" s="35">
        <v>0</v>
      </c>
      <c r="AB72" s="162">
        <f t="shared" si="3"/>
        <v>0</v>
      </c>
      <c r="AC72" s="162">
        <f t="shared" si="3"/>
        <v>0</v>
      </c>
      <c r="AD72" s="162">
        <f t="shared" si="3"/>
        <v>0</v>
      </c>
      <c r="AE72" s="162">
        <f t="shared" si="3"/>
        <v>0</v>
      </c>
      <c r="AF72" s="162">
        <f t="shared" si="3"/>
        <v>0</v>
      </c>
      <c r="AG72" s="26">
        <f t="shared" si="3"/>
        <v>0</v>
      </c>
      <c r="AH72" s="35">
        <f t="shared" si="3"/>
        <v>0</v>
      </c>
      <c r="AI72" s="35">
        <f t="shared" si="3"/>
        <v>0</v>
      </c>
      <c r="AJ72" s="35">
        <f t="shared" si="3"/>
        <v>0</v>
      </c>
      <c r="AK72" s="35">
        <f t="shared" si="2"/>
        <v>0</v>
      </c>
      <c r="AL72" s="35">
        <f t="shared" si="2"/>
        <v>0</v>
      </c>
    </row>
    <row r="73" spans="1:38" x14ac:dyDescent="0.3">
      <c r="A73" s="158">
        <f>IF(ISBLANK(B73),"",MAX(A$6:A72)+1)</f>
        <v>56</v>
      </c>
      <c r="B73" s="21" t="s">
        <v>67</v>
      </c>
      <c r="C73" s="162">
        <v>-16932625.893549934</v>
      </c>
      <c r="D73" s="162"/>
      <c r="E73" s="162"/>
      <c r="F73" s="162">
        <v>927817.70801036642</v>
      </c>
      <c r="G73" s="162">
        <v>-16004808.185539568</v>
      </c>
      <c r="H73" s="26"/>
      <c r="I73" s="35"/>
      <c r="J73" s="35"/>
      <c r="K73" s="35"/>
      <c r="L73" s="35"/>
      <c r="M73" s="35">
        <v>0</v>
      </c>
      <c r="P73" s="162">
        <v>-16932625.893549934</v>
      </c>
      <c r="Q73" s="162"/>
      <c r="R73" s="162"/>
      <c r="S73" s="162">
        <v>927817.70801036642</v>
      </c>
      <c r="T73" s="162">
        <v>-16004808.185539568</v>
      </c>
      <c r="U73" s="26"/>
      <c r="V73" s="35"/>
      <c r="W73" s="35"/>
      <c r="X73" s="35"/>
      <c r="Y73" s="35"/>
      <c r="Z73" s="35">
        <v>0</v>
      </c>
      <c r="AB73" s="162">
        <f t="shared" si="3"/>
        <v>0</v>
      </c>
      <c r="AC73" s="162">
        <f t="shared" si="3"/>
        <v>0</v>
      </c>
      <c r="AD73" s="162">
        <f t="shared" si="3"/>
        <v>0</v>
      </c>
      <c r="AE73" s="162">
        <f t="shared" si="3"/>
        <v>0</v>
      </c>
      <c r="AF73" s="162">
        <f t="shared" si="3"/>
        <v>0</v>
      </c>
      <c r="AG73" s="26">
        <f t="shared" si="3"/>
        <v>0</v>
      </c>
      <c r="AH73" s="35">
        <f t="shared" si="3"/>
        <v>0</v>
      </c>
      <c r="AI73" s="35">
        <f t="shared" si="3"/>
        <v>0</v>
      </c>
      <c r="AJ73" s="35">
        <f t="shared" si="3"/>
        <v>0</v>
      </c>
      <c r="AK73" s="35">
        <f t="shared" si="2"/>
        <v>0</v>
      </c>
      <c r="AL73" s="35">
        <f t="shared" si="2"/>
        <v>0</v>
      </c>
    </row>
    <row r="74" spans="1:38" x14ac:dyDescent="0.3">
      <c r="A74" s="158">
        <f>IF(ISBLANK(B74),"",MAX(A$6:A73)+1)</f>
        <v>57</v>
      </c>
      <c r="B74" s="21" t="s">
        <v>68</v>
      </c>
      <c r="C74" s="162">
        <v>-21066947.020244144</v>
      </c>
      <c r="D74" s="162"/>
      <c r="E74" s="162"/>
      <c r="F74" s="162"/>
      <c r="G74" s="162">
        <v>-21066947.020244144</v>
      </c>
      <c r="H74" s="26"/>
      <c r="I74" s="35"/>
      <c r="J74" s="35"/>
      <c r="K74" s="35"/>
      <c r="L74" s="35"/>
      <c r="M74" s="35">
        <v>0</v>
      </c>
      <c r="P74" s="162">
        <v>-21066947.020244144</v>
      </c>
      <c r="Q74" s="162"/>
      <c r="R74" s="162"/>
      <c r="S74" s="162"/>
      <c r="T74" s="162">
        <v>-21066947.020244144</v>
      </c>
      <c r="U74" s="26"/>
      <c r="V74" s="35"/>
      <c r="W74" s="35"/>
      <c r="X74" s="35"/>
      <c r="Y74" s="35"/>
      <c r="Z74" s="35">
        <v>0</v>
      </c>
      <c r="AB74" s="162">
        <f t="shared" si="3"/>
        <v>0</v>
      </c>
      <c r="AC74" s="162">
        <f t="shared" si="3"/>
        <v>0</v>
      </c>
      <c r="AD74" s="162">
        <f t="shared" si="3"/>
        <v>0</v>
      </c>
      <c r="AE74" s="162">
        <f t="shared" ref="AE74:AL112" si="4">+F74-S74</f>
        <v>0</v>
      </c>
      <c r="AF74" s="162">
        <f t="shared" si="4"/>
        <v>0</v>
      </c>
      <c r="AG74" s="26">
        <f t="shared" si="4"/>
        <v>0</v>
      </c>
      <c r="AH74" s="35">
        <f t="shared" si="4"/>
        <v>0</v>
      </c>
      <c r="AI74" s="35">
        <f t="shared" si="4"/>
        <v>0</v>
      </c>
      <c r="AJ74" s="35">
        <f t="shared" si="4"/>
        <v>0</v>
      </c>
      <c r="AK74" s="35">
        <f t="shared" si="2"/>
        <v>0</v>
      </c>
      <c r="AL74" s="35">
        <f t="shared" si="2"/>
        <v>0</v>
      </c>
    </row>
    <row r="75" spans="1:38" x14ac:dyDescent="0.3">
      <c r="A75" s="158">
        <f>IF(ISBLANK(B75),"",MAX(A$6:A74)+1)</f>
        <v>58</v>
      </c>
      <c r="B75" s="452" t="s">
        <v>0</v>
      </c>
      <c r="C75" s="17">
        <v>-309846505.60647166</v>
      </c>
      <c r="D75" s="17">
        <v>8025584.9516680902</v>
      </c>
      <c r="E75" s="17">
        <v>1289851.786132125</v>
      </c>
      <c r="F75" s="17">
        <v>927817.70801036642</v>
      </c>
      <c r="G75" s="17">
        <v>-299603251.1606611</v>
      </c>
      <c r="H75" s="28"/>
      <c r="I75" s="181">
        <v>0</v>
      </c>
      <c r="J75" s="181">
        <v>0</v>
      </c>
      <c r="K75" s="181">
        <v>0</v>
      </c>
      <c r="L75" s="181">
        <v>0</v>
      </c>
      <c r="M75" s="181">
        <v>0</v>
      </c>
      <c r="P75" s="17">
        <v>-309846505.60647166</v>
      </c>
      <c r="Q75" s="17">
        <v>8025584.9516680902</v>
      </c>
      <c r="R75" s="17">
        <v>1289851.786132125</v>
      </c>
      <c r="S75" s="17">
        <v>927817.70801036642</v>
      </c>
      <c r="T75" s="17">
        <v>-299603251.1606611</v>
      </c>
      <c r="U75" s="28"/>
      <c r="V75" s="181">
        <v>0</v>
      </c>
      <c r="W75" s="181">
        <v>0</v>
      </c>
      <c r="X75" s="181">
        <v>0</v>
      </c>
      <c r="Y75" s="181">
        <v>0</v>
      </c>
      <c r="Z75" s="181">
        <v>0</v>
      </c>
      <c r="AB75" s="17">
        <f t="shared" ref="AB75:AD112" si="5">+C75-P75</f>
        <v>0</v>
      </c>
      <c r="AC75" s="17">
        <f t="shared" si="5"/>
        <v>0</v>
      </c>
      <c r="AD75" s="17">
        <f t="shared" si="5"/>
        <v>0</v>
      </c>
      <c r="AE75" s="17">
        <f t="shared" si="4"/>
        <v>0</v>
      </c>
      <c r="AF75" s="17">
        <f t="shared" si="4"/>
        <v>0</v>
      </c>
      <c r="AG75" s="28">
        <f t="shared" si="4"/>
        <v>0</v>
      </c>
      <c r="AH75" s="181">
        <f t="shared" si="4"/>
        <v>0</v>
      </c>
      <c r="AI75" s="181">
        <f t="shared" si="4"/>
        <v>0</v>
      </c>
      <c r="AJ75" s="181">
        <f t="shared" si="4"/>
        <v>0</v>
      </c>
      <c r="AK75" s="181">
        <f t="shared" si="2"/>
        <v>0</v>
      </c>
      <c r="AL75" s="181">
        <f t="shared" si="2"/>
        <v>0</v>
      </c>
    </row>
    <row r="76" spans="1:38" x14ac:dyDescent="0.3">
      <c r="A76" s="158" t="str">
        <f>IF(ISBLANK(B76),"",MAX(A$6:A75)+1)</f>
        <v/>
      </c>
      <c r="B76" s="281"/>
      <c r="H76" s="27"/>
      <c r="U76" s="27"/>
      <c r="AB76" s="15">
        <f t="shared" si="5"/>
        <v>0</v>
      </c>
      <c r="AC76" s="15">
        <f t="shared" si="5"/>
        <v>0</v>
      </c>
      <c r="AD76" s="15">
        <f t="shared" si="5"/>
        <v>0</v>
      </c>
      <c r="AE76" s="15">
        <f t="shared" si="4"/>
        <v>0</v>
      </c>
      <c r="AF76" s="15">
        <f t="shared" si="4"/>
        <v>0</v>
      </c>
      <c r="AG76" s="27">
        <f t="shared" si="4"/>
        <v>0</v>
      </c>
      <c r="AH76" s="15">
        <f t="shared" si="4"/>
        <v>0</v>
      </c>
      <c r="AI76" s="15">
        <f t="shared" si="4"/>
        <v>0</v>
      </c>
      <c r="AJ76" s="15">
        <f t="shared" si="4"/>
        <v>0</v>
      </c>
      <c r="AK76" s="15">
        <f t="shared" si="2"/>
        <v>0</v>
      </c>
      <c r="AL76" s="15">
        <f t="shared" si="2"/>
        <v>0</v>
      </c>
    </row>
    <row r="77" spans="1:38" x14ac:dyDescent="0.3">
      <c r="A77" s="158">
        <f>IF(ISBLANK(B77),"",MAX(A$6:A76)+1)</f>
        <v>59</v>
      </c>
      <c r="B77" s="281" t="s">
        <v>91</v>
      </c>
      <c r="H77" s="27"/>
      <c r="U77" s="27"/>
      <c r="AB77" s="15">
        <f t="shared" si="5"/>
        <v>0</v>
      </c>
      <c r="AC77" s="15">
        <f t="shared" si="5"/>
        <v>0</v>
      </c>
      <c r="AD77" s="15">
        <f t="shared" si="5"/>
        <v>0</v>
      </c>
      <c r="AE77" s="15">
        <f t="shared" si="4"/>
        <v>0</v>
      </c>
      <c r="AF77" s="15">
        <f t="shared" si="4"/>
        <v>0</v>
      </c>
      <c r="AG77" s="27">
        <f t="shared" si="4"/>
        <v>0</v>
      </c>
      <c r="AH77" s="15">
        <f t="shared" si="4"/>
        <v>0</v>
      </c>
      <c r="AI77" s="15">
        <f t="shared" si="4"/>
        <v>0</v>
      </c>
      <c r="AJ77" s="15">
        <f t="shared" si="4"/>
        <v>0</v>
      </c>
      <c r="AK77" s="15">
        <f t="shared" si="2"/>
        <v>0</v>
      </c>
      <c r="AL77" s="15">
        <f t="shared" si="2"/>
        <v>0</v>
      </c>
    </row>
    <row r="78" spans="1:38" x14ac:dyDescent="0.3">
      <c r="A78" s="158">
        <f>IF(ISBLANK(B78),"",MAX(A$6:A77)+1)</f>
        <v>60</v>
      </c>
      <c r="B78" s="21" t="s">
        <v>185</v>
      </c>
      <c r="C78" s="16">
        <v>0</v>
      </c>
      <c r="D78" s="16"/>
      <c r="E78" s="16"/>
      <c r="F78" s="16"/>
      <c r="G78" s="16">
        <v>0</v>
      </c>
      <c r="H78" s="26"/>
      <c r="I78" s="177"/>
      <c r="J78" s="177"/>
      <c r="K78" s="177"/>
      <c r="L78" s="177"/>
      <c r="M78" s="177">
        <v>0</v>
      </c>
      <c r="P78" s="16">
        <v>0</v>
      </c>
      <c r="Q78" s="16"/>
      <c r="R78" s="16"/>
      <c r="S78" s="16"/>
      <c r="T78" s="16">
        <v>0</v>
      </c>
      <c r="U78" s="26"/>
      <c r="V78" s="177"/>
      <c r="W78" s="177"/>
      <c r="X78" s="177"/>
      <c r="Y78" s="177"/>
      <c r="Z78" s="177">
        <v>0</v>
      </c>
      <c r="AB78" s="16">
        <f t="shared" si="5"/>
        <v>0</v>
      </c>
      <c r="AC78" s="16">
        <f t="shared" si="5"/>
        <v>0</v>
      </c>
      <c r="AD78" s="16">
        <f t="shared" si="5"/>
        <v>0</v>
      </c>
      <c r="AE78" s="16">
        <f t="shared" si="4"/>
        <v>0</v>
      </c>
      <c r="AF78" s="16">
        <f t="shared" si="4"/>
        <v>0</v>
      </c>
      <c r="AG78" s="26">
        <f t="shared" si="4"/>
        <v>0</v>
      </c>
      <c r="AH78" s="177">
        <f t="shared" si="4"/>
        <v>0</v>
      </c>
      <c r="AI78" s="177">
        <f t="shared" si="4"/>
        <v>0</v>
      </c>
      <c r="AJ78" s="177">
        <f t="shared" si="4"/>
        <v>0</v>
      </c>
      <c r="AK78" s="177">
        <f t="shared" si="2"/>
        <v>0</v>
      </c>
      <c r="AL78" s="177">
        <f t="shared" si="2"/>
        <v>0</v>
      </c>
    </row>
    <row r="79" spans="1:38" x14ac:dyDescent="0.3">
      <c r="A79" s="158">
        <f>IF(ISBLANK(B79),"",MAX(A$6:A78)+1)</f>
        <v>61</v>
      </c>
      <c r="B79" s="21" t="s">
        <v>65</v>
      </c>
      <c r="C79" s="162">
        <v>0</v>
      </c>
      <c r="D79" s="162"/>
      <c r="E79" s="162"/>
      <c r="F79" s="162"/>
      <c r="G79" s="162">
        <v>0</v>
      </c>
      <c r="H79" s="26"/>
      <c r="I79" s="162"/>
      <c r="J79" s="162"/>
      <c r="K79" s="162"/>
      <c r="L79" s="162"/>
      <c r="M79" s="162">
        <v>0</v>
      </c>
      <c r="P79" s="162">
        <v>0</v>
      </c>
      <c r="Q79" s="162"/>
      <c r="R79" s="162"/>
      <c r="S79" s="162"/>
      <c r="T79" s="162">
        <v>0</v>
      </c>
      <c r="U79" s="26"/>
      <c r="V79" s="162"/>
      <c r="W79" s="162"/>
      <c r="X79" s="162"/>
      <c r="Y79" s="162"/>
      <c r="Z79" s="162">
        <v>0</v>
      </c>
      <c r="AB79" s="162">
        <f t="shared" si="5"/>
        <v>0</v>
      </c>
      <c r="AC79" s="162">
        <f t="shared" si="5"/>
        <v>0</v>
      </c>
      <c r="AD79" s="162">
        <f t="shared" si="5"/>
        <v>0</v>
      </c>
      <c r="AE79" s="162">
        <f t="shared" si="4"/>
        <v>0</v>
      </c>
      <c r="AF79" s="162">
        <f t="shared" si="4"/>
        <v>0</v>
      </c>
      <c r="AG79" s="26">
        <f t="shared" si="4"/>
        <v>0</v>
      </c>
      <c r="AH79" s="162">
        <f t="shared" si="4"/>
        <v>0</v>
      </c>
      <c r="AI79" s="162">
        <f t="shared" si="4"/>
        <v>0</v>
      </c>
      <c r="AJ79" s="162">
        <f t="shared" si="4"/>
        <v>0</v>
      </c>
      <c r="AK79" s="162">
        <f t="shared" si="2"/>
        <v>0</v>
      </c>
      <c r="AL79" s="162">
        <f t="shared" si="2"/>
        <v>0</v>
      </c>
    </row>
    <row r="80" spans="1:38" x14ac:dyDescent="0.3">
      <c r="A80" s="158">
        <f>IF(ISBLANK(B80),"",MAX(A$6:A79)+1)</f>
        <v>62</v>
      </c>
      <c r="B80" s="21" t="s">
        <v>66</v>
      </c>
      <c r="C80" s="162">
        <v>-254860649.77501619</v>
      </c>
      <c r="D80" s="162"/>
      <c r="E80" s="162"/>
      <c r="F80" s="162"/>
      <c r="G80" s="162">
        <v>-254860649.77501619</v>
      </c>
      <c r="H80" s="26"/>
      <c r="I80" s="35"/>
      <c r="J80" s="35"/>
      <c r="K80" s="35"/>
      <c r="L80" s="35"/>
      <c r="M80" s="35">
        <v>0</v>
      </c>
      <c r="P80" s="162">
        <v>-254860649.77501619</v>
      </c>
      <c r="Q80" s="162"/>
      <c r="R80" s="162"/>
      <c r="S80" s="162"/>
      <c r="T80" s="162">
        <v>-254860649.77501619</v>
      </c>
      <c r="U80" s="26"/>
      <c r="V80" s="35"/>
      <c r="W80" s="35"/>
      <c r="X80" s="35"/>
      <c r="Y80" s="35"/>
      <c r="Z80" s="35">
        <v>0</v>
      </c>
      <c r="AB80" s="162">
        <f t="shared" si="5"/>
        <v>0</v>
      </c>
      <c r="AC80" s="162">
        <f t="shared" si="5"/>
        <v>0</v>
      </c>
      <c r="AD80" s="162">
        <f t="shared" si="5"/>
        <v>0</v>
      </c>
      <c r="AE80" s="162">
        <f t="shared" si="4"/>
        <v>0</v>
      </c>
      <c r="AF80" s="162">
        <f t="shared" si="4"/>
        <v>0</v>
      </c>
      <c r="AG80" s="26">
        <f t="shared" si="4"/>
        <v>0</v>
      </c>
      <c r="AH80" s="35">
        <f t="shared" si="4"/>
        <v>0</v>
      </c>
      <c r="AI80" s="35">
        <f t="shared" si="4"/>
        <v>0</v>
      </c>
      <c r="AJ80" s="35">
        <f t="shared" si="4"/>
        <v>0</v>
      </c>
      <c r="AK80" s="35">
        <f t="shared" si="2"/>
        <v>0</v>
      </c>
      <c r="AL80" s="35">
        <f t="shared" si="2"/>
        <v>0</v>
      </c>
    </row>
    <row r="81" spans="1:38" x14ac:dyDescent="0.3">
      <c r="A81" s="158">
        <f>IF(ISBLANK(B81),"",MAX(A$6:A80)+1)</f>
        <v>63</v>
      </c>
      <c r="B81" s="21" t="s">
        <v>67</v>
      </c>
      <c r="C81" s="162">
        <v>-15866663.572248682</v>
      </c>
      <c r="D81" s="162"/>
      <c r="E81" s="162"/>
      <c r="F81" s="162"/>
      <c r="G81" s="162">
        <v>-15866663.572248682</v>
      </c>
      <c r="H81" s="26"/>
      <c r="I81" s="35"/>
      <c r="J81" s="35"/>
      <c r="K81" s="35"/>
      <c r="L81" s="35"/>
      <c r="M81" s="35">
        <v>0</v>
      </c>
      <c r="P81" s="162">
        <v>-15866663.572248682</v>
      </c>
      <c r="Q81" s="162"/>
      <c r="R81" s="162"/>
      <c r="S81" s="162"/>
      <c r="T81" s="162">
        <v>-15866663.572248682</v>
      </c>
      <c r="U81" s="26"/>
      <c r="V81" s="35"/>
      <c r="W81" s="35"/>
      <c r="X81" s="35"/>
      <c r="Y81" s="35"/>
      <c r="Z81" s="35">
        <v>0</v>
      </c>
      <c r="AB81" s="162">
        <f t="shared" si="5"/>
        <v>0</v>
      </c>
      <c r="AC81" s="162">
        <f t="shared" si="5"/>
        <v>0</v>
      </c>
      <c r="AD81" s="162">
        <f t="shared" si="5"/>
        <v>0</v>
      </c>
      <c r="AE81" s="162">
        <f t="shared" si="4"/>
        <v>0</v>
      </c>
      <c r="AF81" s="162">
        <f t="shared" si="4"/>
        <v>0</v>
      </c>
      <c r="AG81" s="26">
        <f t="shared" si="4"/>
        <v>0</v>
      </c>
      <c r="AH81" s="35">
        <f t="shared" si="4"/>
        <v>0</v>
      </c>
      <c r="AI81" s="35">
        <f t="shared" si="4"/>
        <v>0</v>
      </c>
      <c r="AJ81" s="35">
        <f t="shared" si="4"/>
        <v>0</v>
      </c>
      <c r="AK81" s="35">
        <f t="shared" si="2"/>
        <v>0</v>
      </c>
      <c r="AL81" s="35">
        <f t="shared" si="2"/>
        <v>0</v>
      </c>
    </row>
    <row r="82" spans="1:38" x14ac:dyDescent="0.3">
      <c r="A82" s="158">
        <f>IF(ISBLANK(B82),"",MAX(A$6:A81)+1)</f>
        <v>64</v>
      </c>
      <c r="B82" s="21" t="s">
        <v>68</v>
      </c>
      <c r="C82" s="162">
        <v>-19750584.467418134</v>
      </c>
      <c r="D82" s="162"/>
      <c r="E82" s="162"/>
      <c r="F82" s="162"/>
      <c r="G82" s="162">
        <v>-19750584.467418134</v>
      </c>
      <c r="H82" s="26"/>
      <c r="I82" s="35"/>
      <c r="J82" s="35"/>
      <c r="K82" s="35"/>
      <c r="L82" s="35"/>
      <c r="M82" s="35">
        <v>0</v>
      </c>
      <c r="P82" s="162">
        <v>-19750584.467418134</v>
      </c>
      <c r="Q82" s="162"/>
      <c r="R82" s="162"/>
      <c r="S82" s="162"/>
      <c r="T82" s="162">
        <v>-19750584.467418134</v>
      </c>
      <c r="U82" s="26"/>
      <c r="V82" s="35"/>
      <c r="W82" s="35"/>
      <c r="X82" s="35"/>
      <c r="Y82" s="35"/>
      <c r="Z82" s="35">
        <v>0</v>
      </c>
      <c r="AB82" s="162">
        <f t="shared" si="5"/>
        <v>0</v>
      </c>
      <c r="AC82" s="162">
        <f t="shared" si="5"/>
        <v>0</v>
      </c>
      <c r="AD82" s="162">
        <f t="shared" si="5"/>
        <v>0</v>
      </c>
      <c r="AE82" s="162">
        <f t="shared" si="4"/>
        <v>0</v>
      </c>
      <c r="AF82" s="162">
        <f t="shared" si="4"/>
        <v>0</v>
      </c>
      <c r="AG82" s="26">
        <f t="shared" si="4"/>
        <v>0</v>
      </c>
      <c r="AH82" s="35">
        <f t="shared" si="4"/>
        <v>0</v>
      </c>
      <c r="AI82" s="35">
        <f t="shared" si="4"/>
        <v>0</v>
      </c>
      <c r="AJ82" s="35">
        <f t="shared" si="4"/>
        <v>0</v>
      </c>
      <c r="AK82" s="35">
        <f t="shared" si="2"/>
        <v>0</v>
      </c>
      <c r="AL82" s="35">
        <f t="shared" si="2"/>
        <v>0</v>
      </c>
    </row>
    <row r="83" spans="1:38" x14ac:dyDescent="0.3">
      <c r="A83" s="158">
        <f>IF(ISBLANK(B83),"",MAX(A$6:A82)+1)</f>
        <v>65</v>
      </c>
      <c r="B83" s="452" t="s">
        <v>0</v>
      </c>
      <c r="C83" s="17">
        <v>-290477897.81468302</v>
      </c>
      <c r="D83" s="17">
        <v>0</v>
      </c>
      <c r="E83" s="17">
        <v>0</v>
      </c>
      <c r="F83" s="17">
        <v>0</v>
      </c>
      <c r="G83" s="17">
        <v>-290477897.81468302</v>
      </c>
      <c r="H83" s="28"/>
      <c r="I83" s="181">
        <v>0</v>
      </c>
      <c r="J83" s="181">
        <v>0</v>
      </c>
      <c r="K83" s="181">
        <v>0</v>
      </c>
      <c r="L83" s="181">
        <v>0</v>
      </c>
      <c r="M83" s="181">
        <v>0</v>
      </c>
      <c r="P83" s="17">
        <v>-290477897.81468302</v>
      </c>
      <c r="Q83" s="17">
        <v>0</v>
      </c>
      <c r="R83" s="17">
        <v>0</v>
      </c>
      <c r="S83" s="17">
        <v>0</v>
      </c>
      <c r="T83" s="17">
        <v>-290477897.81468302</v>
      </c>
      <c r="U83" s="28"/>
      <c r="V83" s="181">
        <v>0</v>
      </c>
      <c r="W83" s="181">
        <v>0</v>
      </c>
      <c r="X83" s="181">
        <v>0</v>
      </c>
      <c r="Y83" s="181">
        <v>0</v>
      </c>
      <c r="Z83" s="181">
        <v>0</v>
      </c>
      <c r="AB83" s="17">
        <f t="shared" si="5"/>
        <v>0</v>
      </c>
      <c r="AC83" s="17">
        <f t="shared" si="5"/>
        <v>0</v>
      </c>
      <c r="AD83" s="17">
        <f t="shared" si="5"/>
        <v>0</v>
      </c>
      <c r="AE83" s="17">
        <f t="shared" si="4"/>
        <v>0</v>
      </c>
      <c r="AF83" s="17">
        <f t="shared" si="4"/>
        <v>0</v>
      </c>
      <c r="AG83" s="28">
        <f t="shared" si="4"/>
        <v>0</v>
      </c>
      <c r="AH83" s="181">
        <f t="shared" si="4"/>
        <v>0</v>
      </c>
      <c r="AI83" s="181">
        <f t="shared" si="4"/>
        <v>0</v>
      </c>
      <c r="AJ83" s="181">
        <f t="shared" si="4"/>
        <v>0</v>
      </c>
      <c r="AK83" s="181">
        <f t="shared" si="2"/>
        <v>0</v>
      </c>
      <c r="AL83" s="181">
        <f t="shared" si="2"/>
        <v>0</v>
      </c>
    </row>
    <row r="84" spans="1:38" x14ac:dyDescent="0.3">
      <c r="A84" s="158" t="str">
        <f>IF(ISBLANK(B84),"",MAX(A$6:A83)+1)</f>
        <v/>
      </c>
      <c r="B84" s="281"/>
      <c r="H84" s="27"/>
      <c r="U84" s="27"/>
      <c r="AB84" s="15">
        <f t="shared" si="5"/>
        <v>0</v>
      </c>
      <c r="AC84" s="15">
        <f t="shared" si="5"/>
        <v>0</v>
      </c>
      <c r="AD84" s="15">
        <f t="shared" si="5"/>
        <v>0</v>
      </c>
      <c r="AE84" s="15">
        <f t="shared" si="4"/>
        <v>0</v>
      </c>
      <c r="AF84" s="15">
        <f t="shared" si="4"/>
        <v>0</v>
      </c>
      <c r="AG84" s="27">
        <f t="shared" si="4"/>
        <v>0</v>
      </c>
      <c r="AH84" s="15">
        <f t="shared" si="4"/>
        <v>0</v>
      </c>
      <c r="AI84" s="15">
        <f t="shared" si="4"/>
        <v>0</v>
      </c>
      <c r="AJ84" s="15">
        <f t="shared" si="4"/>
        <v>0</v>
      </c>
      <c r="AK84" s="15">
        <f t="shared" si="2"/>
        <v>0</v>
      </c>
      <c r="AL84" s="15">
        <f t="shared" si="2"/>
        <v>0</v>
      </c>
    </row>
    <row r="85" spans="1:38" x14ac:dyDescent="0.3">
      <c r="A85" s="158">
        <f>IF(ISBLANK(B85),"",MAX(A$6:A84)+1)</f>
        <v>66</v>
      </c>
      <c r="B85" s="281" t="s">
        <v>92</v>
      </c>
      <c r="H85" s="27"/>
      <c r="U85" s="27"/>
      <c r="AB85" s="15">
        <f t="shared" si="5"/>
        <v>0</v>
      </c>
      <c r="AC85" s="15">
        <f t="shared" si="5"/>
        <v>0</v>
      </c>
      <c r="AD85" s="15">
        <f t="shared" si="5"/>
        <v>0</v>
      </c>
      <c r="AE85" s="15">
        <f t="shared" si="4"/>
        <v>0</v>
      </c>
      <c r="AF85" s="15">
        <f t="shared" si="4"/>
        <v>0</v>
      </c>
      <c r="AG85" s="27">
        <f t="shared" si="4"/>
        <v>0</v>
      </c>
      <c r="AH85" s="15">
        <f t="shared" si="4"/>
        <v>0</v>
      </c>
      <c r="AI85" s="15">
        <f t="shared" si="4"/>
        <v>0</v>
      </c>
      <c r="AJ85" s="15">
        <f t="shared" si="4"/>
        <v>0</v>
      </c>
      <c r="AK85" s="15">
        <f t="shared" si="2"/>
        <v>0</v>
      </c>
      <c r="AL85" s="15">
        <f t="shared" si="2"/>
        <v>0</v>
      </c>
    </row>
    <row r="86" spans="1:38" x14ac:dyDescent="0.3">
      <c r="A86" s="158">
        <f>IF(ISBLANK(B86),"",MAX(A$6:A85)+1)</f>
        <v>67</v>
      </c>
      <c r="B86" s="21" t="s">
        <v>185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27"/>
      <c r="I86" s="16">
        <v>-15078.028303402285</v>
      </c>
      <c r="J86" s="16"/>
      <c r="K86" s="16"/>
      <c r="L86" s="16"/>
      <c r="M86" s="16">
        <v>-15078.028303402285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27"/>
      <c r="V86" s="16">
        <v>-15078.028303402285</v>
      </c>
      <c r="W86" s="16"/>
      <c r="X86" s="16"/>
      <c r="Y86" s="16"/>
      <c r="Z86" s="16">
        <v>-15078.028303402285</v>
      </c>
      <c r="AB86" s="16">
        <f t="shared" si="5"/>
        <v>0</v>
      </c>
      <c r="AC86" s="16">
        <f t="shared" si="5"/>
        <v>0</v>
      </c>
      <c r="AD86" s="16">
        <f t="shared" si="5"/>
        <v>0</v>
      </c>
      <c r="AE86" s="16">
        <f t="shared" si="4"/>
        <v>0</v>
      </c>
      <c r="AF86" s="16">
        <f t="shared" si="4"/>
        <v>0</v>
      </c>
      <c r="AG86" s="27">
        <f t="shared" si="4"/>
        <v>0</v>
      </c>
      <c r="AH86" s="16">
        <f t="shared" si="4"/>
        <v>0</v>
      </c>
      <c r="AI86" s="16">
        <f t="shared" si="4"/>
        <v>0</v>
      </c>
      <c r="AJ86" s="16">
        <f t="shared" si="4"/>
        <v>0</v>
      </c>
      <c r="AK86" s="16">
        <f t="shared" si="2"/>
        <v>0</v>
      </c>
      <c r="AL86" s="16">
        <f t="shared" si="2"/>
        <v>0</v>
      </c>
    </row>
    <row r="87" spans="1:38" x14ac:dyDescent="0.3">
      <c r="A87" s="158">
        <f>IF(ISBLANK(B87),"",MAX(A$6:A86)+1)</f>
        <v>68</v>
      </c>
      <c r="B87" s="21" t="s">
        <v>65</v>
      </c>
      <c r="C87" s="162">
        <v>0</v>
      </c>
      <c r="D87" s="162">
        <v>0</v>
      </c>
      <c r="E87" s="162">
        <v>0</v>
      </c>
      <c r="F87" s="162">
        <v>0</v>
      </c>
      <c r="G87" s="162">
        <v>0</v>
      </c>
      <c r="H87" s="27"/>
      <c r="I87" s="16">
        <v>0</v>
      </c>
      <c r="J87" s="162"/>
      <c r="K87" s="162"/>
      <c r="L87" s="162"/>
      <c r="M87" s="162">
        <v>0</v>
      </c>
      <c r="P87" s="162">
        <v>0</v>
      </c>
      <c r="Q87" s="162">
        <v>0</v>
      </c>
      <c r="R87" s="162">
        <v>0</v>
      </c>
      <c r="S87" s="162">
        <v>0</v>
      </c>
      <c r="T87" s="162">
        <v>0</v>
      </c>
      <c r="U87" s="27"/>
      <c r="V87" s="16">
        <v>0</v>
      </c>
      <c r="W87" s="162"/>
      <c r="X87" s="162"/>
      <c r="Y87" s="162"/>
      <c r="Z87" s="162">
        <v>0</v>
      </c>
      <c r="AB87" s="162">
        <f t="shared" si="5"/>
        <v>0</v>
      </c>
      <c r="AC87" s="162">
        <f t="shared" si="5"/>
        <v>0</v>
      </c>
      <c r="AD87" s="162">
        <f t="shared" si="5"/>
        <v>0</v>
      </c>
      <c r="AE87" s="162">
        <f t="shared" si="4"/>
        <v>0</v>
      </c>
      <c r="AF87" s="162">
        <f t="shared" si="4"/>
        <v>0</v>
      </c>
      <c r="AG87" s="27">
        <f t="shared" si="4"/>
        <v>0</v>
      </c>
      <c r="AH87" s="16">
        <f t="shared" si="4"/>
        <v>0</v>
      </c>
      <c r="AI87" s="162">
        <f t="shared" si="4"/>
        <v>0</v>
      </c>
      <c r="AJ87" s="162">
        <f t="shared" si="4"/>
        <v>0</v>
      </c>
      <c r="AK87" s="162">
        <f t="shared" si="2"/>
        <v>0</v>
      </c>
      <c r="AL87" s="162">
        <f t="shared" si="2"/>
        <v>0</v>
      </c>
    </row>
    <row r="88" spans="1:38" x14ac:dyDescent="0.3">
      <c r="A88" s="158">
        <f>IF(ISBLANK(B88),"",MAX(A$6:A87)+1)</f>
        <v>69</v>
      </c>
      <c r="B88" s="21" t="s">
        <v>66</v>
      </c>
      <c r="C88" s="162">
        <v>-526707582.46769381</v>
      </c>
      <c r="D88" s="162">
        <v>8025584.9516680902</v>
      </c>
      <c r="E88" s="162">
        <v>1289851.786132125</v>
      </c>
      <c r="F88" s="162">
        <v>0</v>
      </c>
      <c r="G88" s="162">
        <v>-517392145.72989357</v>
      </c>
      <c r="H88" s="27"/>
      <c r="I88" s="16">
        <v>-509866985.81675518</v>
      </c>
      <c r="J88" s="162">
        <v>-8937256.0344074257</v>
      </c>
      <c r="K88" s="162">
        <v>-2256392.3988461853</v>
      </c>
      <c r="L88" s="162"/>
      <c r="M88" s="162">
        <v>-521060634.25000882</v>
      </c>
      <c r="P88" s="162">
        <v>-526707582.46769381</v>
      </c>
      <c r="Q88" s="162">
        <v>8025584.9516680902</v>
      </c>
      <c r="R88" s="162">
        <v>1289851.786132125</v>
      </c>
      <c r="S88" s="162">
        <v>0</v>
      </c>
      <c r="T88" s="162">
        <v>-517392145.72989357</v>
      </c>
      <c r="U88" s="27"/>
      <c r="V88" s="16">
        <v>-509866985.81675518</v>
      </c>
      <c r="W88" s="162">
        <v>-8937256.0344074257</v>
      </c>
      <c r="X88" s="162">
        <v>-2256392.3988461853</v>
      </c>
      <c r="Y88" s="162"/>
      <c r="Z88" s="162">
        <v>-521060634.25000882</v>
      </c>
      <c r="AB88" s="162">
        <f t="shared" si="5"/>
        <v>0</v>
      </c>
      <c r="AC88" s="162">
        <f t="shared" si="5"/>
        <v>0</v>
      </c>
      <c r="AD88" s="162">
        <f t="shared" si="5"/>
        <v>0</v>
      </c>
      <c r="AE88" s="162">
        <f t="shared" si="4"/>
        <v>0</v>
      </c>
      <c r="AF88" s="162">
        <f t="shared" si="4"/>
        <v>0</v>
      </c>
      <c r="AG88" s="27">
        <f t="shared" si="4"/>
        <v>0</v>
      </c>
      <c r="AH88" s="16">
        <f t="shared" si="4"/>
        <v>0</v>
      </c>
      <c r="AI88" s="162">
        <f t="shared" si="4"/>
        <v>0</v>
      </c>
      <c r="AJ88" s="162">
        <f t="shared" si="4"/>
        <v>0</v>
      </c>
      <c r="AK88" s="162">
        <f t="shared" si="2"/>
        <v>0</v>
      </c>
      <c r="AL88" s="162">
        <f t="shared" si="2"/>
        <v>0</v>
      </c>
    </row>
    <row r="89" spans="1:38" x14ac:dyDescent="0.3">
      <c r="A89" s="158">
        <f>IF(ISBLANK(B89),"",MAX(A$6:A88)+1)</f>
        <v>70</v>
      </c>
      <c r="B89" s="21" t="s">
        <v>67</v>
      </c>
      <c r="C89" s="162">
        <v>-32799289.465798616</v>
      </c>
      <c r="D89" s="162">
        <v>0</v>
      </c>
      <c r="E89" s="162">
        <v>0</v>
      </c>
      <c r="F89" s="162">
        <v>927817.70801036642</v>
      </c>
      <c r="G89" s="162">
        <v>-31871471.757788248</v>
      </c>
      <c r="H89" s="27"/>
      <c r="I89" s="16">
        <v>5554037.9928096319</v>
      </c>
      <c r="J89" s="162"/>
      <c r="K89" s="162"/>
      <c r="L89" s="162">
        <v>-6741150.1060194559</v>
      </c>
      <c r="M89" s="162">
        <v>-1187112.1132098241</v>
      </c>
      <c r="P89" s="162">
        <v>-32799289.465798616</v>
      </c>
      <c r="Q89" s="162">
        <v>0</v>
      </c>
      <c r="R89" s="162">
        <v>0</v>
      </c>
      <c r="S89" s="162">
        <v>927817.70801036642</v>
      </c>
      <c r="T89" s="162">
        <v>-31871471.757788248</v>
      </c>
      <c r="U89" s="27"/>
      <c r="V89" s="16">
        <v>5554037.9928096319</v>
      </c>
      <c r="W89" s="162"/>
      <c r="X89" s="162"/>
      <c r="Y89" s="162">
        <v>-6741150.1060194559</v>
      </c>
      <c r="Z89" s="162">
        <v>-1187112.1132098241</v>
      </c>
      <c r="AB89" s="162">
        <f t="shared" si="5"/>
        <v>0</v>
      </c>
      <c r="AC89" s="162">
        <f t="shared" si="5"/>
        <v>0</v>
      </c>
      <c r="AD89" s="162">
        <f t="shared" si="5"/>
        <v>0</v>
      </c>
      <c r="AE89" s="162">
        <f t="shared" si="4"/>
        <v>0</v>
      </c>
      <c r="AF89" s="162">
        <f t="shared" si="4"/>
        <v>0</v>
      </c>
      <c r="AG89" s="27">
        <f t="shared" si="4"/>
        <v>0</v>
      </c>
      <c r="AH89" s="16">
        <f t="shared" si="4"/>
        <v>0</v>
      </c>
      <c r="AI89" s="162">
        <f t="shared" si="4"/>
        <v>0</v>
      </c>
      <c r="AJ89" s="162">
        <f t="shared" si="4"/>
        <v>0</v>
      </c>
      <c r="AK89" s="162">
        <f t="shared" si="2"/>
        <v>0</v>
      </c>
      <c r="AL89" s="162">
        <f t="shared" si="2"/>
        <v>0</v>
      </c>
    </row>
    <row r="90" spans="1:38" x14ac:dyDescent="0.3">
      <c r="A90" s="158">
        <f>IF(ISBLANK(B90),"",MAX(A$6:A89)+1)</f>
        <v>71</v>
      </c>
      <c r="B90" s="21" t="s">
        <v>68</v>
      </c>
      <c r="C90" s="162">
        <v>-40817531.487662278</v>
      </c>
      <c r="D90" s="162">
        <v>0</v>
      </c>
      <c r="E90" s="162">
        <v>0</v>
      </c>
      <c r="F90" s="162">
        <v>0</v>
      </c>
      <c r="G90" s="162">
        <v>-40817531.487662278</v>
      </c>
      <c r="H90" s="27"/>
      <c r="I90" s="16">
        <v>-75642680.577498913</v>
      </c>
      <c r="J90" s="162"/>
      <c r="K90" s="162"/>
      <c r="L90" s="162"/>
      <c r="M90" s="162">
        <v>-75642680.577498913</v>
      </c>
      <c r="P90" s="162">
        <v>-40817531.487662278</v>
      </c>
      <c r="Q90" s="162">
        <v>0</v>
      </c>
      <c r="R90" s="162">
        <v>0</v>
      </c>
      <c r="S90" s="162">
        <v>0</v>
      </c>
      <c r="T90" s="162">
        <v>-40817531.487662278</v>
      </c>
      <c r="U90" s="27"/>
      <c r="V90" s="16">
        <v>-75642680.577498913</v>
      </c>
      <c r="W90" s="162"/>
      <c r="X90" s="162"/>
      <c r="Y90" s="162"/>
      <c r="Z90" s="162">
        <v>-75642680.577498913</v>
      </c>
      <c r="AB90" s="162">
        <f t="shared" si="5"/>
        <v>0</v>
      </c>
      <c r="AC90" s="162">
        <f t="shared" si="5"/>
        <v>0</v>
      </c>
      <c r="AD90" s="162">
        <f t="shared" si="5"/>
        <v>0</v>
      </c>
      <c r="AE90" s="162">
        <f t="shared" si="4"/>
        <v>0</v>
      </c>
      <c r="AF90" s="162">
        <f t="shared" si="4"/>
        <v>0</v>
      </c>
      <c r="AG90" s="27">
        <f t="shared" si="4"/>
        <v>0</v>
      </c>
      <c r="AH90" s="16">
        <f t="shared" si="4"/>
        <v>0</v>
      </c>
      <c r="AI90" s="162">
        <f t="shared" si="4"/>
        <v>0</v>
      </c>
      <c r="AJ90" s="162">
        <f t="shared" si="4"/>
        <v>0</v>
      </c>
      <c r="AK90" s="162">
        <f t="shared" si="2"/>
        <v>0</v>
      </c>
      <c r="AL90" s="162">
        <f t="shared" si="2"/>
        <v>0</v>
      </c>
    </row>
    <row r="91" spans="1:38" x14ac:dyDescent="0.3">
      <c r="A91" s="158">
        <f>IF(ISBLANK(B91),"",MAX(A$6:A90)+1)</f>
        <v>72</v>
      </c>
      <c r="B91" s="452" t="s">
        <v>0</v>
      </c>
      <c r="C91" s="17">
        <v>-600324403.42115474</v>
      </c>
      <c r="D91" s="17">
        <v>8025584.9516680902</v>
      </c>
      <c r="E91" s="17">
        <v>1289851.786132125</v>
      </c>
      <c r="F91" s="17">
        <v>927817.70801036642</v>
      </c>
      <c r="G91" s="17">
        <v>-590081148.97534418</v>
      </c>
      <c r="H91" s="28"/>
      <c r="I91" s="17">
        <v>-579970706.42974782</v>
      </c>
      <c r="J91" s="17">
        <v>-8937256.0344074257</v>
      </c>
      <c r="K91" s="17">
        <v>-2256392.3988461853</v>
      </c>
      <c r="L91" s="17">
        <v>-6741150.1060194559</v>
      </c>
      <c r="M91" s="17">
        <v>-597905504.96902096</v>
      </c>
      <c r="P91" s="17">
        <v>-600324403.42115474</v>
      </c>
      <c r="Q91" s="17">
        <v>8025584.9516680902</v>
      </c>
      <c r="R91" s="17">
        <v>1289851.786132125</v>
      </c>
      <c r="S91" s="17">
        <v>927817.70801036642</v>
      </c>
      <c r="T91" s="17">
        <v>-590081148.97534418</v>
      </c>
      <c r="U91" s="28"/>
      <c r="V91" s="17">
        <v>-579970706.42974782</v>
      </c>
      <c r="W91" s="17">
        <v>-8937256.0344074257</v>
      </c>
      <c r="X91" s="17">
        <v>-2256392.3988461853</v>
      </c>
      <c r="Y91" s="17">
        <v>-6741150.1060194559</v>
      </c>
      <c r="Z91" s="17">
        <v>-597905504.96902096</v>
      </c>
      <c r="AB91" s="17">
        <f t="shared" si="5"/>
        <v>0</v>
      </c>
      <c r="AC91" s="17">
        <f t="shared" si="5"/>
        <v>0</v>
      </c>
      <c r="AD91" s="17">
        <f t="shared" si="5"/>
        <v>0</v>
      </c>
      <c r="AE91" s="17">
        <f t="shared" si="4"/>
        <v>0</v>
      </c>
      <c r="AF91" s="17">
        <f t="shared" si="4"/>
        <v>0</v>
      </c>
      <c r="AG91" s="28">
        <f t="shared" si="4"/>
        <v>0</v>
      </c>
      <c r="AH91" s="17">
        <f t="shared" si="4"/>
        <v>0</v>
      </c>
      <c r="AI91" s="17">
        <f t="shared" si="4"/>
        <v>0</v>
      </c>
      <c r="AJ91" s="17">
        <f t="shared" si="4"/>
        <v>0</v>
      </c>
      <c r="AK91" s="17">
        <f t="shared" si="2"/>
        <v>0</v>
      </c>
      <c r="AL91" s="17">
        <f t="shared" si="2"/>
        <v>0</v>
      </c>
    </row>
    <row r="92" spans="1:38" x14ac:dyDescent="0.3">
      <c r="A92" s="158" t="str">
        <f>IF(ISBLANK(B92),"",MAX(A$6:A91)+1)</f>
        <v/>
      </c>
      <c r="H92" s="27"/>
      <c r="U92" s="27"/>
      <c r="AB92" s="15">
        <f t="shared" si="5"/>
        <v>0</v>
      </c>
      <c r="AC92" s="15">
        <f t="shared" si="5"/>
        <v>0</v>
      </c>
      <c r="AD92" s="15">
        <f t="shared" si="5"/>
        <v>0</v>
      </c>
      <c r="AE92" s="15">
        <f t="shared" si="4"/>
        <v>0</v>
      </c>
      <c r="AF92" s="15">
        <f t="shared" si="4"/>
        <v>0</v>
      </c>
      <c r="AG92" s="27">
        <f t="shared" si="4"/>
        <v>0</v>
      </c>
      <c r="AH92" s="15">
        <f t="shared" si="4"/>
        <v>0</v>
      </c>
      <c r="AI92" s="15">
        <f t="shared" si="4"/>
        <v>0</v>
      </c>
      <c r="AJ92" s="15">
        <f t="shared" si="4"/>
        <v>0</v>
      </c>
      <c r="AK92" s="15">
        <f t="shared" si="2"/>
        <v>0</v>
      </c>
      <c r="AL92" s="15">
        <f t="shared" si="2"/>
        <v>0</v>
      </c>
    </row>
    <row r="93" spans="1:38" x14ac:dyDescent="0.3">
      <c r="A93" s="158">
        <f>IF(ISBLANK(B93),"",MAX(A$6:A92)+1)</f>
        <v>73</v>
      </c>
      <c r="B93" s="281" t="s">
        <v>203</v>
      </c>
      <c r="H93" s="27"/>
      <c r="U93" s="27"/>
      <c r="AB93" s="15">
        <f t="shared" si="5"/>
        <v>0</v>
      </c>
      <c r="AC93" s="15">
        <f t="shared" si="5"/>
        <v>0</v>
      </c>
      <c r="AD93" s="15">
        <f t="shared" si="5"/>
        <v>0</v>
      </c>
      <c r="AE93" s="15">
        <f t="shared" si="4"/>
        <v>0</v>
      </c>
      <c r="AF93" s="15">
        <f t="shared" si="4"/>
        <v>0</v>
      </c>
      <c r="AG93" s="27">
        <f t="shared" si="4"/>
        <v>0</v>
      </c>
      <c r="AH93" s="15">
        <f t="shared" si="4"/>
        <v>0</v>
      </c>
      <c r="AI93" s="15">
        <f t="shared" si="4"/>
        <v>0</v>
      </c>
      <c r="AJ93" s="15">
        <f t="shared" si="4"/>
        <v>0</v>
      </c>
      <c r="AK93" s="15">
        <f t="shared" si="2"/>
        <v>0</v>
      </c>
      <c r="AL93" s="15">
        <f t="shared" si="2"/>
        <v>0</v>
      </c>
    </row>
    <row r="94" spans="1:38" x14ac:dyDescent="0.3">
      <c r="A94" s="158">
        <f>IF(ISBLANK(B94),"",MAX(A$6:A93)+1)</f>
        <v>74</v>
      </c>
      <c r="B94" s="21" t="s">
        <v>185</v>
      </c>
      <c r="C94" s="16">
        <v>43349371.510728195</v>
      </c>
      <c r="D94" s="16">
        <v>0</v>
      </c>
      <c r="E94" s="16">
        <v>0</v>
      </c>
      <c r="F94" s="16">
        <v>0</v>
      </c>
      <c r="G94" s="16">
        <v>43349371.510728195</v>
      </c>
      <c r="H94" s="27"/>
      <c r="I94" s="16">
        <v>34035865.716815546</v>
      </c>
      <c r="J94" s="16">
        <v>0</v>
      </c>
      <c r="K94" s="16">
        <v>0</v>
      </c>
      <c r="L94" s="16">
        <v>0</v>
      </c>
      <c r="M94" s="16">
        <v>34035865.716815546</v>
      </c>
      <c r="P94" s="16">
        <v>43349371.510728195</v>
      </c>
      <c r="Q94" s="16">
        <v>0</v>
      </c>
      <c r="R94" s="16">
        <v>0</v>
      </c>
      <c r="S94" s="16">
        <v>0</v>
      </c>
      <c r="T94" s="16">
        <v>43349371.510728195</v>
      </c>
      <c r="U94" s="27"/>
      <c r="V94" s="16">
        <v>34035865.716815546</v>
      </c>
      <c r="W94" s="16">
        <v>0</v>
      </c>
      <c r="X94" s="16">
        <v>0</v>
      </c>
      <c r="Y94" s="16">
        <v>0</v>
      </c>
      <c r="Z94" s="16">
        <v>34035865.716815546</v>
      </c>
      <c r="AB94" s="16">
        <f t="shared" si="5"/>
        <v>0</v>
      </c>
      <c r="AC94" s="16">
        <f t="shared" si="5"/>
        <v>0</v>
      </c>
      <c r="AD94" s="16">
        <f t="shared" si="5"/>
        <v>0</v>
      </c>
      <c r="AE94" s="16">
        <f t="shared" si="4"/>
        <v>0</v>
      </c>
      <c r="AF94" s="16">
        <f t="shared" si="4"/>
        <v>0</v>
      </c>
      <c r="AG94" s="27">
        <f t="shared" si="4"/>
        <v>0</v>
      </c>
      <c r="AH94" s="16">
        <f t="shared" si="4"/>
        <v>0</v>
      </c>
      <c r="AI94" s="16">
        <f t="shared" si="4"/>
        <v>0</v>
      </c>
      <c r="AJ94" s="16">
        <f t="shared" si="4"/>
        <v>0</v>
      </c>
      <c r="AK94" s="16">
        <f t="shared" si="2"/>
        <v>0</v>
      </c>
      <c r="AL94" s="16">
        <f t="shared" si="2"/>
        <v>0</v>
      </c>
    </row>
    <row r="95" spans="1:38" x14ac:dyDescent="0.3">
      <c r="A95" s="158">
        <f>IF(ISBLANK(B95),"",MAX(A$6:A94)+1)</f>
        <v>75</v>
      </c>
      <c r="B95" s="21" t="s">
        <v>65</v>
      </c>
      <c r="C95" s="162">
        <v>0</v>
      </c>
      <c r="D95" s="162">
        <v>0</v>
      </c>
      <c r="E95" s="162">
        <v>0</v>
      </c>
      <c r="F95" s="162">
        <v>0</v>
      </c>
      <c r="G95" s="162">
        <v>0</v>
      </c>
      <c r="H95" s="27"/>
      <c r="I95" s="162">
        <v>0</v>
      </c>
      <c r="J95" s="162">
        <v>0</v>
      </c>
      <c r="K95" s="162">
        <v>0</v>
      </c>
      <c r="L95" s="162">
        <v>0</v>
      </c>
      <c r="M95" s="162">
        <v>0</v>
      </c>
      <c r="P95" s="162">
        <v>0</v>
      </c>
      <c r="Q95" s="162">
        <v>0</v>
      </c>
      <c r="R95" s="162">
        <v>0</v>
      </c>
      <c r="S95" s="162">
        <v>0</v>
      </c>
      <c r="T95" s="162">
        <v>0</v>
      </c>
      <c r="U95" s="27"/>
      <c r="V95" s="162">
        <v>0</v>
      </c>
      <c r="W95" s="162">
        <v>0</v>
      </c>
      <c r="X95" s="162">
        <v>0</v>
      </c>
      <c r="Y95" s="162">
        <v>0</v>
      </c>
      <c r="Z95" s="162">
        <v>0</v>
      </c>
      <c r="AB95" s="162">
        <f t="shared" si="5"/>
        <v>0</v>
      </c>
      <c r="AC95" s="162">
        <f t="shared" si="5"/>
        <v>0</v>
      </c>
      <c r="AD95" s="162">
        <f t="shared" si="5"/>
        <v>0</v>
      </c>
      <c r="AE95" s="162">
        <f t="shared" si="4"/>
        <v>0</v>
      </c>
      <c r="AF95" s="162">
        <f t="shared" si="4"/>
        <v>0</v>
      </c>
      <c r="AG95" s="27">
        <f t="shared" si="4"/>
        <v>0</v>
      </c>
      <c r="AH95" s="162">
        <f t="shared" si="4"/>
        <v>0</v>
      </c>
      <c r="AI95" s="162">
        <f t="shared" si="4"/>
        <v>0</v>
      </c>
      <c r="AJ95" s="162">
        <f t="shared" si="4"/>
        <v>0</v>
      </c>
      <c r="AK95" s="162">
        <f t="shared" si="2"/>
        <v>0</v>
      </c>
      <c r="AL95" s="162">
        <f t="shared" si="2"/>
        <v>0</v>
      </c>
    </row>
    <row r="96" spans="1:38" x14ac:dyDescent="0.3">
      <c r="A96" s="158">
        <f>IF(ISBLANK(B96),"",MAX(A$6:A95)+1)</f>
        <v>76</v>
      </c>
      <c r="B96" s="21" t="s">
        <v>66</v>
      </c>
      <c r="C96" s="162">
        <v>1751147951.8403964</v>
      </c>
      <c r="D96" s="162">
        <v>-73516466.176427826</v>
      </c>
      <c r="E96" s="162">
        <v>-13642850.873609414</v>
      </c>
      <c r="F96" s="162">
        <v>0</v>
      </c>
      <c r="G96" s="162">
        <v>1663988634.7903585</v>
      </c>
      <c r="H96" s="27"/>
      <c r="I96" s="162">
        <v>1909000800.2528996</v>
      </c>
      <c r="J96" s="162">
        <v>86797981.275974497</v>
      </c>
      <c r="K96" s="162">
        <v>53945708.503033154</v>
      </c>
      <c r="L96" s="162">
        <v>0</v>
      </c>
      <c r="M96" s="162">
        <v>2049744490.0319073</v>
      </c>
      <c r="P96" s="162">
        <v>1751147951.8403964</v>
      </c>
      <c r="Q96" s="162">
        <v>-73516466.176427826</v>
      </c>
      <c r="R96" s="162">
        <v>-13642850.873609414</v>
      </c>
      <c r="S96" s="162">
        <v>0</v>
      </c>
      <c r="T96" s="162">
        <v>1663988634.7903585</v>
      </c>
      <c r="U96" s="27"/>
      <c r="V96" s="162">
        <v>1909000800.2528996</v>
      </c>
      <c r="W96" s="162">
        <v>86797981.275974497</v>
      </c>
      <c r="X96" s="162">
        <v>53945708.503033154</v>
      </c>
      <c r="Y96" s="162">
        <v>0</v>
      </c>
      <c r="Z96" s="162">
        <v>2049744490.0319073</v>
      </c>
      <c r="AB96" s="162">
        <f t="shared" si="5"/>
        <v>0</v>
      </c>
      <c r="AC96" s="162">
        <f t="shared" si="5"/>
        <v>0</v>
      </c>
      <c r="AD96" s="162">
        <f t="shared" si="5"/>
        <v>0</v>
      </c>
      <c r="AE96" s="162">
        <f t="shared" si="4"/>
        <v>0</v>
      </c>
      <c r="AF96" s="162">
        <f t="shared" si="4"/>
        <v>0</v>
      </c>
      <c r="AG96" s="27">
        <f t="shared" si="4"/>
        <v>0</v>
      </c>
      <c r="AH96" s="162">
        <f t="shared" si="4"/>
        <v>0</v>
      </c>
      <c r="AI96" s="162">
        <f t="shared" si="4"/>
        <v>0</v>
      </c>
      <c r="AJ96" s="162">
        <f t="shared" si="4"/>
        <v>0</v>
      </c>
      <c r="AK96" s="162">
        <f t="shared" si="2"/>
        <v>0</v>
      </c>
      <c r="AL96" s="162">
        <f t="shared" si="2"/>
        <v>0</v>
      </c>
    </row>
    <row r="97" spans="1:38" x14ac:dyDescent="0.3">
      <c r="A97" s="158">
        <f>IF(ISBLANK(B97),"",MAX(A$6:A96)+1)</f>
        <v>77</v>
      </c>
      <c r="B97" s="21" t="s">
        <v>67</v>
      </c>
      <c r="C97" s="162">
        <v>59345279.060462877</v>
      </c>
      <c r="D97" s="162">
        <v>0</v>
      </c>
      <c r="E97" s="162">
        <v>0</v>
      </c>
      <c r="F97" s="162">
        <v>-14239197.195381718</v>
      </c>
      <c r="G97" s="162">
        <v>45106081.865081154</v>
      </c>
      <c r="H97" s="27"/>
      <c r="I97" s="162">
        <v>58776383.34010046</v>
      </c>
      <c r="J97" s="162">
        <v>0</v>
      </c>
      <c r="K97" s="162">
        <v>0</v>
      </c>
      <c r="L97" s="162">
        <v>57394555.273371562</v>
      </c>
      <c r="M97" s="162">
        <v>116170938.61347203</v>
      </c>
      <c r="P97" s="162">
        <v>59345279.060462877</v>
      </c>
      <c r="Q97" s="162">
        <v>0</v>
      </c>
      <c r="R97" s="162">
        <v>0</v>
      </c>
      <c r="S97" s="162">
        <v>-14239197.195381718</v>
      </c>
      <c r="T97" s="162">
        <v>45106081.865081154</v>
      </c>
      <c r="U97" s="27"/>
      <c r="V97" s="162">
        <v>58776383.34010046</v>
      </c>
      <c r="W97" s="162">
        <v>0</v>
      </c>
      <c r="X97" s="162">
        <v>0</v>
      </c>
      <c r="Y97" s="162">
        <v>57394555.273371562</v>
      </c>
      <c r="Z97" s="162">
        <v>116170938.61347203</v>
      </c>
      <c r="AB97" s="162">
        <f t="shared" si="5"/>
        <v>0</v>
      </c>
      <c r="AC97" s="162">
        <f t="shared" si="5"/>
        <v>0</v>
      </c>
      <c r="AD97" s="162">
        <f t="shared" si="5"/>
        <v>0</v>
      </c>
      <c r="AE97" s="162">
        <f t="shared" si="4"/>
        <v>0</v>
      </c>
      <c r="AF97" s="162">
        <f t="shared" si="4"/>
        <v>0</v>
      </c>
      <c r="AG97" s="27">
        <f t="shared" si="4"/>
        <v>0</v>
      </c>
      <c r="AH97" s="162">
        <f t="shared" si="4"/>
        <v>0</v>
      </c>
      <c r="AI97" s="162">
        <f t="shared" si="4"/>
        <v>0</v>
      </c>
      <c r="AJ97" s="162">
        <f t="shared" si="4"/>
        <v>0</v>
      </c>
      <c r="AK97" s="162">
        <f t="shared" si="2"/>
        <v>0</v>
      </c>
      <c r="AL97" s="162">
        <f t="shared" si="2"/>
        <v>0</v>
      </c>
    </row>
    <row r="98" spans="1:38" x14ac:dyDescent="0.3">
      <c r="A98" s="158">
        <f>IF(ISBLANK(B98),"",MAX(A$6:A97)+1)</f>
        <v>78</v>
      </c>
      <c r="B98" s="21" t="s">
        <v>68</v>
      </c>
      <c r="C98" s="162">
        <v>76524776.056572318</v>
      </c>
      <c r="D98" s="162">
        <v>0</v>
      </c>
      <c r="E98" s="162">
        <v>0</v>
      </c>
      <c r="F98" s="162">
        <v>0</v>
      </c>
      <c r="G98" s="162">
        <v>76524776.056572318</v>
      </c>
      <c r="H98" s="25"/>
      <c r="I98" s="162">
        <v>63876198.411906898</v>
      </c>
      <c r="J98" s="162">
        <v>0</v>
      </c>
      <c r="K98" s="162">
        <v>0</v>
      </c>
      <c r="L98" s="162">
        <v>0</v>
      </c>
      <c r="M98" s="162">
        <v>63876198.411906898</v>
      </c>
      <c r="P98" s="162">
        <v>76524776.056572318</v>
      </c>
      <c r="Q98" s="162">
        <v>0</v>
      </c>
      <c r="R98" s="162">
        <v>0</v>
      </c>
      <c r="S98" s="162">
        <v>0</v>
      </c>
      <c r="T98" s="162">
        <v>76524776.056572318</v>
      </c>
      <c r="U98" s="25"/>
      <c r="V98" s="162">
        <v>63876198.411906898</v>
      </c>
      <c r="W98" s="162">
        <v>0</v>
      </c>
      <c r="X98" s="162">
        <v>0</v>
      </c>
      <c r="Y98" s="162">
        <v>0</v>
      </c>
      <c r="Z98" s="162">
        <v>63876198.411906898</v>
      </c>
      <c r="AB98" s="162">
        <f t="shared" si="5"/>
        <v>0</v>
      </c>
      <c r="AC98" s="162">
        <f t="shared" si="5"/>
        <v>0</v>
      </c>
      <c r="AD98" s="162">
        <f t="shared" si="5"/>
        <v>0</v>
      </c>
      <c r="AE98" s="162">
        <f t="shared" si="4"/>
        <v>0</v>
      </c>
      <c r="AF98" s="162">
        <f t="shared" si="4"/>
        <v>0</v>
      </c>
      <c r="AG98" s="25">
        <f t="shared" si="4"/>
        <v>0</v>
      </c>
      <c r="AH98" s="162">
        <f t="shared" si="4"/>
        <v>0</v>
      </c>
      <c r="AI98" s="162">
        <f t="shared" si="4"/>
        <v>0</v>
      </c>
      <c r="AJ98" s="162">
        <f t="shared" si="4"/>
        <v>0</v>
      </c>
      <c r="AK98" s="162">
        <f t="shared" si="2"/>
        <v>0</v>
      </c>
      <c r="AL98" s="162">
        <f t="shared" si="2"/>
        <v>0</v>
      </c>
    </row>
    <row r="99" spans="1:38" x14ac:dyDescent="0.3">
      <c r="A99" s="158">
        <f>IF(ISBLANK(B99),"",MAX(A$6:A98)+1)</f>
        <v>79</v>
      </c>
      <c r="B99" s="452" t="s">
        <v>0</v>
      </c>
      <c r="C99" s="17">
        <v>1930367378.4681597</v>
      </c>
      <c r="D99" s="17">
        <v>-73516466.176427826</v>
      </c>
      <c r="E99" s="17">
        <v>-13642850.873609414</v>
      </c>
      <c r="F99" s="17">
        <v>-14239197.195381718</v>
      </c>
      <c r="G99" s="17">
        <v>1828968864.2227402</v>
      </c>
      <c r="H99" s="29"/>
      <c r="I99" s="17">
        <v>2065689247.7217226</v>
      </c>
      <c r="J99" s="17">
        <v>86797981.275974497</v>
      </c>
      <c r="K99" s="17">
        <v>53945708.503033154</v>
      </c>
      <c r="L99" s="17">
        <v>57394555.273371562</v>
      </c>
      <c r="M99" s="17">
        <v>2263827492.7741017</v>
      </c>
      <c r="P99" s="17">
        <v>1930367378.4681597</v>
      </c>
      <c r="Q99" s="17">
        <v>-73516466.176427826</v>
      </c>
      <c r="R99" s="17">
        <v>-13642850.873609414</v>
      </c>
      <c r="S99" s="17">
        <v>-14239197.195381718</v>
      </c>
      <c r="T99" s="17">
        <v>1828968864.2227402</v>
      </c>
      <c r="U99" s="29"/>
      <c r="V99" s="17">
        <v>2065689247.7217226</v>
      </c>
      <c r="W99" s="17">
        <v>86797981.275974497</v>
      </c>
      <c r="X99" s="17">
        <v>53945708.503033154</v>
      </c>
      <c r="Y99" s="17">
        <v>57394555.273371562</v>
      </c>
      <c r="Z99" s="17">
        <v>2263827492.7741017</v>
      </c>
      <c r="AB99" s="17">
        <f t="shared" si="5"/>
        <v>0</v>
      </c>
      <c r="AC99" s="17">
        <f t="shared" si="5"/>
        <v>0</v>
      </c>
      <c r="AD99" s="17">
        <f t="shared" si="5"/>
        <v>0</v>
      </c>
      <c r="AE99" s="17">
        <f t="shared" si="4"/>
        <v>0</v>
      </c>
      <c r="AF99" s="17">
        <f t="shared" si="4"/>
        <v>0</v>
      </c>
      <c r="AG99" s="29">
        <f t="shared" si="4"/>
        <v>0</v>
      </c>
      <c r="AH99" s="17">
        <f t="shared" si="4"/>
        <v>0</v>
      </c>
      <c r="AI99" s="17">
        <f t="shared" si="4"/>
        <v>0</v>
      </c>
      <c r="AJ99" s="17">
        <f t="shared" si="4"/>
        <v>0</v>
      </c>
      <c r="AK99" s="17">
        <f t="shared" si="2"/>
        <v>0</v>
      </c>
      <c r="AL99" s="17">
        <f t="shared" si="2"/>
        <v>0</v>
      </c>
    </row>
    <row r="100" spans="1:38" x14ac:dyDescent="0.3">
      <c r="A100" s="158" t="str">
        <f>IF(ISBLANK(B100),"",MAX(A$6:A99)+1)</f>
        <v/>
      </c>
      <c r="H100" s="25"/>
      <c r="U100" s="25"/>
      <c r="AB100" s="15">
        <f t="shared" si="5"/>
        <v>0</v>
      </c>
      <c r="AC100" s="15">
        <f t="shared" si="5"/>
        <v>0</v>
      </c>
      <c r="AD100" s="15">
        <f t="shared" si="5"/>
        <v>0</v>
      </c>
      <c r="AE100" s="15">
        <f t="shared" si="4"/>
        <v>0</v>
      </c>
      <c r="AF100" s="15">
        <f t="shared" si="4"/>
        <v>0</v>
      </c>
      <c r="AG100" s="25">
        <f t="shared" si="4"/>
        <v>0</v>
      </c>
      <c r="AH100" s="15">
        <f t="shared" si="4"/>
        <v>0</v>
      </c>
      <c r="AI100" s="15">
        <f t="shared" si="4"/>
        <v>0</v>
      </c>
      <c r="AJ100" s="15">
        <f t="shared" si="4"/>
        <v>0</v>
      </c>
      <c r="AK100" s="15">
        <f t="shared" si="2"/>
        <v>0</v>
      </c>
      <c r="AL100" s="15">
        <f t="shared" si="2"/>
        <v>0</v>
      </c>
    </row>
    <row r="101" spans="1:38" x14ac:dyDescent="0.3">
      <c r="A101" s="158">
        <f>IF(ISBLANK(B101),"",MAX(A$6:A100)+1)</f>
        <v>80</v>
      </c>
      <c r="B101" s="21" t="s">
        <v>187</v>
      </c>
      <c r="C101" s="16">
        <v>-6741624.7785242535</v>
      </c>
      <c r="D101" s="16"/>
      <c r="E101" s="16"/>
      <c r="F101" s="16"/>
      <c r="G101" s="16">
        <v>-6741624.7785242535</v>
      </c>
      <c r="H101" s="25"/>
      <c r="I101" s="16">
        <v>-6741624.7785242535</v>
      </c>
      <c r="J101" s="16"/>
      <c r="K101" s="16"/>
      <c r="L101" s="16"/>
      <c r="M101" s="16">
        <v>-6741624.7785242535</v>
      </c>
      <c r="P101" s="16">
        <v>-6741624.7785242535</v>
      </c>
      <c r="Q101" s="16"/>
      <c r="R101" s="16"/>
      <c r="S101" s="16"/>
      <c r="T101" s="16">
        <v>-6741624.7785242535</v>
      </c>
      <c r="U101" s="25"/>
      <c r="V101" s="16">
        <v>-6741624.7785242535</v>
      </c>
      <c r="W101" s="16"/>
      <c r="X101" s="16"/>
      <c r="Y101" s="16"/>
      <c r="Z101" s="16">
        <v>-6741624.7785242535</v>
      </c>
      <c r="AB101" s="16">
        <f t="shared" si="5"/>
        <v>0</v>
      </c>
      <c r="AC101" s="16">
        <f t="shared" si="5"/>
        <v>0</v>
      </c>
      <c r="AD101" s="16">
        <f t="shared" si="5"/>
        <v>0</v>
      </c>
      <c r="AE101" s="16">
        <f t="shared" si="4"/>
        <v>0</v>
      </c>
      <c r="AF101" s="16">
        <f t="shared" si="4"/>
        <v>0</v>
      </c>
      <c r="AG101" s="25">
        <f t="shared" si="4"/>
        <v>0</v>
      </c>
      <c r="AH101" s="16">
        <f t="shared" si="4"/>
        <v>0</v>
      </c>
      <c r="AI101" s="16">
        <f t="shared" si="4"/>
        <v>0</v>
      </c>
      <c r="AJ101" s="16">
        <f t="shared" si="4"/>
        <v>0</v>
      </c>
      <c r="AK101" s="16">
        <f t="shared" si="2"/>
        <v>0</v>
      </c>
      <c r="AL101" s="16">
        <f t="shared" si="2"/>
        <v>0</v>
      </c>
    </row>
    <row r="102" spans="1:38" x14ac:dyDescent="0.3">
      <c r="A102" s="158">
        <f>IF(ISBLANK(B102),"",MAX(A$6:A101)+1)</f>
        <v>81</v>
      </c>
      <c r="B102" s="21" t="s">
        <v>188</v>
      </c>
      <c r="C102" s="162">
        <v>-15468370.592007965</v>
      </c>
      <c r="D102" s="162"/>
      <c r="E102" s="162"/>
      <c r="F102" s="162"/>
      <c r="G102" s="162">
        <v>-15468370.592007965</v>
      </c>
      <c r="H102" s="162"/>
      <c r="I102" s="162">
        <v>-15468370.592007965</v>
      </c>
      <c r="J102" s="162"/>
      <c r="K102" s="162"/>
      <c r="L102" s="162"/>
      <c r="M102" s="162">
        <v>-15468370.592007965</v>
      </c>
      <c r="P102" s="162">
        <v>-15468370.592007965</v>
      </c>
      <c r="Q102" s="162"/>
      <c r="R102" s="162"/>
      <c r="S102" s="162"/>
      <c r="T102" s="162">
        <v>-15468370.592007965</v>
      </c>
      <c r="U102" s="162"/>
      <c r="V102" s="162">
        <v>-15468370.592007965</v>
      </c>
      <c r="W102" s="162"/>
      <c r="X102" s="162"/>
      <c r="Y102" s="162"/>
      <c r="Z102" s="162">
        <v>-15468370.592007965</v>
      </c>
      <c r="AB102" s="162">
        <f t="shared" si="5"/>
        <v>0</v>
      </c>
      <c r="AC102" s="162">
        <f t="shared" si="5"/>
        <v>0</v>
      </c>
      <c r="AD102" s="162">
        <f t="shared" si="5"/>
        <v>0</v>
      </c>
      <c r="AE102" s="162">
        <f t="shared" si="4"/>
        <v>0</v>
      </c>
      <c r="AF102" s="162">
        <f t="shared" si="4"/>
        <v>0</v>
      </c>
      <c r="AG102" s="162">
        <f t="shared" si="4"/>
        <v>0</v>
      </c>
      <c r="AH102" s="162">
        <f t="shared" si="4"/>
        <v>0</v>
      </c>
      <c r="AI102" s="162">
        <f t="shared" si="4"/>
        <v>0</v>
      </c>
      <c r="AJ102" s="162">
        <f t="shared" si="4"/>
        <v>0</v>
      </c>
      <c r="AK102" s="162">
        <f t="shared" si="2"/>
        <v>0</v>
      </c>
      <c r="AL102" s="162">
        <f t="shared" si="2"/>
        <v>0</v>
      </c>
    </row>
    <row r="103" spans="1:38" x14ac:dyDescent="0.3">
      <c r="A103" s="158">
        <f>IF(ISBLANK(B103),"",MAX(A$6:A102)+1)</f>
        <v>82</v>
      </c>
      <c r="B103" s="21" t="s">
        <v>76</v>
      </c>
      <c r="C103" s="162">
        <v>54431800.053166389</v>
      </c>
      <c r="D103" s="162"/>
      <c r="E103" s="162"/>
      <c r="F103" s="162"/>
      <c r="G103" s="162">
        <v>54431800.053166389</v>
      </c>
      <c r="H103" s="162"/>
      <c r="I103" s="162">
        <v>54431800.053166389</v>
      </c>
      <c r="J103" s="162"/>
      <c r="K103" s="162"/>
      <c r="L103" s="162"/>
      <c r="M103" s="162">
        <v>54431800.053166389</v>
      </c>
      <c r="P103" s="162">
        <v>54431800.053166389</v>
      </c>
      <c r="Q103" s="162"/>
      <c r="R103" s="162"/>
      <c r="S103" s="162"/>
      <c r="T103" s="162">
        <v>54431800.053166389</v>
      </c>
      <c r="U103" s="162"/>
      <c r="V103" s="162">
        <v>54431800.053166389</v>
      </c>
      <c r="W103" s="162"/>
      <c r="X103" s="162"/>
      <c r="Y103" s="162"/>
      <c r="Z103" s="162">
        <v>54431800.053166389</v>
      </c>
      <c r="AB103" s="162">
        <f t="shared" si="5"/>
        <v>0</v>
      </c>
      <c r="AC103" s="162">
        <f t="shared" si="5"/>
        <v>0</v>
      </c>
      <c r="AD103" s="162">
        <f t="shared" si="5"/>
        <v>0</v>
      </c>
      <c r="AE103" s="162">
        <f t="shared" si="4"/>
        <v>0</v>
      </c>
      <c r="AF103" s="162">
        <f t="shared" si="4"/>
        <v>0</v>
      </c>
      <c r="AG103" s="162">
        <f t="shared" si="4"/>
        <v>0</v>
      </c>
      <c r="AH103" s="162">
        <f t="shared" si="4"/>
        <v>0</v>
      </c>
      <c r="AI103" s="162">
        <f t="shared" si="4"/>
        <v>0</v>
      </c>
      <c r="AJ103" s="162">
        <f t="shared" si="4"/>
        <v>0</v>
      </c>
      <c r="AK103" s="162">
        <f t="shared" si="2"/>
        <v>0</v>
      </c>
      <c r="AL103" s="162">
        <f t="shared" si="2"/>
        <v>0</v>
      </c>
    </row>
    <row r="104" spans="1:38" ht="15" thickBot="1" x14ac:dyDescent="0.35">
      <c r="A104" s="158">
        <f>IF(ISBLANK(B104),"",MAX(A$6:A103)+1)</f>
        <v>83</v>
      </c>
      <c r="B104" s="454" t="s">
        <v>189</v>
      </c>
      <c r="C104" s="78">
        <v>1962589183.150794</v>
      </c>
      <c r="D104" s="78">
        <v>-73516466.176427826</v>
      </c>
      <c r="E104" s="78">
        <v>-13642850.873609414</v>
      </c>
      <c r="F104" s="78">
        <v>-14239197.195381718</v>
      </c>
      <c r="G104" s="78">
        <v>1861190668.9053745</v>
      </c>
      <c r="H104" s="29"/>
      <c r="I104" s="78">
        <v>2097911052.404357</v>
      </c>
      <c r="J104" s="78">
        <v>86797981.275974497</v>
      </c>
      <c r="K104" s="78">
        <v>53945708.503033154</v>
      </c>
      <c r="L104" s="78">
        <v>57394555.273371562</v>
      </c>
      <c r="M104" s="78">
        <v>2296049297.4567356</v>
      </c>
      <c r="P104" s="78">
        <v>1962589183.150794</v>
      </c>
      <c r="Q104" s="78">
        <v>-73516466.176427826</v>
      </c>
      <c r="R104" s="78">
        <v>-13642850.873609414</v>
      </c>
      <c r="S104" s="78">
        <v>-14239197.195381718</v>
      </c>
      <c r="T104" s="78">
        <v>1861190668.9053745</v>
      </c>
      <c r="U104" s="29"/>
      <c r="V104" s="78">
        <v>2097911052.404357</v>
      </c>
      <c r="W104" s="78">
        <v>86797981.275974497</v>
      </c>
      <c r="X104" s="78">
        <v>53945708.503033154</v>
      </c>
      <c r="Y104" s="78">
        <v>57394555.273371562</v>
      </c>
      <c r="Z104" s="78">
        <v>2296049297.4567356</v>
      </c>
      <c r="AB104" s="78">
        <f t="shared" si="5"/>
        <v>0</v>
      </c>
      <c r="AC104" s="78">
        <f t="shared" si="5"/>
        <v>0</v>
      </c>
      <c r="AD104" s="78">
        <f t="shared" si="5"/>
        <v>0</v>
      </c>
      <c r="AE104" s="78">
        <f t="shared" si="4"/>
        <v>0</v>
      </c>
      <c r="AF104" s="78">
        <f t="shared" si="4"/>
        <v>0</v>
      </c>
      <c r="AG104" s="29">
        <f t="shared" si="4"/>
        <v>0</v>
      </c>
      <c r="AH104" s="78">
        <f t="shared" si="4"/>
        <v>0</v>
      </c>
      <c r="AI104" s="78">
        <f t="shared" si="4"/>
        <v>0</v>
      </c>
      <c r="AJ104" s="78">
        <f t="shared" si="4"/>
        <v>0</v>
      </c>
      <c r="AK104" s="78">
        <f t="shared" si="2"/>
        <v>0</v>
      </c>
      <c r="AL104" s="78">
        <f t="shared" si="2"/>
        <v>0</v>
      </c>
    </row>
    <row r="105" spans="1:38" ht="15" thickTop="1" x14ac:dyDescent="0.3">
      <c r="A105" s="158">
        <f>IF(ISBLANK(B105),"",MAX(A$6:A104)+1)</f>
        <v>84</v>
      </c>
      <c r="B105" s="193" t="s">
        <v>570</v>
      </c>
      <c r="C105" s="20">
        <v>0</v>
      </c>
      <c r="D105" s="20">
        <v>0</v>
      </c>
      <c r="E105" s="20">
        <v>0</v>
      </c>
      <c r="F105" s="20">
        <v>0</v>
      </c>
      <c r="G105" s="20">
        <v>0</v>
      </c>
      <c r="H105" s="25"/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5"/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B105" s="20">
        <f t="shared" si="5"/>
        <v>0</v>
      </c>
      <c r="AC105" s="20">
        <f t="shared" si="5"/>
        <v>0</v>
      </c>
      <c r="AD105" s="20">
        <f t="shared" si="5"/>
        <v>0</v>
      </c>
      <c r="AE105" s="20">
        <f t="shared" si="4"/>
        <v>0</v>
      </c>
      <c r="AF105" s="20">
        <f t="shared" si="4"/>
        <v>0</v>
      </c>
      <c r="AG105" s="25">
        <f t="shared" si="4"/>
        <v>0</v>
      </c>
      <c r="AH105" s="20">
        <f t="shared" si="4"/>
        <v>0</v>
      </c>
      <c r="AI105" s="20">
        <f t="shared" si="4"/>
        <v>0</v>
      </c>
      <c r="AJ105" s="20">
        <f t="shared" si="4"/>
        <v>0</v>
      </c>
      <c r="AK105" s="20">
        <f t="shared" si="2"/>
        <v>0</v>
      </c>
      <c r="AL105" s="20">
        <f t="shared" si="2"/>
        <v>0</v>
      </c>
    </row>
    <row r="106" spans="1:38" x14ac:dyDescent="0.3">
      <c r="A106" s="158">
        <f>IF(ISBLANK(B106),"",MAX(A$6:A105)+1)</f>
        <v>85</v>
      </c>
      <c r="B106" s="15" t="s">
        <v>78</v>
      </c>
      <c r="M106" s="52">
        <v>7.4399999999999994E-2</v>
      </c>
      <c r="Z106" s="52">
        <v>7.4399999999999994E-2</v>
      </c>
      <c r="AB106" s="15">
        <f t="shared" si="5"/>
        <v>0</v>
      </c>
      <c r="AC106" s="15">
        <f t="shared" si="5"/>
        <v>0</v>
      </c>
      <c r="AD106" s="15">
        <f t="shared" si="5"/>
        <v>0</v>
      </c>
      <c r="AE106" s="15">
        <f t="shared" si="4"/>
        <v>0</v>
      </c>
      <c r="AF106" s="15">
        <f t="shared" si="4"/>
        <v>0</v>
      </c>
      <c r="AG106" s="15">
        <f t="shared" si="4"/>
        <v>0</v>
      </c>
      <c r="AH106" s="15">
        <f t="shared" si="4"/>
        <v>0</v>
      </c>
      <c r="AI106" s="15">
        <f t="shared" si="4"/>
        <v>0</v>
      </c>
      <c r="AJ106" s="15">
        <f t="shared" si="4"/>
        <v>0</v>
      </c>
      <c r="AK106" s="15">
        <f t="shared" si="2"/>
        <v>0</v>
      </c>
      <c r="AL106" s="52">
        <f t="shared" si="2"/>
        <v>0</v>
      </c>
    </row>
    <row r="107" spans="1:38" x14ac:dyDescent="0.3">
      <c r="A107" s="158">
        <f>IF(ISBLANK(B107),"",MAX(A$6:A106)+1)</f>
        <v>86</v>
      </c>
      <c r="B107" s="15" t="s">
        <v>79</v>
      </c>
      <c r="M107" s="16">
        <v>170826067.73078108</v>
      </c>
      <c r="Z107" s="16">
        <v>170826067.73078108</v>
      </c>
      <c r="AB107" s="15">
        <f t="shared" si="5"/>
        <v>0</v>
      </c>
      <c r="AC107" s="15">
        <f t="shared" si="5"/>
        <v>0</v>
      </c>
      <c r="AD107" s="15">
        <f t="shared" si="5"/>
        <v>0</v>
      </c>
      <c r="AE107" s="15">
        <f t="shared" si="4"/>
        <v>0</v>
      </c>
      <c r="AF107" s="15">
        <f t="shared" si="4"/>
        <v>0</v>
      </c>
      <c r="AG107" s="15">
        <f t="shared" si="4"/>
        <v>0</v>
      </c>
      <c r="AH107" s="15">
        <f t="shared" si="4"/>
        <v>0</v>
      </c>
      <c r="AI107" s="15">
        <f t="shared" si="4"/>
        <v>0</v>
      </c>
      <c r="AJ107" s="15">
        <f t="shared" si="4"/>
        <v>0</v>
      </c>
      <c r="AK107" s="15">
        <f t="shared" si="2"/>
        <v>0</v>
      </c>
      <c r="AL107" s="16">
        <f t="shared" si="2"/>
        <v>0</v>
      </c>
    </row>
    <row r="108" spans="1:38" x14ac:dyDescent="0.3">
      <c r="A108" s="158">
        <f>IF(ISBLANK(B108),"",MAX(A$6:A107)+1)</f>
        <v>87</v>
      </c>
      <c r="B108" s="15" t="s">
        <v>80</v>
      </c>
      <c r="M108" s="16">
        <v>83741049.620029807</v>
      </c>
      <c r="Z108" s="16">
        <v>83739920.900238991</v>
      </c>
      <c r="AB108" s="15">
        <f t="shared" si="5"/>
        <v>0</v>
      </c>
      <c r="AC108" s="15">
        <f t="shared" si="5"/>
        <v>0</v>
      </c>
      <c r="AD108" s="15">
        <f t="shared" si="5"/>
        <v>0</v>
      </c>
      <c r="AE108" s="15">
        <f t="shared" si="4"/>
        <v>0</v>
      </c>
      <c r="AF108" s="15">
        <f t="shared" si="4"/>
        <v>0</v>
      </c>
      <c r="AG108" s="15">
        <f t="shared" si="4"/>
        <v>0</v>
      </c>
      <c r="AH108" s="15">
        <f t="shared" si="4"/>
        <v>0</v>
      </c>
      <c r="AI108" s="15">
        <f t="shared" si="4"/>
        <v>0</v>
      </c>
      <c r="AJ108" s="15">
        <f t="shared" si="4"/>
        <v>0</v>
      </c>
      <c r="AK108" s="15">
        <f t="shared" si="2"/>
        <v>0</v>
      </c>
      <c r="AL108" s="16">
        <f t="shared" si="2"/>
        <v>1128.7197908163071</v>
      </c>
    </row>
    <row r="109" spans="1:38" x14ac:dyDescent="0.3">
      <c r="A109" s="158">
        <f>IF(ISBLANK(B109),"",MAX(A$6:A108)+1)</f>
        <v>88</v>
      </c>
      <c r="B109" s="15" t="s">
        <v>81</v>
      </c>
      <c r="M109" s="23">
        <v>0.75409700000000002</v>
      </c>
      <c r="Z109" s="23">
        <v>0.75409700000000002</v>
      </c>
      <c r="AB109" s="15">
        <f t="shared" si="5"/>
        <v>0</v>
      </c>
      <c r="AC109" s="15">
        <f t="shared" si="5"/>
        <v>0</v>
      </c>
      <c r="AD109" s="15">
        <f t="shared" si="5"/>
        <v>0</v>
      </c>
      <c r="AE109" s="15">
        <f t="shared" si="4"/>
        <v>0</v>
      </c>
      <c r="AF109" s="15">
        <f t="shared" si="4"/>
        <v>0</v>
      </c>
      <c r="AG109" s="15">
        <f t="shared" si="4"/>
        <v>0</v>
      </c>
      <c r="AH109" s="15">
        <f t="shared" si="4"/>
        <v>0</v>
      </c>
      <c r="AI109" s="15">
        <f t="shared" si="4"/>
        <v>0</v>
      </c>
      <c r="AJ109" s="15">
        <f t="shared" si="4"/>
        <v>0</v>
      </c>
      <c r="AK109" s="15">
        <f t="shared" si="4"/>
        <v>0</v>
      </c>
      <c r="AL109" s="23">
        <f t="shared" si="4"/>
        <v>0</v>
      </c>
    </row>
    <row r="110" spans="1:38" x14ac:dyDescent="0.3">
      <c r="A110" s="158">
        <f>IF(ISBLANK(B110),"",MAX(A$6:A109)+1)</f>
        <v>89</v>
      </c>
      <c r="B110" s="15" t="s">
        <v>82</v>
      </c>
      <c r="M110" s="16">
        <v>111048113.99598435</v>
      </c>
      <c r="Z110" s="16">
        <v>111046617.21269146</v>
      </c>
      <c r="AB110" s="15">
        <f t="shared" si="5"/>
        <v>0</v>
      </c>
      <c r="AC110" s="15">
        <f t="shared" si="5"/>
        <v>0</v>
      </c>
      <c r="AD110" s="15">
        <f t="shared" si="5"/>
        <v>0</v>
      </c>
      <c r="AE110" s="15">
        <f t="shared" si="4"/>
        <v>0</v>
      </c>
      <c r="AF110" s="15">
        <f t="shared" si="4"/>
        <v>0</v>
      </c>
      <c r="AG110" s="15">
        <f t="shared" si="4"/>
        <v>0</v>
      </c>
      <c r="AH110" s="15">
        <f t="shared" si="4"/>
        <v>0</v>
      </c>
      <c r="AI110" s="15">
        <f t="shared" si="4"/>
        <v>0</v>
      </c>
      <c r="AJ110" s="15">
        <f t="shared" si="4"/>
        <v>0</v>
      </c>
      <c r="AK110" s="15">
        <f t="shared" si="4"/>
        <v>0</v>
      </c>
      <c r="AL110" s="16">
        <f t="shared" si="4"/>
        <v>1496.783292889595</v>
      </c>
    </row>
    <row r="111" spans="1:38" x14ac:dyDescent="0.3">
      <c r="A111" s="158">
        <f>IF(ISBLANK(B111),"",MAX(A$6:A110)+1)</f>
        <v>90</v>
      </c>
      <c r="B111" s="15" t="s">
        <v>83</v>
      </c>
      <c r="M111" s="23">
        <v>1.0136579499202438</v>
      </c>
      <c r="Z111" s="23">
        <v>1.0136864409724622</v>
      </c>
      <c r="AB111" s="15">
        <f t="shared" si="5"/>
        <v>0</v>
      </c>
      <c r="AC111" s="15">
        <f t="shared" si="5"/>
        <v>0</v>
      </c>
      <c r="AD111" s="15">
        <f t="shared" si="5"/>
        <v>0</v>
      </c>
      <c r="AE111" s="15">
        <f t="shared" si="4"/>
        <v>0</v>
      </c>
      <c r="AF111" s="15">
        <f t="shared" si="4"/>
        <v>0</v>
      </c>
      <c r="AG111" s="15">
        <f t="shared" si="4"/>
        <v>0</v>
      </c>
      <c r="AH111" s="15">
        <f t="shared" si="4"/>
        <v>0</v>
      </c>
      <c r="AI111" s="15">
        <f t="shared" si="4"/>
        <v>0</v>
      </c>
      <c r="AJ111" s="15">
        <f t="shared" si="4"/>
        <v>0</v>
      </c>
      <c r="AK111" s="15">
        <f t="shared" si="4"/>
        <v>0</v>
      </c>
      <c r="AL111" s="23">
        <f t="shared" si="4"/>
        <v>-2.8491052218360124E-5</v>
      </c>
    </row>
    <row r="112" spans="1:38" x14ac:dyDescent="0.3">
      <c r="A112" s="158">
        <f>IF(ISBLANK(B112),"",MAX(A$6:A111)+1)</f>
        <v>91</v>
      </c>
      <c r="B112" s="15" t="s">
        <v>84</v>
      </c>
      <c r="M112" s="16">
        <v>109551860.17603056</v>
      </c>
      <c r="Z112" s="16">
        <v>109547304.49601442</v>
      </c>
      <c r="AB112" s="15">
        <f t="shared" si="5"/>
        <v>0</v>
      </c>
      <c r="AC112" s="15">
        <f t="shared" si="5"/>
        <v>0</v>
      </c>
      <c r="AD112" s="15">
        <f t="shared" si="5"/>
        <v>0</v>
      </c>
      <c r="AE112" s="15">
        <f t="shared" si="4"/>
        <v>0</v>
      </c>
      <c r="AF112" s="15">
        <f t="shared" si="4"/>
        <v>0</v>
      </c>
      <c r="AG112" s="15">
        <f t="shared" si="4"/>
        <v>0</v>
      </c>
      <c r="AH112" s="15">
        <f t="shared" si="4"/>
        <v>0</v>
      </c>
      <c r="AI112" s="15">
        <f t="shared" si="4"/>
        <v>0</v>
      </c>
      <c r="AJ112" s="15">
        <f t="shared" si="4"/>
        <v>0</v>
      </c>
      <c r="AK112" s="15">
        <f t="shared" si="4"/>
        <v>0</v>
      </c>
      <c r="AL112" s="16">
        <f t="shared" si="4"/>
        <v>4555.6800161451101</v>
      </c>
    </row>
    <row r="113" spans="1:38" x14ac:dyDescent="0.3">
      <c r="A113" s="158" t="str">
        <f>IF(ISBLANK(B113),"",MAX(A$6:A112)+1)</f>
        <v/>
      </c>
      <c r="C113" s="35"/>
      <c r="D113" s="35"/>
      <c r="E113" s="35"/>
      <c r="F113" s="35"/>
      <c r="G113" s="35"/>
      <c r="H113" s="25"/>
      <c r="I113" s="35"/>
      <c r="J113" s="35"/>
      <c r="K113" s="35"/>
      <c r="L113" s="35"/>
      <c r="M113" s="35"/>
      <c r="P113" s="35"/>
      <c r="Q113" s="35"/>
      <c r="R113" s="35"/>
      <c r="S113" s="35"/>
      <c r="T113" s="35"/>
      <c r="U113" s="25"/>
      <c r="V113" s="35"/>
      <c r="W113" s="35"/>
      <c r="X113" s="35"/>
      <c r="Y113" s="35"/>
      <c r="Z113" s="35"/>
      <c r="AB113" s="35"/>
      <c r="AC113" s="35"/>
      <c r="AD113" s="35"/>
      <c r="AE113" s="35"/>
      <c r="AF113" s="35"/>
      <c r="AG113" s="25"/>
      <c r="AH113" s="35"/>
      <c r="AI113" s="35"/>
      <c r="AJ113" s="35"/>
      <c r="AK113" s="35"/>
      <c r="AL113" s="35"/>
    </row>
  </sheetData>
  <printOptions horizontalCentered="1"/>
  <pageMargins left="0.45" right="0.45" top="0.5" bottom="0.5" header="0.3" footer="0.3"/>
  <pageSetup scale="60" fitToWidth="2" fitToHeight="2" orientation="landscape" r:id="rId1"/>
  <headerFooter>
    <oddHeader>&amp;RExh. RJA-9
Page &amp;P of &amp;N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94"/>
  <sheetViews>
    <sheetView workbookViewId="0">
      <pane xSplit="5" ySplit="5" topLeftCell="AR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4.4" outlineLevelRow="1" outlineLevelCol="1" x14ac:dyDescent="0.3"/>
  <cols>
    <col min="1" max="1" width="9.109375" style="15"/>
    <col min="2" max="2" width="43.44140625" style="15" bestFit="1" customWidth="1"/>
    <col min="3" max="5" width="10" style="15" hidden="1" customWidth="1" outlineLevel="1"/>
    <col min="6" max="6" width="14.44140625" style="15" bestFit="1" customWidth="1" collapsed="1"/>
    <col min="7" max="8" width="14.44140625" style="15" bestFit="1" customWidth="1"/>
    <col min="9" max="9" width="2.6640625" style="15" customWidth="1"/>
    <col min="10" max="12" width="14.44140625" style="15" bestFit="1" customWidth="1"/>
    <col min="13" max="13" width="2.6640625" style="15" customWidth="1"/>
    <col min="14" max="14" width="16" style="15" bestFit="1" customWidth="1"/>
    <col min="15" max="16" width="14.44140625" style="15" bestFit="1" customWidth="1"/>
    <col min="17" max="17" width="2.6640625" style="15" customWidth="1"/>
    <col min="18" max="18" width="16" style="15" bestFit="1" customWidth="1"/>
    <col min="19" max="20" width="14.44140625" style="15" bestFit="1" customWidth="1"/>
    <col min="21" max="21" width="2.6640625" style="281" customWidth="1"/>
    <col min="22" max="22" width="16" style="15" bestFit="1" customWidth="1"/>
    <col min="23" max="24" width="14.44140625" style="15" bestFit="1" customWidth="1"/>
    <col min="25" max="25" width="2.6640625" style="281" customWidth="1"/>
    <col min="26" max="27" width="16" style="15" bestFit="1" customWidth="1"/>
    <col min="28" max="28" width="14.44140625" style="15" bestFit="1" customWidth="1"/>
    <col min="29" max="29" width="2.6640625" style="281" customWidth="1"/>
    <col min="30" max="31" width="16" style="15" bestFit="1" customWidth="1"/>
    <col min="32" max="32" width="14.44140625" style="15" bestFit="1" customWidth="1"/>
    <col min="33" max="33" width="2.6640625" style="281" customWidth="1"/>
    <col min="34" max="35" width="16" style="15" bestFit="1" customWidth="1"/>
    <col min="36" max="36" width="14.44140625" style="15" bestFit="1" customWidth="1"/>
    <col min="37" max="37" width="2.6640625" style="281" customWidth="1"/>
    <col min="38" max="39" width="16" style="15" bestFit="1" customWidth="1"/>
    <col min="40" max="40" width="14.44140625" style="15" bestFit="1" customWidth="1"/>
    <col min="41" max="41" width="2.6640625" style="281" customWidth="1"/>
    <col min="42" max="43" width="16" style="15" bestFit="1" customWidth="1"/>
    <col min="44" max="44" width="14.44140625" style="15" bestFit="1" customWidth="1"/>
    <col min="45" max="45" width="2.6640625" style="281" customWidth="1"/>
    <col min="46" max="47" width="16" style="15" bestFit="1" customWidth="1"/>
    <col min="48" max="48" width="14.44140625" style="15" bestFit="1" customWidth="1"/>
    <col min="49" max="49" width="2.6640625" style="281" customWidth="1"/>
    <col min="50" max="16384" width="9.109375" style="15"/>
  </cols>
  <sheetData>
    <row r="1" spans="1:16384" ht="15" thickBot="1" x14ac:dyDescent="0.35">
      <c r="A1" s="66" t="s">
        <v>393</v>
      </c>
    </row>
    <row r="2" spans="1:16384" x14ac:dyDescent="0.3">
      <c r="B2" s="34" t="s">
        <v>394</v>
      </c>
      <c r="E2" s="34"/>
      <c r="F2" s="109"/>
      <c r="G2" s="110"/>
      <c r="H2" s="111"/>
      <c r="I2" s="112"/>
      <c r="J2" s="109"/>
      <c r="K2" s="110"/>
      <c r="L2" s="111"/>
      <c r="M2" s="112"/>
      <c r="N2" s="109"/>
      <c r="O2" s="110"/>
      <c r="P2" s="111"/>
      <c r="Q2" s="112"/>
      <c r="R2" s="109"/>
      <c r="S2" s="110">
        <v>0.55665295497936829</v>
      </c>
      <c r="T2" s="111">
        <v>0.44334704502063171</v>
      </c>
      <c r="U2" s="72"/>
      <c r="V2" s="109"/>
      <c r="W2" s="110">
        <v>0.55665295497936829</v>
      </c>
      <c r="X2" s="111">
        <v>0.44334704502063171</v>
      </c>
      <c r="Y2" s="72"/>
      <c r="Z2" s="109"/>
      <c r="AA2" s="110">
        <v>0.7479308804633904</v>
      </c>
      <c r="AB2" s="111">
        <v>0.25206911953660954</v>
      </c>
      <c r="AC2" s="72"/>
      <c r="AD2" s="109"/>
      <c r="AE2" s="110">
        <v>0.77316608444316404</v>
      </c>
      <c r="AF2" s="111">
        <v>0.22683391555683602</v>
      </c>
      <c r="AG2" s="72"/>
      <c r="AH2" s="109"/>
      <c r="AI2" s="110">
        <v>0.77316608444316404</v>
      </c>
      <c r="AJ2" s="111">
        <v>0.22683391555683602</v>
      </c>
      <c r="AK2" s="72"/>
      <c r="AL2" s="109"/>
      <c r="AM2" s="110">
        <v>0.85422738957607447</v>
      </c>
      <c r="AN2" s="111">
        <v>0.14577261042392556</v>
      </c>
      <c r="AO2" s="72"/>
      <c r="AP2" s="109"/>
      <c r="AQ2" s="110">
        <v>0.85422738957607447</v>
      </c>
      <c r="AR2" s="111">
        <v>0.14577261042392556</v>
      </c>
      <c r="AS2" s="72"/>
      <c r="AT2" s="109"/>
      <c r="AU2" s="110">
        <v>0.85422738957607447</v>
      </c>
      <c r="AV2" s="111">
        <v>0.14577261042392556</v>
      </c>
      <c r="AW2" s="72"/>
      <c r="AY2" s="97"/>
    </row>
    <row r="3" spans="1:16384" x14ac:dyDescent="0.3">
      <c r="B3" s="34" t="s">
        <v>395</v>
      </c>
      <c r="E3" s="34"/>
      <c r="F3" s="33"/>
      <c r="G3" s="32">
        <v>0.6462</v>
      </c>
      <c r="H3" s="31">
        <v>0.3538</v>
      </c>
      <c r="I3" s="66"/>
      <c r="J3" s="33"/>
      <c r="K3" s="32">
        <v>0.64790000000000003</v>
      </c>
      <c r="L3" s="31">
        <v>0.35210000000000002</v>
      </c>
      <c r="M3" s="66"/>
      <c r="N3" s="33"/>
      <c r="O3" s="32">
        <v>0.66510000000000002</v>
      </c>
      <c r="P3" s="31">
        <v>0.33489999999999998</v>
      </c>
      <c r="Q3" s="66"/>
      <c r="R3" s="33"/>
      <c r="S3" s="32">
        <v>0.65949999999999998</v>
      </c>
      <c r="T3" s="31">
        <v>0.34050000000000002</v>
      </c>
      <c r="U3" s="72"/>
      <c r="V3" s="33"/>
      <c r="W3" s="32">
        <v>0.67110000000000003</v>
      </c>
      <c r="X3" s="31">
        <v>0.32890000000000003</v>
      </c>
      <c r="Y3" s="72"/>
      <c r="Z3" s="33"/>
      <c r="AA3" s="32">
        <v>0.67979999999999996</v>
      </c>
      <c r="AB3" s="31">
        <v>0.32019999999999998</v>
      </c>
      <c r="AC3" s="72"/>
      <c r="AD3" s="33"/>
      <c r="AE3" s="32">
        <v>0.6855</v>
      </c>
      <c r="AF3" s="31">
        <v>0.3145</v>
      </c>
      <c r="AG3" s="72"/>
      <c r="AH3" s="33"/>
      <c r="AI3" s="32">
        <v>0.68410000000000004</v>
      </c>
      <c r="AJ3" s="31">
        <v>0.31590000000000001</v>
      </c>
      <c r="AK3" s="72"/>
      <c r="AL3" s="33"/>
      <c r="AM3" s="32">
        <v>0.66769999999999996</v>
      </c>
      <c r="AN3" s="31">
        <v>0.33229999999999998</v>
      </c>
      <c r="AO3" s="72"/>
      <c r="AP3" s="33"/>
      <c r="AQ3" s="32">
        <v>0.65590000000000004</v>
      </c>
      <c r="AR3" s="31">
        <v>0.34410000000000002</v>
      </c>
      <c r="AS3" s="72"/>
      <c r="AT3" s="33"/>
      <c r="AU3" s="32">
        <v>0.66190000000000004</v>
      </c>
      <c r="AV3" s="31">
        <v>0.33810000000000001</v>
      </c>
      <c r="AW3" s="72"/>
      <c r="AY3" s="97"/>
    </row>
    <row r="4" spans="1:16384" x14ac:dyDescent="0.3">
      <c r="C4" s="64" t="s">
        <v>52</v>
      </c>
      <c r="D4" s="64" t="s">
        <v>236</v>
      </c>
      <c r="E4" s="64"/>
      <c r="F4" s="282" t="s">
        <v>396</v>
      </c>
      <c r="G4" s="22"/>
      <c r="H4" s="283"/>
      <c r="J4" s="282" t="s">
        <v>397</v>
      </c>
      <c r="K4" s="22"/>
      <c r="L4" s="283"/>
      <c r="N4" s="282" t="s">
        <v>398</v>
      </c>
      <c r="O4" s="22"/>
      <c r="P4" s="283"/>
      <c r="R4" s="282" t="s">
        <v>399</v>
      </c>
      <c r="S4" s="22"/>
      <c r="T4" s="283"/>
      <c r="V4" s="282" t="s">
        <v>400</v>
      </c>
      <c r="W4" s="22"/>
      <c r="X4" s="283"/>
      <c r="Z4" s="282" t="s">
        <v>401</v>
      </c>
      <c r="AA4" s="22"/>
      <c r="AB4" s="283"/>
      <c r="AD4" s="282" t="s">
        <v>402</v>
      </c>
      <c r="AE4" s="22"/>
      <c r="AF4" s="283"/>
      <c r="AH4" s="282" t="s">
        <v>403</v>
      </c>
      <c r="AI4" s="22"/>
      <c r="AJ4" s="283"/>
      <c r="AL4" s="282" t="s">
        <v>404</v>
      </c>
      <c r="AM4" s="22"/>
      <c r="AN4" s="283"/>
      <c r="AP4" s="282" t="s">
        <v>405</v>
      </c>
      <c r="AQ4" s="22"/>
      <c r="AR4" s="283"/>
      <c r="AT4" s="282" t="s">
        <v>406</v>
      </c>
      <c r="AU4" s="22"/>
      <c r="AV4" s="283"/>
      <c r="AY4" s="97"/>
    </row>
    <row r="5" spans="1:16384" x14ac:dyDescent="0.3">
      <c r="A5" s="44" t="s">
        <v>407</v>
      </c>
      <c r="B5" s="44" t="s">
        <v>408</v>
      </c>
      <c r="C5" s="44" t="s">
        <v>210</v>
      </c>
      <c r="D5" s="44" t="s">
        <v>409</v>
      </c>
      <c r="E5" s="44" t="s">
        <v>410</v>
      </c>
      <c r="F5" s="113" t="s">
        <v>0</v>
      </c>
      <c r="G5" s="44" t="s">
        <v>8</v>
      </c>
      <c r="H5" s="114" t="s">
        <v>10</v>
      </c>
      <c r="J5" s="113" t="s">
        <v>0</v>
      </c>
      <c r="K5" s="44" t="s">
        <v>8</v>
      </c>
      <c r="L5" s="114" t="s">
        <v>10</v>
      </c>
      <c r="N5" s="113" t="s">
        <v>0</v>
      </c>
      <c r="O5" s="44" t="s">
        <v>8</v>
      </c>
      <c r="P5" s="114" t="s">
        <v>10</v>
      </c>
      <c r="R5" s="113" t="s">
        <v>0</v>
      </c>
      <c r="S5" s="44" t="s">
        <v>8</v>
      </c>
      <c r="T5" s="114" t="s">
        <v>10</v>
      </c>
      <c r="V5" s="113" t="s">
        <v>0</v>
      </c>
      <c r="W5" s="44" t="s">
        <v>8</v>
      </c>
      <c r="X5" s="114" t="s">
        <v>10</v>
      </c>
      <c r="Z5" s="113" t="s">
        <v>0</v>
      </c>
      <c r="AA5" s="44" t="s">
        <v>8</v>
      </c>
      <c r="AB5" s="114" t="s">
        <v>10</v>
      </c>
      <c r="AD5" s="113" t="s">
        <v>0</v>
      </c>
      <c r="AE5" s="44" t="s">
        <v>8</v>
      </c>
      <c r="AF5" s="114" t="s">
        <v>10</v>
      </c>
      <c r="AH5" s="113" t="s">
        <v>0</v>
      </c>
      <c r="AI5" s="44" t="s">
        <v>8</v>
      </c>
      <c r="AJ5" s="114" t="s">
        <v>10</v>
      </c>
      <c r="AL5" s="113" t="s">
        <v>0</v>
      </c>
      <c r="AM5" s="44" t="s">
        <v>8</v>
      </c>
      <c r="AN5" s="114" t="s">
        <v>10</v>
      </c>
      <c r="AP5" s="113" t="s">
        <v>0</v>
      </c>
      <c r="AQ5" s="44" t="s">
        <v>8</v>
      </c>
      <c r="AR5" s="114" t="s">
        <v>10</v>
      </c>
      <c r="AT5" s="113" t="s">
        <v>0</v>
      </c>
      <c r="AU5" s="44" t="s">
        <v>8</v>
      </c>
      <c r="AV5" s="114" t="s">
        <v>10</v>
      </c>
      <c r="AY5" s="97"/>
    </row>
    <row r="6" spans="1:16384" outlineLevel="1" x14ac:dyDescent="0.3">
      <c r="A6" s="15">
        <v>18601052</v>
      </c>
      <c r="B6" s="15" t="s">
        <v>411</v>
      </c>
      <c r="C6" s="24">
        <v>10</v>
      </c>
      <c r="D6" s="24" t="s">
        <v>412</v>
      </c>
      <c r="E6" s="24" t="s">
        <v>216</v>
      </c>
      <c r="F6" s="115">
        <v>1822432.9166666667</v>
      </c>
      <c r="G6" s="29"/>
      <c r="H6" s="116">
        <f>F6</f>
        <v>1822432.9166666667</v>
      </c>
      <c r="I6" s="16"/>
      <c r="J6" s="115">
        <v>2909508.875</v>
      </c>
      <c r="K6" s="29"/>
      <c r="L6" s="116">
        <f>J6</f>
        <v>2909508.875</v>
      </c>
      <c r="M6" s="16"/>
      <c r="N6" s="115"/>
      <c r="O6" s="29"/>
      <c r="P6" s="116">
        <f>N6</f>
        <v>0</v>
      </c>
      <c r="Q6" s="16"/>
      <c r="R6" s="115"/>
      <c r="S6" s="29"/>
      <c r="T6" s="116">
        <f>R6</f>
        <v>0</v>
      </c>
      <c r="U6" s="174"/>
      <c r="V6" s="115"/>
      <c r="W6" s="29"/>
      <c r="X6" s="116">
        <f>V6</f>
        <v>0</v>
      </c>
      <c r="Y6" s="174"/>
      <c r="Z6" s="115"/>
      <c r="AA6" s="29"/>
      <c r="AB6" s="116">
        <f>Z6</f>
        <v>0</v>
      </c>
      <c r="AC6" s="174"/>
      <c r="AD6" s="115"/>
      <c r="AE6" s="29"/>
      <c r="AF6" s="116">
        <f>AD6</f>
        <v>0</v>
      </c>
      <c r="AG6" s="174"/>
      <c r="AH6" s="115"/>
      <c r="AI6" s="29"/>
      <c r="AJ6" s="116">
        <f>AH6</f>
        <v>0</v>
      </c>
      <c r="AK6" s="174"/>
      <c r="AL6" s="115"/>
      <c r="AM6" s="29"/>
      <c r="AN6" s="116">
        <f>AL6</f>
        <v>0</v>
      </c>
      <c r="AO6" s="174"/>
      <c r="AP6" s="115"/>
      <c r="AQ6" s="29"/>
      <c r="AR6" s="116">
        <f>AP6</f>
        <v>0</v>
      </c>
      <c r="AS6" s="174"/>
      <c r="AT6" s="115"/>
      <c r="AU6" s="29"/>
      <c r="AV6" s="116">
        <f>AT6</f>
        <v>0</v>
      </c>
      <c r="AW6" s="174"/>
      <c r="AY6" s="97"/>
    </row>
    <row r="7" spans="1:16384" outlineLevel="1" x14ac:dyDescent="0.3">
      <c r="A7" s="15">
        <v>19000012</v>
      </c>
      <c r="B7" s="15" t="s">
        <v>413</v>
      </c>
      <c r="C7" s="24">
        <v>10</v>
      </c>
      <c r="D7" s="24" t="s">
        <v>412</v>
      </c>
      <c r="E7" s="24" t="s">
        <v>216</v>
      </c>
      <c r="F7" s="117">
        <v>0</v>
      </c>
      <c r="G7" s="94"/>
      <c r="H7" s="118">
        <f>F7</f>
        <v>0</v>
      </c>
      <c r="I7" s="35"/>
      <c r="J7" s="117">
        <v>0</v>
      </c>
      <c r="K7" s="94"/>
      <c r="L7" s="118">
        <f>J7</f>
        <v>0</v>
      </c>
      <c r="M7" s="35"/>
      <c r="N7" s="117">
        <v>0</v>
      </c>
      <c r="O7" s="94"/>
      <c r="P7" s="118">
        <f>N7</f>
        <v>0</v>
      </c>
      <c r="Q7" s="35"/>
      <c r="R7" s="117"/>
      <c r="S7" s="94"/>
      <c r="T7" s="118">
        <f>R7</f>
        <v>0</v>
      </c>
      <c r="U7" s="284"/>
      <c r="V7" s="117"/>
      <c r="W7" s="94"/>
      <c r="X7" s="118">
        <f>V7</f>
        <v>0</v>
      </c>
      <c r="Y7" s="284"/>
      <c r="Z7" s="117"/>
      <c r="AA7" s="94"/>
      <c r="AB7" s="118">
        <f>Z7</f>
        <v>0</v>
      </c>
      <c r="AC7" s="284"/>
      <c r="AD7" s="117"/>
      <c r="AE7" s="94"/>
      <c r="AF7" s="118">
        <f>AD7</f>
        <v>0</v>
      </c>
      <c r="AG7" s="284"/>
      <c r="AH7" s="117"/>
      <c r="AI7" s="94"/>
      <c r="AJ7" s="118">
        <f>AH7</f>
        <v>0</v>
      </c>
      <c r="AK7" s="284"/>
      <c r="AL7" s="117"/>
      <c r="AM7" s="94"/>
      <c r="AN7" s="118">
        <f>AL7</f>
        <v>0</v>
      </c>
      <c r="AO7" s="284"/>
      <c r="AP7" s="117"/>
      <c r="AQ7" s="94"/>
      <c r="AR7" s="118">
        <f>AP7</f>
        <v>0</v>
      </c>
      <c r="AS7" s="284"/>
      <c r="AT7" s="117"/>
      <c r="AU7" s="94"/>
      <c r="AV7" s="118">
        <f>AT7</f>
        <v>0</v>
      </c>
      <c r="AW7" s="284"/>
    </row>
    <row r="8" spans="1:16384" outlineLevel="1" x14ac:dyDescent="0.3">
      <c r="A8" s="15">
        <v>19000021</v>
      </c>
      <c r="B8" s="15" t="s">
        <v>414</v>
      </c>
      <c r="C8" s="24" t="s">
        <v>415</v>
      </c>
      <c r="D8" s="24" t="s">
        <v>412</v>
      </c>
      <c r="E8" s="24" t="s">
        <v>215</v>
      </c>
      <c r="F8" s="117">
        <v>1911583.3333333333</v>
      </c>
      <c r="G8" s="94">
        <f>F8</f>
        <v>1911583.3333333333</v>
      </c>
      <c r="H8" s="118"/>
      <c r="I8" s="35"/>
      <c r="J8" s="117">
        <v>2424666.6666666665</v>
      </c>
      <c r="K8" s="94">
        <f>J8</f>
        <v>2424666.6666666665</v>
      </c>
      <c r="L8" s="118"/>
      <c r="M8" s="35"/>
      <c r="N8" s="117">
        <v>510416.66666666669</v>
      </c>
      <c r="O8" s="94">
        <f>N8</f>
        <v>510416.66666666669</v>
      </c>
      <c r="P8" s="118"/>
      <c r="Q8" s="35"/>
      <c r="R8" s="117">
        <v>0</v>
      </c>
      <c r="S8" s="94">
        <f>R8</f>
        <v>0</v>
      </c>
      <c r="T8" s="118"/>
      <c r="U8" s="284"/>
      <c r="V8" s="117">
        <v>0</v>
      </c>
      <c r="W8" s="94">
        <f>V8</f>
        <v>0</v>
      </c>
      <c r="X8" s="118"/>
      <c r="Y8" s="284"/>
      <c r="Z8" s="117">
        <v>0</v>
      </c>
      <c r="AA8" s="94">
        <f>Z8</f>
        <v>0</v>
      </c>
      <c r="AB8" s="118"/>
      <c r="AC8" s="284"/>
      <c r="AD8" s="117"/>
      <c r="AE8" s="94">
        <f>AD8</f>
        <v>0</v>
      </c>
      <c r="AF8" s="118"/>
      <c r="AG8" s="284"/>
      <c r="AH8" s="117"/>
      <c r="AI8" s="94">
        <f>AH8</f>
        <v>0</v>
      </c>
      <c r="AJ8" s="118"/>
      <c r="AK8" s="284"/>
      <c r="AL8" s="117"/>
      <c r="AM8" s="94">
        <f>AL8</f>
        <v>0</v>
      </c>
      <c r="AN8" s="118"/>
      <c r="AO8" s="284"/>
      <c r="AP8" s="117"/>
      <c r="AQ8" s="94">
        <f>AP8</f>
        <v>0</v>
      </c>
      <c r="AR8" s="118"/>
      <c r="AS8" s="284"/>
      <c r="AT8" s="117"/>
      <c r="AU8" s="94">
        <f>AT8</f>
        <v>0</v>
      </c>
      <c r="AV8" s="118"/>
      <c r="AW8" s="284"/>
    </row>
    <row r="9" spans="1:16384" outlineLevel="1" x14ac:dyDescent="0.3">
      <c r="A9" s="15">
        <v>19000041</v>
      </c>
      <c r="B9" s="15" t="s">
        <v>416</v>
      </c>
      <c r="C9" s="24">
        <v>23</v>
      </c>
      <c r="D9" s="24" t="s">
        <v>412</v>
      </c>
      <c r="E9" s="24" t="s">
        <v>215</v>
      </c>
      <c r="F9" s="117">
        <v>10957.58</v>
      </c>
      <c r="G9" s="94">
        <f>F9</f>
        <v>10957.58</v>
      </c>
      <c r="H9" s="118"/>
      <c r="I9" s="35"/>
      <c r="J9" s="117">
        <v>7761.6191666666664</v>
      </c>
      <c r="K9" s="94">
        <f>J9</f>
        <v>7761.6191666666664</v>
      </c>
      <c r="L9" s="118"/>
      <c r="M9" s="35"/>
      <c r="N9" s="117"/>
      <c r="O9" s="94">
        <f>N9</f>
        <v>0</v>
      </c>
      <c r="P9" s="118"/>
      <c r="Q9" s="35"/>
      <c r="R9" s="117"/>
      <c r="S9" s="94">
        <f>R9</f>
        <v>0</v>
      </c>
      <c r="T9" s="118"/>
      <c r="U9" s="284"/>
      <c r="V9" s="117"/>
      <c r="W9" s="94">
        <f>V9</f>
        <v>0</v>
      </c>
      <c r="X9" s="118"/>
      <c r="Y9" s="284"/>
      <c r="Z9" s="117"/>
      <c r="AA9" s="94">
        <f>Z9</f>
        <v>0</v>
      </c>
      <c r="AB9" s="118"/>
      <c r="AC9" s="284"/>
      <c r="AD9" s="117"/>
      <c r="AE9" s="94">
        <f>AD9</f>
        <v>0</v>
      </c>
      <c r="AF9" s="118"/>
      <c r="AG9" s="284"/>
      <c r="AH9" s="117"/>
      <c r="AI9" s="94">
        <f>AH9</f>
        <v>0</v>
      </c>
      <c r="AJ9" s="118"/>
      <c r="AK9" s="284"/>
      <c r="AL9" s="117"/>
      <c r="AM9" s="94">
        <f>AL9</f>
        <v>0</v>
      </c>
      <c r="AN9" s="118"/>
      <c r="AO9" s="284"/>
      <c r="AP9" s="117"/>
      <c r="AQ9" s="94">
        <f>AP9</f>
        <v>0</v>
      </c>
      <c r="AR9" s="118"/>
      <c r="AS9" s="284"/>
      <c r="AT9" s="117"/>
      <c r="AU9" s="94">
        <f>AT9</f>
        <v>0</v>
      </c>
      <c r="AV9" s="118"/>
      <c r="AW9" s="284"/>
    </row>
    <row r="10" spans="1:16384" outlineLevel="1" x14ac:dyDescent="0.3">
      <c r="A10" s="15">
        <v>19000051</v>
      </c>
      <c r="B10" s="15" t="s">
        <v>417</v>
      </c>
      <c r="C10" s="24">
        <v>24</v>
      </c>
      <c r="D10" s="24" t="s">
        <v>412</v>
      </c>
      <c r="E10" s="24" t="s">
        <v>215</v>
      </c>
      <c r="F10" s="117">
        <v>0</v>
      </c>
      <c r="G10" s="94">
        <f>F10</f>
        <v>0</v>
      </c>
      <c r="H10" s="118"/>
      <c r="I10" s="35"/>
      <c r="J10" s="117">
        <v>0</v>
      </c>
      <c r="K10" s="94">
        <f>J10</f>
        <v>0</v>
      </c>
      <c r="L10" s="118"/>
      <c r="M10" s="35"/>
      <c r="N10" s="117"/>
      <c r="O10" s="94">
        <f>N10</f>
        <v>0</v>
      </c>
      <c r="P10" s="118"/>
      <c r="Q10" s="35"/>
      <c r="R10" s="117"/>
      <c r="S10" s="94">
        <f>R10</f>
        <v>0</v>
      </c>
      <c r="T10" s="118"/>
      <c r="U10" s="284"/>
      <c r="V10" s="117"/>
      <c r="W10" s="94">
        <f>V10</f>
        <v>0</v>
      </c>
      <c r="X10" s="118"/>
      <c r="Y10" s="284"/>
      <c r="Z10" s="117"/>
      <c r="AA10" s="94">
        <f>Z10</f>
        <v>0</v>
      </c>
      <c r="AB10" s="118"/>
      <c r="AC10" s="284"/>
      <c r="AD10" s="117"/>
      <c r="AE10" s="94">
        <f>AD10</f>
        <v>0</v>
      </c>
      <c r="AF10" s="118"/>
      <c r="AG10" s="284"/>
      <c r="AH10" s="117"/>
      <c r="AI10" s="94">
        <f>AH10</f>
        <v>0</v>
      </c>
      <c r="AJ10" s="118"/>
      <c r="AK10" s="284"/>
      <c r="AL10" s="117"/>
      <c r="AM10" s="94">
        <f>AL10</f>
        <v>0</v>
      </c>
      <c r="AN10" s="118"/>
      <c r="AO10" s="284"/>
      <c r="AP10" s="117"/>
      <c r="AQ10" s="94">
        <f>AP10</f>
        <v>0</v>
      </c>
      <c r="AR10" s="118"/>
      <c r="AS10" s="284"/>
      <c r="AT10" s="117"/>
      <c r="AU10" s="94">
        <f>AT10</f>
        <v>0</v>
      </c>
      <c r="AV10" s="118"/>
      <c r="AW10" s="284"/>
    </row>
    <row r="11" spans="1:16384" outlineLevel="1" x14ac:dyDescent="0.3">
      <c r="A11" s="15">
        <v>19000061</v>
      </c>
      <c r="B11" s="15" t="s">
        <v>418</v>
      </c>
      <c r="C11" s="24">
        <v>25</v>
      </c>
      <c r="D11" s="24" t="s">
        <v>412</v>
      </c>
      <c r="E11" s="24" t="s">
        <v>215</v>
      </c>
      <c r="F11" s="117">
        <v>78708748.666666672</v>
      </c>
      <c r="G11" s="94">
        <f>F11</f>
        <v>78708748.666666672</v>
      </c>
      <c r="H11" s="118"/>
      <c r="I11" s="35"/>
      <c r="J11" s="117">
        <v>87313528.375</v>
      </c>
      <c r="K11" s="94">
        <f>J11</f>
        <v>87313528.375</v>
      </c>
      <c r="L11" s="118"/>
      <c r="M11" s="35"/>
      <c r="N11" s="117">
        <v>91760556.375</v>
      </c>
      <c r="O11" s="94">
        <f>N11</f>
        <v>91760556.375</v>
      </c>
      <c r="P11" s="118"/>
      <c r="Q11" s="35"/>
      <c r="R11" s="117">
        <v>92974494.583333328</v>
      </c>
      <c r="S11" s="94">
        <f>R11</f>
        <v>92974494.583333328</v>
      </c>
      <c r="T11" s="118"/>
      <c r="U11" s="284"/>
      <c r="V11" s="117">
        <v>56268.333333333336</v>
      </c>
      <c r="W11" s="94">
        <f>V11</f>
        <v>56268.333333333336</v>
      </c>
      <c r="X11" s="118"/>
      <c r="Y11" s="284"/>
      <c r="Z11" s="117"/>
      <c r="AA11" s="94">
        <f>Z11</f>
        <v>0</v>
      </c>
      <c r="AB11" s="118"/>
      <c r="AC11" s="284"/>
      <c r="AD11" s="117"/>
      <c r="AE11" s="94">
        <f>AD11</f>
        <v>0</v>
      </c>
      <c r="AF11" s="118"/>
      <c r="AG11" s="284"/>
      <c r="AH11" s="117"/>
      <c r="AI11" s="94">
        <f>AH11</f>
        <v>0</v>
      </c>
      <c r="AJ11" s="118"/>
      <c r="AK11" s="284"/>
      <c r="AL11" s="117"/>
      <c r="AM11" s="94">
        <f>AL11</f>
        <v>0</v>
      </c>
      <c r="AN11" s="118"/>
      <c r="AO11" s="284"/>
      <c r="AP11" s="117"/>
      <c r="AQ11" s="94">
        <f>AP11</f>
        <v>0</v>
      </c>
      <c r="AR11" s="118"/>
      <c r="AS11" s="284"/>
      <c r="AT11" s="117"/>
      <c r="AU11" s="94">
        <f>AT11</f>
        <v>0</v>
      </c>
      <c r="AV11" s="118"/>
      <c r="AW11" s="284"/>
    </row>
    <row r="12" spans="1:16384" outlineLevel="1" x14ac:dyDescent="0.3">
      <c r="A12" s="15">
        <v>19000112</v>
      </c>
      <c r="B12" s="15" t="s">
        <v>419</v>
      </c>
      <c r="C12" s="24">
        <v>10</v>
      </c>
      <c r="D12" s="24" t="s">
        <v>412</v>
      </c>
      <c r="E12" s="24" t="s">
        <v>216</v>
      </c>
      <c r="F12" s="117">
        <v>0</v>
      </c>
      <c r="G12" s="94"/>
      <c r="H12" s="118">
        <f>F12</f>
        <v>0</v>
      </c>
      <c r="I12" s="35"/>
      <c r="J12" s="117">
        <v>0</v>
      </c>
      <c r="K12" s="94"/>
      <c r="L12" s="118">
        <f>J12</f>
        <v>0</v>
      </c>
      <c r="M12" s="35"/>
      <c r="N12" s="117">
        <v>81463.791666666672</v>
      </c>
      <c r="O12" s="94"/>
      <c r="P12" s="118">
        <f>N12</f>
        <v>81463.791666666672</v>
      </c>
      <c r="Q12" s="35"/>
      <c r="R12" s="117">
        <v>91211.208333333328</v>
      </c>
      <c r="S12" s="94"/>
      <c r="T12" s="118">
        <f>R12</f>
        <v>91211.208333333328</v>
      </c>
      <c r="U12" s="284"/>
      <c r="V12" s="117">
        <v>78978.735416666663</v>
      </c>
      <c r="W12" s="94"/>
      <c r="X12" s="118">
        <f>V12</f>
        <v>78978.735416666663</v>
      </c>
      <c r="Y12" s="284"/>
      <c r="Z12" s="117">
        <v>66121.41750000001</v>
      </c>
      <c r="AA12" s="94"/>
      <c r="AB12" s="118">
        <f>Z12</f>
        <v>66121.41750000001</v>
      </c>
      <c r="AC12" s="284"/>
      <c r="AD12" s="117">
        <v>53526.877500000002</v>
      </c>
      <c r="AE12" s="94"/>
      <c r="AF12" s="118">
        <f>AD12</f>
        <v>53526.877500000002</v>
      </c>
      <c r="AG12" s="284"/>
      <c r="AH12" s="117">
        <v>40932.337499999994</v>
      </c>
      <c r="AI12" s="94"/>
      <c r="AJ12" s="118">
        <f>AH12</f>
        <v>40932.337499999994</v>
      </c>
      <c r="AK12" s="284"/>
      <c r="AL12" s="117">
        <v>28337.797499999997</v>
      </c>
      <c r="AM12" s="94"/>
      <c r="AN12" s="118">
        <f>AL12</f>
        <v>28337.797499999997</v>
      </c>
      <c r="AO12" s="284"/>
      <c r="AP12" s="117">
        <v>15743.2575</v>
      </c>
      <c r="AQ12" s="94"/>
      <c r="AR12" s="118">
        <f>AP12</f>
        <v>15743.2575</v>
      </c>
      <c r="AS12" s="284"/>
      <c r="AT12" s="117">
        <v>-148796.21916666671</v>
      </c>
      <c r="AU12" s="94"/>
      <c r="AV12" s="118">
        <f>AT12</f>
        <v>-148796.21916666671</v>
      </c>
      <c r="AW12" s="284"/>
    </row>
    <row r="13" spans="1:16384" outlineLevel="1" x14ac:dyDescent="0.3">
      <c r="A13" s="15">
        <v>19000113</v>
      </c>
      <c r="B13" s="15" t="s">
        <v>420</v>
      </c>
      <c r="C13" s="24" t="s">
        <v>421</v>
      </c>
      <c r="D13" s="24" t="s">
        <v>412</v>
      </c>
      <c r="E13" s="24" t="s">
        <v>422</v>
      </c>
      <c r="F13" s="117"/>
      <c r="G13" s="94"/>
      <c r="H13" s="118"/>
      <c r="I13" s="35"/>
      <c r="J13" s="117"/>
      <c r="K13" s="94"/>
      <c r="L13" s="118"/>
      <c r="M13" s="35"/>
      <c r="N13" s="117"/>
      <c r="O13" s="94"/>
      <c r="P13" s="118"/>
      <c r="Q13" s="35"/>
      <c r="R13" s="117"/>
      <c r="S13" s="94"/>
      <c r="T13" s="118"/>
      <c r="U13" s="284"/>
      <c r="V13" s="117"/>
      <c r="W13" s="94"/>
      <c r="X13" s="118"/>
      <c r="Y13" s="284"/>
      <c r="Z13" s="117"/>
      <c r="AA13" s="94"/>
      <c r="AB13" s="118"/>
      <c r="AC13" s="284"/>
      <c r="AD13" s="117"/>
      <c r="AE13" s="94"/>
      <c r="AF13" s="118"/>
      <c r="AG13" s="284"/>
      <c r="AH13" s="117"/>
      <c r="AI13" s="94"/>
      <c r="AJ13" s="118"/>
      <c r="AK13" s="284"/>
      <c r="AL13" s="117"/>
      <c r="AM13" s="94"/>
      <c r="AN13" s="118"/>
      <c r="AO13" s="284"/>
      <c r="AP13" s="117"/>
      <c r="AQ13" s="94"/>
      <c r="AR13" s="118"/>
      <c r="AS13" s="284"/>
      <c r="AT13" s="117">
        <v>81732.585416666669</v>
      </c>
      <c r="AU13" s="94">
        <f>AT13*$AU$3</f>
        <v>54098.798287291669</v>
      </c>
      <c r="AV13" s="118">
        <f>AT13*$AV$3</f>
        <v>27633.787129375003</v>
      </c>
      <c r="AW13" s="284"/>
    </row>
    <row r="14" spans="1:16384" outlineLevel="1" x14ac:dyDescent="0.3">
      <c r="A14" s="15">
        <v>19000121</v>
      </c>
      <c r="B14" s="15" t="s">
        <v>423</v>
      </c>
      <c r="C14" s="24" t="s">
        <v>424</v>
      </c>
      <c r="D14" s="24" t="s">
        <v>412</v>
      </c>
      <c r="E14" s="24" t="s">
        <v>215</v>
      </c>
      <c r="F14" s="117">
        <v>120250</v>
      </c>
      <c r="G14" s="94">
        <f>F14</f>
        <v>120250</v>
      </c>
      <c r="H14" s="118"/>
      <c r="I14" s="35"/>
      <c r="J14" s="117">
        <v>0</v>
      </c>
      <c r="K14" s="94">
        <f>J14</f>
        <v>0</v>
      </c>
      <c r="L14" s="118"/>
      <c r="M14" s="35"/>
      <c r="N14" s="117"/>
      <c r="O14" s="94">
        <f>N14</f>
        <v>0</v>
      </c>
      <c r="P14" s="118"/>
      <c r="Q14" s="35"/>
      <c r="R14" s="117"/>
      <c r="S14" s="94">
        <f>R14</f>
        <v>0</v>
      </c>
      <c r="T14" s="118"/>
      <c r="U14" s="284"/>
      <c r="V14" s="117"/>
      <c r="W14" s="94">
        <f>V14</f>
        <v>0</v>
      </c>
      <c r="X14" s="118"/>
      <c r="Y14" s="284"/>
      <c r="Z14" s="117"/>
      <c r="AA14" s="94">
        <f>Z14</f>
        <v>0</v>
      </c>
      <c r="AB14" s="118"/>
      <c r="AC14" s="284"/>
      <c r="AD14" s="117"/>
      <c r="AE14" s="94">
        <f>AD14</f>
        <v>0</v>
      </c>
      <c r="AF14" s="118"/>
      <c r="AG14" s="284"/>
      <c r="AH14" s="117"/>
      <c r="AI14" s="94">
        <f>AH14</f>
        <v>0</v>
      </c>
      <c r="AJ14" s="118"/>
      <c r="AK14" s="284"/>
      <c r="AL14" s="117"/>
      <c r="AM14" s="94">
        <f>AL14</f>
        <v>0</v>
      </c>
      <c r="AN14" s="118"/>
      <c r="AO14" s="284"/>
      <c r="AP14" s="117"/>
      <c r="AQ14" s="94">
        <f>AP14</f>
        <v>0</v>
      </c>
      <c r="AR14" s="118"/>
      <c r="AS14" s="284"/>
      <c r="AT14" s="117"/>
      <c r="AU14" s="94">
        <f>AT14</f>
        <v>0</v>
      </c>
      <c r="AV14" s="118"/>
      <c r="AW14" s="284"/>
    </row>
    <row r="15" spans="1:16384" outlineLevel="1" x14ac:dyDescent="0.3">
      <c r="A15" s="15">
        <v>19000151</v>
      </c>
      <c r="B15" s="15" t="s">
        <v>425</v>
      </c>
      <c r="C15" s="24" t="s">
        <v>426</v>
      </c>
      <c r="D15" s="24" t="s">
        <v>412</v>
      </c>
      <c r="E15" s="24" t="s">
        <v>215</v>
      </c>
      <c r="F15" s="117">
        <v>51458.333333333336</v>
      </c>
      <c r="G15" s="94">
        <f>F15</f>
        <v>51458.333333333336</v>
      </c>
      <c r="H15" s="118"/>
      <c r="I15" s="35"/>
      <c r="J15" s="117">
        <v>1235000</v>
      </c>
      <c r="K15" s="94">
        <f>J15</f>
        <v>1235000</v>
      </c>
      <c r="L15" s="118"/>
      <c r="M15" s="35"/>
      <c r="N15" s="117">
        <v>1168262.9166666667</v>
      </c>
      <c r="O15" s="94">
        <f>N15</f>
        <v>1168262.9166666667</v>
      </c>
      <c r="P15" s="118"/>
      <c r="Q15" s="35"/>
      <c r="R15" s="117">
        <v>1006249.7916666666</v>
      </c>
      <c r="S15" s="94">
        <f>R15</f>
        <v>1006249.7916666666</v>
      </c>
      <c r="T15" s="118"/>
      <c r="U15" s="284"/>
      <c r="V15" s="117">
        <v>869310.60166666668</v>
      </c>
      <c r="W15" s="94">
        <f>V15</f>
        <v>869310.60166666668</v>
      </c>
      <c r="X15" s="118"/>
      <c r="Y15" s="284"/>
      <c r="Z15" s="117">
        <v>732050.11916666664</v>
      </c>
      <c r="AA15" s="94">
        <f>Z15</f>
        <v>732050.11916666664</v>
      </c>
      <c r="AB15" s="118"/>
      <c r="AC15" s="284"/>
      <c r="AD15" s="117">
        <v>594790.71916666662</v>
      </c>
      <c r="AE15" s="94">
        <f>AD15</f>
        <v>594790.71916666662</v>
      </c>
      <c r="AF15" s="118"/>
      <c r="AG15" s="284"/>
      <c r="AH15" s="117">
        <v>457531.31916666665</v>
      </c>
      <c r="AI15" s="94">
        <f>AH15</f>
        <v>457531.31916666665</v>
      </c>
      <c r="AJ15" s="118"/>
      <c r="AK15" s="284"/>
      <c r="AL15" s="117">
        <v>320271.91916666669</v>
      </c>
      <c r="AM15" s="94">
        <f>AL15</f>
        <v>320271.91916666669</v>
      </c>
      <c r="AN15" s="118"/>
      <c r="AO15" s="284"/>
      <c r="AP15" s="117">
        <v>183012.51916666667</v>
      </c>
      <c r="AQ15" s="94">
        <f>AP15</f>
        <v>183012.51916666667</v>
      </c>
      <c r="AR15" s="118"/>
      <c r="AS15" s="284"/>
      <c r="AT15" s="117">
        <v>74348.820000000007</v>
      </c>
      <c r="AU15" s="94">
        <f>AT15</f>
        <v>74348.820000000007</v>
      </c>
      <c r="AV15" s="118"/>
      <c r="AW15" s="284"/>
    </row>
    <row r="16" spans="1:16384" outlineLevel="1" x14ac:dyDescent="0.3">
      <c r="A16" s="15">
        <v>19000433</v>
      </c>
      <c r="B16" s="15" t="s">
        <v>427</v>
      </c>
      <c r="C16" s="24" t="s">
        <v>428</v>
      </c>
      <c r="D16" s="24" t="s">
        <v>412</v>
      </c>
      <c r="E16" s="24" t="s">
        <v>422</v>
      </c>
      <c r="F16" s="285"/>
      <c r="G16" s="286"/>
      <c r="H16" s="287"/>
      <c r="I16" s="288"/>
      <c r="J16" s="285"/>
      <c r="K16" s="286"/>
      <c r="L16" s="287"/>
      <c r="M16" s="288"/>
      <c r="N16" s="285">
        <v>41602054.46652054</v>
      </c>
      <c r="O16" s="286">
        <f>N16*$O$3</f>
        <v>27669526.425682813</v>
      </c>
      <c r="P16" s="287">
        <f>N16*$P$3</f>
        <v>13932528.040837727</v>
      </c>
      <c r="Q16" s="288"/>
      <c r="R16" s="285">
        <v>82713256.571666658</v>
      </c>
      <c r="S16" s="286">
        <v>45845192.142382838</v>
      </c>
      <c r="T16" s="287">
        <v>36513468.898720346</v>
      </c>
      <c r="U16" s="288"/>
      <c r="V16" s="285">
        <v>121874468.64</v>
      </c>
      <c r="W16" s="286">
        <v>69137519.683717743</v>
      </c>
      <c r="X16" s="287">
        <f>V16-W16</f>
        <v>52736948.956282258</v>
      </c>
      <c r="Y16" s="288"/>
      <c r="Z16" s="285">
        <v>131974893.15416665</v>
      </c>
      <c r="AA16" s="286">
        <v>103528813.64462931</v>
      </c>
      <c r="AB16" s="287">
        <f>Z16-AA16</f>
        <v>28446079.509537339</v>
      </c>
      <c r="AC16" s="288"/>
      <c r="AD16" s="285">
        <v>4462408.649166666</v>
      </c>
      <c r="AE16" s="286">
        <v>3361129.3642200809</v>
      </c>
      <c r="AF16" s="287">
        <f>AD16-AE16</f>
        <v>1101279.2849465851</v>
      </c>
      <c r="AG16" s="288"/>
      <c r="AH16" s="285">
        <v>-1180342.42875</v>
      </c>
      <c r="AI16" s="286">
        <v>-912600.73393877223</v>
      </c>
      <c r="AJ16" s="287">
        <f>AH16-AI16</f>
        <v>-267741.69481122773</v>
      </c>
      <c r="AK16" s="288"/>
      <c r="AL16" s="285"/>
      <c r="AM16" s="286"/>
      <c r="AN16" s="287">
        <f>AL16-AM16</f>
        <v>0</v>
      </c>
      <c r="AO16" s="288"/>
      <c r="AP16" s="285"/>
      <c r="AQ16" s="286"/>
      <c r="AR16" s="287"/>
      <c r="AS16" s="288"/>
      <c r="AT16" s="285"/>
      <c r="AU16" s="286"/>
      <c r="AV16" s="287"/>
      <c r="AW16" s="288"/>
      <c r="AX16" s="289"/>
      <c r="AY16" s="289"/>
      <c r="AZ16" s="289"/>
      <c r="BA16" s="289"/>
      <c r="BB16" s="289"/>
      <c r="BC16" s="289"/>
      <c r="BD16" s="289"/>
      <c r="BE16" s="289"/>
      <c r="BF16" s="289"/>
      <c r="BG16" s="289"/>
      <c r="BH16" s="289"/>
      <c r="BI16" s="289"/>
      <c r="BJ16" s="289"/>
      <c r="BK16" s="289"/>
      <c r="BL16" s="289"/>
      <c r="BM16" s="289"/>
      <c r="BN16" s="289"/>
      <c r="BO16" s="289"/>
      <c r="BP16" s="289"/>
      <c r="BQ16" s="289"/>
      <c r="BR16" s="289"/>
      <c r="BS16" s="289"/>
      <c r="BT16" s="289"/>
      <c r="BU16" s="289"/>
      <c r="BV16" s="289"/>
      <c r="BW16" s="289"/>
      <c r="BX16" s="289"/>
      <c r="BY16" s="289"/>
      <c r="BZ16" s="289"/>
      <c r="CA16" s="289"/>
      <c r="CB16" s="289"/>
      <c r="CC16" s="289"/>
      <c r="CD16" s="289"/>
      <c r="CE16" s="289"/>
      <c r="CF16" s="289"/>
      <c r="CG16" s="289"/>
      <c r="CH16" s="289"/>
      <c r="CI16" s="289"/>
      <c r="CJ16" s="289"/>
      <c r="CK16" s="289"/>
      <c r="CL16" s="289"/>
      <c r="CM16" s="289"/>
      <c r="CN16" s="289"/>
      <c r="CO16" s="289"/>
      <c r="CP16" s="289"/>
      <c r="CQ16" s="289"/>
      <c r="CR16" s="289"/>
      <c r="CS16" s="289"/>
      <c r="CT16" s="289"/>
      <c r="CU16" s="289"/>
      <c r="CV16" s="289"/>
      <c r="CW16" s="289"/>
      <c r="CX16" s="289"/>
      <c r="CY16" s="289"/>
      <c r="CZ16" s="289"/>
      <c r="DA16" s="289"/>
      <c r="DB16" s="289"/>
      <c r="DC16" s="289"/>
      <c r="DD16" s="289"/>
      <c r="DE16" s="289"/>
      <c r="DF16" s="289"/>
      <c r="DG16" s="289"/>
      <c r="DH16" s="289"/>
      <c r="DI16" s="289"/>
      <c r="DJ16" s="289"/>
      <c r="DK16" s="289"/>
      <c r="DL16" s="289"/>
      <c r="DM16" s="289"/>
      <c r="DN16" s="289"/>
      <c r="DO16" s="289"/>
      <c r="DP16" s="289"/>
      <c r="DQ16" s="289"/>
      <c r="DR16" s="289"/>
      <c r="DS16" s="289"/>
      <c r="DT16" s="289"/>
      <c r="DU16" s="289"/>
      <c r="DV16" s="289"/>
      <c r="DW16" s="289"/>
      <c r="DX16" s="289"/>
      <c r="DY16" s="289"/>
      <c r="DZ16" s="289"/>
      <c r="EA16" s="289"/>
      <c r="EB16" s="289"/>
      <c r="EC16" s="289"/>
      <c r="ED16" s="289"/>
      <c r="EE16" s="289"/>
      <c r="EF16" s="289"/>
      <c r="EG16" s="289"/>
      <c r="EH16" s="289"/>
      <c r="EI16" s="289"/>
      <c r="EJ16" s="289"/>
      <c r="EK16" s="289"/>
      <c r="EL16" s="289"/>
      <c r="EM16" s="289"/>
      <c r="EN16" s="289"/>
      <c r="EO16" s="289"/>
      <c r="EP16" s="289"/>
      <c r="EQ16" s="289"/>
      <c r="ER16" s="289"/>
      <c r="ES16" s="289"/>
      <c r="ET16" s="289"/>
      <c r="EU16" s="289"/>
      <c r="EV16" s="289"/>
      <c r="EW16" s="289"/>
      <c r="EX16" s="289"/>
      <c r="EY16" s="289"/>
      <c r="EZ16" s="289"/>
      <c r="FA16" s="289"/>
      <c r="FB16" s="289"/>
      <c r="FC16" s="289"/>
      <c r="FD16" s="289"/>
      <c r="FE16" s="289"/>
      <c r="FF16" s="289"/>
      <c r="FG16" s="289"/>
      <c r="FH16" s="289"/>
      <c r="FI16" s="289"/>
      <c r="FJ16" s="289"/>
      <c r="FK16" s="289"/>
      <c r="FL16" s="289"/>
      <c r="FM16" s="289"/>
      <c r="FN16" s="289"/>
      <c r="FO16" s="289"/>
      <c r="FP16" s="289"/>
      <c r="FQ16" s="289"/>
      <c r="FR16" s="289"/>
      <c r="FS16" s="289"/>
      <c r="FT16" s="289"/>
      <c r="FU16" s="289"/>
      <c r="FV16" s="289"/>
      <c r="FW16" s="289"/>
      <c r="FX16" s="289"/>
      <c r="FY16" s="289"/>
      <c r="FZ16" s="289"/>
      <c r="GA16" s="289"/>
      <c r="GB16" s="289"/>
      <c r="GC16" s="289"/>
      <c r="GD16" s="289"/>
      <c r="GE16" s="289"/>
      <c r="GF16" s="289"/>
      <c r="GG16" s="289"/>
      <c r="GH16" s="289"/>
      <c r="GI16" s="289"/>
      <c r="GJ16" s="289"/>
      <c r="GK16" s="289"/>
      <c r="GL16" s="289"/>
      <c r="GM16" s="289"/>
      <c r="GN16" s="289"/>
      <c r="GO16" s="289"/>
      <c r="GP16" s="289"/>
      <c r="GQ16" s="289"/>
      <c r="GR16" s="289"/>
      <c r="GS16" s="289"/>
      <c r="GT16" s="289"/>
      <c r="GU16" s="289"/>
      <c r="GV16" s="289"/>
      <c r="GW16" s="289"/>
      <c r="GX16" s="289"/>
      <c r="GY16" s="289"/>
      <c r="GZ16" s="289"/>
      <c r="HA16" s="289"/>
      <c r="HB16" s="289"/>
      <c r="HC16" s="289"/>
      <c r="HD16" s="289"/>
      <c r="HE16" s="289"/>
      <c r="HF16" s="289"/>
      <c r="HG16" s="289"/>
      <c r="HH16" s="289"/>
      <c r="HI16" s="289"/>
      <c r="HJ16" s="289"/>
      <c r="HK16" s="289"/>
      <c r="HL16" s="289"/>
      <c r="HM16" s="289"/>
      <c r="HN16" s="289"/>
      <c r="HO16" s="289"/>
      <c r="HP16" s="289"/>
      <c r="HQ16" s="289"/>
      <c r="HR16" s="289"/>
      <c r="HS16" s="289"/>
      <c r="HT16" s="289"/>
      <c r="HU16" s="289"/>
      <c r="HV16" s="289"/>
      <c r="HW16" s="289"/>
      <c r="HX16" s="289"/>
      <c r="HY16" s="289"/>
      <c r="HZ16" s="289"/>
      <c r="IA16" s="289"/>
      <c r="IB16" s="289"/>
      <c r="IC16" s="289"/>
      <c r="ID16" s="289"/>
      <c r="IE16" s="289"/>
      <c r="IF16" s="289"/>
      <c r="IG16" s="289"/>
      <c r="IH16" s="289"/>
      <c r="II16" s="289"/>
      <c r="IJ16" s="289"/>
      <c r="IK16" s="289"/>
      <c r="IL16" s="289"/>
      <c r="IM16" s="289"/>
      <c r="IN16" s="289"/>
      <c r="IO16" s="289"/>
      <c r="IP16" s="289"/>
      <c r="IQ16" s="289"/>
      <c r="IR16" s="289"/>
      <c r="IS16" s="289"/>
      <c r="IT16" s="289"/>
      <c r="IU16" s="289"/>
      <c r="IV16" s="289"/>
      <c r="IW16" s="289"/>
      <c r="IX16" s="289"/>
      <c r="IY16" s="289"/>
      <c r="IZ16" s="289"/>
      <c r="JA16" s="289"/>
      <c r="JB16" s="289"/>
      <c r="JC16" s="289"/>
      <c r="JD16" s="289"/>
      <c r="JE16" s="289"/>
      <c r="JF16" s="289"/>
      <c r="JG16" s="289"/>
      <c r="JH16" s="289"/>
      <c r="JI16" s="289"/>
      <c r="JJ16" s="289"/>
      <c r="JK16" s="289"/>
      <c r="JL16" s="289"/>
      <c r="JM16" s="289"/>
      <c r="JN16" s="289"/>
      <c r="JO16" s="289"/>
      <c r="JP16" s="289"/>
      <c r="JQ16" s="289"/>
      <c r="JR16" s="289"/>
      <c r="JS16" s="289"/>
      <c r="JT16" s="289"/>
      <c r="JU16" s="289"/>
      <c r="JV16" s="289"/>
      <c r="JW16" s="289"/>
      <c r="JX16" s="289"/>
      <c r="JY16" s="289"/>
      <c r="JZ16" s="289"/>
      <c r="KA16" s="289"/>
      <c r="KB16" s="289"/>
      <c r="KC16" s="289"/>
      <c r="KD16" s="289"/>
      <c r="KE16" s="289"/>
      <c r="KF16" s="289"/>
      <c r="KG16" s="289"/>
      <c r="KH16" s="289"/>
      <c r="KI16" s="289"/>
      <c r="KJ16" s="289"/>
      <c r="KK16" s="289"/>
      <c r="KL16" s="289"/>
      <c r="KM16" s="289"/>
      <c r="KN16" s="289"/>
      <c r="KO16" s="289"/>
      <c r="KP16" s="289"/>
      <c r="KQ16" s="289"/>
      <c r="KR16" s="289"/>
      <c r="KS16" s="289"/>
      <c r="KT16" s="289"/>
      <c r="KU16" s="289"/>
      <c r="KV16" s="289"/>
      <c r="KW16" s="289"/>
      <c r="KX16" s="289"/>
      <c r="KY16" s="289"/>
      <c r="KZ16" s="289"/>
      <c r="LA16" s="289"/>
      <c r="LB16" s="289"/>
      <c r="LC16" s="289"/>
      <c r="LD16" s="289"/>
      <c r="LE16" s="289"/>
      <c r="LF16" s="289"/>
      <c r="LG16" s="289"/>
      <c r="LH16" s="289"/>
      <c r="LI16" s="289"/>
      <c r="LJ16" s="289"/>
      <c r="LK16" s="289"/>
      <c r="LL16" s="289"/>
      <c r="LM16" s="289"/>
      <c r="LN16" s="289"/>
      <c r="LO16" s="289"/>
      <c r="LP16" s="289"/>
      <c r="LQ16" s="289"/>
      <c r="LR16" s="289"/>
      <c r="LS16" s="289"/>
      <c r="LT16" s="289"/>
      <c r="LU16" s="289"/>
      <c r="LV16" s="289"/>
      <c r="LW16" s="289"/>
      <c r="LX16" s="289"/>
      <c r="LY16" s="289"/>
      <c r="LZ16" s="289"/>
      <c r="MA16" s="289"/>
      <c r="MB16" s="289"/>
      <c r="MC16" s="289"/>
      <c r="MD16" s="289"/>
      <c r="ME16" s="289"/>
      <c r="MF16" s="289"/>
      <c r="MG16" s="289"/>
      <c r="MH16" s="289"/>
      <c r="MI16" s="289"/>
      <c r="MJ16" s="289"/>
      <c r="MK16" s="289"/>
      <c r="ML16" s="289"/>
      <c r="MM16" s="289"/>
      <c r="MN16" s="289"/>
      <c r="MO16" s="289"/>
      <c r="MP16" s="289"/>
      <c r="MQ16" s="289"/>
      <c r="MR16" s="289"/>
      <c r="MS16" s="289"/>
      <c r="MT16" s="289"/>
      <c r="MU16" s="289"/>
      <c r="MV16" s="289"/>
      <c r="MW16" s="289"/>
      <c r="MX16" s="289"/>
      <c r="MY16" s="289"/>
      <c r="MZ16" s="289"/>
      <c r="NA16" s="289"/>
      <c r="NB16" s="289"/>
      <c r="NC16" s="289"/>
      <c r="ND16" s="289"/>
      <c r="NE16" s="289"/>
      <c r="NF16" s="289"/>
      <c r="NG16" s="289"/>
      <c r="NH16" s="289"/>
      <c r="NI16" s="289"/>
      <c r="NJ16" s="289"/>
      <c r="NK16" s="289"/>
      <c r="NL16" s="289"/>
      <c r="NM16" s="289"/>
      <c r="NN16" s="289"/>
      <c r="NO16" s="289"/>
      <c r="NP16" s="289"/>
      <c r="NQ16" s="289"/>
      <c r="NR16" s="289"/>
      <c r="NS16" s="289"/>
      <c r="NT16" s="289"/>
      <c r="NU16" s="289"/>
      <c r="NV16" s="289"/>
      <c r="NW16" s="289"/>
      <c r="NX16" s="289"/>
      <c r="NY16" s="289"/>
      <c r="NZ16" s="289"/>
      <c r="OA16" s="289"/>
      <c r="OB16" s="289"/>
      <c r="OC16" s="289"/>
      <c r="OD16" s="289"/>
      <c r="OE16" s="289"/>
      <c r="OF16" s="289"/>
      <c r="OG16" s="289"/>
      <c r="OH16" s="289"/>
      <c r="OI16" s="289"/>
      <c r="OJ16" s="289"/>
      <c r="OK16" s="289"/>
      <c r="OL16" s="289"/>
      <c r="OM16" s="289"/>
      <c r="ON16" s="289"/>
      <c r="OO16" s="289"/>
      <c r="OP16" s="289"/>
      <c r="OQ16" s="289"/>
      <c r="OR16" s="289"/>
      <c r="OS16" s="289"/>
      <c r="OT16" s="289"/>
      <c r="OU16" s="289"/>
      <c r="OV16" s="289"/>
      <c r="OW16" s="289"/>
      <c r="OX16" s="289"/>
      <c r="OY16" s="289"/>
      <c r="OZ16" s="289"/>
      <c r="PA16" s="289"/>
      <c r="PB16" s="289"/>
      <c r="PC16" s="289"/>
      <c r="PD16" s="289"/>
      <c r="PE16" s="289"/>
      <c r="PF16" s="289"/>
      <c r="PG16" s="289"/>
      <c r="PH16" s="289"/>
      <c r="PI16" s="289"/>
      <c r="PJ16" s="289"/>
      <c r="PK16" s="289"/>
      <c r="PL16" s="289"/>
      <c r="PM16" s="289"/>
      <c r="PN16" s="289"/>
      <c r="PO16" s="289"/>
      <c r="PP16" s="289"/>
      <c r="PQ16" s="289"/>
      <c r="PR16" s="289"/>
      <c r="PS16" s="289"/>
      <c r="PT16" s="289"/>
      <c r="PU16" s="289"/>
      <c r="PV16" s="289"/>
      <c r="PW16" s="289"/>
      <c r="PX16" s="289"/>
      <c r="PY16" s="289"/>
      <c r="PZ16" s="289"/>
      <c r="QA16" s="289"/>
      <c r="QB16" s="289"/>
      <c r="QC16" s="289"/>
      <c r="QD16" s="289"/>
      <c r="QE16" s="289"/>
      <c r="QF16" s="289"/>
      <c r="QG16" s="289"/>
      <c r="QH16" s="289"/>
      <c r="QI16" s="289"/>
      <c r="QJ16" s="289"/>
      <c r="QK16" s="289"/>
      <c r="QL16" s="289"/>
      <c r="QM16" s="289"/>
      <c r="QN16" s="289"/>
      <c r="QO16" s="289"/>
      <c r="QP16" s="289"/>
      <c r="QQ16" s="289"/>
      <c r="QR16" s="289"/>
      <c r="QS16" s="289"/>
      <c r="QT16" s="289"/>
      <c r="QU16" s="289"/>
      <c r="QV16" s="289"/>
      <c r="QW16" s="289"/>
      <c r="QX16" s="289"/>
      <c r="QY16" s="289"/>
      <c r="QZ16" s="289"/>
      <c r="RA16" s="289"/>
      <c r="RB16" s="289"/>
      <c r="RC16" s="289"/>
      <c r="RD16" s="289"/>
      <c r="RE16" s="289"/>
      <c r="RF16" s="289"/>
      <c r="RG16" s="289"/>
      <c r="RH16" s="289"/>
      <c r="RI16" s="289"/>
      <c r="RJ16" s="289"/>
      <c r="RK16" s="289"/>
      <c r="RL16" s="289"/>
      <c r="RM16" s="289"/>
      <c r="RN16" s="289"/>
      <c r="RO16" s="289"/>
      <c r="RP16" s="289"/>
      <c r="RQ16" s="289"/>
      <c r="RR16" s="289"/>
      <c r="RS16" s="289"/>
      <c r="RT16" s="289"/>
      <c r="RU16" s="289"/>
      <c r="RV16" s="289"/>
      <c r="RW16" s="289"/>
      <c r="RX16" s="289"/>
      <c r="RY16" s="289"/>
      <c r="RZ16" s="289"/>
      <c r="SA16" s="289"/>
      <c r="SB16" s="289"/>
      <c r="SC16" s="289"/>
      <c r="SD16" s="289"/>
      <c r="SE16" s="289"/>
      <c r="SF16" s="289"/>
      <c r="SG16" s="289"/>
      <c r="SH16" s="289"/>
      <c r="SI16" s="289"/>
      <c r="SJ16" s="289"/>
      <c r="SK16" s="289"/>
      <c r="SL16" s="289"/>
      <c r="SM16" s="289"/>
      <c r="SN16" s="289"/>
      <c r="SO16" s="289"/>
      <c r="SP16" s="289"/>
      <c r="SQ16" s="289"/>
      <c r="SR16" s="289"/>
      <c r="SS16" s="289"/>
      <c r="ST16" s="289"/>
      <c r="SU16" s="289"/>
      <c r="SV16" s="289"/>
      <c r="SW16" s="289"/>
      <c r="SX16" s="289"/>
      <c r="SY16" s="289"/>
      <c r="SZ16" s="289"/>
      <c r="TA16" s="289"/>
      <c r="TB16" s="289"/>
      <c r="TC16" s="289"/>
      <c r="TD16" s="289"/>
      <c r="TE16" s="289"/>
      <c r="TF16" s="289"/>
      <c r="TG16" s="289"/>
      <c r="TH16" s="289"/>
      <c r="TI16" s="289"/>
      <c r="TJ16" s="289"/>
      <c r="TK16" s="289"/>
      <c r="TL16" s="289"/>
      <c r="TM16" s="289"/>
      <c r="TN16" s="289"/>
      <c r="TO16" s="289"/>
      <c r="TP16" s="289"/>
      <c r="TQ16" s="289"/>
      <c r="TR16" s="289"/>
      <c r="TS16" s="289"/>
      <c r="TT16" s="289"/>
      <c r="TU16" s="289"/>
      <c r="TV16" s="289"/>
      <c r="TW16" s="289"/>
      <c r="TX16" s="289"/>
      <c r="TY16" s="289"/>
      <c r="TZ16" s="289"/>
      <c r="UA16" s="289"/>
      <c r="UB16" s="289"/>
      <c r="UC16" s="289"/>
      <c r="UD16" s="289"/>
      <c r="UE16" s="289"/>
      <c r="UF16" s="289"/>
      <c r="UG16" s="289"/>
      <c r="UH16" s="289"/>
      <c r="UI16" s="289"/>
      <c r="UJ16" s="289"/>
      <c r="UK16" s="289"/>
      <c r="UL16" s="289"/>
      <c r="UM16" s="289"/>
      <c r="UN16" s="289"/>
      <c r="UO16" s="289"/>
      <c r="UP16" s="289"/>
      <c r="UQ16" s="289"/>
      <c r="UR16" s="289"/>
      <c r="US16" s="289"/>
      <c r="UT16" s="289"/>
      <c r="UU16" s="289"/>
      <c r="UV16" s="289"/>
      <c r="UW16" s="289"/>
      <c r="UX16" s="289"/>
      <c r="UY16" s="289"/>
      <c r="UZ16" s="289"/>
      <c r="VA16" s="289"/>
      <c r="VB16" s="289"/>
      <c r="VC16" s="289"/>
      <c r="VD16" s="289"/>
      <c r="VE16" s="289"/>
      <c r="VF16" s="289"/>
      <c r="VG16" s="289"/>
      <c r="VH16" s="289"/>
      <c r="VI16" s="289"/>
      <c r="VJ16" s="289"/>
      <c r="VK16" s="289"/>
      <c r="VL16" s="289"/>
      <c r="VM16" s="289"/>
      <c r="VN16" s="289"/>
      <c r="VO16" s="289"/>
      <c r="VP16" s="289"/>
      <c r="VQ16" s="289"/>
      <c r="VR16" s="289"/>
      <c r="VS16" s="289"/>
      <c r="VT16" s="289"/>
      <c r="VU16" s="289"/>
      <c r="VV16" s="289"/>
      <c r="VW16" s="289"/>
      <c r="VX16" s="289"/>
      <c r="VY16" s="289"/>
      <c r="VZ16" s="289"/>
      <c r="WA16" s="289"/>
      <c r="WB16" s="289"/>
      <c r="WC16" s="289"/>
      <c r="WD16" s="289"/>
      <c r="WE16" s="289"/>
      <c r="WF16" s="289"/>
      <c r="WG16" s="289"/>
      <c r="WH16" s="289"/>
      <c r="WI16" s="289"/>
      <c r="WJ16" s="289"/>
      <c r="WK16" s="289"/>
      <c r="WL16" s="289"/>
      <c r="WM16" s="289"/>
      <c r="WN16" s="289"/>
      <c r="WO16" s="289"/>
      <c r="WP16" s="289"/>
      <c r="WQ16" s="289"/>
      <c r="WR16" s="289"/>
      <c r="WS16" s="289"/>
      <c r="WT16" s="289"/>
      <c r="WU16" s="289"/>
      <c r="WV16" s="289"/>
      <c r="WW16" s="289"/>
      <c r="WX16" s="289"/>
      <c r="WY16" s="289"/>
      <c r="WZ16" s="289"/>
      <c r="XA16" s="289"/>
      <c r="XB16" s="289"/>
      <c r="XC16" s="289"/>
      <c r="XD16" s="289"/>
      <c r="XE16" s="289"/>
      <c r="XF16" s="289"/>
      <c r="XG16" s="289"/>
      <c r="XH16" s="289"/>
      <c r="XI16" s="289"/>
      <c r="XJ16" s="289"/>
      <c r="XK16" s="289"/>
      <c r="XL16" s="289"/>
      <c r="XM16" s="289"/>
      <c r="XN16" s="289"/>
      <c r="XO16" s="289"/>
      <c r="XP16" s="289"/>
      <c r="XQ16" s="289"/>
      <c r="XR16" s="289"/>
      <c r="XS16" s="289"/>
      <c r="XT16" s="289"/>
      <c r="XU16" s="289"/>
      <c r="XV16" s="289"/>
      <c r="XW16" s="289"/>
      <c r="XX16" s="289"/>
      <c r="XY16" s="289"/>
      <c r="XZ16" s="289"/>
      <c r="YA16" s="289"/>
      <c r="YB16" s="289"/>
      <c r="YC16" s="289"/>
      <c r="YD16" s="289"/>
      <c r="YE16" s="289"/>
      <c r="YF16" s="289"/>
      <c r="YG16" s="289"/>
      <c r="YH16" s="289"/>
      <c r="YI16" s="289"/>
      <c r="YJ16" s="289"/>
      <c r="YK16" s="289"/>
      <c r="YL16" s="289"/>
      <c r="YM16" s="289"/>
      <c r="YN16" s="289"/>
      <c r="YO16" s="289"/>
      <c r="YP16" s="289"/>
      <c r="YQ16" s="289"/>
      <c r="YR16" s="289"/>
      <c r="YS16" s="289"/>
      <c r="YT16" s="289"/>
      <c r="YU16" s="289"/>
      <c r="YV16" s="289"/>
      <c r="YW16" s="289"/>
      <c r="YX16" s="289"/>
      <c r="YY16" s="289"/>
      <c r="YZ16" s="289"/>
      <c r="ZA16" s="289"/>
      <c r="ZB16" s="289"/>
      <c r="ZC16" s="289"/>
      <c r="ZD16" s="289"/>
      <c r="ZE16" s="289"/>
      <c r="ZF16" s="289"/>
      <c r="ZG16" s="289"/>
      <c r="ZH16" s="289"/>
      <c r="ZI16" s="289"/>
      <c r="ZJ16" s="289"/>
      <c r="ZK16" s="289"/>
      <c r="ZL16" s="289"/>
      <c r="ZM16" s="289"/>
      <c r="ZN16" s="289"/>
      <c r="ZO16" s="289"/>
      <c r="ZP16" s="289"/>
      <c r="ZQ16" s="289"/>
      <c r="ZR16" s="289"/>
      <c r="ZS16" s="289"/>
      <c r="ZT16" s="289"/>
      <c r="ZU16" s="289"/>
      <c r="ZV16" s="289"/>
      <c r="ZW16" s="289"/>
      <c r="ZX16" s="289"/>
      <c r="ZY16" s="289"/>
      <c r="ZZ16" s="289"/>
      <c r="AAA16" s="289"/>
      <c r="AAB16" s="289"/>
      <c r="AAC16" s="289"/>
      <c r="AAD16" s="289"/>
      <c r="AAE16" s="289"/>
      <c r="AAF16" s="289"/>
      <c r="AAG16" s="289"/>
      <c r="AAH16" s="289"/>
      <c r="AAI16" s="289"/>
      <c r="AAJ16" s="289"/>
      <c r="AAK16" s="289"/>
      <c r="AAL16" s="289"/>
      <c r="AAM16" s="289"/>
      <c r="AAN16" s="289"/>
      <c r="AAO16" s="289"/>
      <c r="AAP16" s="289"/>
      <c r="AAQ16" s="289"/>
      <c r="AAR16" s="289"/>
      <c r="AAS16" s="289"/>
      <c r="AAT16" s="289"/>
      <c r="AAU16" s="289"/>
      <c r="AAV16" s="289"/>
      <c r="AAW16" s="289"/>
      <c r="AAX16" s="289"/>
      <c r="AAY16" s="289"/>
      <c r="AAZ16" s="289"/>
      <c r="ABA16" s="289"/>
      <c r="ABB16" s="289"/>
      <c r="ABC16" s="289"/>
      <c r="ABD16" s="289"/>
      <c r="ABE16" s="289"/>
      <c r="ABF16" s="289"/>
      <c r="ABG16" s="289"/>
      <c r="ABH16" s="289"/>
      <c r="ABI16" s="289"/>
      <c r="ABJ16" s="289"/>
      <c r="ABK16" s="289"/>
      <c r="ABL16" s="289"/>
      <c r="ABM16" s="289"/>
      <c r="ABN16" s="289"/>
      <c r="ABO16" s="289"/>
      <c r="ABP16" s="289"/>
      <c r="ABQ16" s="289"/>
      <c r="ABR16" s="289"/>
      <c r="ABS16" s="289"/>
      <c r="ABT16" s="289"/>
      <c r="ABU16" s="289"/>
      <c r="ABV16" s="289"/>
      <c r="ABW16" s="289"/>
      <c r="ABX16" s="289"/>
      <c r="ABY16" s="289"/>
      <c r="ABZ16" s="289"/>
      <c r="ACA16" s="289"/>
      <c r="ACB16" s="289"/>
      <c r="ACC16" s="289"/>
      <c r="ACD16" s="289"/>
      <c r="ACE16" s="289"/>
      <c r="ACF16" s="289"/>
      <c r="ACG16" s="289"/>
      <c r="ACH16" s="289"/>
      <c r="ACI16" s="289"/>
      <c r="ACJ16" s="289"/>
      <c r="ACK16" s="289"/>
      <c r="ACL16" s="289"/>
      <c r="ACM16" s="289"/>
      <c r="ACN16" s="289"/>
      <c r="ACO16" s="289"/>
      <c r="ACP16" s="289"/>
      <c r="ACQ16" s="289"/>
      <c r="ACR16" s="289"/>
      <c r="ACS16" s="289"/>
      <c r="ACT16" s="289"/>
      <c r="ACU16" s="289"/>
      <c r="ACV16" s="289"/>
      <c r="ACW16" s="289"/>
      <c r="ACX16" s="289"/>
      <c r="ACY16" s="289"/>
      <c r="ACZ16" s="289"/>
      <c r="ADA16" s="289"/>
      <c r="ADB16" s="289"/>
      <c r="ADC16" s="289"/>
      <c r="ADD16" s="289"/>
      <c r="ADE16" s="289"/>
      <c r="ADF16" s="289"/>
      <c r="ADG16" s="289"/>
      <c r="ADH16" s="289"/>
      <c r="ADI16" s="289"/>
      <c r="ADJ16" s="289"/>
      <c r="ADK16" s="289"/>
      <c r="ADL16" s="289"/>
      <c r="ADM16" s="289"/>
      <c r="ADN16" s="289"/>
      <c r="ADO16" s="289"/>
      <c r="ADP16" s="289"/>
      <c r="ADQ16" s="289"/>
      <c r="ADR16" s="289"/>
      <c r="ADS16" s="289"/>
      <c r="ADT16" s="289"/>
      <c r="ADU16" s="289"/>
      <c r="ADV16" s="289"/>
      <c r="ADW16" s="289"/>
      <c r="ADX16" s="289"/>
      <c r="ADY16" s="289"/>
      <c r="ADZ16" s="289"/>
      <c r="AEA16" s="289"/>
      <c r="AEB16" s="289"/>
      <c r="AEC16" s="289"/>
      <c r="AED16" s="289"/>
      <c r="AEE16" s="289"/>
      <c r="AEF16" s="289"/>
      <c r="AEG16" s="289"/>
      <c r="AEH16" s="289"/>
      <c r="AEI16" s="289"/>
      <c r="AEJ16" s="289"/>
      <c r="AEK16" s="289"/>
      <c r="AEL16" s="289"/>
      <c r="AEM16" s="289"/>
      <c r="AEN16" s="289"/>
      <c r="AEO16" s="289"/>
      <c r="AEP16" s="289"/>
      <c r="AEQ16" s="289"/>
      <c r="AER16" s="289"/>
      <c r="AES16" s="289"/>
      <c r="AET16" s="289"/>
      <c r="AEU16" s="289"/>
      <c r="AEV16" s="289"/>
      <c r="AEW16" s="289"/>
      <c r="AEX16" s="289"/>
      <c r="AEY16" s="289"/>
      <c r="AEZ16" s="289"/>
      <c r="AFA16" s="289"/>
      <c r="AFB16" s="289"/>
      <c r="AFC16" s="289"/>
      <c r="AFD16" s="289"/>
      <c r="AFE16" s="289"/>
      <c r="AFF16" s="289"/>
      <c r="AFG16" s="289"/>
      <c r="AFH16" s="289"/>
      <c r="AFI16" s="289"/>
      <c r="AFJ16" s="289"/>
      <c r="AFK16" s="289"/>
      <c r="AFL16" s="289"/>
      <c r="AFM16" s="289"/>
      <c r="AFN16" s="289"/>
      <c r="AFO16" s="289"/>
      <c r="AFP16" s="289"/>
      <c r="AFQ16" s="289"/>
      <c r="AFR16" s="289"/>
      <c r="AFS16" s="289"/>
      <c r="AFT16" s="289"/>
      <c r="AFU16" s="289"/>
      <c r="AFV16" s="289"/>
      <c r="AFW16" s="289"/>
      <c r="AFX16" s="289"/>
      <c r="AFY16" s="289"/>
      <c r="AFZ16" s="289"/>
      <c r="AGA16" s="289"/>
      <c r="AGB16" s="289"/>
      <c r="AGC16" s="289"/>
      <c r="AGD16" s="289"/>
      <c r="AGE16" s="289"/>
      <c r="AGF16" s="289"/>
      <c r="AGG16" s="289"/>
      <c r="AGH16" s="289"/>
      <c r="AGI16" s="289"/>
      <c r="AGJ16" s="289"/>
      <c r="AGK16" s="289"/>
      <c r="AGL16" s="289"/>
      <c r="AGM16" s="289"/>
      <c r="AGN16" s="289"/>
      <c r="AGO16" s="289"/>
      <c r="AGP16" s="289"/>
      <c r="AGQ16" s="289"/>
      <c r="AGR16" s="289"/>
      <c r="AGS16" s="289"/>
      <c r="AGT16" s="289"/>
      <c r="AGU16" s="289"/>
      <c r="AGV16" s="289"/>
      <c r="AGW16" s="289"/>
      <c r="AGX16" s="289"/>
      <c r="AGY16" s="289"/>
      <c r="AGZ16" s="289"/>
      <c r="AHA16" s="289"/>
      <c r="AHB16" s="289"/>
      <c r="AHC16" s="289"/>
      <c r="AHD16" s="289"/>
      <c r="AHE16" s="289"/>
      <c r="AHF16" s="289"/>
      <c r="AHG16" s="289"/>
      <c r="AHH16" s="289"/>
      <c r="AHI16" s="289"/>
      <c r="AHJ16" s="289"/>
      <c r="AHK16" s="289"/>
      <c r="AHL16" s="289"/>
      <c r="AHM16" s="289"/>
      <c r="AHN16" s="289"/>
      <c r="AHO16" s="289"/>
      <c r="AHP16" s="289"/>
      <c r="AHQ16" s="289"/>
      <c r="AHR16" s="289"/>
      <c r="AHS16" s="289"/>
      <c r="AHT16" s="289"/>
      <c r="AHU16" s="289"/>
      <c r="AHV16" s="289"/>
      <c r="AHW16" s="289"/>
      <c r="AHX16" s="289"/>
      <c r="AHY16" s="289"/>
      <c r="AHZ16" s="289"/>
      <c r="AIA16" s="289"/>
      <c r="AIB16" s="289"/>
      <c r="AIC16" s="289"/>
      <c r="AID16" s="289"/>
      <c r="AIE16" s="289"/>
      <c r="AIF16" s="289"/>
      <c r="AIG16" s="289"/>
      <c r="AIH16" s="289"/>
      <c r="AII16" s="289"/>
      <c r="AIJ16" s="289"/>
      <c r="AIK16" s="289"/>
      <c r="AIL16" s="289"/>
      <c r="AIM16" s="289"/>
      <c r="AIN16" s="289"/>
      <c r="AIO16" s="289"/>
      <c r="AIP16" s="289"/>
      <c r="AIQ16" s="289"/>
      <c r="AIR16" s="289"/>
      <c r="AIS16" s="289"/>
      <c r="AIT16" s="289"/>
      <c r="AIU16" s="289"/>
      <c r="AIV16" s="289"/>
      <c r="AIW16" s="289"/>
      <c r="AIX16" s="289"/>
      <c r="AIY16" s="289"/>
      <c r="AIZ16" s="289"/>
      <c r="AJA16" s="289"/>
      <c r="AJB16" s="289"/>
      <c r="AJC16" s="289"/>
      <c r="AJD16" s="289"/>
      <c r="AJE16" s="289"/>
      <c r="AJF16" s="289"/>
      <c r="AJG16" s="289"/>
      <c r="AJH16" s="289"/>
      <c r="AJI16" s="289"/>
      <c r="AJJ16" s="289"/>
      <c r="AJK16" s="289"/>
      <c r="AJL16" s="289"/>
      <c r="AJM16" s="289"/>
      <c r="AJN16" s="289"/>
      <c r="AJO16" s="289"/>
      <c r="AJP16" s="289"/>
      <c r="AJQ16" s="289"/>
      <c r="AJR16" s="289"/>
      <c r="AJS16" s="289"/>
      <c r="AJT16" s="289"/>
      <c r="AJU16" s="289"/>
      <c r="AJV16" s="289"/>
      <c r="AJW16" s="289"/>
      <c r="AJX16" s="289"/>
      <c r="AJY16" s="289"/>
      <c r="AJZ16" s="289"/>
      <c r="AKA16" s="289"/>
      <c r="AKB16" s="289"/>
      <c r="AKC16" s="289"/>
      <c r="AKD16" s="289"/>
      <c r="AKE16" s="289"/>
      <c r="AKF16" s="289"/>
      <c r="AKG16" s="289"/>
      <c r="AKH16" s="289"/>
      <c r="AKI16" s="289"/>
      <c r="AKJ16" s="289"/>
      <c r="AKK16" s="289"/>
      <c r="AKL16" s="289"/>
      <c r="AKM16" s="289"/>
      <c r="AKN16" s="289"/>
      <c r="AKO16" s="289"/>
      <c r="AKP16" s="289"/>
      <c r="AKQ16" s="289"/>
      <c r="AKR16" s="289"/>
      <c r="AKS16" s="289"/>
      <c r="AKT16" s="289"/>
      <c r="AKU16" s="289"/>
      <c r="AKV16" s="289"/>
      <c r="AKW16" s="289"/>
      <c r="AKX16" s="289"/>
      <c r="AKY16" s="289"/>
      <c r="AKZ16" s="289"/>
      <c r="ALA16" s="289"/>
      <c r="ALB16" s="289"/>
      <c r="ALC16" s="289"/>
      <c r="ALD16" s="289"/>
      <c r="ALE16" s="289"/>
      <c r="ALF16" s="289"/>
      <c r="ALG16" s="289"/>
      <c r="ALH16" s="289"/>
      <c r="ALI16" s="289"/>
      <c r="ALJ16" s="289"/>
      <c r="ALK16" s="289"/>
      <c r="ALL16" s="289"/>
      <c r="ALM16" s="289"/>
      <c r="ALN16" s="289"/>
      <c r="ALO16" s="289"/>
      <c r="ALP16" s="289"/>
      <c r="ALQ16" s="289"/>
      <c r="ALR16" s="289"/>
      <c r="ALS16" s="289"/>
      <c r="ALT16" s="289"/>
      <c r="ALU16" s="289"/>
      <c r="ALV16" s="289"/>
      <c r="ALW16" s="289"/>
      <c r="ALX16" s="289"/>
      <c r="ALY16" s="289"/>
      <c r="ALZ16" s="289"/>
      <c r="AMA16" s="289"/>
      <c r="AMB16" s="289"/>
      <c r="AMC16" s="289"/>
      <c r="AMD16" s="289"/>
      <c r="AME16" s="289"/>
      <c r="AMF16" s="289"/>
      <c r="AMG16" s="289"/>
      <c r="AMH16" s="289"/>
      <c r="AMI16" s="289"/>
      <c r="AMJ16" s="289"/>
      <c r="AMK16" s="289"/>
      <c r="AML16" s="289"/>
      <c r="AMM16" s="289"/>
      <c r="AMN16" s="289"/>
      <c r="AMO16" s="289"/>
      <c r="AMP16" s="289"/>
      <c r="AMQ16" s="289"/>
      <c r="AMR16" s="289"/>
      <c r="AMS16" s="289"/>
      <c r="AMT16" s="289"/>
      <c r="AMU16" s="289"/>
      <c r="AMV16" s="289"/>
      <c r="AMW16" s="289"/>
      <c r="AMX16" s="289"/>
      <c r="AMY16" s="289"/>
      <c r="AMZ16" s="289"/>
      <c r="ANA16" s="289"/>
      <c r="ANB16" s="289"/>
      <c r="ANC16" s="289"/>
      <c r="AND16" s="289"/>
      <c r="ANE16" s="289"/>
      <c r="ANF16" s="289"/>
      <c r="ANG16" s="289"/>
      <c r="ANH16" s="289"/>
      <c r="ANI16" s="289"/>
      <c r="ANJ16" s="289"/>
      <c r="ANK16" s="289"/>
      <c r="ANL16" s="289"/>
      <c r="ANM16" s="289"/>
      <c r="ANN16" s="289"/>
      <c r="ANO16" s="289"/>
      <c r="ANP16" s="289"/>
      <c r="ANQ16" s="289"/>
      <c r="ANR16" s="289"/>
      <c r="ANS16" s="289"/>
      <c r="ANT16" s="289"/>
      <c r="ANU16" s="289"/>
      <c r="ANV16" s="289"/>
      <c r="ANW16" s="289"/>
      <c r="ANX16" s="289"/>
      <c r="ANY16" s="289"/>
      <c r="ANZ16" s="289"/>
      <c r="AOA16" s="289"/>
      <c r="AOB16" s="289"/>
      <c r="AOC16" s="289"/>
      <c r="AOD16" s="289"/>
      <c r="AOE16" s="289"/>
      <c r="AOF16" s="289"/>
      <c r="AOG16" s="289"/>
      <c r="AOH16" s="289"/>
      <c r="AOI16" s="289"/>
      <c r="AOJ16" s="289"/>
      <c r="AOK16" s="289"/>
      <c r="AOL16" s="289"/>
      <c r="AOM16" s="289"/>
      <c r="AON16" s="289"/>
      <c r="AOO16" s="289"/>
      <c r="AOP16" s="289"/>
      <c r="AOQ16" s="289"/>
      <c r="AOR16" s="289"/>
      <c r="AOS16" s="289"/>
      <c r="AOT16" s="289"/>
      <c r="AOU16" s="289"/>
      <c r="AOV16" s="289"/>
      <c r="AOW16" s="289"/>
      <c r="AOX16" s="289"/>
      <c r="AOY16" s="289"/>
      <c r="AOZ16" s="289"/>
      <c r="APA16" s="289"/>
      <c r="APB16" s="289"/>
      <c r="APC16" s="289"/>
      <c r="APD16" s="289"/>
      <c r="APE16" s="289"/>
      <c r="APF16" s="289"/>
      <c r="APG16" s="289"/>
      <c r="APH16" s="289"/>
      <c r="API16" s="289"/>
      <c r="APJ16" s="289"/>
      <c r="APK16" s="289"/>
      <c r="APL16" s="289"/>
      <c r="APM16" s="289"/>
      <c r="APN16" s="289"/>
      <c r="APO16" s="289"/>
      <c r="APP16" s="289"/>
      <c r="APQ16" s="289"/>
      <c r="APR16" s="289"/>
      <c r="APS16" s="289"/>
      <c r="APT16" s="289"/>
      <c r="APU16" s="289"/>
      <c r="APV16" s="289"/>
      <c r="APW16" s="289"/>
      <c r="APX16" s="289"/>
      <c r="APY16" s="289"/>
      <c r="APZ16" s="289"/>
      <c r="AQA16" s="289"/>
      <c r="AQB16" s="289"/>
      <c r="AQC16" s="289"/>
      <c r="AQD16" s="289"/>
      <c r="AQE16" s="289"/>
      <c r="AQF16" s="289"/>
      <c r="AQG16" s="289"/>
      <c r="AQH16" s="289"/>
      <c r="AQI16" s="289"/>
      <c r="AQJ16" s="289"/>
      <c r="AQK16" s="289"/>
      <c r="AQL16" s="289"/>
      <c r="AQM16" s="289"/>
      <c r="AQN16" s="289"/>
      <c r="AQO16" s="289"/>
      <c r="AQP16" s="289"/>
      <c r="AQQ16" s="289"/>
      <c r="AQR16" s="289"/>
      <c r="AQS16" s="289"/>
      <c r="AQT16" s="289"/>
      <c r="AQU16" s="289"/>
      <c r="AQV16" s="289"/>
      <c r="AQW16" s="289"/>
      <c r="AQX16" s="289"/>
      <c r="AQY16" s="289"/>
      <c r="AQZ16" s="289"/>
      <c r="ARA16" s="289"/>
      <c r="ARB16" s="289"/>
      <c r="ARC16" s="289"/>
      <c r="ARD16" s="289"/>
      <c r="ARE16" s="289"/>
      <c r="ARF16" s="289"/>
      <c r="ARG16" s="289"/>
      <c r="ARH16" s="289"/>
      <c r="ARI16" s="289"/>
      <c r="ARJ16" s="289"/>
      <c r="ARK16" s="289"/>
      <c r="ARL16" s="289"/>
      <c r="ARM16" s="289"/>
      <c r="ARN16" s="289"/>
      <c r="ARO16" s="289"/>
      <c r="ARP16" s="289"/>
      <c r="ARQ16" s="289"/>
      <c r="ARR16" s="289"/>
      <c r="ARS16" s="289"/>
      <c r="ART16" s="289"/>
      <c r="ARU16" s="289"/>
      <c r="ARV16" s="289"/>
      <c r="ARW16" s="289"/>
      <c r="ARX16" s="289"/>
      <c r="ARY16" s="289"/>
      <c r="ARZ16" s="289"/>
      <c r="ASA16" s="289"/>
      <c r="ASB16" s="289"/>
      <c r="ASC16" s="289"/>
      <c r="ASD16" s="289"/>
      <c r="ASE16" s="289"/>
      <c r="ASF16" s="289"/>
      <c r="ASG16" s="289"/>
      <c r="ASH16" s="289"/>
      <c r="ASI16" s="289"/>
      <c r="ASJ16" s="289"/>
      <c r="ASK16" s="289"/>
      <c r="ASL16" s="289"/>
      <c r="ASM16" s="289"/>
      <c r="ASN16" s="289"/>
      <c r="ASO16" s="289"/>
      <c r="ASP16" s="289"/>
      <c r="ASQ16" s="289"/>
      <c r="ASR16" s="289"/>
      <c r="ASS16" s="289"/>
      <c r="AST16" s="289"/>
      <c r="ASU16" s="289"/>
      <c r="ASV16" s="289"/>
      <c r="ASW16" s="289"/>
      <c r="ASX16" s="289"/>
      <c r="ASY16" s="289"/>
      <c r="ASZ16" s="289"/>
      <c r="ATA16" s="289"/>
      <c r="ATB16" s="289"/>
      <c r="ATC16" s="289"/>
      <c r="ATD16" s="289"/>
      <c r="ATE16" s="289"/>
      <c r="ATF16" s="289"/>
      <c r="ATG16" s="289"/>
      <c r="ATH16" s="289"/>
      <c r="ATI16" s="289"/>
      <c r="ATJ16" s="289"/>
      <c r="ATK16" s="289"/>
      <c r="ATL16" s="289"/>
      <c r="ATM16" s="289"/>
      <c r="ATN16" s="289"/>
      <c r="ATO16" s="289"/>
      <c r="ATP16" s="289"/>
      <c r="ATQ16" s="289"/>
      <c r="ATR16" s="289"/>
      <c r="ATS16" s="289"/>
      <c r="ATT16" s="289"/>
      <c r="ATU16" s="289"/>
      <c r="ATV16" s="289"/>
      <c r="ATW16" s="289"/>
      <c r="ATX16" s="289"/>
      <c r="ATY16" s="289"/>
      <c r="ATZ16" s="289"/>
      <c r="AUA16" s="289"/>
      <c r="AUB16" s="289"/>
      <c r="AUC16" s="289"/>
      <c r="AUD16" s="289"/>
      <c r="AUE16" s="289"/>
      <c r="AUF16" s="289"/>
      <c r="AUG16" s="289"/>
      <c r="AUH16" s="289"/>
      <c r="AUI16" s="289"/>
      <c r="AUJ16" s="289"/>
      <c r="AUK16" s="289"/>
      <c r="AUL16" s="289"/>
      <c r="AUM16" s="289"/>
      <c r="AUN16" s="289"/>
      <c r="AUO16" s="289"/>
      <c r="AUP16" s="289"/>
      <c r="AUQ16" s="289"/>
      <c r="AUR16" s="289"/>
      <c r="AUS16" s="289"/>
      <c r="AUT16" s="289"/>
      <c r="AUU16" s="289"/>
      <c r="AUV16" s="289"/>
      <c r="AUW16" s="289"/>
      <c r="AUX16" s="289"/>
      <c r="AUY16" s="289"/>
      <c r="AUZ16" s="289"/>
      <c r="AVA16" s="289"/>
      <c r="AVB16" s="289"/>
      <c r="AVC16" s="289"/>
      <c r="AVD16" s="289"/>
      <c r="AVE16" s="289"/>
      <c r="AVF16" s="289"/>
      <c r="AVG16" s="289"/>
      <c r="AVH16" s="289"/>
      <c r="AVI16" s="289"/>
      <c r="AVJ16" s="289"/>
      <c r="AVK16" s="289"/>
      <c r="AVL16" s="289"/>
      <c r="AVM16" s="289"/>
      <c r="AVN16" s="289"/>
      <c r="AVO16" s="289"/>
      <c r="AVP16" s="289"/>
      <c r="AVQ16" s="289"/>
      <c r="AVR16" s="289"/>
      <c r="AVS16" s="289"/>
      <c r="AVT16" s="289"/>
      <c r="AVU16" s="289"/>
      <c r="AVV16" s="289"/>
      <c r="AVW16" s="289"/>
      <c r="AVX16" s="289"/>
      <c r="AVY16" s="289"/>
      <c r="AVZ16" s="289"/>
      <c r="AWA16" s="289"/>
      <c r="AWB16" s="289"/>
      <c r="AWC16" s="289"/>
      <c r="AWD16" s="289"/>
      <c r="AWE16" s="289"/>
      <c r="AWF16" s="289"/>
      <c r="AWG16" s="289"/>
      <c r="AWH16" s="289"/>
      <c r="AWI16" s="289"/>
      <c r="AWJ16" s="289"/>
      <c r="AWK16" s="289"/>
      <c r="AWL16" s="289"/>
      <c r="AWM16" s="289"/>
      <c r="AWN16" s="289"/>
      <c r="AWO16" s="289"/>
      <c r="AWP16" s="289"/>
      <c r="AWQ16" s="289"/>
      <c r="AWR16" s="289"/>
      <c r="AWS16" s="289"/>
      <c r="AWT16" s="289"/>
      <c r="AWU16" s="289"/>
      <c r="AWV16" s="289"/>
      <c r="AWW16" s="289"/>
      <c r="AWX16" s="289"/>
      <c r="AWY16" s="289"/>
      <c r="AWZ16" s="289"/>
      <c r="AXA16" s="289"/>
      <c r="AXB16" s="289"/>
      <c r="AXC16" s="289"/>
      <c r="AXD16" s="289"/>
      <c r="AXE16" s="289"/>
      <c r="AXF16" s="289"/>
      <c r="AXG16" s="289"/>
      <c r="AXH16" s="289"/>
      <c r="AXI16" s="289"/>
      <c r="AXJ16" s="289"/>
      <c r="AXK16" s="289"/>
      <c r="AXL16" s="289"/>
      <c r="AXM16" s="289"/>
      <c r="AXN16" s="289"/>
      <c r="AXO16" s="289"/>
      <c r="AXP16" s="289"/>
      <c r="AXQ16" s="289"/>
      <c r="AXR16" s="289"/>
      <c r="AXS16" s="289"/>
      <c r="AXT16" s="289"/>
      <c r="AXU16" s="289"/>
      <c r="AXV16" s="289"/>
      <c r="AXW16" s="289"/>
      <c r="AXX16" s="289"/>
      <c r="AXY16" s="289"/>
      <c r="AXZ16" s="289"/>
      <c r="AYA16" s="289"/>
      <c r="AYB16" s="289"/>
      <c r="AYC16" s="289"/>
      <c r="AYD16" s="289"/>
      <c r="AYE16" s="289"/>
      <c r="AYF16" s="289"/>
      <c r="AYG16" s="289"/>
      <c r="AYH16" s="289"/>
      <c r="AYI16" s="289"/>
      <c r="AYJ16" s="289"/>
      <c r="AYK16" s="289"/>
      <c r="AYL16" s="289"/>
      <c r="AYM16" s="289"/>
      <c r="AYN16" s="289"/>
      <c r="AYO16" s="289"/>
      <c r="AYP16" s="289"/>
      <c r="AYQ16" s="289"/>
      <c r="AYR16" s="289"/>
      <c r="AYS16" s="289"/>
      <c r="AYT16" s="289"/>
      <c r="AYU16" s="289"/>
      <c r="AYV16" s="289"/>
      <c r="AYW16" s="289"/>
      <c r="AYX16" s="289"/>
      <c r="AYY16" s="289"/>
      <c r="AYZ16" s="289"/>
      <c r="AZA16" s="289"/>
      <c r="AZB16" s="289"/>
      <c r="AZC16" s="289"/>
      <c r="AZD16" s="289"/>
      <c r="AZE16" s="289"/>
      <c r="AZF16" s="289"/>
      <c r="AZG16" s="289"/>
      <c r="AZH16" s="289"/>
      <c r="AZI16" s="289"/>
      <c r="AZJ16" s="289"/>
      <c r="AZK16" s="289"/>
      <c r="AZL16" s="289"/>
      <c r="AZM16" s="289"/>
      <c r="AZN16" s="289"/>
      <c r="AZO16" s="289"/>
      <c r="AZP16" s="289"/>
      <c r="AZQ16" s="289"/>
      <c r="AZR16" s="289"/>
      <c r="AZS16" s="289"/>
      <c r="AZT16" s="289"/>
      <c r="AZU16" s="289"/>
      <c r="AZV16" s="289"/>
      <c r="AZW16" s="289"/>
      <c r="AZX16" s="289"/>
      <c r="AZY16" s="289"/>
      <c r="AZZ16" s="289"/>
      <c r="BAA16" s="289"/>
      <c r="BAB16" s="289"/>
      <c r="BAC16" s="289"/>
      <c r="BAD16" s="289"/>
      <c r="BAE16" s="289"/>
      <c r="BAF16" s="289"/>
      <c r="BAG16" s="289"/>
      <c r="BAH16" s="289"/>
      <c r="BAI16" s="289"/>
      <c r="BAJ16" s="289"/>
      <c r="BAK16" s="289"/>
      <c r="BAL16" s="289"/>
      <c r="BAM16" s="289"/>
      <c r="BAN16" s="289"/>
      <c r="BAO16" s="289"/>
      <c r="BAP16" s="289"/>
      <c r="BAQ16" s="289"/>
      <c r="BAR16" s="289"/>
      <c r="BAS16" s="289"/>
      <c r="BAT16" s="289"/>
      <c r="BAU16" s="289"/>
      <c r="BAV16" s="289"/>
      <c r="BAW16" s="289"/>
      <c r="BAX16" s="289"/>
      <c r="BAY16" s="289"/>
      <c r="BAZ16" s="289"/>
      <c r="BBA16" s="289"/>
      <c r="BBB16" s="289"/>
      <c r="BBC16" s="289"/>
      <c r="BBD16" s="289"/>
      <c r="BBE16" s="289"/>
      <c r="BBF16" s="289"/>
      <c r="BBG16" s="289"/>
      <c r="BBH16" s="289"/>
      <c r="BBI16" s="289"/>
      <c r="BBJ16" s="289"/>
      <c r="BBK16" s="289"/>
      <c r="BBL16" s="289"/>
      <c r="BBM16" s="289"/>
      <c r="BBN16" s="289"/>
      <c r="BBO16" s="289"/>
      <c r="BBP16" s="289"/>
      <c r="BBQ16" s="289"/>
      <c r="BBR16" s="289"/>
      <c r="BBS16" s="289"/>
      <c r="BBT16" s="289"/>
      <c r="BBU16" s="289"/>
      <c r="BBV16" s="289"/>
      <c r="BBW16" s="289"/>
      <c r="BBX16" s="289"/>
      <c r="BBY16" s="289"/>
      <c r="BBZ16" s="289"/>
      <c r="BCA16" s="289"/>
      <c r="BCB16" s="289"/>
      <c r="BCC16" s="289"/>
      <c r="BCD16" s="289"/>
      <c r="BCE16" s="289"/>
      <c r="BCF16" s="289"/>
      <c r="BCG16" s="289"/>
      <c r="BCH16" s="289"/>
      <c r="BCI16" s="289"/>
      <c r="BCJ16" s="289"/>
      <c r="BCK16" s="289"/>
      <c r="BCL16" s="289"/>
      <c r="BCM16" s="289"/>
      <c r="BCN16" s="289"/>
      <c r="BCO16" s="289"/>
      <c r="BCP16" s="289"/>
      <c r="BCQ16" s="289"/>
      <c r="BCR16" s="289"/>
      <c r="BCS16" s="289"/>
      <c r="BCT16" s="289"/>
      <c r="BCU16" s="289"/>
      <c r="BCV16" s="289"/>
      <c r="BCW16" s="289"/>
      <c r="BCX16" s="289"/>
      <c r="BCY16" s="289"/>
      <c r="BCZ16" s="289"/>
      <c r="BDA16" s="289"/>
      <c r="BDB16" s="289"/>
      <c r="BDC16" s="289"/>
      <c r="BDD16" s="289"/>
      <c r="BDE16" s="289"/>
      <c r="BDF16" s="289"/>
      <c r="BDG16" s="289"/>
      <c r="BDH16" s="289"/>
      <c r="BDI16" s="289"/>
      <c r="BDJ16" s="289"/>
      <c r="BDK16" s="289"/>
      <c r="BDL16" s="289"/>
      <c r="BDM16" s="289"/>
      <c r="BDN16" s="289"/>
      <c r="BDO16" s="289"/>
      <c r="BDP16" s="289"/>
      <c r="BDQ16" s="289"/>
      <c r="BDR16" s="289"/>
      <c r="BDS16" s="289"/>
      <c r="BDT16" s="289"/>
      <c r="BDU16" s="289"/>
      <c r="BDV16" s="289"/>
      <c r="BDW16" s="289"/>
      <c r="BDX16" s="289"/>
      <c r="BDY16" s="289"/>
      <c r="BDZ16" s="289"/>
      <c r="BEA16" s="289"/>
      <c r="BEB16" s="289"/>
      <c r="BEC16" s="289"/>
      <c r="BED16" s="289"/>
      <c r="BEE16" s="289"/>
      <c r="BEF16" s="289"/>
      <c r="BEG16" s="289"/>
      <c r="BEH16" s="289"/>
      <c r="BEI16" s="289"/>
      <c r="BEJ16" s="289"/>
      <c r="BEK16" s="289"/>
      <c r="BEL16" s="289"/>
      <c r="BEM16" s="289"/>
      <c r="BEN16" s="289"/>
      <c r="BEO16" s="289"/>
      <c r="BEP16" s="289"/>
      <c r="BEQ16" s="289"/>
      <c r="BER16" s="289"/>
      <c r="BES16" s="289"/>
      <c r="BET16" s="289"/>
      <c r="BEU16" s="289"/>
      <c r="BEV16" s="289"/>
      <c r="BEW16" s="289"/>
      <c r="BEX16" s="289"/>
      <c r="BEY16" s="289"/>
      <c r="BEZ16" s="289"/>
      <c r="BFA16" s="289"/>
      <c r="BFB16" s="289"/>
      <c r="BFC16" s="289"/>
      <c r="BFD16" s="289"/>
      <c r="BFE16" s="289"/>
      <c r="BFF16" s="289"/>
      <c r="BFG16" s="289"/>
      <c r="BFH16" s="289"/>
      <c r="BFI16" s="289"/>
      <c r="BFJ16" s="289"/>
      <c r="BFK16" s="289"/>
      <c r="BFL16" s="289"/>
      <c r="BFM16" s="289"/>
      <c r="BFN16" s="289"/>
      <c r="BFO16" s="289"/>
      <c r="BFP16" s="289"/>
      <c r="BFQ16" s="289"/>
      <c r="BFR16" s="289"/>
      <c r="BFS16" s="289"/>
      <c r="BFT16" s="289"/>
      <c r="BFU16" s="289"/>
      <c r="BFV16" s="289"/>
      <c r="BFW16" s="289"/>
      <c r="BFX16" s="289"/>
      <c r="BFY16" s="289"/>
      <c r="BFZ16" s="289"/>
      <c r="BGA16" s="289"/>
      <c r="BGB16" s="289"/>
      <c r="BGC16" s="289"/>
      <c r="BGD16" s="289"/>
      <c r="BGE16" s="289"/>
      <c r="BGF16" s="289"/>
      <c r="BGG16" s="289"/>
      <c r="BGH16" s="289"/>
      <c r="BGI16" s="289"/>
      <c r="BGJ16" s="289"/>
      <c r="BGK16" s="289"/>
      <c r="BGL16" s="289"/>
      <c r="BGM16" s="289"/>
      <c r="BGN16" s="289"/>
      <c r="BGO16" s="289"/>
      <c r="BGP16" s="289"/>
      <c r="BGQ16" s="289"/>
      <c r="BGR16" s="289"/>
      <c r="BGS16" s="289"/>
      <c r="BGT16" s="289"/>
      <c r="BGU16" s="289"/>
      <c r="BGV16" s="289"/>
      <c r="BGW16" s="289"/>
      <c r="BGX16" s="289"/>
      <c r="BGY16" s="289"/>
      <c r="BGZ16" s="289"/>
      <c r="BHA16" s="289"/>
      <c r="BHB16" s="289"/>
      <c r="BHC16" s="289"/>
      <c r="BHD16" s="289"/>
      <c r="BHE16" s="289"/>
      <c r="BHF16" s="289"/>
      <c r="BHG16" s="289"/>
      <c r="BHH16" s="289"/>
      <c r="BHI16" s="289"/>
      <c r="BHJ16" s="289"/>
      <c r="BHK16" s="289"/>
      <c r="BHL16" s="289"/>
      <c r="BHM16" s="289"/>
      <c r="BHN16" s="289"/>
      <c r="BHO16" s="289"/>
      <c r="BHP16" s="289"/>
      <c r="BHQ16" s="289"/>
      <c r="BHR16" s="289"/>
      <c r="BHS16" s="289"/>
      <c r="BHT16" s="289"/>
      <c r="BHU16" s="289"/>
      <c r="BHV16" s="289"/>
      <c r="BHW16" s="289"/>
      <c r="BHX16" s="289"/>
      <c r="BHY16" s="289"/>
      <c r="BHZ16" s="289"/>
      <c r="BIA16" s="289"/>
      <c r="BIB16" s="289"/>
      <c r="BIC16" s="289"/>
      <c r="BID16" s="289"/>
      <c r="BIE16" s="289"/>
      <c r="BIF16" s="289"/>
      <c r="BIG16" s="289"/>
      <c r="BIH16" s="289"/>
      <c r="BII16" s="289"/>
      <c r="BIJ16" s="289"/>
      <c r="BIK16" s="289"/>
      <c r="BIL16" s="289"/>
      <c r="BIM16" s="289"/>
      <c r="BIN16" s="289"/>
      <c r="BIO16" s="289"/>
      <c r="BIP16" s="289"/>
      <c r="BIQ16" s="289"/>
      <c r="BIR16" s="289"/>
      <c r="BIS16" s="289"/>
      <c r="BIT16" s="289"/>
      <c r="BIU16" s="289"/>
      <c r="BIV16" s="289"/>
      <c r="BIW16" s="289"/>
      <c r="BIX16" s="289"/>
      <c r="BIY16" s="289"/>
      <c r="BIZ16" s="289"/>
      <c r="BJA16" s="289"/>
      <c r="BJB16" s="289"/>
      <c r="BJC16" s="289"/>
      <c r="BJD16" s="289"/>
      <c r="BJE16" s="289"/>
      <c r="BJF16" s="289"/>
      <c r="BJG16" s="289"/>
      <c r="BJH16" s="289"/>
      <c r="BJI16" s="289"/>
      <c r="BJJ16" s="289"/>
      <c r="BJK16" s="289"/>
      <c r="BJL16" s="289"/>
      <c r="BJM16" s="289"/>
      <c r="BJN16" s="289"/>
      <c r="BJO16" s="289"/>
      <c r="BJP16" s="289"/>
      <c r="BJQ16" s="289"/>
      <c r="BJR16" s="289"/>
      <c r="BJS16" s="289"/>
      <c r="BJT16" s="289"/>
      <c r="BJU16" s="289"/>
      <c r="BJV16" s="289"/>
      <c r="BJW16" s="289"/>
      <c r="BJX16" s="289"/>
      <c r="BJY16" s="289"/>
      <c r="BJZ16" s="289"/>
      <c r="BKA16" s="289"/>
      <c r="BKB16" s="289"/>
      <c r="BKC16" s="289"/>
      <c r="BKD16" s="289"/>
      <c r="BKE16" s="289"/>
      <c r="BKF16" s="289"/>
      <c r="BKG16" s="289"/>
      <c r="BKH16" s="289"/>
      <c r="BKI16" s="289"/>
      <c r="BKJ16" s="289"/>
      <c r="BKK16" s="289"/>
      <c r="BKL16" s="289"/>
      <c r="BKM16" s="289"/>
      <c r="BKN16" s="289"/>
      <c r="BKO16" s="289"/>
      <c r="BKP16" s="289"/>
      <c r="BKQ16" s="289"/>
      <c r="BKR16" s="289"/>
      <c r="BKS16" s="289"/>
      <c r="BKT16" s="289"/>
      <c r="BKU16" s="289"/>
      <c r="BKV16" s="289"/>
      <c r="BKW16" s="289"/>
      <c r="BKX16" s="289"/>
      <c r="BKY16" s="289"/>
      <c r="BKZ16" s="289"/>
      <c r="BLA16" s="289"/>
      <c r="BLB16" s="289"/>
      <c r="BLC16" s="289"/>
      <c r="BLD16" s="289"/>
      <c r="BLE16" s="289"/>
      <c r="BLF16" s="289"/>
      <c r="BLG16" s="289"/>
      <c r="BLH16" s="289"/>
      <c r="BLI16" s="289"/>
      <c r="BLJ16" s="289"/>
      <c r="BLK16" s="289"/>
      <c r="BLL16" s="289"/>
      <c r="BLM16" s="289"/>
      <c r="BLN16" s="289"/>
      <c r="BLO16" s="289"/>
      <c r="BLP16" s="289"/>
      <c r="BLQ16" s="289"/>
      <c r="BLR16" s="289"/>
      <c r="BLS16" s="289"/>
      <c r="BLT16" s="289"/>
      <c r="BLU16" s="289"/>
      <c r="BLV16" s="289"/>
      <c r="BLW16" s="289"/>
      <c r="BLX16" s="289"/>
      <c r="BLY16" s="289"/>
      <c r="BLZ16" s="289"/>
      <c r="BMA16" s="289"/>
      <c r="BMB16" s="289"/>
      <c r="BMC16" s="289"/>
      <c r="BMD16" s="289"/>
      <c r="BME16" s="289"/>
      <c r="BMF16" s="289"/>
      <c r="BMG16" s="289"/>
      <c r="BMH16" s="289"/>
      <c r="BMI16" s="289"/>
      <c r="BMJ16" s="289"/>
      <c r="BMK16" s="289"/>
      <c r="BML16" s="289"/>
      <c r="BMM16" s="289"/>
      <c r="BMN16" s="289"/>
      <c r="BMO16" s="289"/>
      <c r="BMP16" s="289"/>
      <c r="BMQ16" s="289"/>
      <c r="BMR16" s="289"/>
      <c r="BMS16" s="289"/>
      <c r="BMT16" s="289"/>
      <c r="BMU16" s="289"/>
      <c r="BMV16" s="289"/>
      <c r="BMW16" s="289"/>
      <c r="BMX16" s="289"/>
      <c r="BMY16" s="289"/>
      <c r="BMZ16" s="289"/>
      <c r="BNA16" s="289"/>
      <c r="BNB16" s="289"/>
      <c r="BNC16" s="289"/>
      <c r="BND16" s="289"/>
      <c r="BNE16" s="289"/>
      <c r="BNF16" s="289"/>
      <c r="BNG16" s="289"/>
      <c r="BNH16" s="289"/>
      <c r="BNI16" s="289"/>
      <c r="BNJ16" s="289"/>
      <c r="BNK16" s="289"/>
      <c r="BNL16" s="289"/>
      <c r="BNM16" s="289"/>
      <c r="BNN16" s="289"/>
      <c r="BNO16" s="289"/>
      <c r="BNP16" s="289"/>
      <c r="BNQ16" s="289"/>
      <c r="BNR16" s="289"/>
      <c r="BNS16" s="289"/>
      <c r="BNT16" s="289"/>
      <c r="BNU16" s="289"/>
      <c r="BNV16" s="289"/>
      <c r="BNW16" s="289"/>
      <c r="BNX16" s="289"/>
      <c r="BNY16" s="289"/>
      <c r="BNZ16" s="289"/>
      <c r="BOA16" s="289"/>
      <c r="BOB16" s="289"/>
      <c r="BOC16" s="289"/>
      <c r="BOD16" s="289"/>
      <c r="BOE16" s="289"/>
      <c r="BOF16" s="289"/>
      <c r="BOG16" s="289"/>
      <c r="BOH16" s="289"/>
      <c r="BOI16" s="289"/>
      <c r="BOJ16" s="289"/>
      <c r="BOK16" s="289"/>
      <c r="BOL16" s="289"/>
      <c r="BOM16" s="289"/>
      <c r="BON16" s="289"/>
      <c r="BOO16" s="289"/>
      <c r="BOP16" s="289"/>
      <c r="BOQ16" s="289"/>
      <c r="BOR16" s="289"/>
      <c r="BOS16" s="289"/>
      <c r="BOT16" s="289"/>
      <c r="BOU16" s="289"/>
      <c r="BOV16" s="289"/>
      <c r="BOW16" s="289"/>
      <c r="BOX16" s="289"/>
      <c r="BOY16" s="289"/>
      <c r="BOZ16" s="289"/>
      <c r="BPA16" s="289"/>
      <c r="BPB16" s="289"/>
      <c r="BPC16" s="289"/>
      <c r="BPD16" s="289"/>
      <c r="BPE16" s="289"/>
      <c r="BPF16" s="289"/>
      <c r="BPG16" s="289"/>
      <c r="BPH16" s="289"/>
      <c r="BPI16" s="289"/>
      <c r="BPJ16" s="289"/>
      <c r="BPK16" s="289"/>
      <c r="BPL16" s="289"/>
      <c r="BPM16" s="289"/>
      <c r="BPN16" s="289"/>
      <c r="BPO16" s="289"/>
      <c r="BPP16" s="289"/>
      <c r="BPQ16" s="289"/>
      <c r="BPR16" s="289"/>
      <c r="BPS16" s="289"/>
      <c r="BPT16" s="289"/>
      <c r="BPU16" s="289"/>
      <c r="BPV16" s="289"/>
      <c r="BPW16" s="289"/>
      <c r="BPX16" s="289"/>
      <c r="BPY16" s="289"/>
      <c r="BPZ16" s="289"/>
      <c r="BQA16" s="289"/>
      <c r="BQB16" s="289"/>
      <c r="BQC16" s="289"/>
      <c r="BQD16" s="289"/>
      <c r="BQE16" s="289"/>
      <c r="BQF16" s="289"/>
      <c r="BQG16" s="289"/>
      <c r="BQH16" s="289"/>
      <c r="BQI16" s="289"/>
      <c r="BQJ16" s="289"/>
      <c r="BQK16" s="289"/>
      <c r="BQL16" s="289"/>
      <c r="BQM16" s="289"/>
      <c r="BQN16" s="289"/>
      <c r="BQO16" s="289"/>
      <c r="BQP16" s="289"/>
      <c r="BQQ16" s="289"/>
      <c r="BQR16" s="289"/>
      <c r="BQS16" s="289"/>
      <c r="BQT16" s="289"/>
      <c r="BQU16" s="289"/>
      <c r="BQV16" s="289"/>
      <c r="BQW16" s="289"/>
      <c r="BQX16" s="289"/>
      <c r="BQY16" s="289"/>
      <c r="BQZ16" s="289"/>
      <c r="BRA16" s="289"/>
      <c r="BRB16" s="289"/>
      <c r="BRC16" s="289"/>
      <c r="BRD16" s="289"/>
      <c r="BRE16" s="289"/>
      <c r="BRF16" s="289"/>
      <c r="BRG16" s="289"/>
      <c r="BRH16" s="289"/>
      <c r="BRI16" s="289"/>
      <c r="BRJ16" s="289"/>
      <c r="BRK16" s="289"/>
      <c r="BRL16" s="289"/>
      <c r="BRM16" s="289"/>
      <c r="BRN16" s="289"/>
      <c r="BRO16" s="289"/>
      <c r="BRP16" s="289"/>
      <c r="BRQ16" s="289"/>
      <c r="BRR16" s="289"/>
      <c r="BRS16" s="289"/>
      <c r="BRT16" s="289"/>
      <c r="BRU16" s="289"/>
      <c r="BRV16" s="289"/>
      <c r="BRW16" s="289"/>
      <c r="BRX16" s="289"/>
      <c r="BRY16" s="289"/>
      <c r="BRZ16" s="289"/>
      <c r="BSA16" s="289"/>
      <c r="BSB16" s="289"/>
      <c r="BSC16" s="289"/>
      <c r="BSD16" s="289"/>
      <c r="BSE16" s="289"/>
      <c r="BSF16" s="289"/>
      <c r="BSG16" s="289"/>
      <c r="BSH16" s="289"/>
      <c r="BSI16" s="289"/>
      <c r="BSJ16" s="289"/>
      <c r="BSK16" s="289"/>
      <c r="BSL16" s="289"/>
      <c r="BSM16" s="289"/>
      <c r="BSN16" s="289"/>
      <c r="BSO16" s="289"/>
      <c r="BSP16" s="289"/>
      <c r="BSQ16" s="289"/>
      <c r="BSR16" s="289"/>
      <c r="BSS16" s="289"/>
      <c r="BST16" s="289"/>
      <c r="BSU16" s="289"/>
      <c r="BSV16" s="289"/>
      <c r="BSW16" s="289"/>
      <c r="BSX16" s="289"/>
      <c r="BSY16" s="289"/>
      <c r="BSZ16" s="289"/>
      <c r="BTA16" s="289"/>
      <c r="BTB16" s="289"/>
      <c r="BTC16" s="289"/>
      <c r="BTD16" s="289"/>
      <c r="BTE16" s="289"/>
      <c r="BTF16" s="289"/>
      <c r="BTG16" s="289"/>
      <c r="BTH16" s="289"/>
      <c r="BTI16" s="289"/>
      <c r="BTJ16" s="289"/>
      <c r="BTK16" s="289"/>
      <c r="BTL16" s="289"/>
      <c r="BTM16" s="289"/>
      <c r="BTN16" s="289"/>
      <c r="BTO16" s="289"/>
      <c r="BTP16" s="289"/>
      <c r="BTQ16" s="289"/>
      <c r="BTR16" s="289"/>
      <c r="BTS16" s="289"/>
      <c r="BTT16" s="289"/>
      <c r="BTU16" s="289"/>
      <c r="BTV16" s="289"/>
      <c r="BTW16" s="289"/>
      <c r="BTX16" s="289"/>
      <c r="BTY16" s="289"/>
      <c r="BTZ16" s="289"/>
      <c r="BUA16" s="289"/>
      <c r="BUB16" s="289"/>
      <c r="BUC16" s="289"/>
      <c r="BUD16" s="289"/>
      <c r="BUE16" s="289"/>
      <c r="BUF16" s="289"/>
      <c r="BUG16" s="289"/>
      <c r="BUH16" s="289"/>
      <c r="BUI16" s="289"/>
      <c r="BUJ16" s="289"/>
      <c r="BUK16" s="289"/>
      <c r="BUL16" s="289"/>
      <c r="BUM16" s="289"/>
      <c r="BUN16" s="289"/>
      <c r="BUO16" s="289"/>
      <c r="BUP16" s="289"/>
      <c r="BUQ16" s="289"/>
      <c r="BUR16" s="289"/>
      <c r="BUS16" s="289"/>
      <c r="BUT16" s="289"/>
      <c r="BUU16" s="289"/>
      <c r="BUV16" s="289"/>
      <c r="BUW16" s="289"/>
      <c r="BUX16" s="289"/>
      <c r="BUY16" s="289"/>
      <c r="BUZ16" s="289"/>
      <c r="BVA16" s="289"/>
      <c r="BVB16" s="289"/>
      <c r="BVC16" s="289"/>
      <c r="BVD16" s="289"/>
      <c r="BVE16" s="289"/>
      <c r="BVF16" s="289"/>
      <c r="BVG16" s="289"/>
      <c r="BVH16" s="289"/>
      <c r="BVI16" s="289"/>
      <c r="BVJ16" s="289"/>
      <c r="BVK16" s="289"/>
      <c r="BVL16" s="289"/>
      <c r="BVM16" s="289"/>
      <c r="BVN16" s="289"/>
      <c r="BVO16" s="289"/>
      <c r="BVP16" s="289"/>
      <c r="BVQ16" s="289"/>
      <c r="BVR16" s="289"/>
      <c r="BVS16" s="289"/>
      <c r="BVT16" s="289"/>
      <c r="BVU16" s="289"/>
      <c r="BVV16" s="289"/>
      <c r="BVW16" s="289"/>
      <c r="BVX16" s="289"/>
      <c r="BVY16" s="289"/>
      <c r="BVZ16" s="289"/>
      <c r="BWA16" s="289"/>
      <c r="BWB16" s="289"/>
      <c r="BWC16" s="289"/>
      <c r="BWD16" s="289"/>
      <c r="BWE16" s="289"/>
      <c r="BWF16" s="289"/>
      <c r="BWG16" s="289"/>
      <c r="BWH16" s="289"/>
      <c r="BWI16" s="289"/>
      <c r="BWJ16" s="289"/>
      <c r="BWK16" s="289"/>
      <c r="BWL16" s="289"/>
      <c r="BWM16" s="289"/>
      <c r="BWN16" s="289"/>
      <c r="BWO16" s="289"/>
      <c r="BWP16" s="289"/>
      <c r="BWQ16" s="289"/>
      <c r="BWR16" s="289"/>
      <c r="BWS16" s="289"/>
      <c r="BWT16" s="289"/>
      <c r="BWU16" s="289"/>
      <c r="BWV16" s="289"/>
      <c r="BWW16" s="289"/>
      <c r="BWX16" s="289"/>
      <c r="BWY16" s="289"/>
      <c r="BWZ16" s="289"/>
      <c r="BXA16" s="289"/>
      <c r="BXB16" s="289"/>
      <c r="BXC16" s="289"/>
      <c r="BXD16" s="289"/>
      <c r="BXE16" s="289"/>
      <c r="BXF16" s="289"/>
      <c r="BXG16" s="289"/>
      <c r="BXH16" s="289"/>
      <c r="BXI16" s="289"/>
      <c r="BXJ16" s="289"/>
      <c r="BXK16" s="289"/>
      <c r="BXL16" s="289"/>
      <c r="BXM16" s="289"/>
      <c r="BXN16" s="289"/>
      <c r="BXO16" s="289"/>
      <c r="BXP16" s="289"/>
      <c r="BXQ16" s="289"/>
      <c r="BXR16" s="289"/>
      <c r="BXS16" s="289"/>
      <c r="BXT16" s="289"/>
      <c r="BXU16" s="289"/>
      <c r="BXV16" s="289"/>
      <c r="BXW16" s="289"/>
      <c r="BXX16" s="289"/>
      <c r="BXY16" s="289"/>
      <c r="BXZ16" s="289"/>
      <c r="BYA16" s="289"/>
      <c r="BYB16" s="289"/>
      <c r="BYC16" s="289"/>
      <c r="BYD16" s="289"/>
      <c r="BYE16" s="289"/>
      <c r="BYF16" s="289"/>
      <c r="BYG16" s="289"/>
      <c r="BYH16" s="289"/>
      <c r="BYI16" s="289"/>
      <c r="BYJ16" s="289"/>
      <c r="BYK16" s="289"/>
      <c r="BYL16" s="289"/>
      <c r="BYM16" s="289"/>
      <c r="BYN16" s="289"/>
      <c r="BYO16" s="289"/>
      <c r="BYP16" s="289"/>
      <c r="BYQ16" s="289"/>
      <c r="BYR16" s="289"/>
      <c r="BYS16" s="289"/>
      <c r="BYT16" s="289"/>
      <c r="BYU16" s="289"/>
      <c r="BYV16" s="289"/>
      <c r="BYW16" s="289"/>
      <c r="BYX16" s="289"/>
      <c r="BYY16" s="289"/>
      <c r="BYZ16" s="289"/>
      <c r="BZA16" s="289"/>
      <c r="BZB16" s="289"/>
      <c r="BZC16" s="289"/>
      <c r="BZD16" s="289"/>
      <c r="BZE16" s="289"/>
      <c r="BZF16" s="289"/>
      <c r="BZG16" s="289"/>
      <c r="BZH16" s="289"/>
      <c r="BZI16" s="289"/>
      <c r="BZJ16" s="289"/>
      <c r="BZK16" s="289"/>
      <c r="BZL16" s="289"/>
      <c r="BZM16" s="289"/>
      <c r="BZN16" s="289"/>
      <c r="BZO16" s="289"/>
      <c r="BZP16" s="289"/>
      <c r="BZQ16" s="289"/>
      <c r="BZR16" s="289"/>
      <c r="BZS16" s="289"/>
      <c r="BZT16" s="289"/>
      <c r="BZU16" s="289"/>
      <c r="BZV16" s="289"/>
      <c r="BZW16" s="289"/>
      <c r="BZX16" s="289"/>
      <c r="BZY16" s="289"/>
      <c r="BZZ16" s="289"/>
      <c r="CAA16" s="289"/>
      <c r="CAB16" s="289"/>
      <c r="CAC16" s="289"/>
      <c r="CAD16" s="289"/>
      <c r="CAE16" s="289"/>
      <c r="CAF16" s="289"/>
      <c r="CAG16" s="289"/>
      <c r="CAH16" s="289"/>
      <c r="CAI16" s="289"/>
      <c r="CAJ16" s="289"/>
      <c r="CAK16" s="289"/>
      <c r="CAL16" s="289"/>
      <c r="CAM16" s="289"/>
      <c r="CAN16" s="289"/>
      <c r="CAO16" s="289"/>
      <c r="CAP16" s="289"/>
      <c r="CAQ16" s="289"/>
      <c r="CAR16" s="289"/>
      <c r="CAS16" s="289"/>
      <c r="CAT16" s="289"/>
      <c r="CAU16" s="289"/>
      <c r="CAV16" s="289"/>
      <c r="CAW16" s="289"/>
      <c r="CAX16" s="289"/>
      <c r="CAY16" s="289"/>
      <c r="CAZ16" s="289"/>
      <c r="CBA16" s="289"/>
      <c r="CBB16" s="289"/>
      <c r="CBC16" s="289"/>
      <c r="CBD16" s="289"/>
      <c r="CBE16" s="289"/>
      <c r="CBF16" s="289"/>
      <c r="CBG16" s="289"/>
      <c r="CBH16" s="289"/>
      <c r="CBI16" s="289"/>
      <c r="CBJ16" s="289"/>
      <c r="CBK16" s="289"/>
      <c r="CBL16" s="289"/>
      <c r="CBM16" s="289"/>
      <c r="CBN16" s="289"/>
      <c r="CBO16" s="289"/>
      <c r="CBP16" s="289"/>
      <c r="CBQ16" s="289"/>
      <c r="CBR16" s="289"/>
      <c r="CBS16" s="289"/>
      <c r="CBT16" s="289"/>
      <c r="CBU16" s="289"/>
      <c r="CBV16" s="289"/>
      <c r="CBW16" s="289"/>
      <c r="CBX16" s="289"/>
      <c r="CBY16" s="289"/>
      <c r="CBZ16" s="289"/>
      <c r="CCA16" s="289"/>
      <c r="CCB16" s="289"/>
      <c r="CCC16" s="289"/>
      <c r="CCD16" s="289"/>
      <c r="CCE16" s="289"/>
      <c r="CCF16" s="289"/>
      <c r="CCG16" s="289"/>
      <c r="CCH16" s="289"/>
      <c r="CCI16" s="289"/>
      <c r="CCJ16" s="289"/>
      <c r="CCK16" s="289"/>
      <c r="CCL16" s="289"/>
      <c r="CCM16" s="289"/>
      <c r="CCN16" s="289"/>
      <c r="CCO16" s="289"/>
      <c r="CCP16" s="289"/>
      <c r="CCQ16" s="289"/>
      <c r="CCR16" s="289"/>
      <c r="CCS16" s="289"/>
      <c r="CCT16" s="289"/>
      <c r="CCU16" s="289"/>
      <c r="CCV16" s="289"/>
      <c r="CCW16" s="289"/>
      <c r="CCX16" s="289"/>
      <c r="CCY16" s="289"/>
      <c r="CCZ16" s="289"/>
      <c r="CDA16" s="289"/>
      <c r="CDB16" s="289"/>
      <c r="CDC16" s="289"/>
      <c r="CDD16" s="289"/>
      <c r="CDE16" s="289"/>
      <c r="CDF16" s="289"/>
      <c r="CDG16" s="289"/>
      <c r="CDH16" s="289"/>
      <c r="CDI16" s="289"/>
      <c r="CDJ16" s="289"/>
      <c r="CDK16" s="289"/>
      <c r="CDL16" s="289"/>
      <c r="CDM16" s="289"/>
      <c r="CDN16" s="289"/>
      <c r="CDO16" s="289"/>
      <c r="CDP16" s="289"/>
      <c r="CDQ16" s="289"/>
      <c r="CDR16" s="289"/>
      <c r="CDS16" s="289"/>
      <c r="CDT16" s="289"/>
      <c r="CDU16" s="289"/>
      <c r="CDV16" s="289"/>
      <c r="CDW16" s="289"/>
      <c r="CDX16" s="289"/>
      <c r="CDY16" s="289"/>
      <c r="CDZ16" s="289"/>
      <c r="CEA16" s="289"/>
      <c r="CEB16" s="289"/>
      <c r="CEC16" s="289"/>
      <c r="CED16" s="289"/>
      <c r="CEE16" s="289"/>
      <c r="CEF16" s="289"/>
      <c r="CEG16" s="289"/>
      <c r="CEH16" s="289"/>
      <c r="CEI16" s="289"/>
      <c r="CEJ16" s="289"/>
      <c r="CEK16" s="289"/>
      <c r="CEL16" s="289"/>
      <c r="CEM16" s="289"/>
      <c r="CEN16" s="289"/>
      <c r="CEO16" s="289"/>
      <c r="CEP16" s="289"/>
      <c r="CEQ16" s="289"/>
      <c r="CER16" s="289"/>
      <c r="CES16" s="289"/>
      <c r="CET16" s="289"/>
      <c r="CEU16" s="289"/>
      <c r="CEV16" s="289"/>
      <c r="CEW16" s="289"/>
      <c r="CEX16" s="289"/>
      <c r="CEY16" s="289"/>
      <c r="CEZ16" s="289"/>
      <c r="CFA16" s="289"/>
      <c r="CFB16" s="289"/>
      <c r="CFC16" s="289"/>
      <c r="CFD16" s="289"/>
      <c r="CFE16" s="289"/>
      <c r="CFF16" s="289"/>
      <c r="CFG16" s="289"/>
      <c r="CFH16" s="289"/>
      <c r="CFI16" s="289"/>
      <c r="CFJ16" s="289"/>
      <c r="CFK16" s="289"/>
      <c r="CFL16" s="289"/>
      <c r="CFM16" s="289"/>
      <c r="CFN16" s="289"/>
      <c r="CFO16" s="289"/>
      <c r="CFP16" s="289"/>
      <c r="CFQ16" s="289"/>
      <c r="CFR16" s="289"/>
      <c r="CFS16" s="289"/>
      <c r="CFT16" s="289"/>
      <c r="CFU16" s="289"/>
      <c r="CFV16" s="289"/>
      <c r="CFW16" s="289"/>
      <c r="CFX16" s="289"/>
      <c r="CFY16" s="289"/>
      <c r="CFZ16" s="289"/>
      <c r="CGA16" s="289"/>
      <c r="CGB16" s="289"/>
      <c r="CGC16" s="289"/>
      <c r="CGD16" s="289"/>
      <c r="CGE16" s="289"/>
      <c r="CGF16" s="289"/>
      <c r="CGG16" s="289"/>
      <c r="CGH16" s="289"/>
      <c r="CGI16" s="289"/>
      <c r="CGJ16" s="289"/>
      <c r="CGK16" s="289"/>
      <c r="CGL16" s="289"/>
      <c r="CGM16" s="289"/>
      <c r="CGN16" s="289"/>
      <c r="CGO16" s="289"/>
      <c r="CGP16" s="289"/>
      <c r="CGQ16" s="289"/>
      <c r="CGR16" s="289"/>
      <c r="CGS16" s="289"/>
      <c r="CGT16" s="289"/>
      <c r="CGU16" s="289"/>
      <c r="CGV16" s="289"/>
      <c r="CGW16" s="289"/>
      <c r="CGX16" s="289"/>
      <c r="CGY16" s="289"/>
      <c r="CGZ16" s="289"/>
      <c r="CHA16" s="289"/>
      <c r="CHB16" s="289"/>
      <c r="CHC16" s="289"/>
      <c r="CHD16" s="289"/>
      <c r="CHE16" s="289"/>
      <c r="CHF16" s="289"/>
      <c r="CHG16" s="289"/>
      <c r="CHH16" s="289"/>
      <c r="CHI16" s="289"/>
      <c r="CHJ16" s="289"/>
      <c r="CHK16" s="289"/>
      <c r="CHL16" s="289"/>
      <c r="CHM16" s="289"/>
      <c r="CHN16" s="289"/>
      <c r="CHO16" s="289"/>
      <c r="CHP16" s="289"/>
      <c r="CHQ16" s="289"/>
      <c r="CHR16" s="289"/>
      <c r="CHS16" s="289"/>
      <c r="CHT16" s="289"/>
      <c r="CHU16" s="289"/>
      <c r="CHV16" s="289"/>
      <c r="CHW16" s="289"/>
      <c r="CHX16" s="289"/>
      <c r="CHY16" s="289"/>
      <c r="CHZ16" s="289"/>
      <c r="CIA16" s="289"/>
      <c r="CIB16" s="289"/>
      <c r="CIC16" s="289"/>
      <c r="CID16" s="289"/>
      <c r="CIE16" s="289"/>
      <c r="CIF16" s="289"/>
      <c r="CIG16" s="289"/>
      <c r="CIH16" s="289"/>
      <c r="CII16" s="289"/>
      <c r="CIJ16" s="289"/>
      <c r="CIK16" s="289"/>
      <c r="CIL16" s="289"/>
      <c r="CIM16" s="289"/>
      <c r="CIN16" s="289"/>
      <c r="CIO16" s="289"/>
      <c r="CIP16" s="289"/>
      <c r="CIQ16" s="289"/>
      <c r="CIR16" s="289"/>
      <c r="CIS16" s="289"/>
      <c r="CIT16" s="289"/>
      <c r="CIU16" s="289"/>
      <c r="CIV16" s="289"/>
      <c r="CIW16" s="289"/>
      <c r="CIX16" s="289"/>
      <c r="CIY16" s="289"/>
      <c r="CIZ16" s="289"/>
      <c r="CJA16" s="289"/>
      <c r="CJB16" s="289"/>
      <c r="CJC16" s="289"/>
      <c r="CJD16" s="289"/>
      <c r="CJE16" s="289"/>
      <c r="CJF16" s="289"/>
      <c r="CJG16" s="289"/>
      <c r="CJH16" s="289"/>
      <c r="CJI16" s="289"/>
      <c r="CJJ16" s="289"/>
      <c r="CJK16" s="289"/>
      <c r="CJL16" s="289"/>
      <c r="CJM16" s="289"/>
      <c r="CJN16" s="289"/>
      <c r="CJO16" s="289"/>
      <c r="CJP16" s="289"/>
      <c r="CJQ16" s="289"/>
      <c r="CJR16" s="289"/>
      <c r="CJS16" s="289"/>
      <c r="CJT16" s="289"/>
      <c r="CJU16" s="289"/>
      <c r="CJV16" s="289"/>
      <c r="CJW16" s="289"/>
      <c r="CJX16" s="289"/>
      <c r="CJY16" s="289"/>
      <c r="CJZ16" s="289"/>
      <c r="CKA16" s="289"/>
      <c r="CKB16" s="289"/>
      <c r="CKC16" s="289"/>
      <c r="CKD16" s="289"/>
      <c r="CKE16" s="289"/>
      <c r="CKF16" s="289"/>
      <c r="CKG16" s="289"/>
      <c r="CKH16" s="289"/>
      <c r="CKI16" s="289"/>
      <c r="CKJ16" s="289"/>
      <c r="CKK16" s="289"/>
      <c r="CKL16" s="289"/>
      <c r="CKM16" s="289"/>
      <c r="CKN16" s="289"/>
      <c r="CKO16" s="289"/>
      <c r="CKP16" s="289"/>
      <c r="CKQ16" s="289"/>
      <c r="CKR16" s="289"/>
      <c r="CKS16" s="289"/>
      <c r="CKT16" s="289"/>
      <c r="CKU16" s="289"/>
      <c r="CKV16" s="289"/>
      <c r="CKW16" s="289"/>
      <c r="CKX16" s="289"/>
      <c r="CKY16" s="289"/>
      <c r="CKZ16" s="289"/>
      <c r="CLA16" s="289"/>
      <c r="CLB16" s="289"/>
      <c r="CLC16" s="289"/>
      <c r="CLD16" s="289"/>
      <c r="CLE16" s="289"/>
      <c r="CLF16" s="289"/>
      <c r="CLG16" s="289"/>
      <c r="CLH16" s="289"/>
      <c r="CLI16" s="289"/>
      <c r="CLJ16" s="289"/>
      <c r="CLK16" s="289"/>
      <c r="CLL16" s="289"/>
      <c r="CLM16" s="289"/>
      <c r="CLN16" s="289"/>
      <c r="CLO16" s="289"/>
      <c r="CLP16" s="289"/>
      <c r="CLQ16" s="289"/>
      <c r="CLR16" s="289"/>
      <c r="CLS16" s="289"/>
      <c r="CLT16" s="289"/>
      <c r="CLU16" s="289"/>
      <c r="CLV16" s="289"/>
      <c r="CLW16" s="289"/>
      <c r="CLX16" s="289"/>
      <c r="CLY16" s="289"/>
      <c r="CLZ16" s="289"/>
      <c r="CMA16" s="289"/>
      <c r="CMB16" s="289"/>
      <c r="CMC16" s="289"/>
      <c r="CMD16" s="289"/>
      <c r="CME16" s="289"/>
      <c r="CMF16" s="289"/>
      <c r="CMG16" s="289"/>
      <c r="CMH16" s="289"/>
      <c r="CMI16" s="289"/>
      <c r="CMJ16" s="289"/>
      <c r="CMK16" s="289"/>
      <c r="CML16" s="289"/>
      <c r="CMM16" s="289"/>
      <c r="CMN16" s="289"/>
      <c r="CMO16" s="289"/>
      <c r="CMP16" s="289"/>
      <c r="CMQ16" s="289"/>
      <c r="CMR16" s="289"/>
      <c r="CMS16" s="289"/>
      <c r="CMT16" s="289"/>
      <c r="CMU16" s="289"/>
      <c r="CMV16" s="289"/>
      <c r="CMW16" s="289"/>
      <c r="CMX16" s="289"/>
      <c r="CMY16" s="289"/>
      <c r="CMZ16" s="289"/>
      <c r="CNA16" s="289"/>
      <c r="CNB16" s="289"/>
      <c r="CNC16" s="289"/>
      <c r="CND16" s="289"/>
      <c r="CNE16" s="289"/>
      <c r="CNF16" s="289"/>
      <c r="CNG16" s="289"/>
      <c r="CNH16" s="289"/>
      <c r="CNI16" s="289"/>
      <c r="CNJ16" s="289"/>
      <c r="CNK16" s="289"/>
      <c r="CNL16" s="289"/>
      <c r="CNM16" s="289"/>
      <c r="CNN16" s="289"/>
      <c r="CNO16" s="289"/>
      <c r="CNP16" s="289"/>
      <c r="CNQ16" s="289"/>
      <c r="CNR16" s="289"/>
      <c r="CNS16" s="289"/>
      <c r="CNT16" s="289"/>
      <c r="CNU16" s="289"/>
      <c r="CNV16" s="289"/>
      <c r="CNW16" s="289"/>
      <c r="CNX16" s="289"/>
      <c r="CNY16" s="289"/>
      <c r="CNZ16" s="289"/>
      <c r="COA16" s="289"/>
      <c r="COB16" s="289"/>
      <c r="COC16" s="289"/>
      <c r="COD16" s="289"/>
      <c r="COE16" s="289"/>
      <c r="COF16" s="289"/>
      <c r="COG16" s="289"/>
      <c r="COH16" s="289"/>
      <c r="COI16" s="289"/>
      <c r="COJ16" s="289"/>
      <c r="COK16" s="289"/>
      <c r="COL16" s="289"/>
      <c r="COM16" s="289"/>
      <c r="CON16" s="289"/>
      <c r="COO16" s="289"/>
      <c r="COP16" s="289"/>
      <c r="COQ16" s="289"/>
      <c r="COR16" s="289"/>
      <c r="COS16" s="289"/>
      <c r="COT16" s="289"/>
      <c r="COU16" s="289"/>
      <c r="COV16" s="289"/>
      <c r="COW16" s="289"/>
      <c r="COX16" s="289"/>
      <c r="COY16" s="289"/>
      <c r="COZ16" s="289"/>
      <c r="CPA16" s="289"/>
      <c r="CPB16" s="289"/>
      <c r="CPC16" s="289"/>
      <c r="CPD16" s="289"/>
      <c r="CPE16" s="289"/>
      <c r="CPF16" s="289"/>
      <c r="CPG16" s="289"/>
      <c r="CPH16" s="289"/>
      <c r="CPI16" s="289"/>
      <c r="CPJ16" s="289"/>
      <c r="CPK16" s="289"/>
      <c r="CPL16" s="289"/>
      <c r="CPM16" s="289"/>
      <c r="CPN16" s="289"/>
      <c r="CPO16" s="289"/>
      <c r="CPP16" s="289"/>
      <c r="CPQ16" s="289"/>
      <c r="CPR16" s="289"/>
      <c r="CPS16" s="289"/>
      <c r="CPT16" s="289"/>
      <c r="CPU16" s="289"/>
      <c r="CPV16" s="289"/>
      <c r="CPW16" s="289"/>
      <c r="CPX16" s="289"/>
      <c r="CPY16" s="289"/>
      <c r="CPZ16" s="289"/>
      <c r="CQA16" s="289"/>
      <c r="CQB16" s="289"/>
      <c r="CQC16" s="289"/>
      <c r="CQD16" s="289"/>
      <c r="CQE16" s="289"/>
      <c r="CQF16" s="289"/>
      <c r="CQG16" s="289"/>
      <c r="CQH16" s="289"/>
      <c r="CQI16" s="289"/>
      <c r="CQJ16" s="289"/>
      <c r="CQK16" s="289"/>
      <c r="CQL16" s="289"/>
      <c r="CQM16" s="289"/>
      <c r="CQN16" s="289"/>
      <c r="CQO16" s="289"/>
      <c r="CQP16" s="289"/>
      <c r="CQQ16" s="289"/>
      <c r="CQR16" s="289"/>
      <c r="CQS16" s="289"/>
      <c r="CQT16" s="289"/>
      <c r="CQU16" s="289"/>
      <c r="CQV16" s="289"/>
      <c r="CQW16" s="289"/>
      <c r="CQX16" s="289"/>
      <c r="CQY16" s="289"/>
      <c r="CQZ16" s="289"/>
      <c r="CRA16" s="289"/>
      <c r="CRB16" s="289"/>
      <c r="CRC16" s="289"/>
      <c r="CRD16" s="289"/>
      <c r="CRE16" s="289"/>
      <c r="CRF16" s="289"/>
      <c r="CRG16" s="289"/>
      <c r="CRH16" s="289"/>
      <c r="CRI16" s="289"/>
      <c r="CRJ16" s="289"/>
      <c r="CRK16" s="289"/>
      <c r="CRL16" s="289"/>
      <c r="CRM16" s="289"/>
      <c r="CRN16" s="289"/>
      <c r="CRO16" s="289"/>
      <c r="CRP16" s="289"/>
      <c r="CRQ16" s="289"/>
      <c r="CRR16" s="289"/>
      <c r="CRS16" s="289"/>
      <c r="CRT16" s="289"/>
      <c r="CRU16" s="289"/>
      <c r="CRV16" s="289"/>
      <c r="CRW16" s="289"/>
      <c r="CRX16" s="289"/>
      <c r="CRY16" s="289"/>
      <c r="CRZ16" s="289"/>
      <c r="CSA16" s="289"/>
      <c r="CSB16" s="289"/>
      <c r="CSC16" s="289"/>
      <c r="CSD16" s="289"/>
      <c r="CSE16" s="289"/>
      <c r="CSF16" s="289"/>
      <c r="CSG16" s="289"/>
      <c r="CSH16" s="289"/>
      <c r="CSI16" s="289"/>
      <c r="CSJ16" s="289"/>
      <c r="CSK16" s="289"/>
      <c r="CSL16" s="289"/>
      <c r="CSM16" s="289"/>
      <c r="CSN16" s="289"/>
      <c r="CSO16" s="289"/>
      <c r="CSP16" s="289"/>
      <c r="CSQ16" s="289"/>
      <c r="CSR16" s="289"/>
      <c r="CSS16" s="289"/>
      <c r="CST16" s="289"/>
      <c r="CSU16" s="289"/>
      <c r="CSV16" s="289"/>
      <c r="CSW16" s="289"/>
      <c r="CSX16" s="289"/>
      <c r="CSY16" s="289"/>
      <c r="CSZ16" s="289"/>
      <c r="CTA16" s="289"/>
      <c r="CTB16" s="289"/>
      <c r="CTC16" s="289"/>
      <c r="CTD16" s="289"/>
      <c r="CTE16" s="289"/>
      <c r="CTF16" s="289"/>
      <c r="CTG16" s="289"/>
      <c r="CTH16" s="289"/>
      <c r="CTI16" s="289"/>
      <c r="CTJ16" s="289"/>
      <c r="CTK16" s="289"/>
      <c r="CTL16" s="289"/>
      <c r="CTM16" s="289"/>
      <c r="CTN16" s="289"/>
      <c r="CTO16" s="289"/>
      <c r="CTP16" s="289"/>
      <c r="CTQ16" s="289"/>
      <c r="CTR16" s="289"/>
      <c r="CTS16" s="289"/>
      <c r="CTT16" s="289"/>
      <c r="CTU16" s="289"/>
      <c r="CTV16" s="289"/>
      <c r="CTW16" s="289"/>
      <c r="CTX16" s="289"/>
      <c r="CTY16" s="289"/>
      <c r="CTZ16" s="289"/>
      <c r="CUA16" s="289"/>
      <c r="CUB16" s="289"/>
      <c r="CUC16" s="289"/>
      <c r="CUD16" s="289"/>
      <c r="CUE16" s="289"/>
      <c r="CUF16" s="289"/>
      <c r="CUG16" s="289"/>
      <c r="CUH16" s="289"/>
      <c r="CUI16" s="289"/>
      <c r="CUJ16" s="289"/>
      <c r="CUK16" s="289"/>
      <c r="CUL16" s="289"/>
      <c r="CUM16" s="289"/>
      <c r="CUN16" s="289"/>
      <c r="CUO16" s="289"/>
      <c r="CUP16" s="289"/>
      <c r="CUQ16" s="289"/>
      <c r="CUR16" s="289"/>
      <c r="CUS16" s="289"/>
      <c r="CUT16" s="289"/>
      <c r="CUU16" s="289"/>
      <c r="CUV16" s="289"/>
      <c r="CUW16" s="289"/>
      <c r="CUX16" s="289"/>
      <c r="CUY16" s="289"/>
      <c r="CUZ16" s="289"/>
      <c r="CVA16" s="289"/>
      <c r="CVB16" s="289"/>
      <c r="CVC16" s="289"/>
      <c r="CVD16" s="289"/>
      <c r="CVE16" s="289"/>
      <c r="CVF16" s="289"/>
      <c r="CVG16" s="289"/>
      <c r="CVH16" s="289"/>
      <c r="CVI16" s="289"/>
      <c r="CVJ16" s="289"/>
      <c r="CVK16" s="289"/>
      <c r="CVL16" s="289"/>
      <c r="CVM16" s="289"/>
      <c r="CVN16" s="289"/>
      <c r="CVO16" s="289"/>
      <c r="CVP16" s="289"/>
      <c r="CVQ16" s="289"/>
      <c r="CVR16" s="289"/>
      <c r="CVS16" s="289"/>
      <c r="CVT16" s="289"/>
      <c r="CVU16" s="289"/>
      <c r="CVV16" s="289"/>
      <c r="CVW16" s="289"/>
      <c r="CVX16" s="289"/>
      <c r="CVY16" s="289"/>
      <c r="CVZ16" s="289"/>
      <c r="CWA16" s="289"/>
      <c r="CWB16" s="289"/>
      <c r="CWC16" s="289"/>
      <c r="CWD16" s="289"/>
      <c r="CWE16" s="289"/>
      <c r="CWF16" s="289"/>
      <c r="CWG16" s="289"/>
      <c r="CWH16" s="289"/>
      <c r="CWI16" s="289"/>
      <c r="CWJ16" s="289"/>
      <c r="CWK16" s="289"/>
      <c r="CWL16" s="289"/>
      <c r="CWM16" s="289"/>
      <c r="CWN16" s="289"/>
      <c r="CWO16" s="289"/>
      <c r="CWP16" s="289"/>
      <c r="CWQ16" s="289"/>
      <c r="CWR16" s="289"/>
      <c r="CWS16" s="289"/>
      <c r="CWT16" s="289"/>
      <c r="CWU16" s="289"/>
      <c r="CWV16" s="289"/>
      <c r="CWW16" s="289"/>
      <c r="CWX16" s="289"/>
      <c r="CWY16" s="289"/>
      <c r="CWZ16" s="289"/>
      <c r="CXA16" s="289"/>
      <c r="CXB16" s="289"/>
      <c r="CXC16" s="289"/>
      <c r="CXD16" s="289"/>
      <c r="CXE16" s="289"/>
      <c r="CXF16" s="289"/>
      <c r="CXG16" s="289"/>
      <c r="CXH16" s="289"/>
      <c r="CXI16" s="289"/>
      <c r="CXJ16" s="289"/>
      <c r="CXK16" s="289"/>
      <c r="CXL16" s="289"/>
      <c r="CXM16" s="289"/>
      <c r="CXN16" s="289"/>
      <c r="CXO16" s="289"/>
      <c r="CXP16" s="289"/>
      <c r="CXQ16" s="289"/>
      <c r="CXR16" s="289"/>
      <c r="CXS16" s="289"/>
      <c r="CXT16" s="289"/>
      <c r="CXU16" s="289"/>
      <c r="CXV16" s="289"/>
      <c r="CXW16" s="289"/>
      <c r="CXX16" s="289"/>
      <c r="CXY16" s="289"/>
      <c r="CXZ16" s="289"/>
      <c r="CYA16" s="289"/>
      <c r="CYB16" s="289"/>
      <c r="CYC16" s="289"/>
      <c r="CYD16" s="289"/>
      <c r="CYE16" s="289"/>
      <c r="CYF16" s="289"/>
      <c r="CYG16" s="289"/>
      <c r="CYH16" s="289"/>
      <c r="CYI16" s="289"/>
      <c r="CYJ16" s="289"/>
      <c r="CYK16" s="289"/>
      <c r="CYL16" s="289"/>
      <c r="CYM16" s="289"/>
      <c r="CYN16" s="289"/>
      <c r="CYO16" s="289"/>
      <c r="CYP16" s="289"/>
      <c r="CYQ16" s="289"/>
      <c r="CYR16" s="289"/>
      <c r="CYS16" s="289"/>
      <c r="CYT16" s="289"/>
      <c r="CYU16" s="289"/>
      <c r="CYV16" s="289"/>
      <c r="CYW16" s="289"/>
      <c r="CYX16" s="289"/>
      <c r="CYY16" s="289"/>
      <c r="CYZ16" s="289"/>
      <c r="CZA16" s="289"/>
      <c r="CZB16" s="289"/>
      <c r="CZC16" s="289"/>
      <c r="CZD16" s="289"/>
      <c r="CZE16" s="289"/>
      <c r="CZF16" s="289"/>
      <c r="CZG16" s="289"/>
      <c r="CZH16" s="289"/>
      <c r="CZI16" s="289"/>
      <c r="CZJ16" s="289"/>
      <c r="CZK16" s="289"/>
      <c r="CZL16" s="289"/>
      <c r="CZM16" s="289"/>
      <c r="CZN16" s="289"/>
      <c r="CZO16" s="289"/>
      <c r="CZP16" s="289"/>
      <c r="CZQ16" s="289"/>
      <c r="CZR16" s="289"/>
      <c r="CZS16" s="289"/>
      <c r="CZT16" s="289"/>
      <c r="CZU16" s="289"/>
      <c r="CZV16" s="289"/>
      <c r="CZW16" s="289"/>
      <c r="CZX16" s="289"/>
      <c r="CZY16" s="289"/>
      <c r="CZZ16" s="289"/>
      <c r="DAA16" s="289"/>
      <c r="DAB16" s="289"/>
      <c r="DAC16" s="289"/>
      <c r="DAD16" s="289"/>
      <c r="DAE16" s="289"/>
      <c r="DAF16" s="289"/>
      <c r="DAG16" s="289"/>
      <c r="DAH16" s="289"/>
      <c r="DAI16" s="289"/>
      <c r="DAJ16" s="289"/>
      <c r="DAK16" s="289"/>
      <c r="DAL16" s="289"/>
      <c r="DAM16" s="289"/>
      <c r="DAN16" s="289"/>
      <c r="DAO16" s="289"/>
      <c r="DAP16" s="289"/>
      <c r="DAQ16" s="289"/>
      <c r="DAR16" s="289"/>
      <c r="DAS16" s="289"/>
      <c r="DAT16" s="289"/>
      <c r="DAU16" s="289"/>
      <c r="DAV16" s="289"/>
      <c r="DAW16" s="289"/>
      <c r="DAX16" s="289"/>
      <c r="DAY16" s="289"/>
      <c r="DAZ16" s="289"/>
      <c r="DBA16" s="289"/>
      <c r="DBB16" s="289"/>
      <c r="DBC16" s="289"/>
      <c r="DBD16" s="289"/>
      <c r="DBE16" s="289"/>
      <c r="DBF16" s="289"/>
      <c r="DBG16" s="289"/>
      <c r="DBH16" s="289"/>
      <c r="DBI16" s="289"/>
      <c r="DBJ16" s="289"/>
      <c r="DBK16" s="289"/>
      <c r="DBL16" s="289"/>
      <c r="DBM16" s="289"/>
      <c r="DBN16" s="289"/>
      <c r="DBO16" s="289"/>
      <c r="DBP16" s="289"/>
      <c r="DBQ16" s="289"/>
      <c r="DBR16" s="289"/>
      <c r="DBS16" s="289"/>
      <c r="DBT16" s="289"/>
      <c r="DBU16" s="289"/>
      <c r="DBV16" s="289"/>
      <c r="DBW16" s="289"/>
      <c r="DBX16" s="289"/>
      <c r="DBY16" s="289"/>
      <c r="DBZ16" s="289"/>
      <c r="DCA16" s="289"/>
      <c r="DCB16" s="289"/>
      <c r="DCC16" s="289"/>
      <c r="DCD16" s="289"/>
      <c r="DCE16" s="289"/>
      <c r="DCF16" s="289"/>
      <c r="DCG16" s="289"/>
      <c r="DCH16" s="289"/>
      <c r="DCI16" s="289"/>
      <c r="DCJ16" s="289"/>
      <c r="DCK16" s="289"/>
      <c r="DCL16" s="289"/>
      <c r="DCM16" s="289"/>
      <c r="DCN16" s="289"/>
      <c r="DCO16" s="289"/>
      <c r="DCP16" s="289"/>
      <c r="DCQ16" s="289"/>
      <c r="DCR16" s="289"/>
      <c r="DCS16" s="289"/>
      <c r="DCT16" s="289"/>
      <c r="DCU16" s="289"/>
      <c r="DCV16" s="289"/>
      <c r="DCW16" s="289"/>
      <c r="DCX16" s="289"/>
      <c r="DCY16" s="289"/>
      <c r="DCZ16" s="289"/>
      <c r="DDA16" s="289"/>
      <c r="DDB16" s="289"/>
      <c r="DDC16" s="289"/>
      <c r="DDD16" s="289"/>
      <c r="DDE16" s="289"/>
      <c r="DDF16" s="289"/>
      <c r="DDG16" s="289"/>
      <c r="DDH16" s="289"/>
      <c r="DDI16" s="289"/>
      <c r="DDJ16" s="289"/>
      <c r="DDK16" s="289"/>
      <c r="DDL16" s="289"/>
      <c r="DDM16" s="289"/>
      <c r="DDN16" s="289"/>
      <c r="DDO16" s="289"/>
      <c r="DDP16" s="289"/>
      <c r="DDQ16" s="289"/>
      <c r="DDR16" s="289"/>
      <c r="DDS16" s="289"/>
      <c r="DDT16" s="289"/>
      <c r="DDU16" s="289"/>
      <c r="DDV16" s="289"/>
      <c r="DDW16" s="289"/>
      <c r="DDX16" s="289"/>
      <c r="DDY16" s="289"/>
      <c r="DDZ16" s="289"/>
      <c r="DEA16" s="289"/>
      <c r="DEB16" s="289"/>
      <c r="DEC16" s="289"/>
      <c r="DED16" s="289"/>
      <c r="DEE16" s="289"/>
      <c r="DEF16" s="289"/>
      <c r="DEG16" s="289"/>
      <c r="DEH16" s="289"/>
      <c r="DEI16" s="289"/>
      <c r="DEJ16" s="289"/>
      <c r="DEK16" s="289"/>
      <c r="DEL16" s="289"/>
      <c r="DEM16" s="289"/>
      <c r="DEN16" s="289"/>
      <c r="DEO16" s="289"/>
      <c r="DEP16" s="289"/>
      <c r="DEQ16" s="289"/>
      <c r="DER16" s="289"/>
      <c r="DES16" s="289"/>
      <c r="DET16" s="289"/>
      <c r="DEU16" s="289"/>
      <c r="DEV16" s="289"/>
      <c r="DEW16" s="289"/>
      <c r="DEX16" s="289"/>
      <c r="DEY16" s="289"/>
      <c r="DEZ16" s="289"/>
      <c r="DFA16" s="289"/>
      <c r="DFB16" s="289"/>
      <c r="DFC16" s="289"/>
      <c r="DFD16" s="289"/>
      <c r="DFE16" s="289"/>
      <c r="DFF16" s="289"/>
      <c r="DFG16" s="289"/>
      <c r="DFH16" s="289"/>
      <c r="DFI16" s="289"/>
      <c r="DFJ16" s="289"/>
      <c r="DFK16" s="289"/>
      <c r="DFL16" s="289"/>
      <c r="DFM16" s="289"/>
      <c r="DFN16" s="289"/>
      <c r="DFO16" s="289"/>
      <c r="DFP16" s="289"/>
      <c r="DFQ16" s="289"/>
      <c r="DFR16" s="289"/>
      <c r="DFS16" s="289"/>
      <c r="DFT16" s="289"/>
      <c r="DFU16" s="289"/>
      <c r="DFV16" s="289"/>
      <c r="DFW16" s="289"/>
      <c r="DFX16" s="289"/>
      <c r="DFY16" s="289"/>
      <c r="DFZ16" s="289"/>
      <c r="DGA16" s="289"/>
      <c r="DGB16" s="289"/>
      <c r="DGC16" s="289"/>
      <c r="DGD16" s="289"/>
      <c r="DGE16" s="289"/>
      <c r="DGF16" s="289"/>
      <c r="DGG16" s="289"/>
      <c r="DGH16" s="289"/>
      <c r="DGI16" s="289"/>
      <c r="DGJ16" s="289"/>
      <c r="DGK16" s="289"/>
      <c r="DGL16" s="289"/>
      <c r="DGM16" s="289"/>
      <c r="DGN16" s="289"/>
      <c r="DGO16" s="289"/>
      <c r="DGP16" s="289"/>
      <c r="DGQ16" s="289"/>
      <c r="DGR16" s="289"/>
      <c r="DGS16" s="289"/>
      <c r="DGT16" s="289"/>
      <c r="DGU16" s="289"/>
      <c r="DGV16" s="289"/>
      <c r="DGW16" s="289"/>
      <c r="DGX16" s="289"/>
      <c r="DGY16" s="289"/>
      <c r="DGZ16" s="289"/>
      <c r="DHA16" s="289"/>
      <c r="DHB16" s="289"/>
      <c r="DHC16" s="289"/>
      <c r="DHD16" s="289"/>
      <c r="DHE16" s="289"/>
      <c r="DHF16" s="289"/>
      <c r="DHG16" s="289"/>
      <c r="DHH16" s="289"/>
      <c r="DHI16" s="289"/>
      <c r="DHJ16" s="289"/>
      <c r="DHK16" s="289"/>
      <c r="DHL16" s="289"/>
      <c r="DHM16" s="289"/>
      <c r="DHN16" s="289"/>
      <c r="DHO16" s="289"/>
      <c r="DHP16" s="289"/>
      <c r="DHQ16" s="289"/>
      <c r="DHR16" s="289"/>
      <c r="DHS16" s="289"/>
      <c r="DHT16" s="289"/>
      <c r="DHU16" s="289"/>
      <c r="DHV16" s="289"/>
      <c r="DHW16" s="289"/>
      <c r="DHX16" s="289"/>
      <c r="DHY16" s="289"/>
      <c r="DHZ16" s="289"/>
      <c r="DIA16" s="289"/>
      <c r="DIB16" s="289"/>
      <c r="DIC16" s="289"/>
      <c r="DID16" s="289"/>
      <c r="DIE16" s="289"/>
      <c r="DIF16" s="289"/>
      <c r="DIG16" s="289"/>
      <c r="DIH16" s="289"/>
      <c r="DII16" s="289"/>
      <c r="DIJ16" s="289"/>
      <c r="DIK16" s="289"/>
      <c r="DIL16" s="289"/>
      <c r="DIM16" s="289"/>
      <c r="DIN16" s="289"/>
      <c r="DIO16" s="289"/>
      <c r="DIP16" s="289"/>
      <c r="DIQ16" s="289"/>
      <c r="DIR16" s="289"/>
      <c r="DIS16" s="289"/>
      <c r="DIT16" s="289"/>
      <c r="DIU16" s="289"/>
      <c r="DIV16" s="289"/>
      <c r="DIW16" s="289"/>
      <c r="DIX16" s="289"/>
      <c r="DIY16" s="289"/>
      <c r="DIZ16" s="289"/>
      <c r="DJA16" s="289"/>
      <c r="DJB16" s="289"/>
      <c r="DJC16" s="289"/>
      <c r="DJD16" s="289"/>
      <c r="DJE16" s="289"/>
      <c r="DJF16" s="289"/>
      <c r="DJG16" s="289"/>
      <c r="DJH16" s="289"/>
      <c r="DJI16" s="289"/>
      <c r="DJJ16" s="289"/>
      <c r="DJK16" s="289"/>
      <c r="DJL16" s="289"/>
      <c r="DJM16" s="289"/>
      <c r="DJN16" s="289"/>
      <c r="DJO16" s="289"/>
      <c r="DJP16" s="289"/>
      <c r="DJQ16" s="289"/>
      <c r="DJR16" s="289"/>
      <c r="DJS16" s="289"/>
      <c r="DJT16" s="289"/>
      <c r="DJU16" s="289"/>
      <c r="DJV16" s="289"/>
      <c r="DJW16" s="289"/>
      <c r="DJX16" s="289"/>
      <c r="DJY16" s="289"/>
      <c r="DJZ16" s="289"/>
      <c r="DKA16" s="289"/>
      <c r="DKB16" s="289"/>
      <c r="DKC16" s="289"/>
      <c r="DKD16" s="289"/>
      <c r="DKE16" s="289"/>
      <c r="DKF16" s="289"/>
      <c r="DKG16" s="289"/>
      <c r="DKH16" s="289"/>
      <c r="DKI16" s="289"/>
      <c r="DKJ16" s="289"/>
      <c r="DKK16" s="289"/>
      <c r="DKL16" s="289"/>
      <c r="DKM16" s="289"/>
      <c r="DKN16" s="289"/>
      <c r="DKO16" s="289"/>
      <c r="DKP16" s="289"/>
      <c r="DKQ16" s="289"/>
      <c r="DKR16" s="289"/>
      <c r="DKS16" s="289"/>
      <c r="DKT16" s="289"/>
      <c r="DKU16" s="289"/>
      <c r="DKV16" s="289"/>
      <c r="DKW16" s="289"/>
      <c r="DKX16" s="289"/>
      <c r="DKY16" s="289"/>
      <c r="DKZ16" s="289"/>
      <c r="DLA16" s="289"/>
      <c r="DLB16" s="289"/>
      <c r="DLC16" s="289"/>
      <c r="DLD16" s="289"/>
      <c r="DLE16" s="289"/>
      <c r="DLF16" s="289"/>
      <c r="DLG16" s="289"/>
      <c r="DLH16" s="289"/>
      <c r="DLI16" s="289"/>
      <c r="DLJ16" s="289"/>
      <c r="DLK16" s="289"/>
      <c r="DLL16" s="289"/>
      <c r="DLM16" s="289"/>
      <c r="DLN16" s="289"/>
      <c r="DLO16" s="289"/>
      <c r="DLP16" s="289"/>
      <c r="DLQ16" s="289"/>
      <c r="DLR16" s="289"/>
      <c r="DLS16" s="289"/>
      <c r="DLT16" s="289"/>
      <c r="DLU16" s="289"/>
      <c r="DLV16" s="289"/>
      <c r="DLW16" s="289"/>
      <c r="DLX16" s="289"/>
      <c r="DLY16" s="289"/>
      <c r="DLZ16" s="289"/>
      <c r="DMA16" s="289"/>
      <c r="DMB16" s="289"/>
      <c r="DMC16" s="289"/>
      <c r="DMD16" s="289"/>
      <c r="DME16" s="289"/>
      <c r="DMF16" s="289"/>
      <c r="DMG16" s="289"/>
      <c r="DMH16" s="289"/>
      <c r="DMI16" s="289"/>
      <c r="DMJ16" s="289"/>
      <c r="DMK16" s="289"/>
      <c r="DML16" s="289"/>
      <c r="DMM16" s="289"/>
      <c r="DMN16" s="289"/>
      <c r="DMO16" s="289"/>
      <c r="DMP16" s="289"/>
      <c r="DMQ16" s="289"/>
      <c r="DMR16" s="289"/>
      <c r="DMS16" s="289"/>
      <c r="DMT16" s="289"/>
      <c r="DMU16" s="289"/>
      <c r="DMV16" s="289"/>
      <c r="DMW16" s="289"/>
      <c r="DMX16" s="289"/>
      <c r="DMY16" s="289"/>
      <c r="DMZ16" s="289"/>
      <c r="DNA16" s="289"/>
      <c r="DNB16" s="289"/>
      <c r="DNC16" s="289"/>
      <c r="DND16" s="289"/>
      <c r="DNE16" s="289"/>
      <c r="DNF16" s="289"/>
      <c r="DNG16" s="289"/>
      <c r="DNH16" s="289"/>
      <c r="DNI16" s="289"/>
      <c r="DNJ16" s="289"/>
      <c r="DNK16" s="289"/>
      <c r="DNL16" s="289"/>
      <c r="DNM16" s="289"/>
      <c r="DNN16" s="289"/>
      <c r="DNO16" s="289"/>
      <c r="DNP16" s="289"/>
      <c r="DNQ16" s="289"/>
      <c r="DNR16" s="289"/>
      <c r="DNS16" s="289"/>
      <c r="DNT16" s="289"/>
      <c r="DNU16" s="289"/>
      <c r="DNV16" s="289"/>
      <c r="DNW16" s="289"/>
      <c r="DNX16" s="289"/>
      <c r="DNY16" s="289"/>
      <c r="DNZ16" s="289"/>
      <c r="DOA16" s="289"/>
      <c r="DOB16" s="289"/>
      <c r="DOC16" s="289"/>
      <c r="DOD16" s="289"/>
      <c r="DOE16" s="289"/>
      <c r="DOF16" s="289"/>
      <c r="DOG16" s="289"/>
      <c r="DOH16" s="289"/>
      <c r="DOI16" s="289"/>
      <c r="DOJ16" s="289"/>
      <c r="DOK16" s="289"/>
      <c r="DOL16" s="289"/>
      <c r="DOM16" s="289"/>
      <c r="DON16" s="289"/>
      <c r="DOO16" s="289"/>
      <c r="DOP16" s="289"/>
      <c r="DOQ16" s="289"/>
      <c r="DOR16" s="289"/>
      <c r="DOS16" s="289"/>
      <c r="DOT16" s="289"/>
      <c r="DOU16" s="289"/>
      <c r="DOV16" s="289"/>
      <c r="DOW16" s="289"/>
      <c r="DOX16" s="289"/>
      <c r="DOY16" s="289"/>
      <c r="DOZ16" s="289"/>
      <c r="DPA16" s="289"/>
      <c r="DPB16" s="289"/>
      <c r="DPC16" s="289"/>
      <c r="DPD16" s="289"/>
      <c r="DPE16" s="289"/>
      <c r="DPF16" s="289"/>
      <c r="DPG16" s="289"/>
      <c r="DPH16" s="289"/>
      <c r="DPI16" s="289"/>
      <c r="DPJ16" s="289"/>
      <c r="DPK16" s="289"/>
      <c r="DPL16" s="289"/>
      <c r="DPM16" s="289"/>
      <c r="DPN16" s="289"/>
      <c r="DPO16" s="289"/>
      <c r="DPP16" s="289"/>
      <c r="DPQ16" s="289"/>
      <c r="DPR16" s="289"/>
      <c r="DPS16" s="289"/>
      <c r="DPT16" s="289"/>
      <c r="DPU16" s="289"/>
      <c r="DPV16" s="289"/>
      <c r="DPW16" s="289"/>
      <c r="DPX16" s="289"/>
      <c r="DPY16" s="289"/>
      <c r="DPZ16" s="289"/>
      <c r="DQA16" s="289"/>
      <c r="DQB16" s="289"/>
      <c r="DQC16" s="289"/>
      <c r="DQD16" s="289"/>
      <c r="DQE16" s="289"/>
      <c r="DQF16" s="289"/>
      <c r="DQG16" s="289"/>
      <c r="DQH16" s="289"/>
      <c r="DQI16" s="289"/>
      <c r="DQJ16" s="289"/>
      <c r="DQK16" s="289"/>
      <c r="DQL16" s="289"/>
      <c r="DQM16" s="289"/>
      <c r="DQN16" s="289"/>
      <c r="DQO16" s="289"/>
      <c r="DQP16" s="289"/>
      <c r="DQQ16" s="289"/>
      <c r="DQR16" s="289"/>
      <c r="DQS16" s="289"/>
      <c r="DQT16" s="289"/>
      <c r="DQU16" s="289"/>
      <c r="DQV16" s="289"/>
      <c r="DQW16" s="289"/>
      <c r="DQX16" s="289"/>
      <c r="DQY16" s="289"/>
      <c r="DQZ16" s="289"/>
      <c r="DRA16" s="289"/>
      <c r="DRB16" s="289"/>
      <c r="DRC16" s="289"/>
      <c r="DRD16" s="289"/>
      <c r="DRE16" s="289"/>
      <c r="DRF16" s="289"/>
      <c r="DRG16" s="289"/>
      <c r="DRH16" s="289"/>
      <c r="DRI16" s="289"/>
      <c r="DRJ16" s="289"/>
      <c r="DRK16" s="289"/>
      <c r="DRL16" s="289"/>
      <c r="DRM16" s="289"/>
      <c r="DRN16" s="289"/>
      <c r="DRO16" s="289"/>
      <c r="DRP16" s="289"/>
      <c r="DRQ16" s="289"/>
      <c r="DRR16" s="289"/>
      <c r="DRS16" s="289"/>
      <c r="DRT16" s="289"/>
      <c r="DRU16" s="289"/>
      <c r="DRV16" s="289"/>
      <c r="DRW16" s="289"/>
      <c r="DRX16" s="289"/>
      <c r="DRY16" s="289"/>
      <c r="DRZ16" s="289"/>
      <c r="DSA16" s="289"/>
      <c r="DSB16" s="289"/>
      <c r="DSC16" s="289"/>
      <c r="DSD16" s="289"/>
      <c r="DSE16" s="289"/>
      <c r="DSF16" s="289"/>
      <c r="DSG16" s="289"/>
      <c r="DSH16" s="289"/>
      <c r="DSI16" s="289"/>
      <c r="DSJ16" s="289"/>
      <c r="DSK16" s="289"/>
      <c r="DSL16" s="289"/>
      <c r="DSM16" s="289"/>
      <c r="DSN16" s="289"/>
      <c r="DSO16" s="289"/>
      <c r="DSP16" s="289"/>
      <c r="DSQ16" s="289"/>
      <c r="DSR16" s="289"/>
      <c r="DSS16" s="289"/>
      <c r="DST16" s="289"/>
      <c r="DSU16" s="289"/>
      <c r="DSV16" s="289"/>
      <c r="DSW16" s="289"/>
      <c r="DSX16" s="289"/>
      <c r="DSY16" s="289"/>
      <c r="DSZ16" s="289"/>
      <c r="DTA16" s="289"/>
      <c r="DTB16" s="289"/>
      <c r="DTC16" s="289"/>
      <c r="DTD16" s="289"/>
      <c r="DTE16" s="289"/>
      <c r="DTF16" s="289"/>
      <c r="DTG16" s="289"/>
      <c r="DTH16" s="289"/>
      <c r="DTI16" s="289"/>
      <c r="DTJ16" s="289"/>
      <c r="DTK16" s="289"/>
      <c r="DTL16" s="289"/>
      <c r="DTM16" s="289"/>
      <c r="DTN16" s="289"/>
      <c r="DTO16" s="289"/>
      <c r="DTP16" s="289"/>
      <c r="DTQ16" s="289"/>
      <c r="DTR16" s="289"/>
      <c r="DTS16" s="289"/>
      <c r="DTT16" s="289"/>
      <c r="DTU16" s="289"/>
      <c r="DTV16" s="289"/>
      <c r="DTW16" s="289"/>
      <c r="DTX16" s="289"/>
      <c r="DTY16" s="289"/>
      <c r="DTZ16" s="289"/>
      <c r="DUA16" s="289"/>
      <c r="DUB16" s="289"/>
      <c r="DUC16" s="289"/>
      <c r="DUD16" s="289"/>
      <c r="DUE16" s="289"/>
      <c r="DUF16" s="289"/>
      <c r="DUG16" s="289"/>
      <c r="DUH16" s="289"/>
      <c r="DUI16" s="289"/>
      <c r="DUJ16" s="289"/>
      <c r="DUK16" s="289"/>
      <c r="DUL16" s="289"/>
      <c r="DUM16" s="289"/>
      <c r="DUN16" s="289"/>
      <c r="DUO16" s="289"/>
      <c r="DUP16" s="289"/>
      <c r="DUQ16" s="289"/>
      <c r="DUR16" s="289"/>
      <c r="DUS16" s="289"/>
      <c r="DUT16" s="289"/>
      <c r="DUU16" s="289"/>
      <c r="DUV16" s="289"/>
      <c r="DUW16" s="289"/>
      <c r="DUX16" s="289"/>
      <c r="DUY16" s="289"/>
      <c r="DUZ16" s="289"/>
      <c r="DVA16" s="289"/>
      <c r="DVB16" s="289"/>
      <c r="DVC16" s="289"/>
      <c r="DVD16" s="289"/>
      <c r="DVE16" s="289"/>
      <c r="DVF16" s="289"/>
      <c r="DVG16" s="289"/>
      <c r="DVH16" s="289"/>
      <c r="DVI16" s="289"/>
      <c r="DVJ16" s="289"/>
      <c r="DVK16" s="289"/>
      <c r="DVL16" s="289"/>
      <c r="DVM16" s="289"/>
      <c r="DVN16" s="289"/>
      <c r="DVO16" s="289"/>
      <c r="DVP16" s="289"/>
      <c r="DVQ16" s="289"/>
      <c r="DVR16" s="289"/>
      <c r="DVS16" s="289"/>
      <c r="DVT16" s="289"/>
      <c r="DVU16" s="289"/>
      <c r="DVV16" s="289"/>
      <c r="DVW16" s="289"/>
      <c r="DVX16" s="289"/>
      <c r="DVY16" s="289"/>
      <c r="DVZ16" s="289"/>
      <c r="DWA16" s="289"/>
      <c r="DWB16" s="289"/>
      <c r="DWC16" s="289"/>
      <c r="DWD16" s="289"/>
      <c r="DWE16" s="289"/>
      <c r="DWF16" s="289"/>
      <c r="DWG16" s="289"/>
      <c r="DWH16" s="289"/>
      <c r="DWI16" s="289"/>
      <c r="DWJ16" s="289"/>
      <c r="DWK16" s="289"/>
      <c r="DWL16" s="289"/>
      <c r="DWM16" s="289"/>
      <c r="DWN16" s="289"/>
      <c r="DWO16" s="289"/>
      <c r="DWP16" s="289"/>
      <c r="DWQ16" s="289"/>
      <c r="DWR16" s="289"/>
      <c r="DWS16" s="289"/>
      <c r="DWT16" s="289"/>
      <c r="DWU16" s="289"/>
      <c r="DWV16" s="289"/>
      <c r="DWW16" s="289"/>
      <c r="DWX16" s="289"/>
      <c r="DWY16" s="289"/>
      <c r="DWZ16" s="289"/>
      <c r="DXA16" s="289"/>
      <c r="DXB16" s="289"/>
      <c r="DXC16" s="289"/>
      <c r="DXD16" s="289"/>
      <c r="DXE16" s="289"/>
      <c r="DXF16" s="289"/>
      <c r="DXG16" s="289"/>
      <c r="DXH16" s="289"/>
      <c r="DXI16" s="289"/>
      <c r="DXJ16" s="289"/>
      <c r="DXK16" s="289"/>
      <c r="DXL16" s="289"/>
      <c r="DXM16" s="289"/>
      <c r="DXN16" s="289"/>
      <c r="DXO16" s="289"/>
      <c r="DXP16" s="289"/>
      <c r="DXQ16" s="289"/>
      <c r="DXR16" s="289"/>
      <c r="DXS16" s="289"/>
      <c r="DXT16" s="289"/>
      <c r="DXU16" s="289"/>
      <c r="DXV16" s="289"/>
      <c r="DXW16" s="289"/>
      <c r="DXX16" s="289"/>
      <c r="DXY16" s="289"/>
      <c r="DXZ16" s="289"/>
      <c r="DYA16" s="289"/>
      <c r="DYB16" s="289"/>
      <c r="DYC16" s="289"/>
      <c r="DYD16" s="289"/>
      <c r="DYE16" s="289"/>
      <c r="DYF16" s="289"/>
      <c r="DYG16" s="289"/>
      <c r="DYH16" s="289"/>
      <c r="DYI16" s="289"/>
      <c r="DYJ16" s="289"/>
      <c r="DYK16" s="289"/>
      <c r="DYL16" s="289"/>
      <c r="DYM16" s="289"/>
      <c r="DYN16" s="289"/>
      <c r="DYO16" s="289"/>
      <c r="DYP16" s="289"/>
      <c r="DYQ16" s="289"/>
      <c r="DYR16" s="289"/>
      <c r="DYS16" s="289"/>
      <c r="DYT16" s="289"/>
      <c r="DYU16" s="289"/>
      <c r="DYV16" s="289"/>
      <c r="DYW16" s="289"/>
      <c r="DYX16" s="289"/>
      <c r="DYY16" s="289"/>
      <c r="DYZ16" s="289"/>
      <c r="DZA16" s="289"/>
      <c r="DZB16" s="289"/>
      <c r="DZC16" s="289"/>
      <c r="DZD16" s="289"/>
      <c r="DZE16" s="289"/>
      <c r="DZF16" s="289"/>
      <c r="DZG16" s="289"/>
      <c r="DZH16" s="289"/>
      <c r="DZI16" s="289"/>
      <c r="DZJ16" s="289"/>
      <c r="DZK16" s="289"/>
      <c r="DZL16" s="289"/>
      <c r="DZM16" s="289"/>
      <c r="DZN16" s="289"/>
      <c r="DZO16" s="289"/>
      <c r="DZP16" s="289"/>
      <c r="DZQ16" s="289"/>
      <c r="DZR16" s="289"/>
      <c r="DZS16" s="289"/>
      <c r="DZT16" s="289"/>
      <c r="DZU16" s="289"/>
      <c r="DZV16" s="289"/>
      <c r="DZW16" s="289"/>
      <c r="DZX16" s="289"/>
      <c r="DZY16" s="289"/>
      <c r="DZZ16" s="289"/>
      <c r="EAA16" s="289"/>
      <c r="EAB16" s="289"/>
      <c r="EAC16" s="289"/>
      <c r="EAD16" s="289"/>
      <c r="EAE16" s="289"/>
      <c r="EAF16" s="289"/>
      <c r="EAG16" s="289"/>
      <c r="EAH16" s="289"/>
      <c r="EAI16" s="289"/>
      <c r="EAJ16" s="289"/>
      <c r="EAK16" s="289"/>
      <c r="EAL16" s="289"/>
      <c r="EAM16" s="289"/>
      <c r="EAN16" s="289"/>
      <c r="EAO16" s="289"/>
      <c r="EAP16" s="289"/>
      <c r="EAQ16" s="289"/>
      <c r="EAR16" s="289"/>
      <c r="EAS16" s="289"/>
      <c r="EAT16" s="289"/>
      <c r="EAU16" s="289"/>
      <c r="EAV16" s="289"/>
      <c r="EAW16" s="289"/>
      <c r="EAX16" s="289"/>
      <c r="EAY16" s="289"/>
      <c r="EAZ16" s="289"/>
      <c r="EBA16" s="289"/>
      <c r="EBB16" s="289"/>
      <c r="EBC16" s="289"/>
      <c r="EBD16" s="289"/>
      <c r="EBE16" s="289"/>
      <c r="EBF16" s="289"/>
      <c r="EBG16" s="289"/>
      <c r="EBH16" s="289"/>
      <c r="EBI16" s="289"/>
      <c r="EBJ16" s="289"/>
      <c r="EBK16" s="289"/>
      <c r="EBL16" s="289"/>
      <c r="EBM16" s="289"/>
      <c r="EBN16" s="289"/>
      <c r="EBO16" s="289"/>
      <c r="EBP16" s="289"/>
      <c r="EBQ16" s="289"/>
      <c r="EBR16" s="289"/>
      <c r="EBS16" s="289"/>
      <c r="EBT16" s="289"/>
      <c r="EBU16" s="289"/>
      <c r="EBV16" s="289"/>
      <c r="EBW16" s="289"/>
      <c r="EBX16" s="289"/>
      <c r="EBY16" s="289"/>
      <c r="EBZ16" s="289"/>
      <c r="ECA16" s="289"/>
      <c r="ECB16" s="289"/>
      <c r="ECC16" s="289"/>
      <c r="ECD16" s="289"/>
      <c r="ECE16" s="289"/>
      <c r="ECF16" s="289"/>
      <c r="ECG16" s="289"/>
      <c r="ECH16" s="289"/>
      <c r="ECI16" s="289"/>
      <c r="ECJ16" s="289"/>
      <c r="ECK16" s="289"/>
      <c r="ECL16" s="289"/>
      <c r="ECM16" s="289"/>
      <c r="ECN16" s="289"/>
      <c r="ECO16" s="289"/>
      <c r="ECP16" s="289"/>
      <c r="ECQ16" s="289"/>
      <c r="ECR16" s="289"/>
      <c r="ECS16" s="289"/>
      <c r="ECT16" s="289"/>
      <c r="ECU16" s="289"/>
      <c r="ECV16" s="289"/>
      <c r="ECW16" s="289"/>
      <c r="ECX16" s="289"/>
      <c r="ECY16" s="289"/>
      <c r="ECZ16" s="289"/>
      <c r="EDA16" s="289"/>
      <c r="EDB16" s="289"/>
      <c r="EDC16" s="289"/>
      <c r="EDD16" s="289"/>
      <c r="EDE16" s="289"/>
      <c r="EDF16" s="289"/>
      <c r="EDG16" s="289"/>
      <c r="EDH16" s="289"/>
      <c r="EDI16" s="289"/>
      <c r="EDJ16" s="289"/>
      <c r="EDK16" s="289"/>
      <c r="EDL16" s="289"/>
      <c r="EDM16" s="289"/>
      <c r="EDN16" s="289"/>
      <c r="EDO16" s="289"/>
      <c r="EDP16" s="289"/>
      <c r="EDQ16" s="289"/>
      <c r="EDR16" s="289"/>
      <c r="EDS16" s="289"/>
      <c r="EDT16" s="289"/>
      <c r="EDU16" s="289"/>
      <c r="EDV16" s="289"/>
      <c r="EDW16" s="289"/>
      <c r="EDX16" s="289"/>
      <c r="EDY16" s="289"/>
      <c r="EDZ16" s="289"/>
      <c r="EEA16" s="289"/>
      <c r="EEB16" s="289"/>
      <c r="EEC16" s="289"/>
      <c r="EED16" s="289"/>
      <c r="EEE16" s="289"/>
      <c r="EEF16" s="289"/>
      <c r="EEG16" s="289"/>
      <c r="EEH16" s="289"/>
      <c r="EEI16" s="289"/>
      <c r="EEJ16" s="289"/>
      <c r="EEK16" s="289"/>
      <c r="EEL16" s="289"/>
      <c r="EEM16" s="289"/>
      <c r="EEN16" s="289"/>
      <c r="EEO16" s="289"/>
      <c r="EEP16" s="289"/>
      <c r="EEQ16" s="289"/>
      <c r="EER16" s="289"/>
      <c r="EES16" s="289"/>
      <c r="EET16" s="289"/>
      <c r="EEU16" s="289"/>
      <c r="EEV16" s="289"/>
      <c r="EEW16" s="289"/>
      <c r="EEX16" s="289"/>
      <c r="EEY16" s="289"/>
      <c r="EEZ16" s="289"/>
      <c r="EFA16" s="289"/>
      <c r="EFB16" s="289"/>
      <c r="EFC16" s="289"/>
      <c r="EFD16" s="289"/>
      <c r="EFE16" s="289"/>
      <c r="EFF16" s="289"/>
      <c r="EFG16" s="289"/>
      <c r="EFH16" s="289"/>
      <c r="EFI16" s="289"/>
      <c r="EFJ16" s="289"/>
      <c r="EFK16" s="289"/>
      <c r="EFL16" s="289"/>
      <c r="EFM16" s="289"/>
      <c r="EFN16" s="289"/>
      <c r="EFO16" s="289"/>
      <c r="EFP16" s="289"/>
      <c r="EFQ16" s="289"/>
      <c r="EFR16" s="289"/>
      <c r="EFS16" s="289"/>
      <c r="EFT16" s="289"/>
      <c r="EFU16" s="289"/>
      <c r="EFV16" s="289"/>
      <c r="EFW16" s="289"/>
      <c r="EFX16" s="289"/>
      <c r="EFY16" s="289"/>
      <c r="EFZ16" s="289"/>
      <c r="EGA16" s="289"/>
      <c r="EGB16" s="289"/>
      <c r="EGC16" s="289"/>
      <c r="EGD16" s="289"/>
      <c r="EGE16" s="289"/>
      <c r="EGF16" s="289"/>
      <c r="EGG16" s="289"/>
      <c r="EGH16" s="289"/>
      <c r="EGI16" s="289"/>
      <c r="EGJ16" s="289"/>
      <c r="EGK16" s="289"/>
      <c r="EGL16" s="289"/>
      <c r="EGM16" s="289"/>
      <c r="EGN16" s="289"/>
      <c r="EGO16" s="289"/>
      <c r="EGP16" s="289"/>
      <c r="EGQ16" s="289"/>
      <c r="EGR16" s="289"/>
      <c r="EGS16" s="289"/>
      <c r="EGT16" s="289"/>
      <c r="EGU16" s="289"/>
      <c r="EGV16" s="289"/>
      <c r="EGW16" s="289"/>
      <c r="EGX16" s="289"/>
      <c r="EGY16" s="289"/>
      <c r="EGZ16" s="289"/>
      <c r="EHA16" s="289"/>
      <c r="EHB16" s="289"/>
      <c r="EHC16" s="289"/>
      <c r="EHD16" s="289"/>
      <c r="EHE16" s="289"/>
      <c r="EHF16" s="289"/>
      <c r="EHG16" s="289"/>
      <c r="EHH16" s="289"/>
      <c r="EHI16" s="289"/>
      <c r="EHJ16" s="289"/>
      <c r="EHK16" s="289"/>
      <c r="EHL16" s="289"/>
      <c r="EHM16" s="289"/>
      <c r="EHN16" s="289"/>
      <c r="EHO16" s="289"/>
      <c r="EHP16" s="289"/>
      <c r="EHQ16" s="289"/>
      <c r="EHR16" s="289"/>
      <c r="EHS16" s="289"/>
      <c r="EHT16" s="289"/>
      <c r="EHU16" s="289"/>
      <c r="EHV16" s="289"/>
      <c r="EHW16" s="289"/>
      <c r="EHX16" s="289"/>
      <c r="EHY16" s="289"/>
      <c r="EHZ16" s="289"/>
      <c r="EIA16" s="289"/>
      <c r="EIB16" s="289"/>
      <c r="EIC16" s="289"/>
      <c r="EID16" s="289"/>
      <c r="EIE16" s="289"/>
      <c r="EIF16" s="289"/>
      <c r="EIG16" s="289"/>
      <c r="EIH16" s="289"/>
      <c r="EII16" s="289"/>
      <c r="EIJ16" s="289"/>
      <c r="EIK16" s="289"/>
      <c r="EIL16" s="289"/>
      <c r="EIM16" s="289"/>
      <c r="EIN16" s="289"/>
      <c r="EIO16" s="289"/>
      <c r="EIP16" s="289"/>
      <c r="EIQ16" s="289"/>
      <c r="EIR16" s="289"/>
      <c r="EIS16" s="289"/>
      <c r="EIT16" s="289"/>
      <c r="EIU16" s="289"/>
      <c r="EIV16" s="289"/>
      <c r="EIW16" s="289"/>
      <c r="EIX16" s="289"/>
      <c r="EIY16" s="289"/>
      <c r="EIZ16" s="289"/>
      <c r="EJA16" s="289"/>
      <c r="EJB16" s="289"/>
      <c r="EJC16" s="289"/>
      <c r="EJD16" s="289"/>
      <c r="EJE16" s="289"/>
      <c r="EJF16" s="289"/>
      <c r="EJG16" s="289"/>
      <c r="EJH16" s="289"/>
      <c r="EJI16" s="289"/>
      <c r="EJJ16" s="289"/>
      <c r="EJK16" s="289"/>
      <c r="EJL16" s="289"/>
      <c r="EJM16" s="289"/>
      <c r="EJN16" s="289"/>
      <c r="EJO16" s="289"/>
      <c r="EJP16" s="289"/>
      <c r="EJQ16" s="289"/>
      <c r="EJR16" s="289"/>
      <c r="EJS16" s="289"/>
      <c r="EJT16" s="289"/>
      <c r="EJU16" s="289"/>
      <c r="EJV16" s="289"/>
      <c r="EJW16" s="289"/>
      <c r="EJX16" s="289"/>
      <c r="EJY16" s="289"/>
      <c r="EJZ16" s="289"/>
      <c r="EKA16" s="289"/>
      <c r="EKB16" s="289"/>
      <c r="EKC16" s="289"/>
      <c r="EKD16" s="289"/>
      <c r="EKE16" s="289"/>
      <c r="EKF16" s="289"/>
      <c r="EKG16" s="289"/>
      <c r="EKH16" s="289"/>
      <c r="EKI16" s="289"/>
      <c r="EKJ16" s="289"/>
      <c r="EKK16" s="289"/>
      <c r="EKL16" s="289"/>
      <c r="EKM16" s="289"/>
      <c r="EKN16" s="289"/>
      <c r="EKO16" s="289"/>
      <c r="EKP16" s="289"/>
      <c r="EKQ16" s="289"/>
      <c r="EKR16" s="289"/>
      <c r="EKS16" s="289"/>
      <c r="EKT16" s="289"/>
      <c r="EKU16" s="289"/>
      <c r="EKV16" s="289"/>
      <c r="EKW16" s="289"/>
      <c r="EKX16" s="289"/>
      <c r="EKY16" s="289"/>
      <c r="EKZ16" s="289"/>
      <c r="ELA16" s="289"/>
      <c r="ELB16" s="289"/>
      <c r="ELC16" s="289"/>
      <c r="ELD16" s="289"/>
      <c r="ELE16" s="289"/>
      <c r="ELF16" s="289"/>
      <c r="ELG16" s="289"/>
      <c r="ELH16" s="289"/>
      <c r="ELI16" s="289"/>
      <c r="ELJ16" s="289"/>
      <c r="ELK16" s="289"/>
      <c r="ELL16" s="289"/>
      <c r="ELM16" s="289"/>
      <c r="ELN16" s="289"/>
      <c r="ELO16" s="289"/>
      <c r="ELP16" s="289"/>
      <c r="ELQ16" s="289"/>
      <c r="ELR16" s="289"/>
      <c r="ELS16" s="289"/>
      <c r="ELT16" s="289"/>
      <c r="ELU16" s="289"/>
      <c r="ELV16" s="289"/>
      <c r="ELW16" s="289"/>
      <c r="ELX16" s="289"/>
      <c r="ELY16" s="289"/>
      <c r="ELZ16" s="289"/>
      <c r="EMA16" s="289"/>
      <c r="EMB16" s="289"/>
      <c r="EMC16" s="289"/>
      <c r="EMD16" s="289"/>
      <c r="EME16" s="289"/>
      <c r="EMF16" s="289"/>
      <c r="EMG16" s="289"/>
      <c r="EMH16" s="289"/>
      <c r="EMI16" s="289"/>
      <c r="EMJ16" s="289"/>
      <c r="EMK16" s="289"/>
      <c r="EML16" s="289"/>
      <c r="EMM16" s="289"/>
      <c r="EMN16" s="289"/>
      <c r="EMO16" s="289"/>
      <c r="EMP16" s="289"/>
      <c r="EMQ16" s="289"/>
      <c r="EMR16" s="289"/>
      <c r="EMS16" s="289"/>
      <c r="EMT16" s="289"/>
      <c r="EMU16" s="289"/>
      <c r="EMV16" s="289"/>
      <c r="EMW16" s="289"/>
      <c r="EMX16" s="289"/>
      <c r="EMY16" s="289"/>
      <c r="EMZ16" s="289"/>
      <c r="ENA16" s="289"/>
      <c r="ENB16" s="289"/>
      <c r="ENC16" s="289"/>
      <c r="END16" s="289"/>
      <c r="ENE16" s="289"/>
      <c r="ENF16" s="289"/>
      <c r="ENG16" s="289"/>
      <c r="ENH16" s="289"/>
      <c r="ENI16" s="289"/>
      <c r="ENJ16" s="289"/>
      <c r="ENK16" s="289"/>
      <c r="ENL16" s="289"/>
      <c r="ENM16" s="289"/>
      <c r="ENN16" s="289"/>
      <c r="ENO16" s="289"/>
      <c r="ENP16" s="289"/>
      <c r="ENQ16" s="289"/>
      <c r="ENR16" s="289"/>
      <c r="ENS16" s="289"/>
      <c r="ENT16" s="289"/>
      <c r="ENU16" s="289"/>
      <c r="ENV16" s="289"/>
      <c r="ENW16" s="289"/>
      <c r="ENX16" s="289"/>
      <c r="ENY16" s="289"/>
      <c r="ENZ16" s="289"/>
      <c r="EOA16" s="289"/>
      <c r="EOB16" s="289"/>
      <c r="EOC16" s="289"/>
      <c r="EOD16" s="289"/>
      <c r="EOE16" s="289"/>
      <c r="EOF16" s="289"/>
      <c r="EOG16" s="289"/>
      <c r="EOH16" s="289"/>
      <c r="EOI16" s="289"/>
      <c r="EOJ16" s="289"/>
      <c r="EOK16" s="289"/>
      <c r="EOL16" s="289"/>
      <c r="EOM16" s="289"/>
      <c r="EON16" s="289"/>
      <c r="EOO16" s="289"/>
      <c r="EOP16" s="289"/>
      <c r="EOQ16" s="289"/>
      <c r="EOR16" s="289"/>
      <c r="EOS16" s="289"/>
      <c r="EOT16" s="289"/>
      <c r="EOU16" s="289"/>
      <c r="EOV16" s="289"/>
      <c r="EOW16" s="289"/>
      <c r="EOX16" s="289"/>
      <c r="EOY16" s="289"/>
      <c r="EOZ16" s="289"/>
      <c r="EPA16" s="289"/>
      <c r="EPB16" s="289"/>
      <c r="EPC16" s="289"/>
      <c r="EPD16" s="289"/>
      <c r="EPE16" s="289"/>
      <c r="EPF16" s="289"/>
      <c r="EPG16" s="289"/>
      <c r="EPH16" s="289"/>
      <c r="EPI16" s="289"/>
      <c r="EPJ16" s="289"/>
      <c r="EPK16" s="289"/>
      <c r="EPL16" s="289"/>
      <c r="EPM16" s="289"/>
      <c r="EPN16" s="289"/>
      <c r="EPO16" s="289"/>
      <c r="EPP16" s="289"/>
      <c r="EPQ16" s="289"/>
      <c r="EPR16" s="289"/>
      <c r="EPS16" s="289"/>
      <c r="EPT16" s="289"/>
      <c r="EPU16" s="289"/>
      <c r="EPV16" s="289"/>
      <c r="EPW16" s="289"/>
      <c r="EPX16" s="289"/>
      <c r="EPY16" s="289"/>
      <c r="EPZ16" s="289"/>
      <c r="EQA16" s="289"/>
      <c r="EQB16" s="289"/>
      <c r="EQC16" s="289"/>
      <c r="EQD16" s="289"/>
      <c r="EQE16" s="289"/>
      <c r="EQF16" s="289"/>
      <c r="EQG16" s="289"/>
      <c r="EQH16" s="289"/>
      <c r="EQI16" s="289"/>
      <c r="EQJ16" s="289"/>
      <c r="EQK16" s="289"/>
      <c r="EQL16" s="289"/>
      <c r="EQM16" s="289"/>
      <c r="EQN16" s="289"/>
      <c r="EQO16" s="289"/>
      <c r="EQP16" s="289"/>
      <c r="EQQ16" s="289"/>
      <c r="EQR16" s="289"/>
      <c r="EQS16" s="289"/>
      <c r="EQT16" s="289"/>
      <c r="EQU16" s="289"/>
      <c r="EQV16" s="289"/>
      <c r="EQW16" s="289"/>
      <c r="EQX16" s="289"/>
      <c r="EQY16" s="289"/>
      <c r="EQZ16" s="289"/>
      <c r="ERA16" s="289"/>
      <c r="ERB16" s="289"/>
      <c r="ERC16" s="289"/>
      <c r="ERD16" s="289"/>
      <c r="ERE16" s="289"/>
      <c r="ERF16" s="289"/>
      <c r="ERG16" s="289"/>
      <c r="ERH16" s="289"/>
      <c r="ERI16" s="289"/>
      <c r="ERJ16" s="289"/>
      <c r="ERK16" s="289"/>
      <c r="ERL16" s="289"/>
      <c r="ERM16" s="289"/>
      <c r="ERN16" s="289"/>
      <c r="ERO16" s="289"/>
      <c r="ERP16" s="289"/>
      <c r="ERQ16" s="289"/>
      <c r="ERR16" s="289"/>
      <c r="ERS16" s="289"/>
      <c r="ERT16" s="289"/>
      <c r="ERU16" s="289"/>
      <c r="ERV16" s="289"/>
      <c r="ERW16" s="289"/>
      <c r="ERX16" s="289"/>
      <c r="ERY16" s="289"/>
      <c r="ERZ16" s="289"/>
      <c r="ESA16" s="289"/>
      <c r="ESB16" s="289"/>
      <c r="ESC16" s="289"/>
      <c r="ESD16" s="289"/>
      <c r="ESE16" s="289"/>
      <c r="ESF16" s="289"/>
      <c r="ESG16" s="289"/>
      <c r="ESH16" s="289"/>
      <c r="ESI16" s="289"/>
      <c r="ESJ16" s="289"/>
      <c r="ESK16" s="289"/>
      <c r="ESL16" s="289"/>
      <c r="ESM16" s="289"/>
      <c r="ESN16" s="289"/>
      <c r="ESO16" s="289"/>
      <c r="ESP16" s="289"/>
      <c r="ESQ16" s="289"/>
      <c r="ESR16" s="289"/>
      <c r="ESS16" s="289"/>
      <c r="EST16" s="289"/>
      <c r="ESU16" s="289"/>
      <c r="ESV16" s="289"/>
      <c r="ESW16" s="289"/>
      <c r="ESX16" s="289"/>
      <c r="ESY16" s="289"/>
      <c r="ESZ16" s="289"/>
      <c r="ETA16" s="289"/>
      <c r="ETB16" s="289"/>
      <c r="ETC16" s="289"/>
      <c r="ETD16" s="289"/>
      <c r="ETE16" s="289"/>
      <c r="ETF16" s="289"/>
      <c r="ETG16" s="289"/>
      <c r="ETH16" s="289"/>
      <c r="ETI16" s="289"/>
      <c r="ETJ16" s="289"/>
      <c r="ETK16" s="289"/>
      <c r="ETL16" s="289"/>
      <c r="ETM16" s="289"/>
      <c r="ETN16" s="289"/>
      <c r="ETO16" s="289"/>
      <c r="ETP16" s="289"/>
      <c r="ETQ16" s="289"/>
      <c r="ETR16" s="289"/>
      <c r="ETS16" s="289"/>
      <c r="ETT16" s="289"/>
      <c r="ETU16" s="289"/>
      <c r="ETV16" s="289"/>
      <c r="ETW16" s="289"/>
      <c r="ETX16" s="289"/>
      <c r="ETY16" s="289"/>
      <c r="ETZ16" s="289"/>
      <c r="EUA16" s="289"/>
      <c r="EUB16" s="289"/>
      <c r="EUC16" s="289"/>
      <c r="EUD16" s="289"/>
      <c r="EUE16" s="289"/>
      <c r="EUF16" s="289"/>
      <c r="EUG16" s="289"/>
      <c r="EUH16" s="289"/>
      <c r="EUI16" s="289"/>
      <c r="EUJ16" s="289"/>
      <c r="EUK16" s="289"/>
      <c r="EUL16" s="289"/>
      <c r="EUM16" s="289"/>
      <c r="EUN16" s="289"/>
      <c r="EUO16" s="289"/>
      <c r="EUP16" s="289"/>
      <c r="EUQ16" s="289"/>
      <c r="EUR16" s="289"/>
      <c r="EUS16" s="289"/>
      <c r="EUT16" s="289"/>
      <c r="EUU16" s="289"/>
      <c r="EUV16" s="289"/>
      <c r="EUW16" s="289"/>
      <c r="EUX16" s="289"/>
      <c r="EUY16" s="289"/>
      <c r="EUZ16" s="289"/>
      <c r="EVA16" s="289"/>
      <c r="EVB16" s="289"/>
      <c r="EVC16" s="289"/>
      <c r="EVD16" s="289"/>
      <c r="EVE16" s="289"/>
      <c r="EVF16" s="289"/>
      <c r="EVG16" s="289"/>
      <c r="EVH16" s="289"/>
      <c r="EVI16" s="289"/>
      <c r="EVJ16" s="289"/>
      <c r="EVK16" s="289"/>
      <c r="EVL16" s="289"/>
      <c r="EVM16" s="289"/>
      <c r="EVN16" s="289"/>
      <c r="EVO16" s="289"/>
      <c r="EVP16" s="289"/>
      <c r="EVQ16" s="289"/>
      <c r="EVR16" s="289"/>
      <c r="EVS16" s="289"/>
      <c r="EVT16" s="289"/>
      <c r="EVU16" s="289"/>
      <c r="EVV16" s="289"/>
      <c r="EVW16" s="289"/>
      <c r="EVX16" s="289"/>
      <c r="EVY16" s="289"/>
      <c r="EVZ16" s="289"/>
      <c r="EWA16" s="289"/>
      <c r="EWB16" s="289"/>
      <c r="EWC16" s="289"/>
      <c r="EWD16" s="289"/>
      <c r="EWE16" s="289"/>
      <c r="EWF16" s="289"/>
      <c r="EWG16" s="289"/>
      <c r="EWH16" s="289"/>
      <c r="EWI16" s="289"/>
      <c r="EWJ16" s="289"/>
      <c r="EWK16" s="289"/>
      <c r="EWL16" s="289"/>
      <c r="EWM16" s="289"/>
      <c r="EWN16" s="289"/>
      <c r="EWO16" s="289"/>
      <c r="EWP16" s="289"/>
      <c r="EWQ16" s="289"/>
      <c r="EWR16" s="289"/>
      <c r="EWS16" s="289"/>
      <c r="EWT16" s="289"/>
      <c r="EWU16" s="289"/>
      <c r="EWV16" s="289"/>
      <c r="EWW16" s="289"/>
      <c r="EWX16" s="289"/>
      <c r="EWY16" s="289"/>
      <c r="EWZ16" s="289"/>
      <c r="EXA16" s="289"/>
      <c r="EXB16" s="289"/>
      <c r="EXC16" s="289"/>
      <c r="EXD16" s="289"/>
      <c r="EXE16" s="289"/>
      <c r="EXF16" s="289"/>
      <c r="EXG16" s="289"/>
      <c r="EXH16" s="289"/>
      <c r="EXI16" s="289"/>
      <c r="EXJ16" s="289"/>
      <c r="EXK16" s="289"/>
      <c r="EXL16" s="289"/>
      <c r="EXM16" s="289"/>
      <c r="EXN16" s="289"/>
      <c r="EXO16" s="289"/>
      <c r="EXP16" s="289"/>
      <c r="EXQ16" s="289"/>
      <c r="EXR16" s="289"/>
      <c r="EXS16" s="289"/>
      <c r="EXT16" s="289"/>
      <c r="EXU16" s="289"/>
      <c r="EXV16" s="289"/>
      <c r="EXW16" s="289"/>
      <c r="EXX16" s="289"/>
      <c r="EXY16" s="289"/>
      <c r="EXZ16" s="289"/>
      <c r="EYA16" s="289"/>
      <c r="EYB16" s="289"/>
      <c r="EYC16" s="289"/>
      <c r="EYD16" s="289"/>
      <c r="EYE16" s="289"/>
      <c r="EYF16" s="289"/>
      <c r="EYG16" s="289"/>
      <c r="EYH16" s="289"/>
      <c r="EYI16" s="289"/>
      <c r="EYJ16" s="289"/>
      <c r="EYK16" s="289"/>
      <c r="EYL16" s="289"/>
      <c r="EYM16" s="289"/>
      <c r="EYN16" s="289"/>
      <c r="EYO16" s="289"/>
      <c r="EYP16" s="289"/>
      <c r="EYQ16" s="289"/>
      <c r="EYR16" s="289"/>
      <c r="EYS16" s="289"/>
      <c r="EYT16" s="289"/>
      <c r="EYU16" s="289"/>
      <c r="EYV16" s="289"/>
      <c r="EYW16" s="289"/>
      <c r="EYX16" s="289"/>
      <c r="EYY16" s="289"/>
      <c r="EYZ16" s="289"/>
      <c r="EZA16" s="289"/>
      <c r="EZB16" s="289"/>
      <c r="EZC16" s="289"/>
      <c r="EZD16" s="289"/>
      <c r="EZE16" s="289"/>
      <c r="EZF16" s="289"/>
      <c r="EZG16" s="289"/>
      <c r="EZH16" s="289"/>
      <c r="EZI16" s="289"/>
      <c r="EZJ16" s="289"/>
      <c r="EZK16" s="289"/>
      <c r="EZL16" s="289"/>
      <c r="EZM16" s="289"/>
      <c r="EZN16" s="289"/>
      <c r="EZO16" s="289"/>
      <c r="EZP16" s="289"/>
      <c r="EZQ16" s="289"/>
      <c r="EZR16" s="289"/>
      <c r="EZS16" s="289"/>
      <c r="EZT16" s="289"/>
      <c r="EZU16" s="289"/>
      <c r="EZV16" s="289"/>
      <c r="EZW16" s="289"/>
      <c r="EZX16" s="289"/>
      <c r="EZY16" s="289"/>
      <c r="EZZ16" s="289"/>
      <c r="FAA16" s="289"/>
      <c r="FAB16" s="289"/>
      <c r="FAC16" s="289"/>
      <c r="FAD16" s="289"/>
      <c r="FAE16" s="289"/>
      <c r="FAF16" s="289"/>
      <c r="FAG16" s="289"/>
      <c r="FAH16" s="289"/>
      <c r="FAI16" s="289"/>
      <c r="FAJ16" s="289"/>
      <c r="FAK16" s="289"/>
      <c r="FAL16" s="289"/>
      <c r="FAM16" s="289"/>
      <c r="FAN16" s="289"/>
      <c r="FAO16" s="289"/>
      <c r="FAP16" s="289"/>
      <c r="FAQ16" s="289"/>
      <c r="FAR16" s="289"/>
      <c r="FAS16" s="289"/>
      <c r="FAT16" s="289"/>
      <c r="FAU16" s="289"/>
      <c r="FAV16" s="289"/>
      <c r="FAW16" s="289"/>
      <c r="FAX16" s="289"/>
      <c r="FAY16" s="289"/>
      <c r="FAZ16" s="289"/>
      <c r="FBA16" s="289"/>
      <c r="FBB16" s="289"/>
      <c r="FBC16" s="289"/>
      <c r="FBD16" s="289"/>
      <c r="FBE16" s="289"/>
      <c r="FBF16" s="289"/>
      <c r="FBG16" s="289"/>
      <c r="FBH16" s="289"/>
      <c r="FBI16" s="289"/>
      <c r="FBJ16" s="289"/>
      <c r="FBK16" s="289"/>
      <c r="FBL16" s="289"/>
      <c r="FBM16" s="289"/>
      <c r="FBN16" s="289"/>
      <c r="FBO16" s="289"/>
      <c r="FBP16" s="289"/>
      <c r="FBQ16" s="289"/>
      <c r="FBR16" s="289"/>
      <c r="FBS16" s="289"/>
      <c r="FBT16" s="289"/>
      <c r="FBU16" s="289"/>
      <c r="FBV16" s="289"/>
      <c r="FBW16" s="289"/>
      <c r="FBX16" s="289"/>
      <c r="FBY16" s="289"/>
      <c r="FBZ16" s="289"/>
      <c r="FCA16" s="289"/>
      <c r="FCB16" s="289"/>
      <c r="FCC16" s="289"/>
      <c r="FCD16" s="289"/>
      <c r="FCE16" s="289"/>
      <c r="FCF16" s="289"/>
      <c r="FCG16" s="289"/>
      <c r="FCH16" s="289"/>
      <c r="FCI16" s="289"/>
      <c r="FCJ16" s="289"/>
      <c r="FCK16" s="289"/>
      <c r="FCL16" s="289"/>
      <c r="FCM16" s="289"/>
      <c r="FCN16" s="289"/>
      <c r="FCO16" s="289"/>
      <c r="FCP16" s="289"/>
      <c r="FCQ16" s="289"/>
      <c r="FCR16" s="289"/>
      <c r="FCS16" s="289"/>
      <c r="FCT16" s="289"/>
      <c r="FCU16" s="289"/>
      <c r="FCV16" s="289"/>
      <c r="FCW16" s="289"/>
      <c r="FCX16" s="289"/>
      <c r="FCY16" s="289"/>
      <c r="FCZ16" s="289"/>
      <c r="FDA16" s="289"/>
      <c r="FDB16" s="289"/>
      <c r="FDC16" s="289"/>
      <c r="FDD16" s="289"/>
      <c r="FDE16" s="289"/>
      <c r="FDF16" s="289"/>
      <c r="FDG16" s="289"/>
      <c r="FDH16" s="289"/>
      <c r="FDI16" s="289"/>
      <c r="FDJ16" s="289"/>
      <c r="FDK16" s="289"/>
      <c r="FDL16" s="289"/>
      <c r="FDM16" s="289"/>
      <c r="FDN16" s="289"/>
      <c r="FDO16" s="289"/>
      <c r="FDP16" s="289"/>
      <c r="FDQ16" s="289"/>
      <c r="FDR16" s="289"/>
      <c r="FDS16" s="289"/>
      <c r="FDT16" s="289"/>
      <c r="FDU16" s="289"/>
      <c r="FDV16" s="289"/>
      <c r="FDW16" s="289"/>
      <c r="FDX16" s="289"/>
      <c r="FDY16" s="289"/>
      <c r="FDZ16" s="289"/>
      <c r="FEA16" s="289"/>
      <c r="FEB16" s="289"/>
      <c r="FEC16" s="289"/>
      <c r="FED16" s="289"/>
      <c r="FEE16" s="289"/>
      <c r="FEF16" s="289"/>
      <c r="FEG16" s="289"/>
      <c r="FEH16" s="289"/>
      <c r="FEI16" s="289"/>
      <c r="FEJ16" s="289"/>
      <c r="FEK16" s="289"/>
      <c r="FEL16" s="289"/>
      <c r="FEM16" s="289"/>
      <c r="FEN16" s="289"/>
      <c r="FEO16" s="289"/>
      <c r="FEP16" s="289"/>
      <c r="FEQ16" s="289"/>
      <c r="FER16" s="289"/>
      <c r="FES16" s="289"/>
      <c r="FET16" s="289"/>
      <c r="FEU16" s="289"/>
      <c r="FEV16" s="289"/>
      <c r="FEW16" s="289"/>
      <c r="FEX16" s="289"/>
      <c r="FEY16" s="289"/>
      <c r="FEZ16" s="289"/>
      <c r="FFA16" s="289"/>
      <c r="FFB16" s="289"/>
      <c r="FFC16" s="289"/>
      <c r="FFD16" s="289"/>
      <c r="FFE16" s="289"/>
      <c r="FFF16" s="289"/>
      <c r="FFG16" s="289"/>
      <c r="FFH16" s="289"/>
      <c r="FFI16" s="289"/>
      <c r="FFJ16" s="289"/>
      <c r="FFK16" s="289"/>
      <c r="FFL16" s="289"/>
      <c r="FFM16" s="289"/>
      <c r="FFN16" s="289"/>
      <c r="FFO16" s="289"/>
      <c r="FFP16" s="289"/>
      <c r="FFQ16" s="289"/>
      <c r="FFR16" s="289"/>
      <c r="FFS16" s="289"/>
      <c r="FFT16" s="289"/>
      <c r="FFU16" s="289"/>
      <c r="FFV16" s="289"/>
      <c r="FFW16" s="289"/>
      <c r="FFX16" s="289"/>
      <c r="FFY16" s="289"/>
      <c r="FFZ16" s="289"/>
      <c r="FGA16" s="289"/>
      <c r="FGB16" s="289"/>
      <c r="FGC16" s="289"/>
      <c r="FGD16" s="289"/>
      <c r="FGE16" s="289"/>
      <c r="FGF16" s="289"/>
      <c r="FGG16" s="289"/>
      <c r="FGH16" s="289"/>
      <c r="FGI16" s="289"/>
      <c r="FGJ16" s="289"/>
      <c r="FGK16" s="289"/>
      <c r="FGL16" s="289"/>
      <c r="FGM16" s="289"/>
      <c r="FGN16" s="289"/>
      <c r="FGO16" s="289"/>
      <c r="FGP16" s="289"/>
      <c r="FGQ16" s="289"/>
      <c r="FGR16" s="289"/>
      <c r="FGS16" s="289"/>
      <c r="FGT16" s="289"/>
      <c r="FGU16" s="289"/>
      <c r="FGV16" s="289"/>
      <c r="FGW16" s="289"/>
      <c r="FGX16" s="289"/>
      <c r="FGY16" s="289"/>
      <c r="FGZ16" s="289"/>
      <c r="FHA16" s="289"/>
      <c r="FHB16" s="289"/>
      <c r="FHC16" s="289"/>
      <c r="FHD16" s="289"/>
      <c r="FHE16" s="289"/>
      <c r="FHF16" s="289"/>
      <c r="FHG16" s="289"/>
      <c r="FHH16" s="289"/>
      <c r="FHI16" s="289"/>
      <c r="FHJ16" s="289"/>
      <c r="FHK16" s="289"/>
      <c r="FHL16" s="289"/>
      <c r="FHM16" s="289"/>
      <c r="FHN16" s="289"/>
      <c r="FHO16" s="289"/>
      <c r="FHP16" s="289"/>
      <c r="FHQ16" s="289"/>
      <c r="FHR16" s="289"/>
      <c r="FHS16" s="289"/>
      <c r="FHT16" s="289"/>
      <c r="FHU16" s="289"/>
      <c r="FHV16" s="289"/>
      <c r="FHW16" s="289"/>
      <c r="FHX16" s="289"/>
      <c r="FHY16" s="289"/>
      <c r="FHZ16" s="289"/>
      <c r="FIA16" s="289"/>
      <c r="FIB16" s="289"/>
      <c r="FIC16" s="289"/>
      <c r="FID16" s="289"/>
      <c r="FIE16" s="289"/>
      <c r="FIF16" s="289"/>
      <c r="FIG16" s="289"/>
      <c r="FIH16" s="289"/>
      <c r="FII16" s="289"/>
      <c r="FIJ16" s="289"/>
      <c r="FIK16" s="289"/>
      <c r="FIL16" s="289"/>
      <c r="FIM16" s="289"/>
      <c r="FIN16" s="289"/>
      <c r="FIO16" s="289"/>
      <c r="FIP16" s="289"/>
      <c r="FIQ16" s="289"/>
      <c r="FIR16" s="289"/>
      <c r="FIS16" s="289"/>
      <c r="FIT16" s="289"/>
      <c r="FIU16" s="289"/>
      <c r="FIV16" s="289"/>
      <c r="FIW16" s="289"/>
      <c r="FIX16" s="289"/>
      <c r="FIY16" s="289"/>
      <c r="FIZ16" s="289"/>
      <c r="FJA16" s="289"/>
      <c r="FJB16" s="289"/>
      <c r="FJC16" s="289"/>
      <c r="FJD16" s="289"/>
      <c r="FJE16" s="289"/>
      <c r="FJF16" s="289"/>
      <c r="FJG16" s="289"/>
      <c r="FJH16" s="289"/>
      <c r="FJI16" s="289"/>
      <c r="FJJ16" s="289"/>
      <c r="FJK16" s="289"/>
      <c r="FJL16" s="289"/>
      <c r="FJM16" s="289"/>
      <c r="FJN16" s="289"/>
      <c r="FJO16" s="289"/>
      <c r="FJP16" s="289"/>
      <c r="FJQ16" s="289"/>
      <c r="FJR16" s="289"/>
      <c r="FJS16" s="289"/>
      <c r="FJT16" s="289"/>
      <c r="FJU16" s="289"/>
      <c r="FJV16" s="289"/>
      <c r="FJW16" s="289"/>
      <c r="FJX16" s="289"/>
      <c r="FJY16" s="289"/>
      <c r="FJZ16" s="289"/>
      <c r="FKA16" s="289"/>
      <c r="FKB16" s="289"/>
      <c r="FKC16" s="289"/>
      <c r="FKD16" s="289"/>
      <c r="FKE16" s="289"/>
      <c r="FKF16" s="289"/>
      <c r="FKG16" s="289"/>
      <c r="FKH16" s="289"/>
      <c r="FKI16" s="289"/>
      <c r="FKJ16" s="289"/>
      <c r="FKK16" s="289"/>
      <c r="FKL16" s="289"/>
      <c r="FKM16" s="289"/>
      <c r="FKN16" s="289"/>
      <c r="FKO16" s="289"/>
      <c r="FKP16" s="289"/>
      <c r="FKQ16" s="289"/>
      <c r="FKR16" s="289"/>
      <c r="FKS16" s="289"/>
      <c r="FKT16" s="289"/>
      <c r="FKU16" s="289"/>
      <c r="FKV16" s="289"/>
      <c r="FKW16" s="289"/>
      <c r="FKX16" s="289"/>
      <c r="FKY16" s="289"/>
      <c r="FKZ16" s="289"/>
      <c r="FLA16" s="289"/>
      <c r="FLB16" s="289"/>
      <c r="FLC16" s="289"/>
      <c r="FLD16" s="289"/>
      <c r="FLE16" s="289"/>
      <c r="FLF16" s="289"/>
      <c r="FLG16" s="289"/>
      <c r="FLH16" s="289"/>
      <c r="FLI16" s="289"/>
      <c r="FLJ16" s="289"/>
      <c r="FLK16" s="289"/>
      <c r="FLL16" s="289"/>
      <c r="FLM16" s="289"/>
      <c r="FLN16" s="289"/>
      <c r="FLO16" s="289"/>
      <c r="FLP16" s="289"/>
      <c r="FLQ16" s="289"/>
      <c r="FLR16" s="289"/>
      <c r="FLS16" s="289"/>
      <c r="FLT16" s="289"/>
      <c r="FLU16" s="289"/>
      <c r="FLV16" s="289"/>
      <c r="FLW16" s="289"/>
      <c r="FLX16" s="289"/>
      <c r="FLY16" s="289"/>
      <c r="FLZ16" s="289"/>
      <c r="FMA16" s="289"/>
      <c r="FMB16" s="289"/>
      <c r="FMC16" s="289"/>
      <c r="FMD16" s="289"/>
      <c r="FME16" s="289"/>
      <c r="FMF16" s="289"/>
      <c r="FMG16" s="289"/>
      <c r="FMH16" s="289"/>
      <c r="FMI16" s="289"/>
      <c r="FMJ16" s="289"/>
      <c r="FMK16" s="289"/>
      <c r="FML16" s="289"/>
      <c r="FMM16" s="289"/>
      <c r="FMN16" s="289"/>
      <c r="FMO16" s="289"/>
      <c r="FMP16" s="289"/>
      <c r="FMQ16" s="289"/>
      <c r="FMR16" s="289"/>
      <c r="FMS16" s="289"/>
      <c r="FMT16" s="289"/>
      <c r="FMU16" s="289"/>
      <c r="FMV16" s="289"/>
      <c r="FMW16" s="289"/>
      <c r="FMX16" s="289"/>
      <c r="FMY16" s="289"/>
      <c r="FMZ16" s="289"/>
      <c r="FNA16" s="289"/>
      <c r="FNB16" s="289"/>
      <c r="FNC16" s="289"/>
      <c r="FND16" s="289"/>
      <c r="FNE16" s="289"/>
      <c r="FNF16" s="289"/>
      <c r="FNG16" s="289"/>
      <c r="FNH16" s="289"/>
      <c r="FNI16" s="289"/>
      <c r="FNJ16" s="289"/>
      <c r="FNK16" s="289"/>
      <c r="FNL16" s="289"/>
      <c r="FNM16" s="289"/>
      <c r="FNN16" s="289"/>
      <c r="FNO16" s="289"/>
      <c r="FNP16" s="289"/>
      <c r="FNQ16" s="289"/>
      <c r="FNR16" s="289"/>
      <c r="FNS16" s="289"/>
      <c r="FNT16" s="289"/>
      <c r="FNU16" s="289"/>
      <c r="FNV16" s="289"/>
      <c r="FNW16" s="289"/>
      <c r="FNX16" s="289"/>
      <c r="FNY16" s="289"/>
      <c r="FNZ16" s="289"/>
      <c r="FOA16" s="289"/>
      <c r="FOB16" s="289"/>
      <c r="FOC16" s="289"/>
      <c r="FOD16" s="289"/>
      <c r="FOE16" s="289"/>
      <c r="FOF16" s="289"/>
      <c r="FOG16" s="289"/>
      <c r="FOH16" s="289"/>
      <c r="FOI16" s="289"/>
      <c r="FOJ16" s="289"/>
      <c r="FOK16" s="289"/>
      <c r="FOL16" s="289"/>
      <c r="FOM16" s="289"/>
      <c r="FON16" s="289"/>
      <c r="FOO16" s="289"/>
      <c r="FOP16" s="289"/>
      <c r="FOQ16" s="289"/>
      <c r="FOR16" s="289"/>
      <c r="FOS16" s="289"/>
      <c r="FOT16" s="289"/>
      <c r="FOU16" s="289"/>
      <c r="FOV16" s="289"/>
      <c r="FOW16" s="289"/>
      <c r="FOX16" s="289"/>
      <c r="FOY16" s="289"/>
      <c r="FOZ16" s="289"/>
      <c r="FPA16" s="289"/>
      <c r="FPB16" s="289"/>
      <c r="FPC16" s="289"/>
      <c r="FPD16" s="289"/>
      <c r="FPE16" s="289"/>
      <c r="FPF16" s="289"/>
      <c r="FPG16" s="289"/>
      <c r="FPH16" s="289"/>
      <c r="FPI16" s="289"/>
      <c r="FPJ16" s="289"/>
      <c r="FPK16" s="289"/>
      <c r="FPL16" s="289"/>
      <c r="FPM16" s="289"/>
      <c r="FPN16" s="289"/>
      <c r="FPO16" s="289"/>
      <c r="FPP16" s="289"/>
      <c r="FPQ16" s="289"/>
      <c r="FPR16" s="289"/>
      <c r="FPS16" s="289"/>
      <c r="FPT16" s="289"/>
      <c r="FPU16" s="289"/>
      <c r="FPV16" s="289"/>
      <c r="FPW16" s="289"/>
      <c r="FPX16" s="289"/>
      <c r="FPY16" s="289"/>
      <c r="FPZ16" s="289"/>
      <c r="FQA16" s="289"/>
      <c r="FQB16" s="289"/>
      <c r="FQC16" s="289"/>
      <c r="FQD16" s="289"/>
      <c r="FQE16" s="289"/>
      <c r="FQF16" s="289"/>
      <c r="FQG16" s="289"/>
      <c r="FQH16" s="289"/>
      <c r="FQI16" s="289"/>
      <c r="FQJ16" s="289"/>
      <c r="FQK16" s="289"/>
      <c r="FQL16" s="289"/>
      <c r="FQM16" s="289"/>
      <c r="FQN16" s="289"/>
      <c r="FQO16" s="289"/>
      <c r="FQP16" s="289"/>
      <c r="FQQ16" s="289"/>
      <c r="FQR16" s="289"/>
      <c r="FQS16" s="289"/>
      <c r="FQT16" s="289"/>
      <c r="FQU16" s="289"/>
      <c r="FQV16" s="289"/>
      <c r="FQW16" s="289"/>
      <c r="FQX16" s="289"/>
      <c r="FQY16" s="289"/>
      <c r="FQZ16" s="289"/>
      <c r="FRA16" s="289"/>
      <c r="FRB16" s="289"/>
      <c r="FRC16" s="289"/>
      <c r="FRD16" s="289"/>
      <c r="FRE16" s="289"/>
      <c r="FRF16" s="289"/>
      <c r="FRG16" s="289"/>
      <c r="FRH16" s="289"/>
      <c r="FRI16" s="289"/>
      <c r="FRJ16" s="289"/>
      <c r="FRK16" s="289"/>
      <c r="FRL16" s="289"/>
      <c r="FRM16" s="289"/>
      <c r="FRN16" s="289"/>
      <c r="FRO16" s="289"/>
      <c r="FRP16" s="289"/>
      <c r="FRQ16" s="289"/>
      <c r="FRR16" s="289"/>
      <c r="FRS16" s="289"/>
      <c r="FRT16" s="289"/>
      <c r="FRU16" s="289"/>
      <c r="FRV16" s="289"/>
      <c r="FRW16" s="289"/>
      <c r="FRX16" s="289"/>
      <c r="FRY16" s="289"/>
      <c r="FRZ16" s="289"/>
      <c r="FSA16" s="289"/>
      <c r="FSB16" s="289"/>
      <c r="FSC16" s="289"/>
      <c r="FSD16" s="289"/>
      <c r="FSE16" s="289"/>
      <c r="FSF16" s="289"/>
      <c r="FSG16" s="289"/>
      <c r="FSH16" s="289"/>
      <c r="FSI16" s="289"/>
      <c r="FSJ16" s="289"/>
      <c r="FSK16" s="289"/>
      <c r="FSL16" s="289"/>
      <c r="FSM16" s="289"/>
      <c r="FSN16" s="289"/>
      <c r="FSO16" s="289"/>
      <c r="FSP16" s="289"/>
      <c r="FSQ16" s="289"/>
      <c r="FSR16" s="289"/>
      <c r="FSS16" s="289"/>
      <c r="FST16" s="289"/>
      <c r="FSU16" s="289"/>
      <c r="FSV16" s="289"/>
      <c r="FSW16" s="289"/>
      <c r="FSX16" s="289"/>
      <c r="FSY16" s="289"/>
      <c r="FSZ16" s="289"/>
      <c r="FTA16" s="289"/>
      <c r="FTB16" s="289"/>
      <c r="FTC16" s="289"/>
      <c r="FTD16" s="289"/>
      <c r="FTE16" s="289"/>
      <c r="FTF16" s="289"/>
      <c r="FTG16" s="289"/>
      <c r="FTH16" s="289"/>
      <c r="FTI16" s="289"/>
      <c r="FTJ16" s="289"/>
      <c r="FTK16" s="289"/>
      <c r="FTL16" s="289"/>
      <c r="FTM16" s="289"/>
      <c r="FTN16" s="289"/>
      <c r="FTO16" s="289"/>
      <c r="FTP16" s="289"/>
      <c r="FTQ16" s="289"/>
      <c r="FTR16" s="289"/>
      <c r="FTS16" s="289"/>
      <c r="FTT16" s="289"/>
      <c r="FTU16" s="289"/>
      <c r="FTV16" s="289"/>
      <c r="FTW16" s="289"/>
      <c r="FTX16" s="289"/>
      <c r="FTY16" s="289"/>
      <c r="FTZ16" s="289"/>
      <c r="FUA16" s="289"/>
      <c r="FUB16" s="289"/>
      <c r="FUC16" s="289"/>
      <c r="FUD16" s="289"/>
      <c r="FUE16" s="289"/>
      <c r="FUF16" s="289"/>
      <c r="FUG16" s="289"/>
      <c r="FUH16" s="289"/>
      <c r="FUI16" s="289"/>
      <c r="FUJ16" s="289"/>
      <c r="FUK16" s="289"/>
      <c r="FUL16" s="289"/>
      <c r="FUM16" s="289"/>
      <c r="FUN16" s="289"/>
      <c r="FUO16" s="289"/>
      <c r="FUP16" s="289"/>
      <c r="FUQ16" s="289"/>
      <c r="FUR16" s="289"/>
      <c r="FUS16" s="289"/>
      <c r="FUT16" s="289"/>
      <c r="FUU16" s="289"/>
      <c r="FUV16" s="289"/>
      <c r="FUW16" s="289"/>
      <c r="FUX16" s="289"/>
      <c r="FUY16" s="289"/>
      <c r="FUZ16" s="289"/>
      <c r="FVA16" s="289"/>
      <c r="FVB16" s="289"/>
      <c r="FVC16" s="289"/>
      <c r="FVD16" s="289"/>
      <c r="FVE16" s="289"/>
      <c r="FVF16" s="289"/>
      <c r="FVG16" s="289"/>
      <c r="FVH16" s="289"/>
      <c r="FVI16" s="289"/>
      <c r="FVJ16" s="289"/>
      <c r="FVK16" s="289"/>
      <c r="FVL16" s="289"/>
      <c r="FVM16" s="289"/>
      <c r="FVN16" s="289"/>
      <c r="FVO16" s="289"/>
      <c r="FVP16" s="289"/>
      <c r="FVQ16" s="289"/>
      <c r="FVR16" s="289"/>
      <c r="FVS16" s="289"/>
      <c r="FVT16" s="289"/>
      <c r="FVU16" s="289"/>
      <c r="FVV16" s="289"/>
      <c r="FVW16" s="289"/>
      <c r="FVX16" s="289"/>
      <c r="FVY16" s="289"/>
      <c r="FVZ16" s="289"/>
      <c r="FWA16" s="289"/>
      <c r="FWB16" s="289"/>
      <c r="FWC16" s="289"/>
      <c r="FWD16" s="289"/>
      <c r="FWE16" s="289"/>
      <c r="FWF16" s="289"/>
      <c r="FWG16" s="289"/>
      <c r="FWH16" s="289"/>
      <c r="FWI16" s="289"/>
      <c r="FWJ16" s="289"/>
      <c r="FWK16" s="289"/>
      <c r="FWL16" s="289"/>
      <c r="FWM16" s="289"/>
      <c r="FWN16" s="289"/>
      <c r="FWO16" s="289"/>
      <c r="FWP16" s="289"/>
      <c r="FWQ16" s="289"/>
      <c r="FWR16" s="289"/>
      <c r="FWS16" s="289"/>
      <c r="FWT16" s="289"/>
      <c r="FWU16" s="289"/>
      <c r="FWV16" s="289"/>
      <c r="FWW16" s="289"/>
      <c r="FWX16" s="289"/>
      <c r="FWY16" s="289"/>
      <c r="FWZ16" s="289"/>
      <c r="FXA16" s="289"/>
      <c r="FXB16" s="289"/>
      <c r="FXC16" s="289"/>
      <c r="FXD16" s="289"/>
      <c r="FXE16" s="289"/>
      <c r="FXF16" s="289"/>
      <c r="FXG16" s="289"/>
      <c r="FXH16" s="289"/>
      <c r="FXI16" s="289"/>
      <c r="FXJ16" s="289"/>
      <c r="FXK16" s="289"/>
      <c r="FXL16" s="289"/>
      <c r="FXM16" s="289"/>
      <c r="FXN16" s="289"/>
      <c r="FXO16" s="289"/>
      <c r="FXP16" s="289"/>
      <c r="FXQ16" s="289"/>
      <c r="FXR16" s="289"/>
      <c r="FXS16" s="289"/>
      <c r="FXT16" s="289"/>
      <c r="FXU16" s="289"/>
      <c r="FXV16" s="289"/>
      <c r="FXW16" s="289"/>
      <c r="FXX16" s="289"/>
      <c r="FXY16" s="289"/>
      <c r="FXZ16" s="289"/>
      <c r="FYA16" s="289"/>
      <c r="FYB16" s="289"/>
      <c r="FYC16" s="289"/>
      <c r="FYD16" s="289"/>
      <c r="FYE16" s="289"/>
      <c r="FYF16" s="289"/>
      <c r="FYG16" s="289"/>
      <c r="FYH16" s="289"/>
      <c r="FYI16" s="289"/>
      <c r="FYJ16" s="289"/>
      <c r="FYK16" s="289"/>
      <c r="FYL16" s="289"/>
      <c r="FYM16" s="289"/>
      <c r="FYN16" s="289"/>
      <c r="FYO16" s="289"/>
      <c r="FYP16" s="289"/>
      <c r="FYQ16" s="289"/>
      <c r="FYR16" s="289"/>
      <c r="FYS16" s="289"/>
      <c r="FYT16" s="289"/>
      <c r="FYU16" s="289"/>
      <c r="FYV16" s="289"/>
      <c r="FYW16" s="289"/>
      <c r="FYX16" s="289"/>
      <c r="FYY16" s="289"/>
      <c r="FYZ16" s="289"/>
      <c r="FZA16" s="289"/>
      <c r="FZB16" s="289"/>
      <c r="FZC16" s="289"/>
      <c r="FZD16" s="289"/>
      <c r="FZE16" s="289"/>
      <c r="FZF16" s="289"/>
      <c r="FZG16" s="289"/>
      <c r="FZH16" s="289"/>
      <c r="FZI16" s="289"/>
      <c r="FZJ16" s="289"/>
      <c r="FZK16" s="289"/>
      <c r="FZL16" s="289"/>
      <c r="FZM16" s="289"/>
      <c r="FZN16" s="289"/>
      <c r="FZO16" s="289"/>
      <c r="FZP16" s="289"/>
      <c r="FZQ16" s="289"/>
      <c r="FZR16" s="289"/>
      <c r="FZS16" s="289"/>
      <c r="FZT16" s="289"/>
      <c r="FZU16" s="289"/>
      <c r="FZV16" s="289"/>
      <c r="FZW16" s="289"/>
      <c r="FZX16" s="289"/>
      <c r="FZY16" s="289"/>
      <c r="FZZ16" s="289"/>
      <c r="GAA16" s="289"/>
      <c r="GAB16" s="289"/>
      <c r="GAC16" s="289"/>
      <c r="GAD16" s="289"/>
      <c r="GAE16" s="289"/>
      <c r="GAF16" s="289"/>
      <c r="GAG16" s="289"/>
      <c r="GAH16" s="289"/>
      <c r="GAI16" s="289"/>
      <c r="GAJ16" s="289"/>
      <c r="GAK16" s="289"/>
      <c r="GAL16" s="289"/>
      <c r="GAM16" s="289"/>
      <c r="GAN16" s="289"/>
      <c r="GAO16" s="289"/>
      <c r="GAP16" s="289"/>
      <c r="GAQ16" s="289"/>
      <c r="GAR16" s="289"/>
      <c r="GAS16" s="289"/>
      <c r="GAT16" s="289"/>
      <c r="GAU16" s="289"/>
      <c r="GAV16" s="289"/>
      <c r="GAW16" s="289"/>
      <c r="GAX16" s="289"/>
      <c r="GAY16" s="289"/>
      <c r="GAZ16" s="289"/>
      <c r="GBA16" s="289"/>
      <c r="GBB16" s="289"/>
      <c r="GBC16" s="289"/>
      <c r="GBD16" s="289"/>
      <c r="GBE16" s="289"/>
      <c r="GBF16" s="289"/>
      <c r="GBG16" s="289"/>
      <c r="GBH16" s="289"/>
      <c r="GBI16" s="289"/>
      <c r="GBJ16" s="289"/>
      <c r="GBK16" s="289"/>
      <c r="GBL16" s="289"/>
      <c r="GBM16" s="289"/>
      <c r="GBN16" s="289"/>
      <c r="GBO16" s="289"/>
      <c r="GBP16" s="289"/>
      <c r="GBQ16" s="289"/>
      <c r="GBR16" s="289"/>
      <c r="GBS16" s="289"/>
      <c r="GBT16" s="289"/>
      <c r="GBU16" s="289"/>
      <c r="GBV16" s="289"/>
      <c r="GBW16" s="289"/>
      <c r="GBX16" s="289"/>
      <c r="GBY16" s="289"/>
      <c r="GBZ16" s="289"/>
      <c r="GCA16" s="289"/>
      <c r="GCB16" s="289"/>
      <c r="GCC16" s="289"/>
      <c r="GCD16" s="289"/>
      <c r="GCE16" s="289"/>
      <c r="GCF16" s="289"/>
      <c r="GCG16" s="289"/>
      <c r="GCH16" s="289"/>
      <c r="GCI16" s="289"/>
      <c r="GCJ16" s="289"/>
      <c r="GCK16" s="289"/>
      <c r="GCL16" s="289"/>
      <c r="GCM16" s="289"/>
      <c r="GCN16" s="289"/>
      <c r="GCO16" s="289"/>
      <c r="GCP16" s="289"/>
      <c r="GCQ16" s="289"/>
      <c r="GCR16" s="289"/>
      <c r="GCS16" s="289"/>
      <c r="GCT16" s="289"/>
      <c r="GCU16" s="289"/>
      <c r="GCV16" s="289"/>
      <c r="GCW16" s="289"/>
      <c r="GCX16" s="289"/>
      <c r="GCY16" s="289"/>
      <c r="GCZ16" s="289"/>
      <c r="GDA16" s="289"/>
      <c r="GDB16" s="289"/>
      <c r="GDC16" s="289"/>
      <c r="GDD16" s="289"/>
      <c r="GDE16" s="289"/>
      <c r="GDF16" s="289"/>
      <c r="GDG16" s="289"/>
      <c r="GDH16" s="289"/>
      <c r="GDI16" s="289"/>
      <c r="GDJ16" s="289"/>
      <c r="GDK16" s="289"/>
      <c r="GDL16" s="289"/>
      <c r="GDM16" s="289"/>
      <c r="GDN16" s="289"/>
      <c r="GDO16" s="289"/>
      <c r="GDP16" s="289"/>
      <c r="GDQ16" s="289"/>
      <c r="GDR16" s="289"/>
      <c r="GDS16" s="289"/>
      <c r="GDT16" s="289"/>
      <c r="GDU16" s="289"/>
      <c r="GDV16" s="289"/>
      <c r="GDW16" s="289"/>
      <c r="GDX16" s="289"/>
      <c r="GDY16" s="289"/>
      <c r="GDZ16" s="289"/>
      <c r="GEA16" s="289"/>
      <c r="GEB16" s="289"/>
      <c r="GEC16" s="289"/>
      <c r="GED16" s="289"/>
      <c r="GEE16" s="289"/>
      <c r="GEF16" s="289"/>
      <c r="GEG16" s="289"/>
      <c r="GEH16" s="289"/>
      <c r="GEI16" s="289"/>
      <c r="GEJ16" s="289"/>
      <c r="GEK16" s="289"/>
      <c r="GEL16" s="289"/>
      <c r="GEM16" s="289"/>
      <c r="GEN16" s="289"/>
      <c r="GEO16" s="289"/>
      <c r="GEP16" s="289"/>
      <c r="GEQ16" s="289"/>
      <c r="GER16" s="289"/>
      <c r="GES16" s="289"/>
      <c r="GET16" s="289"/>
      <c r="GEU16" s="289"/>
      <c r="GEV16" s="289"/>
      <c r="GEW16" s="289"/>
      <c r="GEX16" s="289"/>
      <c r="GEY16" s="289"/>
      <c r="GEZ16" s="289"/>
      <c r="GFA16" s="289"/>
      <c r="GFB16" s="289"/>
      <c r="GFC16" s="289"/>
      <c r="GFD16" s="289"/>
      <c r="GFE16" s="289"/>
      <c r="GFF16" s="289"/>
      <c r="GFG16" s="289"/>
      <c r="GFH16" s="289"/>
      <c r="GFI16" s="289"/>
      <c r="GFJ16" s="289"/>
      <c r="GFK16" s="289"/>
      <c r="GFL16" s="289"/>
      <c r="GFM16" s="289"/>
      <c r="GFN16" s="289"/>
      <c r="GFO16" s="289"/>
      <c r="GFP16" s="289"/>
      <c r="GFQ16" s="289"/>
      <c r="GFR16" s="289"/>
      <c r="GFS16" s="289"/>
      <c r="GFT16" s="289"/>
      <c r="GFU16" s="289"/>
      <c r="GFV16" s="289"/>
      <c r="GFW16" s="289"/>
      <c r="GFX16" s="289"/>
      <c r="GFY16" s="289"/>
      <c r="GFZ16" s="289"/>
      <c r="GGA16" s="289"/>
      <c r="GGB16" s="289"/>
      <c r="GGC16" s="289"/>
      <c r="GGD16" s="289"/>
      <c r="GGE16" s="289"/>
      <c r="GGF16" s="289"/>
      <c r="GGG16" s="289"/>
      <c r="GGH16" s="289"/>
      <c r="GGI16" s="289"/>
      <c r="GGJ16" s="289"/>
      <c r="GGK16" s="289"/>
      <c r="GGL16" s="289"/>
      <c r="GGM16" s="289"/>
      <c r="GGN16" s="289"/>
      <c r="GGO16" s="289"/>
      <c r="GGP16" s="289"/>
      <c r="GGQ16" s="289"/>
      <c r="GGR16" s="289"/>
      <c r="GGS16" s="289"/>
      <c r="GGT16" s="289"/>
      <c r="GGU16" s="289"/>
      <c r="GGV16" s="289"/>
      <c r="GGW16" s="289"/>
      <c r="GGX16" s="289"/>
      <c r="GGY16" s="289"/>
      <c r="GGZ16" s="289"/>
      <c r="GHA16" s="289"/>
      <c r="GHB16" s="289"/>
      <c r="GHC16" s="289"/>
      <c r="GHD16" s="289"/>
      <c r="GHE16" s="289"/>
      <c r="GHF16" s="289"/>
      <c r="GHG16" s="289"/>
      <c r="GHH16" s="289"/>
      <c r="GHI16" s="289"/>
      <c r="GHJ16" s="289"/>
      <c r="GHK16" s="289"/>
      <c r="GHL16" s="289"/>
      <c r="GHM16" s="289"/>
      <c r="GHN16" s="289"/>
      <c r="GHO16" s="289"/>
      <c r="GHP16" s="289"/>
      <c r="GHQ16" s="289"/>
      <c r="GHR16" s="289"/>
      <c r="GHS16" s="289"/>
      <c r="GHT16" s="289"/>
      <c r="GHU16" s="289"/>
      <c r="GHV16" s="289"/>
      <c r="GHW16" s="289"/>
      <c r="GHX16" s="289"/>
      <c r="GHY16" s="289"/>
      <c r="GHZ16" s="289"/>
      <c r="GIA16" s="289"/>
      <c r="GIB16" s="289"/>
      <c r="GIC16" s="289"/>
      <c r="GID16" s="289"/>
      <c r="GIE16" s="289"/>
      <c r="GIF16" s="289"/>
      <c r="GIG16" s="289"/>
      <c r="GIH16" s="289"/>
      <c r="GII16" s="289"/>
      <c r="GIJ16" s="289"/>
      <c r="GIK16" s="289"/>
      <c r="GIL16" s="289"/>
      <c r="GIM16" s="289"/>
      <c r="GIN16" s="289"/>
      <c r="GIO16" s="289"/>
      <c r="GIP16" s="289"/>
      <c r="GIQ16" s="289"/>
      <c r="GIR16" s="289"/>
      <c r="GIS16" s="289"/>
      <c r="GIT16" s="289"/>
      <c r="GIU16" s="289"/>
      <c r="GIV16" s="289"/>
      <c r="GIW16" s="289"/>
      <c r="GIX16" s="289"/>
      <c r="GIY16" s="289"/>
      <c r="GIZ16" s="289"/>
      <c r="GJA16" s="289"/>
      <c r="GJB16" s="289"/>
      <c r="GJC16" s="289"/>
      <c r="GJD16" s="289"/>
      <c r="GJE16" s="289"/>
      <c r="GJF16" s="289"/>
      <c r="GJG16" s="289"/>
      <c r="GJH16" s="289"/>
      <c r="GJI16" s="289"/>
      <c r="GJJ16" s="289"/>
      <c r="GJK16" s="289"/>
      <c r="GJL16" s="289"/>
      <c r="GJM16" s="289"/>
      <c r="GJN16" s="289"/>
      <c r="GJO16" s="289"/>
      <c r="GJP16" s="289"/>
      <c r="GJQ16" s="289"/>
      <c r="GJR16" s="289"/>
      <c r="GJS16" s="289"/>
      <c r="GJT16" s="289"/>
      <c r="GJU16" s="289"/>
      <c r="GJV16" s="289"/>
      <c r="GJW16" s="289"/>
      <c r="GJX16" s="289"/>
      <c r="GJY16" s="289"/>
      <c r="GJZ16" s="289"/>
      <c r="GKA16" s="289"/>
      <c r="GKB16" s="289"/>
      <c r="GKC16" s="289"/>
      <c r="GKD16" s="289"/>
      <c r="GKE16" s="289"/>
      <c r="GKF16" s="289"/>
      <c r="GKG16" s="289"/>
      <c r="GKH16" s="289"/>
      <c r="GKI16" s="289"/>
      <c r="GKJ16" s="289"/>
      <c r="GKK16" s="289"/>
      <c r="GKL16" s="289"/>
      <c r="GKM16" s="289"/>
      <c r="GKN16" s="289"/>
      <c r="GKO16" s="289"/>
      <c r="GKP16" s="289"/>
      <c r="GKQ16" s="289"/>
      <c r="GKR16" s="289"/>
      <c r="GKS16" s="289"/>
      <c r="GKT16" s="289"/>
      <c r="GKU16" s="289"/>
      <c r="GKV16" s="289"/>
      <c r="GKW16" s="289"/>
      <c r="GKX16" s="289"/>
      <c r="GKY16" s="289"/>
      <c r="GKZ16" s="289"/>
      <c r="GLA16" s="289"/>
      <c r="GLB16" s="289"/>
      <c r="GLC16" s="289"/>
      <c r="GLD16" s="289"/>
      <c r="GLE16" s="289"/>
      <c r="GLF16" s="289"/>
      <c r="GLG16" s="289"/>
      <c r="GLH16" s="289"/>
      <c r="GLI16" s="289"/>
      <c r="GLJ16" s="289"/>
      <c r="GLK16" s="289"/>
      <c r="GLL16" s="289"/>
      <c r="GLM16" s="289"/>
      <c r="GLN16" s="289"/>
      <c r="GLO16" s="289"/>
      <c r="GLP16" s="289"/>
      <c r="GLQ16" s="289"/>
      <c r="GLR16" s="289"/>
      <c r="GLS16" s="289"/>
      <c r="GLT16" s="289"/>
      <c r="GLU16" s="289"/>
      <c r="GLV16" s="289"/>
      <c r="GLW16" s="289"/>
      <c r="GLX16" s="289"/>
      <c r="GLY16" s="289"/>
      <c r="GLZ16" s="289"/>
      <c r="GMA16" s="289"/>
      <c r="GMB16" s="289"/>
      <c r="GMC16" s="289"/>
      <c r="GMD16" s="289"/>
      <c r="GME16" s="289"/>
      <c r="GMF16" s="289"/>
      <c r="GMG16" s="289"/>
      <c r="GMH16" s="289"/>
      <c r="GMI16" s="289"/>
      <c r="GMJ16" s="289"/>
      <c r="GMK16" s="289"/>
      <c r="GML16" s="289"/>
      <c r="GMM16" s="289"/>
      <c r="GMN16" s="289"/>
      <c r="GMO16" s="289"/>
      <c r="GMP16" s="289"/>
      <c r="GMQ16" s="289"/>
      <c r="GMR16" s="289"/>
      <c r="GMS16" s="289"/>
      <c r="GMT16" s="289"/>
      <c r="GMU16" s="289"/>
      <c r="GMV16" s="289"/>
      <c r="GMW16" s="289"/>
      <c r="GMX16" s="289"/>
      <c r="GMY16" s="289"/>
      <c r="GMZ16" s="289"/>
      <c r="GNA16" s="289"/>
      <c r="GNB16" s="289"/>
      <c r="GNC16" s="289"/>
      <c r="GND16" s="289"/>
      <c r="GNE16" s="289"/>
      <c r="GNF16" s="289"/>
      <c r="GNG16" s="289"/>
      <c r="GNH16" s="289"/>
      <c r="GNI16" s="289"/>
      <c r="GNJ16" s="289"/>
      <c r="GNK16" s="289"/>
      <c r="GNL16" s="289"/>
      <c r="GNM16" s="289"/>
      <c r="GNN16" s="289"/>
      <c r="GNO16" s="289"/>
      <c r="GNP16" s="289"/>
      <c r="GNQ16" s="289"/>
      <c r="GNR16" s="289"/>
      <c r="GNS16" s="289"/>
      <c r="GNT16" s="289"/>
      <c r="GNU16" s="289"/>
      <c r="GNV16" s="289"/>
      <c r="GNW16" s="289"/>
      <c r="GNX16" s="289"/>
      <c r="GNY16" s="289"/>
      <c r="GNZ16" s="289"/>
      <c r="GOA16" s="289"/>
      <c r="GOB16" s="289"/>
      <c r="GOC16" s="289"/>
      <c r="GOD16" s="289"/>
      <c r="GOE16" s="289"/>
      <c r="GOF16" s="289"/>
      <c r="GOG16" s="289"/>
      <c r="GOH16" s="289"/>
      <c r="GOI16" s="289"/>
      <c r="GOJ16" s="289"/>
      <c r="GOK16" s="289"/>
      <c r="GOL16" s="289"/>
      <c r="GOM16" s="289"/>
      <c r="GON16" s="289"/>
      <c r="GOO16" s="289"/>
      <c r="GOP16" s="289"/>
      <c r="GOQ16" s="289"/>
      <c r="GOR16" s="289"/>
      <c r="GOS16" s="289"/>
      <c r="GOT16" s="289"/>
      <c r="GOU16" s="289"/>
      <c r="GOV16" s="289"/>
      <c r="GOW16" s="289"/>
      <c r="GOX16" s="289"/>
      <c r="GOY16" s="289"/>
      <c r="GOZ16" s="289"/>
      <c r="GPA16" s="289"/>
      <c r="GPB16" s="289"/>
      <c r="GPC16" s="289"/>
      <c r="GPD16" s="289"/>
      <c r="GPE16" s="289"/>
      <c r="GPF16" s="289"/>
      <c r="GPG16" s="289"/>
      <c r="GPH16" s="289"/>
      <c r="GPI16" s="289"/>
      <c r="GPJ16" s="289"/>
      <c r="GPK16" s="289"/>
      <c r="GPL16" s="289"/>
      <c r="GPM16" s="289"/>
      <c r="GPN16" s="289"/>
      <c r="GPO16" s="289"/>
      <c r="GPP16" s="289"/>
      <c r="GPQ16" s="289"/>
      <c r="GPR16" s="289"/>
      <c r="GPS16" s="289"/>
      <c r="GPT16" s="289"/>
      <c r="GPU16" s="289"/>
      <c r="GPV16" s="289"/>
      <c r="GPW16" s="289"/>
      <c r="GPX16" s="289"/>
      <c r="GPY16" s="289"/>
      <c r="GPZ16" s="289"/>
      <c r="GQA16" s="289"/>
      <c r="GQB16" s="289"/>
      <c r="GQC16" s="289"/>
      <c r="GQD16" s="289"/>
      <c r="GQE16" s="289"/>
      <c r="GQF16" s="289"/>
      <c r="GQG16" s="289"/>
      <c r="GQH16" s="289"/>
      <c r="GQI16" s="289"/>
      <c r="GQJ16" s="289"/>
      <c r="GQK16" s="289"/>
      <c r="GQL16" s="289"/>
      <c r="GQM16" s="289"/>
      <c r="GQN16" s="289"/>
      <c r="GQO16" s="289"/>
      <c r="GQP16" s="289"/>
      <c r="GQQ16" s="289"/>
      <c r="GQR16" s="289"/>
      <c r="GQS16" s="289"/>
      <c r="GQT16" s="289"/>
      <c r="GQU16" s="289"/>
      <c r="GQV16" s="289"/>
      <c r="GQW16" s="289"/>
      <c r="GQX16" s="289"/>
      <c r="GQY16" s="289"/>
      <c r="GQZ16" s="289"/>
      <c r="GRA16" s="289"/>
      <c r="GRB16" s="289"/>
      <c r="GRC16" s="289"/>
      <c r="GRD16" s="289"/>
      <c r="GRE16" s="289"/>
      <c r="GRF16" s="289"/>
      <c r="GRG16" s="289"/>
      <c r="GRH16" s="289"/>
      <c r="GRI16" s="289"/>
      <c r="GRJ16" s="289"/>
      <c r="GRK16" s="289"/>
      <c r="GRL16" s="289"/>
      <c r="GRM16" s="289"/>
      <c r="GRN16" s="289"/>
      <c r="GRO16" s="289"/>
      <c r="GRP16" s="289"/>
      <c r="GRQ16" s="289"/>
      <c r="GRR16" s="289"/>
      <c r="GRS16" s="289"/>
      <c r="GRT16" s="289"/>
      <c r="GRU16" s="289"/>
      <c r="GRV16" s="289"/>
      <c r="GRW16" s="289"/>
      <c r="GRX16" s="289"/>
      <c r="GRY16" s="289"/>
      <c r="GRZ16" s="289"/>
      <c r="GSA16" s="289"/>
      <c r="GSB16" s="289"/>
      <c r="GSC16" s="289"/>
      <c r="GSD16" s="289"/>
      <c r="GSE16" s="289"/>
      <c r="GSF16" s="289"/>
      <c r="GSG16" s="289"/>
      <c r="GSH16" s="289"/>
      <c r="GSI16" s="289"/>
      <c r="GSJ16" s="289"/>
      <c r="GSK16" s="289"/>
      <c r="GSL16" s="289"/>
      <c r="GSM16" s="289"/>
      <c r="GSN16" s="289"/>
      <c r="GSO16" s="289"/>
      <c r="GSP16" s="289"/>
      <c r="GSQ16" s="289"/>
      <c r="GSR16" s="289"/>
      <c r="GSS16" s="289"/>
      <c r="GST16" s="289"/>
      <c r="GSU16" s="289"/>
      <c r="GSV16" s="289"/>
      <c r="GSW16" s="289"/>
      <c r="GSX16" s="289"/>
      <c r="GSY16" s="289"/>
      <c r="GSZ16" s="289"/>
      <c r="GTA16" s="289"/>
      <c r="GTB16" s="289"/>
      <c r="GTC16" s="289"/>
      <c r="GTD16" s="289"/>
      <c r="GTE16" s="289"/>
      <c r="GTF16" s="289"/>
      <c r="GTG16" s="289"/>
      <c r="GTH16" s="289"/>
      <c r="GTI16" s="289"/>
      <c r="GTJ16" s="289"/>
      <c r="GTK16" s="289"/>
      <c r="GTL16" s="289"/>
      <c r="GTM16" s="289"/>
      <c r="GTN16" s="289"/>
      <c r="GTO16" s="289"/>
      <c r="GTP16" s="289"/>
      <c r="GTQ16" s="289"/>
      <c r="GTR16" s="289"/>
      <c r="GTS16" s="289"/>
      <c r="GTT16" s="289"/>
      <c r="GTU16" s="289"/>
      <c r="GTV16" s="289"/>
      <c r="GTW16" s="289"/>
      <c r="GTX16" s="289"/>
      <c r="GTY16" s="289"/>
      <c r="GTZ16" s="289"/>
      <c r="GUA16" s="289"/>
      <c r="GUB16" s="289"/>
      <c r="GUC16" s="289"/>
      <c r="GUD16" s="289"/>
      <c r="GUE16" s="289"/>
      <c r="GUF16" s="289"/>
      <c r="GUG16" s="289"/>
      <c r="GUH16" s="289"/>
      <c r="GUI16" s="289"/>
      <c r="GUJ16" s="289"/>
      <c r="GUK16" s="289"/>
      <c r="GUL16" s="289"/>
      <c r="GUM16" s="289"/>
      <c r="GUN16" s="289"/>
      <c r="GUO16" s="289"/>
      <c r="GUP16" s="289"/>
      <c r="GUQ16" s="289"/>
      <c r="GUR16" s="289"/>
      <c r="GUS16" s="289"/>
      <c r="GUT16" s="289"/>
      <c r="GUU16" s="289"/>
      <c r="GUV16" s="289"/>
      <c r="GUW16" s="289"/>
      <c r="GUX16" s="289"/>
      <c r="GUY16" s="289"/>
      <c r="GUZ16" s="289"/>
      <c r="GVA16" s="289"/>
      <c r="GVB16" s="289"/>
      <c r="GVC16" s="289"/>
      <c r="GVD16" s="289"/>
      <c r="GVE16" s="289"/>
      <c r="GVF16" s="289"/>
      <c r="GVG16" s="289"/>
      <c r="GVH16" s="289"/>
      <c r="GVI16" s="289"/>
      <c r="GVJ16" s="289"/>
      <c r="GVK16" s="289"/>
      <c r="GVL16" s="289"/>
      <c r="GVM16" s="289"/>
      <c r="GVN16" s="289"/>
      <c r="GVO16" s="289"/>
      <c r="GVP16" s="289"/>
      <c r="GVQ16" s="289"/>
      <c r="GVR16" s="289"/>
      <c r="GVS16" s="289"/>
      <c r="GVT16" s="289"/>
      <c r="GVU16" s="289"/>
      <c r="GVV16" s="289"/>
      <c r="GVW16" s="289"/>
      <c r="GVX16" s="289"/>
      <c r="GVY16" s="289"/>
      <c r="GVZ16" s="289"/>
      <c r="GWA16" s="289"/>
      <c r="GWB16" s="289"/>
      <c r="GWC16" s="289"/>
      <c r="GWD16" s="289"/>
      <c r="GWE16" s="289"/>
      <c r="GWF16" s="289"/>
      <c r="GWG16" s="289"/>
      <c r="GWH16" s="289"/>
      <c r="GWI16" s="289"/>
      <c r="GWJ16" s="289"/>
      <c r="GWK16" s="289"/>
      <c r="GWL16" s="289"/>
      <c r="GWM16" s="289"/>
      <c r="GWN16" s="289"/>
      <c r="GWO16" s="289"/>
      <c r="GWP16" s="289"/>
      <c r="GWQ16" s="289"/>
      <c r="GWR16" s="289"/>
      <c r="GWS16" s="289"/>
      <c r="GWT16" s="289"/>
      <c r="GWU16" s="289"/>
      <c r="GWV16" s="289"/>
      <c r="GWW16" s="289"/>
      <c r="GWX16" s="289"/>
      <c r="GWY16" s="289"/>
      <c r="GWZ16" s="289"/>
      <c r="GXA16" s="289"/>
      <c r="GXB16" s="289"/>
      <c r="GXC16" s="289"/>
      <c r="GXD16" s="289"/>
      <c r="GXE16" s="289"/>
      <c r="GXF16" s="289"/>
      <c r="GXG16" s="289"/>
      <c r="GXH16" s="289"/>
      <c r="GXI16" s="289"/>
      <c r="GXJ16" s="289"/>
      <c r="GXK16" s="289"/>
      <c r="GXL16" s="289"/>
      <c r="GXM16" s="289"/>
      <c r="GXN16" s="289"/>
      <c r="GXO16" s="289"/>
      <c r="GXP16" s="289"/>
      <c r="GXQ16" s="289"/>
      <c r="GXR16" s="289"/>
      <c r="GXS16" s="289"/>
      <c r="GXT16" s="289"/>
      <c r="GXU16" s="289"/>
      <c r="GXV16" s="289"/>
      <c r="GXW16" s="289"/>
      <c r="GXX16" s="289"/>
      <c r="GXY16" s="289"/>
      <c r="GXZ16" s="289"/>
      <c r="GYA16" s="289"/>
      <c r="GYB16" s="289"/>
      <c r="GYC16" s="289"/>
      <c r="GYD16" s="289"/>
      <c r="GYE16" s="289"/>
      <c r="GYF16" s="289"/>
      <c r="GYG16" s="289"/>
      <c r="GYH16" s="289"/>
      <c r="GYI16" s="289"/>
      <c r="GYJ16" s="289"/>
      <c r="GYK16" s="289"/>
      <c r="GYL16" s="289"/>
      <c r="GYM16" s="289"/>
      <c r="GYN16" s="289"/>
      <c r="GYO16" s="289"/>
      <c r="GYP16" s="289"/>
      <c r="GYQ16" s="289"/>
      <c r="GYR16" s="289"/>
      <c r="GYS16" s="289"/>
      <c r="GYT16" s="289"/>
      <c r="GYU16" s="289"/>
      <c r="GYV16" s="289"/>
      <c r="GYW16" s="289"/>
      <c r="GYX16" s="289"/>
      <c r="GYY16" s="289"/>
      <c r="GYZ16" s="289"/>
      <c r="GZA16" s="289"/>
      <c r="GZB16" s="289"/>
      <c r="GZC16" s="289"/>
      <c r="GZD16" s="289"/>
      <c r="GZE16" s="289"/>
      <c r="GZF16" s="289"/>
      <c r="GZG16" s="289"/>
      <c r="GZH16" s="289"/>
      <c r="GZI16" s="289"/>
      <c r="GZJ16" s="289"/>
      <c r="GZK16" s="289"/>
      <c r="GZL16" s="289"/>
      <c r="GZM16" s="289"/>
      <c r="GZN16" s="289"/>
      <c r="GZO16" s="289"/>
      <c r="GZP16" s="289"/>
      <c r="GZQ16" s="289"/>
      <c r="GZR16" s="289"/>
      <c r="GZS16" s="289"/>
      <c r="GZT16" s="289"/>
      <c r="GZU16" s="289"/>
      <c r="GZV16" s="289"/>
      <c r="GZW16" s="289"/>
      <c r="GZX16" s="289"/>
      <c r="GZY16" s="289"/>
      <c r="GZZ16" s="289"/>
      <c r="HAA16" s="289"/>
      <c r="HAB16" s="289"/>
      <c r="HAC16" s="289"/>
      <c r="HAD16" s="289"/>
      <c r="HAE16" s="289"/>
      <c r="HAF16" s="289"/>
      <c r="HAG16" s="289"/>
      <c r="HAH16" s="289"/>
      <c r="HAI16" s="289"/>
      <c r="HAJ16" s="289"/>
      <c r="HAK16" s="289"/>
      <c r="HAL16" s="289"/>
      <c r="HAM16" s="289"/>
      <c r="HAN16" s="289"/>
      <c r="HAO16" s="289"/>
      <c r="HAP16" s="289"/>
      <c r="HAQ16" s="289"/>
      <c r="HAR16" s="289"/>
      <c r="HAS16" s="289"/>
      <c r="HAT16" s="289"/>
      <c r="HAU16" s="289"/>
      <c r="HAV16" s="289"/>
      <c r="HAW16" s="289"/>
      <c r="HAX16" s="289"/>
      <c r="HAY16" s="289"/>
      <c r="HAZ16" s="289"/>
      <c r="HBA16" s="289"/>
      <c r="HBB16" s="289"/>
      <c r="HBC16" s="289"/>
      <c r="HBD16" s="289"/>
      <c r="HBE16" s="289"/>
      <c r="HBF16" s="289"/>
      <c r="HBG16" s="289"/>
      <c r="HBH16" s="289"/>
      <c r="HBI16" s="289"/>
      <c r="HBJ16" s="289"/>
      <c r="HBK16" s="289"/>
      <c r="HBL16" s="289"/>
      <c r="HBM16" s="289"/>
      <c r="HBN16" s="289"/>
      <c r="HBO16" s="289"/>
      <c r="HBP16" s="289"/>
      <c r="HBQ16" s="289"/>
      <c r="HBR16" s="289"/>
      <c r="HBS16" s="289"/>
      <c r="HBT16" s="289"/>
      <c r="HBU16" s="289"/>
      <c r="HBV16" s="289"/>
      <c r="HBW16" s="289"/>
      <c r="HBX16" s="289"/>
      <c r="HBY16" s="289"/>
      <c r="HBZ16" s="289"/>
      <c r="HCA16" s="289"/>
      <c r="HCB16" s="289"/>
      <c r="HCC16" s="289"/>
      <c r="HCD16" s="289"/>
      <c r="HCE16" s="289"/>
      <c r="HCF16" s="289"/>
      <c r="HCG16" s="289"/>
      <c r="HCH16" s="289"/>
      <c r="HCI16" s="289"/>
      <c r="HCJ16" s="289"/>
      <c r="HCK16" s="289"/>
      <c r="HCL16" s="289"/>
      <c r="HCM16" s="289"/>
      <c r="HCN16" s="289"/>
      <c r="HCO16" s="289"/>
      <c r="HCP16" s="289"/>
      <c r="HCQ16" s="289"/>
      <c r="HCR16" s="289"/>
      <c r="HCS16" s="289"/>
      <c r="HCT16" s="289"/>
      <c r="HCU16" s="289"/>
      <c r="HCV16" s="289"/>
      <c r="HCW16" s="289"/>
      <c r="HCX16" s="289"/>
      <c r="HCY16" s="289"/>
      <c r="HCZ16" s="289"/>
      <c r="HDA16" s="289"/>
      <c r="HDB16" s="289"/>
      <c r="HDC16" s="289"/>
      <c r="HDD16" s="289"/>
      <c r="HDE16" s="289"/>
      <c r="HDF16" s="289"/>
      <c r="HDG16" s="289"/>
      <c r="HDH16" s="289"/>
      <c r="HDI16" s="289"/>
      <c r="HDJ16" s="289"/>
      <c r="HDK16" s="289"/>
      <c r="HDL16" s="289"/>
      <c r="HDM16" s="289"/>
      <c r="HDN16" s="289"/>
      <c r="HDO16" s="289"/>
      <c r="HDP16" s="289"/>
      <c r="HDQ16" s="289"/>
      <c r="HDR16" s="289"/>
      <c r="HDS16" s="289"/>
      <c r="HDT16" s="289"/>
      <c r="HDU16" s="289"/>
      <c r="HDV16" s="289"/>
      <c r="HDW16" s="289"/>
      <c r="HDX16" s="289"/>
      <c r="HDY16" s="289"/>
      <c r="HDZ16" s="289"/>
      <c r="HEA16" s="289"/>
      <c r="HEB16" s="289"/>
      <c r="HEC16" s="289"/>
      <c r="HED16" s="289"/>
      <c r="HEE16" s="289"/>
      <c r="HEF16" s="289"/>
      <c r="HEG16" s="289"/>
      <c r="HEH16" s="289"/>
      <c r="HEI16" s="289"/>
      <c r="HEJ16" s="289"/>
      <c r="HEK16" s="289"/>
      <c r="HEL16" s="289"/>
      <c r="HEM16" s="289"/>
      <c r="HEN16" s="289"/>
      <c r="HEO16" s="289"/>
      <c r="HEP16" s="289"/>
      <c r="HEQ16" s="289"/>
      <c r="HER16" s="289"/>
      <c r="HES16" s="289"/>
      <c r="HET16" s="289"/>
      <c r="HEU16" s="289"/>
      <c r="HEV16" s="289"/>
      <c r="HEW16" s="289"/>
      <c r="HEX16" s="289"/>
      <c r="HEY16" s="289"/>
      <c r="HEZ16" s="289"/>
      <c r="HFA16" s="289"/>
      <c r="HFB16" s="289"/>
      <c r="HFC16" s="289"/>
      <c r="HFD16" s="289"/>
      <c r="HFE16" s="289"/>
      <c r="HFF16" s="289"/>
      <c r="HFG16" s="289"/>
      <c r="HFH16" s="289"/>
      <c r="HFI16" s="289"/>
      <c r="HFJ16" s="289"/>
      <c r="HFK16" s="289"/>
      <c r="HFL16" s="289"/>
      <c r="HFM16" s="289"/>
      <c r="HFN16" s="289"/>
      <c r="HFO16" s="289"/>
      <c r="HFP16" s="289"/>
      <c r="HFQ16" s="289"/>
      <c r="HFR16" s="289"/>
      <c r="HFS16" s="289"/>
      <c r="HFT16" s="289"/>
      <c r="HFU16" s="289"/>
      <c r="HFV16" s="289"/>
      <c r="HFW16" s="289"/>
      <c r="HFX16" s="289"/>
      <c r="HFY16" s="289"/>
      <c r="HFZ16" s="289"/>
      <c r="HGA16" s="289"/>
      <c r="HGB16" s="289"/>
      <c r="HGC16" s="289"/>
      <c r="HGD16" s="289"/>
      <c r="HGE16" s="289"/>
      <c r="HGF16" s="289"/>
      <c r="HGG16" s="289"/>
      <c r="HGH16" s="289"/>
      <c r="HGI16" s="289"/>
      <c r="HGJ16" s="289"/>
      <c r="HGK16" s="289"/>
      <c r="HGL16" s="289"/>
      <c r="HGM16" s="289"/>
      <c r="HGN16" s="289"/>
      <c r="HGO16" s="289"/>
      <c r="HGP16" s="289"/>
      <c r="HGQ16" s="289"/>
      <c r="HGR16" s="289"/>
      <c r="HGS16" s="289"/>
      <c r="HGT16" s="289"/>
      <c r="HGU16" s="289"/>
      <c r="HGV16" s="289"/>
      <c r="HGW16" s="289"/>
      <c r="HGX16" s="289"/>
      <c r="HGY16" s="289"/>
      <c r="HGZ16" s="289"/>
      <c r="HHA16" s="289"/>
      <c r="HHB16" s="289"/>
      <c r="HHC16" s="289"/>
      <c r="HHD16" s="289"/>
      <c r="HHE16" s="289"/>
      <c r="HHF16" s="289"/>
      <c r="HHG16" s="289"/>
      <c r="HHH16" s="289"/>
      <c r="HHI16" s="289"/>
      <c r="HHJ16" s="289"/>
      <c r="HHK16" s="289"/>
      <c r="HHL16" s="289"/>
      <c r="HHM16" s="289"/>
      <c r="HHN16" s="289"/>
      <c r="HHO16" s="289"/>
      <c r="HHP16" s="289"/>
      <c r="HHQ16" s="289"/>
      <c r="HHR16" s="289"/>
      <c r="HHS16" s="289"/>
      <c r="HHT16" s="289"/>
      <c r="HHU16" s="289"/>
      <c r="HHV16" s="289"/>
      <c r="HHW16" s="289"/>
      <c r="HHX16" s="289"/>
      <c r="HHY16" s="289"/>
      <c r="HHZ16" s="289"/>
      <c r="HIA16" s="289"/>
      <c r="HIB16" s="289"/>
      <c r="HIC16" s="289"/>
      <c r="HID16" s="289"/>
      <c r="HIE16" s="289"/>
      <c r="HIF16" s="289"/>
      <c r="HIG16" s="289"/>
      <c r="HIH16" s="289"/>
      <c r="HII16" s="289"/>
      <c r="HIJ16" s="289"/>
      <c r="HIK16" s="289"/>
      <c r="HIL16" s="289"/>
      <c r="HIM16" s="289"/>
      <c r="HIN16" s="289"/>
      <c r="HIO16" s="289"/>
      <c r="HIP16" s="289"/>
      <c r="HIQ16" s="289"/>
      <c r="HIR16" s="289"/>
      <c r="HIS16" s="289"/>
      <c r="HIT16" s="289"/>
      <c r="HIU16" s="289"/>
      <c r="HIV16" s="289"/>
      <c r="HIW16" s="289"/>
      <c r="HIX16" s="289"/>
      <c r="HIY16" s="289"/>
      <c r="HIZ16" s="289"/>
      <c r="HJA16" s="289"/>
      <c r="HJB16" s="289"/>
      <c r="HJC16" s="289"/>
      <c r="HJD16" s="289"/>
      <c r="HJE16" s="289"/>
      <c r="HJF16" s="289"/>
      <c r="HJG16" s="289"/>
      <c r="HJH16" s="289"/>
      <c r="HJI16" s="289"/>
      <c r="HJJ16" s="289"/>
      <c r="HJK16" s="289"/>
      <c r="HJL16" s="289"/>
      <c r="HJM16" s="289"/>
      <c r="HJN16" s="289"/>
      <c r="HJO16" s="289"/>
      <c r="HJP16" s="289"/>
      <c r="HJQ16" s="289"/>
      <c r="HJR16" s="289"/>
      <c r="HJS16" s="289"/>
      <c r="HJT16" s="289"/>
      <c r="HJU16" s="289"/>
      <c r="HJV16" s="289"/>
      <c r="HJW16" s="289"/>
      <c r="HJX16" s="289"/>
      <c r="HJY16" s="289"/>
      <c r="HJZ16" s="289"/>
      <c r="HKA16" s="289"/>
      <c r="HKB16" s="289"/>
      <c r="HKC16" s="289"/>
      <c r="HKD16" s="289"/>
      <c r="HKE16" s="289"/>
      <c r="HKF16" s="289"/>
      <c r="HKG16" s="289"/>
      <c r="HKH16" s="289"/>
      <c r="HKI16" s="289"/>
      <c r="HKJ16" s="289"/>
      <c r="HKK16" s="289"/>
      <c r="HKL16" s="289"/>
      <c r="HKM16" s="289"/>
      <c r="HKN16" s="289"/>
      <c r="HKO16" s="289"/>
      <c r="HKP16" s="289"/>
      <c r="HKQ16" s="289"/>
      <c r="HKR16" s="289"/>
      <c r="HKS16" s="289"/>
      <c r="HKT16" s="289"/>
      <c r="HKU16" s="289"/>
      <c r="HKV16" s="289"/>
      <c r="HKW16" s="289"/>
      <c r="HKX16" s="289"/>
      <c r="HKY16" s="289"/>
      <c r="HKZ16" s="289"/>
      <c r="HLA16" s="289"/>
      <c r="HLB16" s="289"/>
      <c r="HLC16" s="289"/>
      <c r="HLD16" s="289"/>
      <c r="HLE16" s="289"/>
      <c r="HLF16" s="289"/>
      <c r="HLG16" s="289"/>
      <c r="HLH16" s="289"/>
      <c r="HLI16" s="289"/>
      <c r="HLJ16" s="289"/>
      <c r="HLK16" s="289"/>
      <c r="HLL16" s="289"/>
      <c r="HLM16" s="289"/>
      <c r="HLN16" s="289"/>
      <c r="HLO16" s="289"/>
      <c r="HLP16" s="289"/>
      <c r="HLQ16" s="289"/>
      <c r="HLR16" s="289"/>
      <c r="HLS16" s="289"/>
      <c r="HLT16" s="289"/>
      <c r="HLU16" s="289"/>
      <c r="HLV16" s="289"/>
      <c r="HLW16" s="289"/>
      <c r="HLX16" s="289"/>
      <c r="HLY16" s="289"/>
      <c r="HLZ16" s="289"/>
      <c r="HMA16" s="289"/>
      <c r="HMB16" s="289"/>
      <c r="HMC16" s="289"/>
      <c r="HMD16" s="289"/>
      <c r="HME16" s="289"/>
      <c r="HMF16" s="289"/>
      <c r="HMG16" s="289"/>
      <c r="HMH16" s="289"/>
      <c r="HMI16" s="289"/>
      <c r="HMJ16" s="289"/>
      <c r="HMK16" s="289"/>
      <c r="HML16" s="289"/>
      <c r="HMM16" s="289"/>
      <c r="HMN16" s="289"/>
      <c r="HMO16" s="289"/>
      <c r="HMP16" s="289"/>
      <c r="HMQ16" s="289"/>
      <c r="HMR16" s="289"/>
      <c r="HMS16" s="289"/>
      <c r="HMT16" s="289"/>
      <c r="HMU16" s="289"/>
      <c r="HMV16" s="289"/>
      <c r="HMW16" s="289"/>
      <c r="HMX16" s="289"/>
      <c r="HMY16" s="289"/>
      <c r="HMZ16" s="289"/>
      <c r="HNA16" s="289"/>
      <c r="HNB16" s="289"/>
      <c r="HNC16" s="289"/>
      <c r="HND16" s="289"/>
      <c r="HNE16" s="289"/>
      <c r="HNF16" s="289"/>
      <c r="HNG16" s="289"/>
      <c r="HNH16" s="289"/>
      <c r="HNI16" s="289"/>
      <c r="HNJ16" s="289"/>
      <c r="HNK16" s="289"/>
      <c r="HNL16" s="289"/>
      <c r="HNM16" s="289"/>
      <c r="HNN16" s="289"/>
      <c r="HNO16" s="289"/>
      <c r="HNP16" s="289"/>
      <c r="HNQ16" s="289"/>
      <c r="HNR16" s="289"/>
      <c r="HNS16" s="289"/>
      <c r="HNT16" s="289"/>
      <c r="HNU16" s="289"/>
      <c r="HNV16" s="289"/>
      <c r="HNW16" s="289"/>
      <c r="HNX16" s="289"/>
      <c r="HNY16" s="289"/>
      <c r="HNZ16" s="289"/>
      <c r="HOA16" s="289"/>
      <c r="HOB16" s="289"/>
      <c r="HOC16" s="289"/>
      <c r="HOD16" s="289"/>
      <c r="HOE16" s="289"/>
      <c r="HOF16" s="289"/>
      <c r="HOG16" s="289"/>
      <c r="HOH16" s="289"/>
      <c r="HOI16" s="289"/>
      <c r="HOJ16" s="289"/>
      <c r="HOK16" s="289"/>
      <c r="HOL16" s="289"/>
      <c r="HOM16" s="289"/>
      <c r="HON16" s="289"/>
      <c r="HOO16" s="289"/>
      <c r="HOP16" s="289"/>
      <c r="HOQ16" s="289"/>
      <c r="HOR16" s="289"/>
      <c r="HOS16" s="289"/>
      <c r="HOT16" s="289"/>
      <c r="HOU16" s="289"/>
      <c r="HOV16" s="289"/>
      <c r="HOW16" s="289"/>
      <c r="HOX16" s="289"/>
      <c r="HOY16" s="289"/>
      <c r="HOZ16" s="289"/>
      <c r="HPA16" s="289"/>
      <c r="HPB16" s="289"/>
      <c r="HPC16" s="289"/>
      <c r="HPD16" s="289"/>
      <c r="HPE16" s="289"/>
      <c r="HPF16" s="289"/>
      <c r="HPG16" s="289"/>
      <c r="HPH16" s="289"/>
      <c r="HPI16" s="289"/>
      <c r="HPJ16" s="289"/>
      <c r="HPK16" s="289"/>
      <c r="HPL16" s="289"/>
      <c r="HPM16" s="289"/>
      <c r="HPN16" s="289"/>
      <c r="HPO16" s="289"/>
      <c r="HPP16" s="289"/>
      <c r="HPQ16" s="289"/>
      <c r="HPR16" s="289"/>
      <c r="HPS16" s="289"/>
      <c r="HPT16" s="289"/>
      <c r="HPU16" s="289"/>
      <c r="HPV16" s="289"/>
      <c r="HPW16" s="289"/>
      <c r="HPX16" s="289"/>
      <c r="HPY16" s="289"/>
      <c r="HPZ16" s="289"/>
      <c r="HQA16" s="289"/>
      <c r="HQB16" s="289"/>
      <c r="HQC16" s="289"/>
      <c r="HQD16" s="289"/>
      <c r="HQE16" s="289"/>
      <c r="HQF16" s="289"/>
      <c r="HQG16" s="289"/>
      <c r="HQH16" s="289"/>
      <c r="HQI16" s="289"/>
      <c r="HQJ16" s="289"/>
      <c r="HQK16" s="289"/>
      <c r="HQL16" s="289"/>
      <c r="HQM16" s="289"/>
      <c r="HQN16" s="289"/>
      <c r="HQO16" s="289"/>
      <c r="HQP16" s="289"/>
      <c r="HQQ16" s="289"/>
      <c r="HQR16" s="289"/>
      <c r="HQS16" s="289"/>
      <c r="HQT16" s="289"/>
      <c r="HQU16" s="289"/>
      <c r="HQV16" s="289"/>
      <c r="HQW16" s="289"/>
      <c r="HQX16" s="289"/>
      <c r="HQY16" s="289"/>
      <c r="HQZ16" s="289"/>
      <c r="HRA16" s="289"/>
      <c r="HRB16" s="289"/>
      <c r="HRC16" s="289"/>
      <c r="HRD16" s="289"/>
      <c r="HRE16" s="289"/>
      <c r="HRF16" s="289"/>
      <c r="HRG16" s="289"/>
      <c r="HRH16" s="289"/>
      <c r="HRI16" s="289"/>
      <c r="HRJ16" s="289"/>
      <c r="HRK16" s="289"/>
      <c r="HRL16" s="289"/>
      <c r="HRM16" s="289"/>
      <c r="HRN16" s="289"/>
      <c r="HRO16" s="289"/>
      <c r="HRP16" s="289"/>
      <c r="HRQ16" s="289"/>
      <c r="HRR16" s="289"/>
      <c r="HRS16" s="289"/>
      <c r="HRT16" s="289"/>
      <c r="HRU16" s="289"/>
      <c r="HRV16" s="289"/>
      <c r="HRW16" s="289"/>
      <c r="HRX16" s="289"/>
      <c r="HRY16" s="289"/>
      <c r="HRZ16" s="289"/>
      <c r="HSA16" s="289"/>
      <c r="HSB16" s="289"/>
      <c r="HSC16" s="289"/>
      <c r="HSD16" s="289"/>
      <c r="HSE16" s="289"/>
      <c r="HSF16" s="289"/>
      <c r="HSG16" s="289"/>
      <c r="HSH16" s="289"/>
      <c r="HSI16" s="289"/>
      <c r="HSJ16" s="289"/>
      <c r="HSK16" s="289"/>
      <c r="HSL16" s="289"/>
      <c r="HSM16" s="289"/>
      <c r="HSN16" s="289"/>
      <c r="HSO16" s="289"/>
      <c r="HSP16" s="289"/>
      <c r="HSQ16" s="289"/>
      <c r="HSR16" s="289"/>
      <c r="HSS16" s="289"/>
      <c r="HST16" s="289"/>
      <c r="HSU16" s="289"/>
      <c r="HSV16" s="289"/>
      <c r="HSW16" s="289"/>
      <c r="HSX16" s="289"/>
      <c r="HSY16" s="289"/>
      <c r="HSZ16" s="289"/>
      <c r="HTA16" s="289"/>
      <c r="HTB16" s="289"/>
      <c r="HTC16" s="289"/>
      <c r="HTD16" s="289"/>
      <c r="HTE16" s="289"/>
      <c r="HTF16" s="289"/>
      <c r="HTG16" s="289"/>
      <c r="HTH16" s="289"/>
      <c r="HTI16" s="289"/>
      <c r="HTJ16" s="289"/>
      <c r="HTK16" s="289"/>
      <c r="HTL16" s="289"/>
      <c r="HTM16" s="289"/>
      <c r="HTN16" s="289"/>
      <c r="HTO16" s="289"/>
      <c r="HTP16" s="289"/>
      <c r="HTQ16" s="289"/>
      <c r="HTR16" s="289"/>
      <c r="HTS16" s="289"/>
      <c r="HTT16" s="289"/>
      <c r="HTU16" s="289"/>
      <c r="HTV16" s="289"/>
      <c r="HTW16" s="289"/>
      <c r="HTX16" s="289"/>
      <c r="HTY16" s="289"/>
      <c r="HTZ16" s="289"/>
      <c r="HUA16" s="289"/>
      <c r="HUB16" s="289"/>
      <c r="HUC16" s="289"/>
      <c r="HUD16" s="289"/>
      <c r="HUE16" s="289"/>
      <c r="HUF16" s="289"/>
      <c r="HUG16" s="289"/>
      <c r="HUH16" s="289"/>
      <c r="HUI16" s="289"/>
      <c r="HUJ16" s="289"/>
      <c r="HUK16" s="289"/>
      <c r="HUL16" s="289"/>
      <c r="HUM16" s="289"/>
      <c r="HUN16" s="289"/>
      <c r="HUO16" s="289"/>
      <c r="HUP16" s="289"/>
      <c r="HUQ16" s="289"/>
      <c r="HUR16" s="289"/>
      <c r="HUS16" s="289"/>
      <c r="HUT16" s="289"/>
      <c r="HUU16" s="289"/>
      <c r="HUV16" s="289"/>
      <c r="HUW16" s="289"/>
      <c r="HUX16" s="289"/>
      <c r="HUY16" s="289"/>
      <c r="HUZ16" s="289"/>
      <c r="HVA16" s="289"/>
      <c r="HVB16" s="289"/>
      <c r="HVC16" s="289"/>
      <c r="HVD16" s="289"/>
      <c r="HVE16" s="289"/>
      <c r="HVF16" s="289"/>
      <c r="HVG16" s="289"/>
      <c r="HVH16" s="289"/>
      <c r="HVI16" s="289"/>
      <c r="HVJ16" s="289"/>
      <c r="HVK16" s="289"/>
      <c r="HVL16" s="289"/>
      <c r="HVM16" s="289"/>
      <c r="HVN16" s="289"/>
      <c r="HVO16" s="289"/>
      <c r="HVP16" s="289"/>
      <c r="HVQ16" s="289"/>
      <c r="HVR16" s="289"/>
      <c r="HVS16" s="289"/>
      <c r="HVT16" s="289"/>
      <c r="HVU16" s="289"/>
      <c r="HVV16" s="289"/>
      <c r="HVW16" s="289"/>
      <c r="HVX16" s="289"/>
      <c r="HVY16" s="289"/>
      <c r="HVZ16" s="289"/>
      <c r="HWA16" s="289"/>
      <c r="HWB16" s="289"/>
      <c r="HWC16" s="289"/>
      <c r="HWD16" s="289"/>
      <c r="HWE16" s="289"/>
      <c r="HWF16" s="289"/>
      <c r="HWG16" s="289"/>
      <c r="HWH16" s="289"/>
      <c r="HWI16" s="289"/>
      <c r="HWJ16" s="289"/>
      <c r="HWK16" s="289"/>
      <c r="HWL16" s="289"/>
      <c r="HWM16" s="289"/>
      <c r="HWN16" s="289"/>
      <c r="HWO16" s="289"/>
      <c r="HWP16" s="289"/>
      <c r="HWQ16" s="289"/>
      <c r="HWR16" s="289"/>
      <c r="HWS16" s="289"/>
      <c r="HWT16" s="289"/>
      <c r="HWU16" s="289"/>
      <c r="HWV16" s="289"/>
      <c r="HWW16" s="289"/>
      <c r="HWX16" s="289"/>
      <c r="HWY16" s="289"/>
      <c r="HWZ16" s="289"/>
      <c r="HXA16" s="289"/>
      <c r="HXB16" s="289"/>
      <c r="HXC16" s="289"/>
      <c r="HXD16" s="289"/>
      <c r="HXE16" s="289"/>
      <c r="HXF16" s="289"/>
      <c r="HXG16" s="289"/>
      <c r="HXH16" s="289"/>
      <c r="HXI16" s="289"/>
      <c r="HXJ16" s="289"/>
      <c r="HXK16" s="289"/>
      <c r="HXL16" s="289"/>
      <c r="HXM16" s="289"/>
      <c r="HXN16" s="289"/>
      <c r="HXO16" s="289"/>
      <c r="HXP16" s="289"/>
      <c r="HXQ16" s="289"/>
      <c r="HXR16" s="289"/>
      <c r="HXS16" s="289"/>
      <c r="HXT16" s="289"/>
      <c r="HXU16" s="289"/>
      <c r="HXV16" s="289"/>
      <c r="HXW16" s="289"/>
      <c r="HXX16" s="289"/>
      <c r="HXY16" s="289"/>
      <c r="HXZ16" s="289"/>
      <c r="HYA16" s="289"/>
      <c r="HYB16" s="289"/>
      <c r="HYC16" s="289"/>
      <c r="HYD16" s="289"/>
      <c r="HYE16" s="289"/>
      <c r="HYF16" s="289"/>
      <c r="HYG16" s="289"/>
      <c r="HYH16" s="289"/>
      <c r="HYI16" s="289"/>
      <c r="HYJ16" s="289"/>
      <c r="HYK16" s="289"/>
      <c r="HYL16" s="289"/>
      <c r="HYM16" s="289"/>
      <c r="HYN16" s="289"/>
      <c r="HYO16" s="289"/>
      <c r="HYP16" s="289"/>
      <c r="HYQ16" s="289"/>
      <c r="HYR16" s="289"/>
      <c r="HYS16" s="289"/>
      <c r="HYT16" s="289"/>
      <c r="HYU16" s="289"/>
      <c r="HYV16" s="289"/>
      <c r="HYW16" s="289"/>
      <c r="HYX16" s="289"/>
      <c r="HYY16" s="289"/>
      <c r="HYZ16" s="289"/>
      <c r="HZA16" s="289"/>
      <c r="HZB16" s="289"/>
      <c r="HZC16" s="289"/>
      <c r="HZD16" s="289"/>
      <c r="HZE16" s="289"/>
      <c r="HZF16" s="289"/>
      <c r="HZG16" s="289"/>
      <c r="HZH16" s="289"/>
      <c r="HZI16" s="289"/>
      <c r="HZJ16" s="289"/>
      <c r="HZK16" s="289"/>
      <c r="HZL16" s="289"/>
      <c r="HZM16" s="289"/>
      <c r="HZN16" s="289"/>
      <c r="HZO16" s="289"/>
      <c r="HZP16" s="289"/>
      <c r="HZQ16" s="289"/>
      <c r="HZR16" s="289"/>
      <c r="HZS16" s="289"/>
      <c r="HZT16" s="289"/>
      <c r="HZU16" s="289"/>
      <c r="HZV16" s="289"/>
      <c r="HZW16" s="289"/>
      <c r="HZX16" s="289"/>
      <c r="HZY16" s="289"/>
      <c r="HZZ16" s="289"/>
      <c r="IAA16" s="289"/>
      <c r="IAB16" s="289"/>
      <c r="IAC16" s="289"/>
      <c r="IAD16" s="289"/>
      <c r="IAE16" s="289"/>
      <c r="IAF16" s="289"/>
      <c r="IAG16" s="289"/>
      <c r="IAH16" s="289"/>
      <c r="IAI16" s="289"/>
      <c r="IAJ16" s="289"/>
      <c r="IAK16" s="289"/>
      <c r="IAL16" s="289"/>
      <c r="IAM16" s="289"/>
      <c r="IAN16" s="289"/>
      <c r="IAO16" s="289"/>
      <c r="IAP16" s="289"/>
      <c r="IAQ16" s="289"/>
      <c r="IAR16" s="289"/>
      <c r="IAS16" s="289"/>
      <c r="IAT16" s="289"/>
      <c r="IAU16" s="289"/>
      <c r="IAV16" s="289"/>
      <c r="IAW16" s="289"/>
      <c r="IAX16" s="289"/>
      <c r="IAY16" s="289"/>
      <c r="IAZ16" s="289"/>
      <c r="IBA16" s="289"/>
      <c r="IBB16" s="289"/>
      <c r="IBC16" s="289"/>
      <c r="IBD16" s="289"/>
      <c r="IBE16" s="289"/>
      <c r="IBF16" s="289"/>
      <c r="IBG16" s="289"/>
      <c r="IBH16" s="289"/>
      <c r="IBI16" s="289"/>
      <c r="IBJ16" s="289"/>
      <c r="IBK16" s="289"/>
      <c r="IBL16" s="289"/>
      <c r="IBM16" s="289"/>
      <c r="IBN16" s="289"/>
      <c r="IBO16" s="289"/>
      <c r="IBP16" s="289"/>
      <c r="IBQ16" s="289"/>
      <c r="IBR16" s="289"/>
      <c r="IBS16" s="289"/>
      <c r="IBT16" s="289"/>
      <c r="IBU16" s="289"/>
      <c r="IBV16" s="289"/>
      <c r="IBW16" s="289"/>
      <c r="IBX16" s="289"/>
      <c r="IBY16" s="289"/>
      <c r="IBZ16" s="289"/>
      <c r="ICA16" s="289"/>
      <c r="ICB16" s="289"/>
      <c r="ICC16" s="289"/>
      <c r="ICD16" s="289"/>
      <c r="ICE16" s="289"/>
      <c r="ICF16" s="289"/>
      <c r="ICG16" s="289"/>
      <c r="ICH16" s="289"/>
      <c r="ICI16" s="289"/>
      <c r="ICJ16" s="289"/>
      <c r="ICK16" s="289"/>
      <c r="ICL16" s="289"/>
      <c r="ICM16" s="289"/>
      <c r="ICN16" s="289"/>
      <c r="ICO16" s="289"/>
      <c r="ICP16" s="289"/>
      <c r="ICQ16" s="289"/>
      <c r="ICR16" s="289"/>
      <c r="ICS16" s="289"/>
      <c r="ICT16" s="289"/>
      <c r="ICU16" s="289"/>
      <c r="ICV16" s="289"/>
      <c r="ICW16" s="289"/>
      <c r="ICX16" s="289"/>
      <c r="ICY16" s="289"/>
      <c r="ICZ16" s="289"/>
      <c r="IDA16" s="289"/>
      <c r="IDB16" s="289"/>
      <c r="IDC16" s="289"/>
      <c r="IDD16" s="289"/>
      <c r="IDE16" s="289"/>
      <c r="IDF16" s="289"/>
      <c r="IDG16" s="289"/>
      <c r="IDH16" s="289"/>
      <c r="IDI16" s="289"/>
      <c r="IDJ16" s="289"/>
      <c r="IDK16" s="289"/>
      <c r="IDL16" s="289"/>
      <c r="IDM16" s="289"/>
      <c r="IDN16" s="289"/>
      <c r="IDO16" s="289"/>
      <c r="IDP16" s="289"/>
      <c r="IDQ16" s="289"/>
      <c r="IDR16" s="289"/>
      <c r="IDS16" s="289"/>
      <c r="IDT16" s="289"/>
      <c r="IDU16" s="289"/>
      <c r="IDV16" s="289"/>
      <c r="IDW16" s="289"/>
      <c r="IDX16" s="289"/>
      <c r="IDY16" s="289"/>
      <c r="IDZ16" s="289"/>
      <c r="IEA16" s="289"/>
      <c r="IEB16" s="289"/>
      <c r="IEC16" s="289"/>
      <c r="IED16" s="289"/>
      <c r="IEE16" s="289"/>
      <c r="IEF16" s="289"/>
      <c r="IEG16" s="289"/>
      <c r="IEH16" s="289"/>
      <c r="IEI16" s="289"/>
      <c r="IEJ16" s="289"/>
      <c r="IEK16" s="289"/>
      <c r="IEL16" s="289"/>
      <c r="IEM16" s="289"/>
      <c r="IEN16" s="289"/>
      <c r="IEO16" s="289"/>
      <c r="IEP16" s="289"/>
      <c r="IEQ16" s="289"/>
      <c r="IER16" s="289"/>
      <c r="IES16" s="289"/>
      <c r="IET16" s="289"/>
      <c r="IEU16" s="289"/>
      <c r="IEV16" s="289"/>
      <c r="IEW16" s="289"/>
      <c r="IEX16" s="289"/>
      <c r="IEY16" s="289"/>
      <c r="IEZ16" s="289"/>
      <c r="IFA16" s="289"/>
      <c r="IFB16" s="289"/>
      <c r="IFC16" s="289"/>
      <c r="IFD16" s="289"/>
      <c r="IFE16" s="289"/>
      <c r="IFF16" s="289"/>
      <c r="IFG16" s="289"/>
      <c r="IFH16" s="289"/>
      <c r="IFI16" s="289"/>
      <c r="IFJ16" s="289"/>
      <c r="IFK16" s="289"/>
      <c r="IFL16" s="289"/>
      <c r="IFM16" s="289"/>
      <c r="IFN16" s="289"/>
      <c r="IFO16" s="289"/>
      <c r="IFP16" s="289"/>
      <c r="IFQ16" s="289"/>
      <c r="IFR16" s="289"/>
      <c r="IFS16" s="289"/>
      <c r="IFT16" s="289"/>
      <c r="IFU16" s="289"/>
      <c r="IFV16" s="289"/>
      <c r="IFW16" s="289"/>
      <c r="IFX16" s="289"/>
      <c r="IFY16" s="289"/>
      <c r="IFZ16" s="289"/>
      <c r="IGA16" s="289"/>
      <c r="IGB16" s="289"/>
      <c r="IGC16" s="289"/>
      <c r="IGD16" s="289"/>
      <c r="IGE16" s="289"/>
      <c r="IGF16" s="289"/>
      <c r="IGG16" s="289"/>
      <c r="IGH16" s="289"/>
      <c r="IGI16" s="289"/>
      <c r="IGJ16" s="289"/>
      <c r="IGK16" s="289"/>
      <c r="IGL16" s="289"/>
      <c r="IGM16" s="289"/>
      <c r="IGN16" s="289"/>
      <c r="IGO16" s="289"/>
      <c r="IGP16" s="289"/>
      <c r="IGQ16" s="289"/>
      <c r="IGR16" s="289"/>
      <c r="IGS16" s="289"/>
      <c r="IGT16" s="289"/>
      <c r="IGU16" s="289"/>
      <c r="IGV16" s="289"/>
      <c r="IGW16" s="289"/>
      <c r="IGX16" s="289"/>
      <c r="IGY16" s="289"/>
      <c r="IGZ16" s="289"/>
      <c r="IHA16" s="289"/>
      <c r="IHB16" s="289"/>
      <c r="IHC16" s="289"/>
      <c r="IHD16" s="289"/>
      <c r="IHE16" s="289"/>
      <c r="IHF16" s="289"/>
      <c r="IHG16" s="289"/>
      <c r="IHH16" s="289"/>
      <c r="IHI16" s="289"/>
      <c r="IHJ16" s="289"/>
      <c r="IHK16" s="289"/>
      <c r="IHL16" s="289"/>
      <c r="IHM16" s="289"/>
      <c r="IHN16" s="289"/>
      <c r="IHO16" s="289"/>
      <c r="IHP16" s="289"/>
      <c r="IHQ16" s="289"/>
      <c r="IHR16" s="289"/>
      <c r="IHS16" s="289"/>
      <c r="IHT16" s="289"/>
      <c r="IHU16" s="289"/>
      <c r="IHV16" s="289"/>
      <c r="IHW16" s="289"/>
      <c r="IHX16" s="289"/>
      <c r="IHY16" s="289"/>
      <c r="IHZ16" s="289"/>
      <c r="IIA16" s="289"/>
      <c r="IIB16" s="289"/>
      <c r="IIC16" s="289"/>
      <c r="IID16" s="289"/>
      <c r="IIE16" s="289"/>
      <c r="IIF16" s="289"/>
      <c r="IIG16" s="289"/>
      <c r="IIH16" s="289"/>
      <c r="III16" s="289"/>
      <c r="IIJ16" s="289"/>
      <c r="IIK16" s="289"/>
      <c r="IIL16" s="289"/>
      <c r="IIM16" s="289"/>
      <c r="IIN16" s="289"/>
      <c r="IIO16" s="289"/>
      <c r="IIP16" s="289"/>
      <c r="IIQ16" s="289"/>
      <c r="IIR16" s="289"/>
      <c r="IIS16" s="289"/>
      <c r="IIT16" s="289"/>
      <c r="IIU16" s="289"/>
      <c r="IIV16" s="289"/>
      <c r="IIW16" s="289"/>
      <c r="IIX16" s="289"/>
      <c r="IIY16" s="289"/>
      <c r="IIZ16" s="289"/>
      <c r="IJA16" s="289"/>
      <c r="IJB16" s="289"/>
      <c r="IJC16" s="289"/>
      <c r="IJD16" s="289"/>
      <c r="IJE16" s="289"/>
      <c r="IJF16" s="289"/>
      <c r="IJG16" s="289"/>
      <c r="IJH16" s="289"/>
      <c r="IJI16" s="289"/>
      <c r="IJJ16" s="289"/>
      <c r="IJK16" s="289"/>
      <c r="IJL16" s="289"/>
      <c r="IJM16" s="289"/>
      <c r="IJN16" s="289"/>
      <c r="IJO16" s="289"/>
      <c r="IJP16" s="289"/>
      <c r="IJQ16" s="289"/>
      <c r="IJR16" s="289"/>
      <c r="IJS16" s="289"/>
      <c r="IJT16" s="289"/>
      <c r="IJU16" s="289"/>
      <c r="IJV16" s="289"/>
      <c r="IJW16" s="289"/>
      <c r="IJX16" s="289"/>
      <c r="IJY16" s="289"/>
      <c r="IJZ16" s="289"/>
      <c r="IKA16" s="289"/>
      <c r="IKB16" s="289"/>
      <c r="IKC16" s="289"/>
      <c r="IKD16" s="289"/>
      <c r="IKE16" s="289"/>
      <c r="IKF16" s="289"/>
      <c r="IKG16" s="289"/>
      <c r="IKH16" s="289"/>
      <c r="IKI16" s="289"/>
      <c r="IKJ16" s="289"/>
      <c r="IKK16" s="289"/>
      <c r="IKL16" s="289"/>
      <c r="IKM16" s="289"/>
      <c r="IKN16" s="289"/>
      <c r="IKO16" s="289"/>
      <c r="IKP16" s="289"/>
      <c r="IKQ16" s="289"/>
      <c r="IKR16" s="289"/>
      <c r="IKS16" s="289"/>
      <c r="IKT16" s="289"/>
      <c r="IKU16" s="289"/>
      <c r="IKV16" s="289"/>
      <c r="IKW16" s="289"/>
      <c r="IKX16" s="289"/>
      <c r="IKY16" s="289"/>
      <c r="IKZ16" s="289"/>
      <c r="ILA16" s="289"/>
      <c r="ILB16" s="289"/>
      <c r="ILC16" s="289"/>
      <c r="ILD16" s="289"/>
      <c r="ILE16" s="289"/>
      <c r="ILF16" s="289"/>
      <c r="ILG16" s="289"/>
      <c r="ILH16" s="289"/>
      <c r="ILI16" s="289"/>
      <c r="ILJ16" s="289"/>
      <c r="ILK16" s="289"/>
      <c r="ILL16" s="289"/>
      <c r="ILM16" s="289"/>
      <c r="ILN16" s="289"/>
      <c r="ILO16" s="289"/>
      <c r="ILP16" s="289"/>
      <c r="ILQ16" s="289"/>
      <c r="ILR16" s="289"/>
      <c r="ILS16" s="289"/>
      <c r="ILT16" s="289"/>
      <c r="ILU16" s="289"/>
      <c r="ILV16" s="289"/>
      <c r="ILW16" s="289"/>
      <c r="ILX16" s="289"/>
      <c r="ILY16" s="289"/>
      <c r="ILZ16" s="289"/>
      <c r="IMA16" s="289"/>
      <c r="IMB16" s="289"/>
      <c r="IMC16" s="289"/>
      <c r="IMD16" s="289"/>
      <c r="IME16" s="289"/>
      <c r="IMF16" s="289"/>
      <c r="IMG16" s="289"/>
      <c r="IMH16" s="289"/>
      <c r="IMI16" s="289"/>
      <c r="IMJ16" s="289"/>
      <c r="IMK16" s="289"/>
      <c r="IML16" s="289"/>
      <c r="IMM16" s="289"/>
      <c r="IMN16" s="289"/>
      <c r="IMO16" s="289"/>
      <c r="IMP16" s="289"/>
      <c r="IMQ16" s="289"/>
      <c r="IMR16" s="289"/>
      <c r="IMS16" s="289"/>
      <c r="IMT16" s="289"/>
      <c r="IMU16" s="289"/>
      <c r="IMV16" s="289"/>
      <c r="IMW16" s="289"/>
      <c r="IMX16" s="289"/>
      <c r="IMY16" s="289"/>
      <c r="IMZ16" s="289"/>
      <c r="INA16" s="289"/>
      <c r="INB16" s="289"/>
      <c r="INC16" s="289"/>
      <c r="IND16" s="289"/>
      <c r="INE16" s="289"/>
      <c r="INF16" s="289"/>
      <c r="ING16" s="289"/>
      <c r="INH16" s="289"/>
      <c r="INI16" s="289"/>
      <c r="INJ16" s="289"/>
      <c r="INK16" s="289"/>
      <c r="INL16" s="289"/>
      <c r="INM16" s="289"/>
      <c r="INN16" s="289"/>
      <c r="INO16" s="289"/>
      <c r="INP16" s="289"/>
      <c r="INQ16" s="289"/>
      <c r="INR16" s="289"/>
      <c r="INS16" s="289"/>
      <c r="INT16" s="289"/>
      <c r="INU16" s="289"/>
      <c r="INV16" s="289"/>
      <c r="INW16" s="289"/>
      <c r="INX16" s="289"/>
      <c r="INY16" s="289"/>
      <c r="INZ16" s="289"/>
      <c r="IOA16" s="289"/>
      <c r="IOB16" s="289"/>
      <c r="IOC16" s="289"/>
      <c r="IOD16" s="289"/>
      <c r="IOE16" s="289"/>
      <c r="IOF16" s="289"/>
      <c r="IOG16" s="289"/>
      <c r="IOH16" s="289"/>
      <c r="IOI16" s="289"/>
      <c r="IOJ16" s="289"/>
      <c r="IOK16" s="289"/>
      <c r="IOL16" s="289"/>
      <c r="IOM16" s="289"/>
      <c r="ION16" s="289"/>
      <c r="IOO16" s="289"/>
      <c r="IOP16" s="289"/>
      <c r="IOQ16" s="289"/>
      <c r="IOR16" s="289"/>
      <c r="IOS16" s="289"/>
      <c r="IOT16" s="289"/>
      <c r="IOU16" s="289"/>
      <c r="IOV16" s="289"/>
      <c r="IOW16" s="289"/>
      <c r="IOX16" s="289"/>
      <c r="IOY16" s="289"/>
      <c r="IOZ16" s="289"/>
      <c r="IPA16" s="289"/>
      <c r="IPB16" s="289"/>
      <c r="IPC16" s="289"/>
      <c r="IPD16" s="289"/>
      <c r="IPE16" s="289"/>
      <c r="IPF16" s="289"/>
      <c r="IPG16" s="289"/>
      <c r="IPH16" s="289"/>
      <c r="IPI16" s="289"/>
      <c r="IPJ16" s="289"/>
      <c r="IPK16" s="289"/>
      <c r="IPL16" s="289"/>
      <c r="IPM16" s="289"/>
      <c r="IPN16" s="289"/>
      <c r="IPO16" s="289"/>
      <c r="IPP16" s="289"/>
      <c r="IPQ16" s="289"/>
      <c r="IPR16" s="289"/>
      <c r="IPS16" s="289"/>
      <c r="IPT16" s="289"/>
      <c r="IPU16" s="289"/>
      <c r="IPV16" s="289"/>
      <c r="IPW16" s="289"/>
      <c r="IPX16" s="289"/>
      <c r="IPY16" s="289"/>
      <c r="IPZ16" s="289"/>
      <c r="IQA16" s="289"/>
      <c r="IQB16" s="289"/>
      <c r="IQC16" s="289"/>
      <c r="IQD16" s="289"/>
      <c r="IQE16" s="289"/>
      <c r="IQF16" s="289"/>
      <c r="IQG16" s="289"/>
      <c r="IQH16" s="289"/>
      <c r="IQI16" s="289"/>
      <c r="IQJ16" s="289"/>
      <c r="IQK16" s="289"/>
      <c r="IQL16" s="289"/>
      <c r="IQM16" s="289"/>
      <c r="IQN16" s="289"/>
      <c r="IQO16" s="289"/>
      <c r="IQP16" s="289"/>
      <c r="IQQ16" s="289"/>
      <c r="IQR16" s="289"/>
      <c r="IQS16" s="289"/>
      <c r="IQT16" s="289"/>
      <c r="IQU16" s="289"/>
      <c r="IQV16" s="289"/>
      <c r="IQW16" s="289"/>
      <c r="IQX16" s="289"/>
      <c r="IQY16" s="289"/>
      <c r="IQZ16" s="289"/>
      <c r="IRA16" s="289"/>
      <c r="IRB16" s="289"/>
      <c r="IRC16" s="289"/>
      <c r="IRD16" s="289"/>
      <c r="IRE16" s="289"/>
      <c r="IRF16" s="289"/>
      <c r="IRG16" s="289"/>
      <c r="IRH16" s="289"/>
      <c r="IRI16" s="289"/>
      <c r="IRJ16" s="289"/>
      <c r="IRK16" s="289"/>
      <c r="IRL16" s="289"/>
      <c r="IRM16" s="289"/>
      <c r="IRN16" s="289"/>
      <c r="IRO16" s="289"/>
      <c r="IRP16" s="289"/>
      <c r="IRQ16" s="289"/>
      <c r="IRR16" s="289"/>
      <c r="IRS16" s="289"/>
      <c r="IRT16" s="289"/>
      <c r="IRU16" s="289"/>
      <c r="IRV16" s="289"/>
      <c r="IRW16" s="289"/>
      <c r="IRX16" s="289"/>
      <c r="IRY16" s="289"/>
      <c r="IRZ16" s="289"/>
      <c r="ISA16" s="289"/>
      <c r="ISB16" s="289"/>
      <c r="ISC16" s="289"/>
      <c r="ISD16" s="289"/>
      <c r="ISE16" s="289"/>
      <c r="ISF16" s="289"/>
      <c r="ISG16" s="289"/>
      <c r="ISH16" s="289"/>
      <c r="ISI16" s="289"/>
      <c r="ISJ16" s="289"/>
      <c r="ISK16" s="289"/>
      <c r="ISL16" s="289"/>
      <c r="ISM16" s="289"/>
      <c r="ISN16" s="289"/>
      <c r="ISO16" s="289"/>
      <c r="ISP16" s="289"/>
      <c r="ISQ16" s="289"/>
      <c r="ISR16" s="289"/>
      <c r="ISS16" s="289"/>
      <c r="IST16" s="289"/>
      <c r="ISU16" s="289"/>
      <c r="ISV16" s="289"/>
      <c r="ISW16" s="289"/>
      <c r="ISX16" s="289"/>
      <c r="ISY16" s="289"/>
      <c r="ISZ16" s="289"/>
      <c r="ITA16" s="289"/>
      <c r="ITB16" s="289"/>
      <c r="ITC16" s="289"/>
      <c r="ITD16" s="289"/>
      <c r="ITE16" s="289"/>
      <c r="ITF16" s="289"/>
      <c r="ITG16" s="289"/>
      <c r="ITH16" s="289"/>
      <c r="ITI16" s="289"/>
      <c r="ITJ16" s="289"/>
      <c r="ITK16" s="289"/>
      <c r="ITL16" s="289"/>
      <c r="ITM16" s="289"/>
      <c r="ITN16" s="289"/>
      <c r="ITO16" s="289"/>
      <c r="ITP16" s="289"/>
      <c r="ITQ16" s="289"/>
      <c r="ITR16" s="289"/>
      <c r="ITS16" s="289"/>
      <c r="ITT16" s="289"/>
      <c r="ITU16" s="289"/>
      <c r="ITV16" s="289"/>
      <c r="ITW16" s="289"/>
      <c r="ITX16" s="289"/>
      <c r="ITY16" s="289"/>
      <c r="ITZ16" s="289"/>
      <c r="IUA16" s="289"/>
      <c r="IUB16" s="289"/>
      <c r="IUC16" s="289"/>
      <c r="IUD16" s="289"/>
      <c r="IUE16" s="289"/>
      <c r="IUF16" s="289"/>
      <c r="IUG16" s="289"/>
      <c r="IUH16" s="289"/>
      <c r="IUI16" s="289"/>
      <c r="IUJ16" s="289"/>
      <c r="IUK16" s="289"/>
      <c r="IUL16" s="289"/>
      <c r="IUM16" s="289"/>
      <c r="IUN16" s="289"/>
      <c r="IUO16" s="289"/>
      <c r="IUP16" s="289"/>
      <c r="IUQ16" s="289"/>
      <c r="IUR16" s="289"/>
      <c r="IUS16" s="289"/>
      <c r="IUT16" s="289"/>
      <c r="IUU16" s="289"/>
      <c r="IUV16" s="289"/>
      <c r="IUW16" s="289"/>
      <c r="IUX16" s="289"/>
      <c r="IUY16" s="289"/>
      <c r="IUZ16" s="289"/>
      <c r="IVA16" s="289"/>
      <c r="IVB16" s="289"/>
      <c r="IVC16" s="289"/>
      <c r="IVD16" s="289"/>
      <c r="IVE16" s="289"/>
      <c r="IVF16" s="289"/>
      <c r="IVG16" s="289"/>
      <c r="IVH16" s="289"/>
      <c r="IVI16" s="289"/>
      <c r="IVJ16" s="289"/>
      <c r="IVK16" s="289"/>
      <c r="IVL16" s="289"/>
      <c r="IVM16" s="289"/>
      <c r="IVN16" s="289"/>
      <c r="IVO16" s="289"/>
      <c r="IVP16" s="289"/>
      <c r="IVQ16" s="289"/>
      <c r="IVR16" s="289"/>
      <c r="IVS16" s="289"/>
      <c r="IVT16" s="289"/>
      <c r="IVU16" s="289"/>
      <c r="IVV16" s="289"/>
      <c r="IVW16" s="289"/>
      <c r="IVX16" s="289"/>
      <c r="IVY16" s="289"/>
      <c r="IVZ16" s="289"/>
      <c r="IWA16" s="289"/>
      <c r="IWB16" s="289"/>
      <c r="IWC16" s="289"/>
      <c r="IWD16" s="289"/>
      <c r="IWE16" s="289"/>
      <c r="IWF16" s="289"/>
      <c r="IWG16" s="289"/>
      <c r="IWH16" s="289"/>
      <c r="IWI16" s="289"/>
      <c r="IWJ16" s="289"/>
      <c r="IWK16" s="289"/>
      <c r="IWL16" s="289"/>
      <c r="IWM16" s="289"/>
      <c r="IWN16" s="289"/>
      <c r="IWO16" s="289"/>
      <c r="IWP16" s="289"/>
      <c r="IWQ16" s="289"/>
      <c r="IWR16" s="289"/>
      <c r="IWS16" s="289"/>
      <c r="IWT16" s="289"/>
      <c r="IWU16" s="289"/>
      <c r="IWV16" s="289"/>
      <c r="IWW16" s="289"/>
      <c r="IWX16" s="289"/>
      <c r="IWY16" s="289"/>
      <c r="IWZ16" s="289"/>
      <c r="IXA16" s="289"/>
      <c r="IXB16" s="289"/>
      <c r="IXC16" s="289"/>
      <c r="IXD16" s="289"/>
      <c r="IXE16" s="289"/>
      <c r="IXF16" s="289"/>
      <c r="IXG16" s="289"/>
      <c r="IXH16" s="289"/>
      <c r="IXI16" s="289"/>
      <c r="IXJ16" s="289"/>
      <c r="IXK16" s="289"/>
      <c r="IXL16" s="289"/>
      <c r="IXM16" s="289"/>
      <c r="IXN16" s="289"/>
      <c r="IXO16" s="289"/>
      <c r="IXP16" s="289"/>
      <c r="IXQ16" s="289"/>
      <c r="IXR16" s="289"/>
      <c r="IXS16" s="289"/>
      <c r="IXT16" s="289"/>
      <c r="IXU16" s="289"/>
      <c r="IXV16" s="289"/>
      <c r="IXW16" s="289"/>
      <c r="IXX16" s="289"/>
      <c r="IXY16" s="289"/>
      <c r="IXZ16" s="289"/>
      <c r="IYA16" s="289"/>
      <c r="IYB16" s="289"/>
      <c r="IYC16" s="289"/>
      <c r="IYD16" s="289"/>
      <c r="IYE16" s="289"/>
      <c r="IYF16" s="289"/>
      <c r="IYG16" s="289"/>
      <c r="IYH16" s="289"/>
      <c r="IYI16" s="289"/>
      <c r="IYJ16" s="289"/>
      <c r="IYK16" s="289"/>
      <c r="IYL16" s="289"/>
      <c r="IYM16" s="289"/>
      <c r="IYN16" s="289"/>
      <c r="IYO16" s="289"/>
      <c r="IYP16" s="289"/>
      <c r="IYQ16" s="289"/>
      <c r="IYR16" s="289"/>
      <c r="IYS16" s="289"/>
      <c r="IYT16" s="289"/>
      <c r="IYU16" s="289"/>
      <c r="IYV16" s="289"/>
      <c r="IYW16" s="289"/>
      <c r="IYX16" s="289"/>
      <c r="IYY16" s="289"/>
      <c r="IYZ16" s="289"/>
      <c r="IZA16" s="289"/>
      <c r="IZB16" s="289"/>
      <c r="IZC16" s="289"/>
      <c r="IZD16" s="289"/>
      <c r="IZE16" s="289"/>
      <c r="IZF16" s="289"/>
      <c r="IZG16" s="289"/>
      <c r="IZH16" s="289"/>
      <c r="IZI16" s="289"/>
      <c r="IZJ16" s="289"/>
      <c r="IZK16" s="289"/>
      <c r="IZL16" s="289"/>
      <c r="IZM16" s="289"/>
      <c r="IZN16" s="289"/>
      <c r="IZO16" s="289"/>
      <c r="IZP16" s="289"/>
      <c r="IZQ16" s="289"/>
      <c r="IZR16" s="289"/>
      <c r="IZS16" s="289"/>
      <c r="IZT16" s="289"/>
      <c r="IZU16" s="289"/>
      <c r="IZV16" s="289"/>
      <c r="IZW16" s="289"/>
      <c r="IZX16" s="289"/>
      <c r="IZY16" s="289"/>
      <c r="IZZ16" s="289"/>
      <c r="JAA16" s="289"/>
      <c r="JAB16" s="289"/>
      <c r="JAC16" s="289"/>
      <c r="JAD16" s="289"/>
      <c r="JAE16" s="289"/>
      <c r="JAF16" s="289"/>
      <c r="JAG16" s="289"/>
      <c r="JAH16" s="289"/>
      <c r="JAI16" s="289"/>
      <c r="JAJ16" s="289"/>
      <c r="JAK16" s="289"/>
      <c r="JAL16" s="289"/>
      <c r="JAM16" s="289"/>
      <c r="JAN16" s="289"/>
      <c r="JAO16" s="289"/>
      <c r="JAP16" s="289"/>
      <c r="JAQ16" s="289"/>
      <c r="JAR16" s="289"/>
      <c r="JAS16" s="289"/>
      <c r="JAT16" s="289"/>
      <c r="JAU16" s="289"/>
      <c r="JAV16" s="289"/>
      <c r="JAW16" s="289"/>
      <c r="JAX16" s="289"/>
      <c r="JAY16" s="289"/>
      <c r="JAZ16" s="289"/>
      <c r="JBA16" s="289"/>
      <c r="JBB16" s="289"/>
      <c r="JBC16" s="289"/>
      <c r="JBD16" s="289"/>
      <c r="JBE16" s="289"/>
      <c r="JBF16" s="289"/>
      <c r="JBG16" s="289"/>
      <c r="JBH16" s="289"/>
      <c r="JBI16" s="289"/>
      <c r="JBJ16" s="289"/>
      <c r="JBK16" s="289"/>
      <c r="JBL16" s="289"/>
      <c r="JBM16" s="289"/>
      <c r="JBN16" s="289"/>
      <c r="JBO16" s="289"/>
      <c r="JBP16" s="289"/>
      <c r="JBQ16" s="289"/>
      <c r="JBR16" s="289"/>
      <c r="JBS16" s="289"/>
      <c r="JBT16" s="289"/>
      <c r="JBU16" s="289"/>
      <c r="JBV16" s="289"/>
      <c r="JBW16" s="289"/>
      <c r="JBX16" s="289"/>
      <c r="JBY16" s="289"/>
      <c r="JBZ16" s="289"/>
      <c r="JCA16" s="289"/>
      <c r="JCB16" s="289"/>
      <c r="JCC16" s="289"/>
      <c r="JCD16" s="289"/>
      <c r="JCE16" s="289"/>
      <c r="JCF16" s="289"/>
      <c r="JCG16" s="289"/>
      <c r="JCH16" s="289"/>
      <c r="JCI16" s="289"/>
      <c r="JCJ16" s="289"/>
      <c r="JCK16" s="289"/>
      <c r="JCL16" s="289"/>
      <c r="JCM16" s="289"/>
      <c r="JCN16" s="289"/>
      <c r="JCO16" s="289"/>
      <c r="JCP16" s="289"/>
      <c r="JCQ16" s="289"/>
      <c r="JCR16" s="289"/>
      <c r="JCS16" s="289"/>
      <c r="JCT16" s="289"/>
      <c r="JCU16" s="289"/>
      <c r="JCV16" s="289"/>
      <c r="JCW16" s="289"/>
      <c r="JCX16" s="289"/>
      <c r="JCY16" s="289"/>
      <c r="JCZ16" s="289"/>
      <c r="JDA16" s="289"/>
      <c r="JDB16" s="289"/>
      <c r="JDC16" s="289"/>
      <c r="JDD16" s="289"/>
      <c r="JDE16" s="289"/>
      <c r="JDF16" s="289"/>
      <c r="JDG16" s="289"/>
      <c r="JDH16" s="289"/>
      <c r="JDI16" s="289"/>
      <c r="JDJ16" s="289"/>
      <c r="JDK16" s="289"/>
      <c r="JDL16" s="289"/>
      <c r="JDM16" s="289"/>
      <c r="JDN16" s="289"/>
      <c r="JDO16" s="289"/>
      <c r="JDP16" s="289"/>
      <c r="JDQ16" s="289"/>
      <c r="JDR16" s="289"/>
      <c r="JDS16" s="289"/>
      <c r="JDT16" s="289"/>
      <c r="JDU16" s="289"/>
      <c r="JDV16" s="289"/>
      <c r="JDW16" s="289"/>
      <c r="JDX16" s="289"/>
      <c r="JDY16" s="289"/>
      <c r="JDZ16" s="289"/>
      <c r="JEA16" s="289"/>
      <c r="JEB16" s="289"/>
      <c r="JEC16" s="289"/>
      <c r="JED16" s="289"/>
      <c r="JEE16" s="289"/>
      <c r="JEF16" s="289"/>
      <c r="JEG16" s="289"/>
      <c r="JEH16" s="289"/>
      <c r="JEI16" s="289"/>
      <c r="JEJ16" s="289"/>
      <c r="JEK16" s="289"/>
      <c r="JEL16" s="289"/>
      <c r="JEM16" s="289"/>
      <c r="JEN16" s="289"/>
      <c r="JEO16" s="289"/>
      <c r="JEP16" s="289"/>
      <c r="JEQ16" s="289"/>
      <c r="JER16" s="289"/>
      <c r="JES16" s="289"/>
      <c r="JET16" s="289"/>
      <c r="JEU16" s="289"/>
      <c r="JEV16" s="289"/>
      <c r="JEW16" s="289"/>
      <c r="JEX16" s="289"/>
      <c r="JEY16" s="289"/>
      <c r="JEZ16" s="289"/>
      <c r="JFA16" s="289"/>
      <c r="JFB16" s="289"/>
      <c r="JFC16" s="289"/>
      <c r="JFD16" s="289"/>
      <c r="JFE16" s="289"/>
      <c r="JFF16" s="289"/>
      <c r="JFG16" s="289"/>
      <c r="JFH16" s="289"/>
      <c r="JFI16" s="289"/>
      <c r="JFJ16" s="289"/>
      <c r="JFK16" s="289"/>
      <c r="JFL16" s="289"/>
      <c r="JFM16" s="289"/>
      <c r="JFN16" s="289"/>
      <c r="JFO16" s="289"/>
      <c r="JFP16" s="289"/>
      <c r="JFQ16" s="289"/>
      <c r="JFR16" s="289"/>
      <c r="JFS16" s="289"/>
      <c r="JFT16" s="289"/>
      <c r="JFU16" s="289"/>
      <c r="JFV16" s="289"/>
      <c r="JFW16" s="289"/>
      <c r="JFX16" s="289"/>
      <c r="JFY16" s="289"/>
      <c r="JFZ16" s="289"/>
      <c r="JGA16" s="289"/>
      <c r="JGB16" s="289"/>
      <c r="JGC16" s="289"/>
      <c r="JGD16" s="289"/>
      <c r="JGE16" s="289"/>
      <c r="JGF16" s="289"/>
      <c r="JGG16" s="289"/>
      <c r="JGH16" s="289"/>
      <c r="JGI16" s="289"/>
      <c r="JGJ16" s="289"/>
      <c r="JGK16" s="289"/>
      <c r="JGL16" s="289"/>
      <c r="JGM16" s="289"/>
      <c r="JGN16" s="289"/>
      <c r="JGO16" s="289"/>
      <c r="JGP16" s="289"/>
      <c r="JGQ16" s="289"/>
      <c r="JGR16" s="289"/>
      <c r="JGS16" s="289"/>
      <c r="JGT16" s="289"/>
      <c r="JGU16" s="289"/>
      <c r="JGV16" s="289"/>
      <c r="JGW16" s="289"/>
      <c r="JGX16" s="289"/>
      <c r="JGY16" s="289"/>
      <c r="JGZ16" s="289"/>
      <c r="JHA16" s="289"/>
      <c r="JHB16" s="289"/>
      <c r="JHC16" s="289"/>
      <c r="JHD16" s="289"/>
      <c r="JHE16" s="289"/>
      <c r="JHF16" s="289"/>
      <c r="JHG16" s="289"/>
      <c r="JHH16" s="289"/>
      <c r="JHI16" s="289"/>
      <c r="JHJ16" s="289"/>
      <c r="JHK16" s="289"/>
      <c r="JHL16" s="289"/>
      <c r="JHM16" s="289"/>
      <c r="JHN16" s="289"/>
      <c r="JHO16" s="289"/>
      <c r="JHP16" s="289"/>
      <c r="JHQ16" s="289"/>
      <c r="JHR16" s="289"/>
      <c r="JHS16" s="289"/>
      <c r="JHT16" s="289"/>
      <c r="JHU16" s="289"/>
      <c r="JHV16" s="289"/>
      <c r="JHW16" s="289"/>
      <c r="JHX16" s="289"/>
      <c r="JHY16" s="289"/>
      <c r="JHZ16" s="289"/>
      <c r="JIA16" s="289"/>
      <c r="JIB16" s="289"/>
      <c r="JIC16" s="289"/>
      <c r="JID16" s="289"/>
      <c r="JIE16" s="289"/>
      <c r="JIF16" s="289"/>
      <c r="JIG16" s="289"/>
      <c r="JIH16" s="289"/>
      <c r="JII16" s="289"/>
      <c r="JIJ16" s="289"/>
      <c r="JIK16" s="289"/>
      <c r="JIL16" s="289"/>
      <c r="JIM16" s="289"/>
      <c r="JIN16" s="289"/>
      <c r="JIO16" s="289"/>
      <c r="JIP16" s="289"/>
      <c r="JIQ16" s="289"/>
      <c r="JIR16" s="289"/>
      <c r="JIS16" s="289"/>
      <c r="JIT16" s="289"/>
      <c r="JIU16" s="289"/>
      <c r="JIV16" s="289"/>
      <c r="JIW16" s="289"/>
      <c r="JIX16" s="289"/>
      <c r="JIY16" s="289"/>
      <c r="JIZ16" s="289"/>
      <c r="JJA16" s="289"/>
      <c r="JJB16" s="289"/>
      <c r="JJC16" s="289"/>
      <c r="JJD16" s="289"/>
      <c r="JJE16" s="289"/>
      <c r="JJF16" s="289"/>
      <c r="JJG16" s="289"/>
      <c r="JJH16" s="289"/>
      <c r="JJI16" s="289"/>
      <c r="JJJ16" s="289"/>
      <c r="JJK16" s="289"/>
      <c r="JJL16" s="289"/>
      <c r="JJM16" s="289"/>
      <c r="JJN16" s="289"/>
      <c r="JJO16" s="289"/>
      <c r="JJP16" s="289"/>
      <c r="JJQ16" s="289"/>
      <c r="JJR16" s="289"/>
      <c r="JJS16" s="289"/>
      <c r="JJT16" s="289"/>
      <c r="JJU16" s="289"/>
      <c r="JJV16" s="289"/>
      <c r="JJW16" s="289"/>
      <c r="JJX16" s="289"/>
      <c r="JJY16" s="289"/>
      <c r="JJZ16" s="289"/>
      <c r="JKA16" s="289"/>
      <c r="JKB16" s="289"/>
      <c r="JKC16" s="289"/>
      <c r="JKD16" s="289"/>
      <c r="JKE16" s="289"/>
      <c r="JKF16" s="289"/>
      <c r="JKG16" s="289"/>
      <c r="JKH16" s="289"/>
      <c r="JKI16" s="289"/>
      <c r="JKJ16" s="289"/>
      <c r="JKK16" s="289"/>
      <c r="JKL16" s="289"/>
      <c r="JKM16" s="289"/>
      <c r="JKN16" s="289"/>
      <c r="JKO16" s="289"/>
      <c r="JKP16" s="289"/>
      <c r="JKQ16" s="289"/>
      <c r="JKR16" s="289"/>
      <c r="JKS16" s="289"/>
      <c r="JKT16" s="289"/>
      <c r="JKU16" s="289"/>
      <c r="JKV16" s="289"/>
      <c r="JKW16" s="289"/>
      <c r="JKX16" s="289"/>
      <c r="JKY16" s="289"/>
      <c r="JKZ16" s="289"/>
      <c r="JLA16" s="289"/>
      <c r="JLB16" s="289"/>
      <c r="JLC16" s="289"/>
      <c r="JLD16" s="289"/>
      <c r="JLE16" s="289"/>
      <c r="JLF16" s="289"/>
      <c r="JLG16" s="289"/>
      <c r="JLH16" s="289"/>
      <c r="JLI16" s="289"/>
      <c r="JLJ16" s="289"/>
      <c r="JLK16" s="289"/>
      <c r="JLL16" s="289"/>
      <c r="JLM16" s="289"/>
      <c r="JLN16" s="289"/>
      <c r="JLO16" s="289"/>
      <c r="JLP16" s="289"/>
      <c r="JLQ16" s="289"/>
      <c r="JLR16" s="289"/>
      <c r="JLS16" s="289"/>
      <c r="JLT16" s="289"/>
      <c r="JLU16" s="289"/>
      <c r="JLV16" s="289"/>
      <c r="JLW16" s="289"/>
      <c r="JLX16" s="289"/>
      <c r="JLY16" s="289"/>
      <c r="JLZ16" s="289"/>
      <c r="JMA16" s="289"/>
      <c r="JMB16" s="289"/>
      <c r="JMC16" s="289"/>
      <c r="JMD16" s="289"/>
      <c r="JME16" s="289"/>
      <c r="JMF16" s="289"/>
      <c r="JMG16" s="289"/>
      <c r="JMH16" s="289"/>
      <c r="JMI16" s="289"/>
      <c r="JMJ16" s="289"/>
      <c r="JMK16" s="289"/>
      <c r="JML16" s="289"/>
      <c r="JMM16" s="289"/>
      <c r="JMN16" s="289"/>
      <c r="JMO16" s="289"/>
      <c r="JMP16" s="289"/>
      <c r="JMQ16" s="289"/>
      <c r="JMR16" s="289"/>
      <c r="JMS16" s="289"/>
      <c r="JMT16" s="289"/>
      <c r="JMU16" s="289"/>
      <c r="JMV16" s="289"/>
      <c r="JMW16" s="289"/>
      <c r="JMX16" s="289"/>
      <c r="JMY16" s="289"/>
      <c r="JMZ16" s="289"/>
      <c r="JNA16" s="289"/>
      <c r="JNB16" s="289"/>
      <c r="JNC16" s="289"/>
      <c r="JND16" s="289"/>
      <c r="JNE16" s="289"/>
      <c r="JNF16" s="289"/>
      <c r="JNG16" s="289"/>
      <c r="JNH16" s="289"/>
      <c r="JNI16" s="289"/>
      <c r="JNJ16" s="289"/>
      <c r="JNK16" s="289"/>
      <c r="JNL16" s="289"/>
      <c r="JNM16" s="289"/>
      <c r="JNN16" s="289"/>
      <c r="JNO16" s="289"/>
      <c r="JNP16" s="289"/>
      <c r="JNQ16" s="289"/>
      <c r="JNR16" s="289"/>
      <c r="JNS16" s="289"/>
      <c r="JNT16" s="289"/>
      <c r="JNU16" s="289"/>
      <c r="JNV16" s="289"/>
      <c r="JNW16" s="289"/>
      <c r="JNX16" s="289"/>
      <c r="JNY16" s="289"/>
      <c r="JNZ16" s="289"/>
      <c r="JOA16" s="289"/>
      <c r="JOB16" s="289"/>
      <c r="JOC16" s="289"/>
      <c r="JOD16" s="289"/>
      <c r="JOE16" s="289"/>
      <c r="JOF16" s="289"/>
      <c r="JOG16" s="289"/>
      <c r="JOH16" s="289"/>
      <c r="JOI16" s="289"/>
      <c r="JOJ16" s="289"/>
      <c r="JOK16" s="289"/>
      <c r="JOL16" s="289"/>
      <c r="JOM16" s="289"/>
      <c r="JON16" s="289"/>
      <c r="JOO16" s="289"/>
      <c r="JOP16" s="289"/>
      <c r="JOQ16" s="289"/>
      <c r="JOR16" s="289"/>
      <c r="JOS16" s="289"/>
      <c r="JOT16" s="289"/>
      <c r="JOU16" s="289"/>
      <c r="JOV16" s="289"/>
      <c r="JOW16" s="289"/>
      <c r="JOX16" s="289"/>
      <c r="JOY16" s="289"/>
      <c r="JOZ16" s="289"/>
      <c r="JPA16" s="289"/>
      <c r="JPB16" s="289"/>
      <c r="JPC16" s="289"/>
      <c r="JPD16" s="289"/>
      <c r="JPE16" s="289"/>
      <c r="JPF16" s="289"/>
      <c r="JPG16" s="289"/>
      <c r="JPH16" s="289"/>
      <c r="JPI16" s="289"/>
      <c r="JPJ16" s="289"/>
      <c r="JPK16" s="289"/>
      <c r="JPL16" s="289"/>
      <c r="JPM16" s="289"/>
      <c r="JPN16" s="289"/>
      <c r="JPO16" s="289"/>
      <c r="JPP16" s="289"/>
      <c r="JPQ16" s="289"/>
      <c r="JPR16" s="289"/>
      <c r="JPS16" s="289"/>
      <c r="JPT16" s="289"/>
      <c r="JPU16" s="289"/>
      <c r="JPV16" s="289"/>
      <c r="JPW16" s="289"/>
      <c r="JPX16" s="289"/>
      <c r="JPY16" s="289"/>
      <c r="JPZ16" s="289"/>
      <c r="JQA16" s="289"/>
      <c r="JQB16" s="289"/>
      <c r="JQC16" s="289"/>
      <c r="JQD16" s="289"/>
      <c r="JQE16" s="289"/>
      <c r="JQF16" s="289"/>
      <c r="JQG16" s="289"/>
      <c r="JQH16" s="289"/>
      <c r="JQI16" s="289"/>
      <c r="JQJ16" s="289"/>
      <c r="JQK16" s="289"/>
      <c r="JQL16" s="289"/>
      <c r="JQM16" s="289"/>
      <c r="JQN16" s="289"/>
      <c r="JQO16" s="289"/>
      <c r="JQP16" s="289"/>
      <c r="JQQ16" s="289"/>
      <c r="JQR16" s="289"/>
      <c r="JQS16" s="289"/>
      <c r="JQT16" s="289"/>
      <c r="JQU16" s="289"/>
      <c r="JQV16" s="289"/>
      <c r="JQW16" s="289"/>
      <c r="JQX16" s="289"/>
      <c r="JQY16" s="289"/>
      <c r="JQZ16" s="289"/>
      <c r="JRA16" s="289"/>
      <c r="JRB16" s="289"/>
      <c r="JRC16" s="289"/>
      <c r="JRD16" s="289"/>
      <c r="JRE16" s="289"/>
      <c r="JRF16" s="289"/>
      <c r="JRG16" s="289"/>
      <c r="JRH16" s="289"/>
      <c r="JRI16" s="289"/>
      <c r="JRJ16" s="289"/>
      <c r="JRK16" s="289"/>
      <c r="JRL16" s="289"/>
      <c r="JRM16" s="289"/>
      <c r="JRN16" s="289"/>
      <c r="JRO16" s="289"/>
      <c r="JRP16" s="289"/>
      <c r="JRQ16" s="289"/>
      <c r="JRR16" s="289"/>
      <c r="JRS16" s="289"/>
      <c r="JRT16" s="289"/>
      <c r="JRU16" s="289"/>
      <c r="JRV16" s="289"/>
      <c r="JRW16" s="289"/>
      <c r="JRX16" s="289"/>
      <c r="JRY16" s="289"/>
      <c r="JRZ16" s="289"/>
      <c r="JSA16" s="289"/>
      <c r="JSB16" s="289"/>
      <c r="JSC16" s="289"/>
      <c r="JSD16" s="289"/>
      <c r="JSE16" s="289"/>
      <c r="JSF16" s="289"/>
      <c r="JSG16" s="289"/>
      <c r="JSH16" s="289"/>
      <c r="JSI16" s="289"/>
      <c r="JSJ16" s="289"/>
      <c r="JSK16" s="289"/>
      <c r="JSL16" s="289"/>
      <c r="JSM16" s="289"/>
      <c r="JSN16" s="289"/>
      <c r="JSO16" s="289"/>
      <c r="JSP16" s="289"/>
      <c r="JSQ16" s="289"/>
      <c r="JSR16" s="289"/>
      <c r="JSS16" s="289"/>
      <c r="JST16" s="289"/>
      <c r="JSU16" s="289"/>
      <c r="JSV16" s="289"/>
      <c r="JSW16" s="289"/>
      <c r="JSX16" s="289"/>
      <c r="JSY16" s="289"/>
      <c r="JSZ16" s="289"/>
      <c r="JTA16" s="289"/>
      <c r="JTB16" s="289"/>
      <c r="JTC16" s="289"/>
      <c r="JTD16" s="289"/>
      <c r="JTE16" s="289"/>
      <c r="JTF16" s="289"/>
      <c r="JTG16" s="289"/>
      <c r="JTH16" s="289"/>
      <c r="JTI16" s="289"/>
      <c r="JTJ16" s="289"/>
      <c r="JTK16" s="289"/>
      <c r="JTL16" s="289"/>
      <c r="JTM16" s="289"/>
      <c r="JTN16" s="289"/>
      <c r="JTO16" s="289"/>
      <c r="JTP16" s="289"/>
      <c r="JTQ16" s="289"/>
      <c r="JTR16" s="289"/>
      <c r="JTS16" s="289"/>
      <c r="JTT16" s="289"/>
      <c r="JTU16" s="289"/>
      <c r="JTV16" s="289"/>
      <c r="JTW16" s="289"/>
      <c r="JTX16" s="289"/>
      <c r="JTY16" s="289"/>
      <c r="JTZ16" s="289"/>
      <c r="JUA16" s="289"/>
      <c r="JUB16" s="289"/>
      <c r="JUC16" s="289"/>
      <c r="JUD16" s="289"/>
      <c r="JUE16" s="289"/>
      <c r="JUF16" s="289"/>
      <c r="JUG16" s="289"/>
      <c r="JUH16" s="289"/>
      <c r="JUI16" s="289"/>
      <c r="JUJ16" s="289"/>
      <c r="JUK16" s="289"/>
      <c r="JUL16" s="289"/>
      <c r="JUM16" s="289"/>
      <c r="JUN16" s="289"/>
      <c r="JUO16" s="289"/>
      <c r="JUP16" s="289"/>
      <c r="JUQ16" s="289"/>
      <c r="JUR16" s="289"/>
      <c r="JUS16" s="289"/>
      <c r="JUT16" s="289"/>
      <c r="JUU16" s="289"/>
      <c r="JUV16" s="289"/>
      <c r="JUW16" s="289"/>
      <c r="JUX16" s="289"/>
      <c r="JUY16" s="289"/>
      <c r="JUZ16" s="289"/>
      <c r="JVA16" s="289"/>
      <c r="JVB16" s="289"/>
      <c r="JVC16" s="289"/>
      <c r="JVD16" s="289"/>
      <c r="JVE16" s="289"/>
      <c r="JVF16" s="289"/>
      <c r="JVG16" s="289"/>
      <c r="JVH16" s="289"/>
      <c r="JVI16" s="289"/>
      <c r="JVJ16" s="289"/>
      <c r="JVK16" s="289"/>
      <c r="JVL16" s="289"/>
      <c r="JVM16" s="289"/>
      <c r="JVN16" s="289"/>
      <c r="JVO16" s="289"/>
      <c r="JVP16" s="289"/>
      <c r="JVQ16" s="289"/>
      <c r="JVR16" s="289"/>
      <c r="JVS16" s="289"/>
      <c r="JVT16" s="289"/>
      <c r="JVU16" s="289"/>
      <c r="JVV16" s="289"/>
      <c r="JVW16" s="289"/>
      <c r="JVX16" s="289"/>
      <c r="JVY16" s="289"/>
      <c r="JVZ16" s="289"/>
      <c r="JWA16" s="289"/>
      <c r="JWB16" s="289"/>
      <c r="JWC16" s="289"/>
      <c r="JWD16" s="289"/>
      <c r="JWE16" s="289"/>
      <c r="JWF16" s="289"/>
      <c r="JWG16" s="289"/>
      <c r="JWH16" s="289"/>
      <c r="JWI16" s="289"/>
      <c r="JWJ16" s="289"/>
      <c r="JWK16" s="289"/>
      <c r="JWL16" s="289"/>
      <c r="JWM16" s="289"/>
      <c r="JWN16" s="289"/>
      <c r="JWO16" s="289"/>
      <c r="JWP16" s="289"/>
      <c r="JWQ16" s="289"/>
      <c r="JWR16" s="289"/>
      <c r="JWS16" s="289"/>
      <c r="JWT16" s="289"/>
      <c r="JWU16" s="289"/>
      <c r="JWV16" s="289"/>
      <c r="JWW16" s="289"/>
      <c r="JWX16" s="289"/>
      <c r="JWY16" s="289"/>
      <c r="JWZ16" s="289"/>
      <c r="JXA16" s="289"/>
      <c r="JXB16" s="289"/>
      <c r="JXC16" s="289"/>
      <c r="JXD16" s="289"/>
      <c r="JXE16" s="289"/>
      <c r="JXF16" s="289"/>
      <c r="JXG16" s="289"/>
      <c r="JXH16" s="289"/>
      <c r="JXI16" s="289"/>
      <c r="JXJ16" s="289"/>
      <c r="JXK16" s="289"/>
      <c r="JXL16" s="289"/>
      <c r="JXM16" s="289"/>
      <c r="JXN16" s="289"/>
      <c r="JXO16" s="289"/>
      <c r="JXP16" s="289"/>
      <c r="JXQ16" s="289"/>
      <c r="JXR16" s="289"/>
      <c r="JXS16" s="289"/>
      <c r="JXT16" s="289"/>
      <c r="JXU16" s="289"/>
      <c r="JXV16" s="289"/>
      <c r="JXW16" s="289"/>
      <c r="JXX16" s="289"/>
      <c r="JXY16" s="289"/>
      <c r="JXZ16" s="289"/>
      <c r="JYA16" s="289"/>
      <c r="JYB16" s="289"/>
      <c r="JYC16" s="289"/>
      <c r="JYD16" s="289"/>
      <c r="JYE16" s="289"/>
      <c r="JYF16" s="289"/>
      <c r="JYG16" s="289"/>
      <c r="JYH16" s="289"/>
      <c r="JYI16" s="289"/>
      <c r="JYJ16" s="289"/>
      <c r="JYK16" s="289"/>
      <c r="JYL16" s="289"/>
      <c r="JYM16" s="289"/>
      <c r="JYN16" s="289"/>
      <c r="JYO16" s="289"/>
      <c r="JYP16" s="289"/>
      <c r="JYQ16" s="289"/>
      <c r="JYR16" s="289"/>
      <c r="JYS16" s="289"/>
      <c r="JYT16" s="289"/>
      <c r="JYU16" s="289"/>
      <c r="JYV16" s="289"/>
      <c r="JYW16" s="289"/>
      <c r="JYX16" s="289"/>
      <c r="JYY16" s="289"/>
      <c r="JYZ16" s="289"/>
      <c r="JZA16" s="289"/>
      <c r="JZB16" s="289"/>
      <c r="JZC16" s="289"/>
      <c r="JZD16" s="289"/>
      <c r="JZE16" s="289"/>
      <c r="JZF16" s="289"/>
      <c r="JZG16" s="289"/>
      <c r="JZH16" s="289"/>
      <c r="JZI16" s="289"/>
      <c r="JZJ16" s="289"/>
      <c r="JZK16" s="289"/>
      <c r="JZL16" s="289"/>
      <c r="JZM16" s="289"/>
      <c r="JZN16" s="289"/>
      <c r="JZO16" s="289"/>
      <c r="JZP16" s="289"/>
      <c r="JZQ16" s="289"/>
      <c r="JZR16" s="289"/>
      <c r="JZS16" s="289"/>
      <c r="JZT16" s="289"/>
      <c r="JZU16" s="289"/>
      <c r="JZV16" s="289"/>
      <c r="JZW16" s="289"/>
      <c r="JZX16" s="289"/>
      <c r="JZY16" s="289"/>
      <c r="JZZ16" s="289"/>
      <c r="KAA16" s="289"/>
      <c r="KAB16" s="289"/>
      <c r="KAC16" s="289"/>
      <c r="KAD16" s="289"/>
      <c r="KAE16" s="289"/>
      <c r="KAF16" s="289"/>
      <c r="KAG16" s="289"/>
      <c r="KAH16" s="289"/>
      <c r="KAI16" s="289"/>
      <c r="KAJ16" s="289"/>
      <c r="KAK16" s="289"/>
      <c r="KAL16" s="289"/>
      <c r="KAM16" s="289"/>
      <c r="KAN16" s="289"/>
      <c r="KAO16" s="289"/>
      <c r="KAP16" s="289"/>
      <c r="KAQ16" s="289"/>
      <c r="KAR16" s="289"/>
      <c r="KAS16" s="289"/>
      <c r="KAT16" s="289"/>
      <c r="KAU16" s="289"/>
      <c r="KAV16" s="289"/>
      <c r="KAW16" s="289"/>
      <c r="KAX16" s="289"/>
      <c r="KAY16" s="289"/>
      <c r="KAZ16" s="289"/>
      <c r="KBA16" s="289"/>
      <c r="KBB16" s="289"/>
      <c r="KBC16" s="289"/>
      <c r="KBD16" s="289"/>
      <c r="KBE16" s="289"/>
      <c r="KBF16" s="289"/>
      <c r="KBG16" s="289"/>
      <c r="KBH16" s="289"/>
      <c r="KBI16" s="289"/>
      <c r="KBJ16" s="289"/>
      <c r="KBK16" s="289"/>
      <c r="KBL16" s="289"/>
      <c r="KBM16" s="289"/>
      <c r="KBN16" s="289"/>
      <c r="KBO16" s="289"/>
      <c r="KBP16" s="289"/>
      <c r="KBQ16" s="289"/>
      <c r="KBR16" s="289"/>
      <c r="KBS16" s="289"/>
      <c r="KBT16" s="289"/>
      <c r="KBU16" s="289"/>
      <c r="KBV16" s="289"/>
      <c r="KBW16" s="289"/>
      <c r="KBX16" s="289"/>
      <c r="KBY16" s="289"/>
      <c r="KBZ16" s="289"/>
      <c r="KCA16" s="289"/>
      <c r="KCB16" s="289"/>
      <c r="KCC16" s="289"/>
      <c r="KCD16" s="289"/>
      <c r="KCE16" s="289"/>
      <c r="KCF16" s="289"/>
      <c r="KCG16" s="289"/>
      <c r="KCH16" s="289"/>
      <c r="KCI16" s="289"/>
      <c r="KCJ16" s="289"/>
      <c r="KCK16" s="289"/>
      <c r="KCL16" s="289"/>
      <c r="KCM16" s="289"/>
      <c r="KCN16" s="289"/>
      <c r="KCO16" s="289"/>
      <c r="KCP16" s="289"/>
      <c r="KCQ16" s="289"/>
      <c r="KCR16" s="289"/>
      <c r="KCS16" s="289"/>
      <c r="KCT16" s="289"/>
      <c r="KCU16" s="289"/>
      <c r="KCV16" s="289"/>
      <c r="KCW16" s="289"/>
      <c r="KCX16" s="289"/>
      <c r="KCY16" s="289"/>
      <c r="KCZ16" s="289"/>
      <c r="KDA16" s="289"/>
      <c r="KDB16" s="289"/>
      <c r="KDC16" s="289"/>
      <c r="KDD16" s="289"/>
      <c r="KDE16" s="289"/>
      <c r="KDF16" s="289"/>
      <c r="KDG16" s="289"/>
      <c r="KDH16" s="289"/>
      <c r="KDI16" s="289"/>
      <c r="KDJ16" s="289"/>
      <c r="KDK16" s="289"/>
      <c r="KDL16" s="289"/>
      <c r="KDM16" s="289"/>
      <c r="KDN16" s="289"/>
      <c r="KDO16" s="289"/>
      <c r="KDP16" s="289"/>
      <c r="KDQ16" s="289"/>
      <c r="KDR16" s="289"/>
      <c r="KDS16" s="289"/>
      <c r="KDT16" s="289"/>
      <c r="KDU16" s="289"/>
      <c r="KDV16" s="289"/>
      <c r="KDW16" s="289"/>
      <c r="KDX16" s="289"/>
      <c r="KDY16" s="289"/>
      <c r="KDZ16" s="289"/>
      <c r="KEA16" s="289"/>
      <c r="KEB16" s="289"/>
      <c r="KEC16" s="289"/>
      <c r="KED16" s="289"/>
      <c r="KEE16" s="289"/>
      <c r="KEF16" s="289"/>
      <c r="KEG16" s="289"/>
      <c r="KEH16" s="289"/>
      <c r="KEI16" s="289"/>
      <c r="KEJ16" s="289"/>
      <c r="KEK16" s="289"/>
      <c r="KEL16" s="289"/>
      <c r="KEM16" s="289"/>
      <c r="KEN16" s="289"/>
      <c r="KEO16" s="289"/>
      <c r="KEP16" s="289"/>
      <c r="KEQ16" s="289"/>
      <c r="KER16" s="289"/>
      <c r="KES16" s="289"/>
      <c r="KET16" s="289"/>
      <c r="KEU16" s="289"/>
      <c r="KEV16" s="289"/>
      <c r="KEW16" s="289"/>
      <c r="KEX16" s="289"/>
      <c r="KEY16" s="289"/>
      <c r="KEZ16" s="289"/>
      <c r="KFA16" s="289"/>
      <c r="KFB16" s="289"/>
      <c r="KFC16" s="289"/>
      <c r="KFD16" s="289"/>
      <c r="KFE16" s="289"/>
      <c r="KFF16" s="289"/>
      <c r="KFG16" s="289"/>
      <c r="KFH16" s="289"/>
      <c r="KFI16" s="289"/>
      <c r="KFJ16" s="289"/>
      <c r="KFK16" s="289"/>
      <c r="KFL16" s="289"/>
      <c r="KFM16" s="289"/>
      <c r="KFN16" s="289"/>
      <c r="KFO16" s="289"/>
      <c r="KFP16" s="289"/>
      <c r="KFQ16" s="289"/>
      <c r="KFR16" s="289"/>
      <c r="KFS16" s="289"/>
      <c r="KFT16" s="289"/>
      <c r="KFU16" s="289"/>
      <c r="KFV16" s="289"/>
      <c r="KFW16" s="289"/>
      <c r="KFX16" s="289"/>
      <c r="KFY16" s="289"/>
      <c r="KFZ16" s="289"/>
      <c r="KGA16" s="289"/>
      <c r="KGB16" s="289"/>
      <c r="KGC16" s="289"/>
      <c r="KGD16" s="289"/>
      <c r="KGE16" s="289"/>
      <c r="KGF16" s="289"/>
      <c r="KGG16" s="289"/>
      <c r="KGH16" s="289"/>
      <c r="KGI16" s="289"/>
      <c r="KGJ16" s="289"/>
      <c r="KGK16" s="289"/>
      <c r="KGL16" s="289"/>
      <c r="KGM16" s="289"/>
      <c r="KGN16" s="289"/>
      <c r="KGO16" s="289"/>
      <c r="KGP16" s="289"/>
      <c r="KGQ16" s="289"/>
      <c r="KGR16" s="289"/>
      <c r="KGS16" s="289"/>
      <c r="KGT16" s="289"/>
      <c r="KGU16" s="289"/>
      <c r="KGV16" s="289"/>
      <c r="KGW16" s="289"/>
      <c r="KGX16" s="289"/>
      <c r="KGY16" s="289"/>
      <c r="KGZ16" s="289"/>
      <c r="KHA16" s="289"/>
      <c r="KHB16" s="289"/>
      <c r="KHC16" s="289"/>
      <c r="KHD16" s="289"/>
      <c r="KHE16" s="289"/>
      <c r="KHF16" s="289"/>
      <c r="KHG16" s="289"/>
      <c r="KHH16" s="289"/>
      <c r="KHI16" s="289"/>
      <c r="KHJ16" s="289"/>
      <c r="KHK16" s="289"/>
      <c r="KHL16" s="289"/>
      <c r="KHM16" s="289"/>
      <c r="KHN16" s="289"/>
      <c r="KHO16" s="289"/>
      <c r="KHP16" s="289"/>
      <c r="KHQ16" s="289"/>
      <c r="KHR16" s="289"/>
      <c r="KHS16" s="289"/>
      <c r="KHT16" s="289"/>
      <c r="KHU16" s="289"/>
      <c r="KHV16" s="289"/>
      <c r="KHW16" s="289"/>
      <c r="KHX16" s="289"/>
      <c r="KHY16" s="289"/>
      <c r="KHZ16" s="289"/>
      <c r="KIA16" s="289"/>
      <c r="KIB16" s="289"/>
      <c r="KIC16" s="289"/>
      <c r="KID16" s="289"/>
      <c r="KIE16" s="289"/>
      <c r="KIF16" s="289"/>
      <c r="KIG16" s="289"/>
      <c r="KIH16" s="289"/>
      <c r="KII16" s="289"/>
      <c r="KIJ16" s="289"/>
      <c r="KIK16" s="289"/>
      <c r="KIL16" s="289"/>
      <c r="KIM16" s="289"/>
      <c r="KIN16" s="289"/>
      <c r="KIO16" s="289"/>
      <c r="KIP16" s="289"/>
      <c r="KIQ16" s="289"/>
      <c r="KIR16" s="289"/>
      <c r="KIS16" s="289"/>
      <c r="KIT16" s="289"/>
      <c r="KIU16" s="289"/>
      <c r="KIV16" s="289"/>
      <c r="KIW16" s="289"/>
      <c r="KIX16" s="289"/>
      <c r="KIY16" s="289"/>
      <c r="KIZ16" s="289"/>
      <c r="KJA16" s="289"/>
      <c r="KJB16" s="289"/>
      <c r="KJC16" s="289"/>
      <c r="KJD16" s="289"/>
      <c r="KJE16" s="289"/>
      <c r="KJF16" s="289"/>
      <c r="KJG16" s="289"/>
      <c r="KJH16" s="289"/>
      <c r="KJI16" s="289"/>
      <c r="KJJ16" s="289"/>
      <c r="KJK16" s="289"/>
      <c r="KJL16" s="289"/>
      <c r="KJM16" s="289"/>
      <c r="KJN16" s="289"/>
      <c r="KJO16" s="289"/>
      <c r="KJP16" s="289"/>
      <c r="KJQ16" s="289"/>
      <c r="KJR16" s="289"/>
      <c r="KJS16" s="289"/>
      <c r="KJT16" s="289"/>
      <c r="KJU16" s="289"/>
      <c r="KJV16" s="289"/>
      <c r="KJW16" s="289"/>
      <c r="KJX16" s="289"/>
      <c r="KJY16" s="289"/>
      <c r="KJZ16" s="289"/>
      <c r="KKA16" s="289"/>
      <c r="KKB16" s="289"/>
      <c r="KKC16" s="289"/>
      <c r="KKD16" s="289"/>
      <c r="KKE16" s="289"/>
      <c r="KKF16" s="289"/>
      <c r="KKG16" s="289"/>
      <c r="KKH16" s="289"/>
      <c r="KKI16" s="289"/>
      <c r="KKJ16" s="289"/>
      <c r="KKK16" s="289"/>
      <c r="KKL16" s="289"/>
      <c r="KKM16" s="289"/>
      <c r="KKN16" s="289"/>
      <c r="KKO16" s="289"/>
      <c r="KKP16" s="289"/>
      <c r="KKQ16" s="289"/>
      <c r="KKR16" s="289"/>
      <c r="KKS16" s="289"/>
      <c r="KKT16" s="289"/>
      <c r="KKU16" s="289"/>
      <c r="KKV16" s="289"/>
      <c r="KKW16" s="289"/>
      <c r="KKX16" s="289"/>
      <c r="KKY16" s="289"/>
      <c r="KKZ16" s="289"/>
      <c r="KLA16" s="289"/>
      <c r="KLB16" s="289"/>
      <c r="KLC16" s="289"/>
      <c r="KLD16" s="289"/>
      <c r="KLE16" s="289"/>
      <c r="KLF16" s="289"/>
      <c r="KLG16" s="289"/>
      <c r="KLH16" s="289"/>
      <c r="KLI16" s="289"/>
      <c r="KLJ16" s="289"/>
      <c r="KLK16" s="289"/>
      <c r="KLL16" s="289"/>
      <c r="KLM16" s="289"/>
      <c r="KLN16" s="289"/>
      <c r="KLO16" s="289"/>
      <c r="KLP16" s="289"/>
      <c r="KLQ16" s="289"/>
      <c r="KLR16" s="289"/>
      <c r="KLS16" s="289"/>
      <c r="KLT16" s="289"/>
      <c r="KLU16" s="289"/>
      <c r="KLV16" s="289"/>
      <c r="KLW16" s="289"/>
      <c r="KLX16" s="289"/>
      <c r="KLY16" s="289"/>
      <c r="KLZ16" s="289"/>
      <c r="KMA16" s="289"/>
      <c r="KMB16" s="289"/>
      <c r="KMC16" s="289"/>
      <c r="KMD16" s="289"/>
      <c r="KME16" s="289"/>
      <c r="KMF16" s="289"/>
      <c r="KMG16" s="289"/>
      <c r="KMH16" s="289"/>
      <c r="KMI16" s="289"/>
      <c r="KMJ16" s="289"/>
      <c r="KMK16" s="289"/>
      <c r="KML16" s="289"/>
      <c r="KMM16" s="289"/>
      <c r="KMN16" s="289"/>
      <c r="KMO16" s="289"/>
      <c r="KMP16" s="289"/>
      <c r="KMQ16" s="289"/>
      <c r="KMR16" s="289"/>
      <c r="KMS16" s="289"/>
      <c r="KMT16" s="289"/>
      <c r="KMU16" s="289"/>
      <c r="KMV16" s="289"/>
      <c r="KMW16" s="289"/>
      <c r="KMX16" s="289"/>
      <c r="KMY16" s="289"/>
      <c r="KMZ16" s="289"/>
      <c r="KNA16" s="289"/>
      <c r="KNB16" s="289"/>
      <c r="KNC16" s="289"/>
      <c r="KND16" s="289"/>
      <c r="KNE16" s="289"/>
      <c r="KNF16" s="289"/>
      <c r="KNG16" s="289"/>
      <c r="KNH16" s="289"/>
      <c r="KNI16" s="289"/>
      <c r="KNJ16" s="289"/>
      <c r="KNK16" s="289"/>
      <c r="KNL16" s="289"/>
      <c r="KNM16" s="289"/>
      <c r="KNN16" s="289"/>
      <c r="KNO16" s="289"/>
      <c r="KNP16" s="289"/>
      <c r="KNQ16" s="289"/>
      <c r="KNR16" s="289"/>
      <c r="KNS16" s="289"/>
      <c r="KNT16" s="289"/>
      <c r="KNU16" s="289"/>
      <c r="KNV16" s="289"/>
      <c r="KNW16" s="289"/>
      <c r="KNX16" s="289"/>
      <c r="KNY16" s="289"/>
      <c r="KNZ16" s="289"/>
      <c r="KOA16" s="289"/>
      <c r="KOB16" s="289"/>
      <c r="KOC16" s="289"/>
      <c r="KOD16" s="289"/>
      <c r="KOE16" s="289"/>
      <c r="KOF16" s="289"/>
      <c r="KOG16" s="289"/>
      <c r="KOH16" s="289"/>
      <c r="KOI16" s="289"/>
      <c r="KOJ16" s="289"/>
      <c r="KOK16" s="289"/>
      <c r="KOL16" s="289"/>
      <c r="KOM16" s="289"/>
      <c r="KON16" s="289"/>
      <c r="KOO16" s="289"/>
      <c r="KOP16" s="289"/>
      <c r="KOQ16" s="289"/>
      <c r="KOR16" s="289"/>
      <c r="KOS16" s="289"/>
      <c r="KOT16" s="289"/>
      <c r="KOU16" s="289"/>
      <c r="KOV16" s="289"/>
      <c r="KOW16" s="289"/>
      <c r="KOX16" s="289"/>
      <c r="KOY16" s="289"/>
      <c r="KOZ16" s="289"/>
      <c r="KPA16" s="289"/>
      <c r="KPB16" s="289"/>
      <c r="KPC16" s="289"/>
      <c r="KPD16" s="289"/>
      <c r="KPE16" s="289"/>
      <c r="KPF16" s="289"/>
      <c r="KPG16" s="289"/>
      <c r="KPH16" s="289"/>
      <c r="KPI16" s="289"/>
      <c r="KPJ16" s="289"/>
      <c r="KPK16" s="289"/>
      <c r="KPL16" s="289"/>
      <c r="KPM16" s="289"/>
      <c r="KPN16" s="289"/>
      <c r="KPO16" s="289"/>
      <c r="KPP16" s="289"/>
      <c r="KPQ16" s="289"/>
      <c r="KPR16" s="289"/>
      <c r="KPS16" s="289"/>
      <c r="KPT16" s="289"/>
      <c r="KPU16" s="289"/>
      <c r="KPV16" s="289"/>
      <c r="KPW16" s="289"/>
      <c r="KPX16" s="289"/>
      <c r="KPY16" s="289"/>
      <c r="KPZ16" s="289"/>
      <c r="KQA16" s="289"/>
      <c r="KQB16" s="289"/>
      <c r="KQC16" s="289"/>
      <c r="KQD16" s="289"/>
      <c r="KQE16" s="289"/>
      <c r="KQF16" s="289"/>
      <c r="KQG16" s="289"/>
      <c r="KQH16" s="289"/>
      <c r="KQI16" s="289"/>
      <c r="KQJ16" s="289"/>
      <c r="KQK16" s="289"/>
      <c r="KQL16" s="289"/>
      <c r="KQM16" s="289"/>
      <c r="KQN16" s="289"/>
      <c r="KQO16" s="289"/>
      <c r="KQP16" s="289"/>
      <c r="KQQ16" s="289"/>
      <c r="KQR16" s="289"/>
      <c r="KQS16" s="289"/>
      <c r="KQT16" s="289"/>
      <c r="KQU16" s="289"/>
      <c r="KQV16" s="289"/>
      <c r="KQW16" s="289"/>
      <c r="KQX16" s="289"/>
      <c r="KQY16" s="289"/>
      <c r="KQZ16" s="289"/>
      <c r="KRA16" s="289"/>
      <c r="KRB16" s="289"/>
      <c r="KRC16" s="289"/>
      <c r="KRD16" s="289"/>
      <c r="KRE16" s="289"/>
      <c r="KRF16" s="289"/>
      <c r="KRG16" s="289"/>
      <c r="KRH16" s="289"/>
      <c r="KRI16" s="289"/>
      <c r="KRJ16" s="289"/>
      <c r="KRK16" s="289"/>
      <c r="KRL16" s="289"/>
      <c r="KRM16" s="289"/>
      <c r="KRN16" s="289"/>
      <c r="KRO16" s="289"/>
      <c r="KRP16" s="289"/>
      <c r="KRQ16" s="289"/>
      <c r="KRR16" s="289"/>
      <c r="KRS16" s="289"/>
      <c r="KRT16" s="289"/>
      <c r="KRU16" s="289"/>
      <c r="KRV16" s="289"/>
      <c r="KRW16" s="289"/>
      <c r="KRX16" s="289"/>
      <c r="KRY16" s="289"/>
      <c r="KRZ16" s="289"/>
      <c r="KSA16" s="289"/>
      <c r="KSB16" s="289"/>
      <c r="KSC16" s="289"/>
      <c r="KSD16" s="289"/>
      <c r="KSE16" s="289"/>
      <c r="KSF16" s="289"/>
      <c r="KSG16" s="289"/>
      <c r="KSH16" s="289"/>
      <c r="KSI16" s="289"/>
      <c r="KSJ16" s="289"/>
      <c r="KSK16" s="289"/>
      <c r="KSL16" s="289"/>
      <c r="KSM16" s="289"/>
      <c r="KSN16" s="289"/>
      <c r="KSO16" s="289"/>
      <c r="KSP16" s="289"/>
      <c r="KSQ16" s="289"/>
      <c r="KSR16" s="289"/>
      <c r="KSS16" s="289"/>
      <c r="KST16" s="289"/>
      <c r="KSU16" s="289"/>
      <c r="KSV16" s="289"/>
      <c r="KSW16" s="289"/>
      <c r="KSX16" s="289"/>
      <c r="KSY16" s="289"/>
      <c r="KSZ16" s="289"/>
      <c r="KTA16" s="289"/>
      <c r="KTB16" s="289"/>
      <c r="KTC16" s="289"/>
      <c r="KTD16" s="289"/>
      <c r="KTE16" s="289"/>
      <c r="KTF16" s="289"/>
      <c r="KTG16" s="289"/>
      <c r="KTH16" s="289"/>
      <c r="KTI16" s="289"/>
      <c r="KTJ16" s="289"/>
      <c r="KTK16" s="289"/>
      <c r="KTL16" s="289"/>
      <c r="KTM16" s="289"/>
      <c r="KTN16" s="289"/>
      <c r="KTO16" s="289"/>
      <c r="KTP16" s="289"/>
      <c r="KTQ16" s="289"/>
      <c r="KTR16" s="289"/>
      <c r="KTS16" s="289"/>
      <c r="KTT16" s="289"/>
      <c r="KTU16" s="289"/>
      <c r="KTV16" s="289"/>
      <c r="KTW16" s="289"/>
      <c r="KTX16" s="289"/>
      <c r="KTY16" s="289"/>
      <c r="KTZ16" s="289"/>
      <c r="KUA16" s="289"/>
      <c r="KUB16" s="289"/>
      <c r="KUC16" s="289"/>
      <c r="KUD16" s="289"/>
      <c r="KUE16" s="289"/>
      <c r="KUF16" s="289"/>
      <c r="KUG16" s="289"/>
      <c r="KUH16" s="289"/>
      <c r="KUI16" s="289"/>
      <c r="KUJ16" s="289"/>
      <c r="KUK16" s="289"/>
      <c r="KUL16" s="289"/>
      <c r="KUM16" s="289"/>
      <c r="KUN16" s="289"/>
      <c r="KUO16" s="289"/>
      <c r="KUP16" s="289"/>
      <c r="KUQ16" s="289"/>
      <c r="KUR16" s="289"/>
      <c r="KUS16" s="289"/>
      <c r="KUT16" s="289"/>
      <c r="KUU16" s="289"/>
      <c r="KUV16" s="289"/>
      <c r="KUW16" s="289"/>
      <c r="KUX16" s="289"/>
      <c r="KUY16" s="289"/>
      <c r="KUZ16" s="289"/>
      <c r="KVA16" s="289"/>
      <c r="KVB16" s="289"/>
      <c r="KVC16" s="289"/>
      <c r="KVD16" s="289"/>
      <c r="KVE16" s="289"/>
      <c r="KVF16" s="289"/>
      <c r="KVG16" s="289"/>
      <c r="KVH16" s="289"/>
      <c r="KVI16" s="289"/>
      <c r="KVJ16" s="289"/>
      <c r="KVK16" s="289"/>
      <c r="KVL16" s="289"/>
      <c r="KVM16" s="289"/>
      <c r="KVN16" s="289"/>
      <c r="KVO16" s="289"/>
      <c r="KVP16" s="289"/>
      <c r="KVQ16" s="289"/>
      <c r="KVR16" s="289"/>
      <c r="KVS16" s="289"/>
      <c r="KVT16" s="289"/>
      <c r="KVU16" s="289"/>
      <c r="KVV16" s="289"/>
      <c r="KVW16" s="289"/>
      <c r="KVX16" s="289"/>
      <c r="KVY16" s="289"/>
      <c r="KVZ16" s="289"/>
      <c r="KWA16" s="289"/>
      <c r="KWB16" s="289"/>
      <c r="KWC16" s="289"/>
      <c r="KWD16" s="289"/>
      <c r="KWE16" s="289"/>
      <c r="KWF16" s="289"/>
      <c r="KWG16" s="289"/>
      <c r="KWH16" s="289"/>
      <c r="KWI16" s="289"/>
      <c r="KWJ16" s="289"/>
      <c r="KWK16" s="289"/>
      <c r="KWL16" s="289"/>
      <c r="KWM16" s="289"/>
      <c r="KWN16" s="289"/>
      <c r="KWO16" s="289"/>
      <c r="KWP16" s="289"/>
      <c r="KWQ16" s="289"/>
      <c r="KWR16" s="289"/>
      <c r="KWS16" s="289"/>
      <c r="KWT16" s="289"/>
      <c r="KWU16" s="289"/>
      <c r="KWV16" s="289"/>
      <c r="KWW16" s="289"/>
      <c r="KWX16" s="289"/>
      <c r="KWY16" s="289"/>
      <c r="KWZ16" s="289"/>
      <c r="KXA16" s="289"/>
      <c r="KXB16" s="289"/>
      <c r="KXC16" s="289"/>
      <c r="KXD16" s="289"/>
      <c r="KXE16" s="289"/>
      <c r="KXF16" s="289"/>
      <c r="KXG16" s="289"/>
      <c r="KXH16" s="289"/>
      <c r="KXI16" s="289"/>
      <c r="KXJ16" s="289"/>
      <c r="KXK16" s="289"/>
      <c r="KXL16" s="289"/>
      <c r="KXM16" s="289"/>
      <c r="KXN16" s="289"/>
      <c r="KXO16" s="289"/>
      <c r="KXP16" s="289"/>
      <c r="KXQ16" s="289"/>
      <c r="KXR16" s="289"/>
      <c r="KXS16" s="289"/>
      <c r="KXT16" s="289"/>
      <c r="KXU16" s="289"/>
      <c r="KXV16" s="289"/>
      <c r="KXW16" s="289"/>
      <c r="KXX16" s="289"/>
      <c r="KXY16" s="289"/>
      <c r="KXZ16" s="289"/>
      <c r="KYA16" s="289"/>
      <c r="KYB16" s="289"/>
      <c r="KYC16" s="289"/>
      <c r="KYD16" s="289"/>
      <c r="KYE16" s="289"/>
      <c r="KYF16" s="289"/>
      <c r="KYG16" s="289"/>
      <c r="KYH16" s="289"/>
      <c r="KYI16" s="289"/>
      <c r="KYJ16" s="289"/>
      <c r="KYK16" s="289"/>
      <c r="KYL16" s="289"/>
      <c r="KYM16" s="289"/>
      <c r="KYN16" s="289"/>
      <c r="KYO16" s="289"/>
      <c r="KYP16" s="289"/>
      <c r="KYQ16" s="289"/>
      <c r="KYR16" s="289"/>
      <c r="KYS16" s="289"/>
      <c r="KYT16" s="289"/>
      <c r="KYU16" s="289"/>
      <c r="KYV16" s="289"/>
      <c r="KYW16" s="289"/>
      <c r="KYX16" s="289"/>
      <c r="KYY16" s="289"/>
      <c r="KYZ16" s="289"/>
      <c r="KZA16" s="289"/>
      <c r="KZB16" s="289"/>
      <c r="KZC16" s="289"/>
      <c r="KZD16" s="289"/>
      <c r="KZE16" s="289"/>
      <c r="KZF16" s="289"/>
      <c r="KZG16" s="289"/>
      <c r="KZH16" s="289"/>
      <c r="KZI16" s="289"/>
      <c r="KZJ16" s="289"/>
      <c r="KZK16" s="289"/>
      <c r="KZL16" s="289"/>
      <c r="KZM16" s="289"/>
      <c r="KZN16" s="289"/>
      <c r="KZO16" s="289"/>
      <c r="KZP16" s="289"/>
      <c r="KZQ16" s="289"/>
      <c r="KZR16" s="289"/>
      <c r="KZS16" s="289"/>
      <c r="KZT16" s="289"/>
      <c r="KZU16" s="289"/>
      <c r="KZV16" s="289"/>
      <c r="KZW16" s="289"/>
      <c r="KZX16" s="289"/>
      <c r="KZY16" s="289"/>
      <c r="KZZ16" s="289"/>
      <c r="LAA16" s="289"/>
      <c r="LAB16" s="289"/>
      <c r="LAC16" s="289"/>
      <c r="LAD16" s="289"/>
      <c r="LAE16" s="289"/>
      <c r="LAF16" s="289"/>
      <c r="LAG16" s="289"/>
      <c r="LAH16" s="289"/>
      <c r="LAI16" s="289"/>
      <c r="LAJ16" s="289"/>
      <c r="LAK16" s="289"/>
      <c r="LAL16" s="289"/>
      <c r="LAM16" s="289"/>
      <c r="LAN16" s="289"/>
      <c r="LAO16" s="289"/>
      <c r="LAP16" s="289"/>
      <c r="LAQ16" s="289"/>
      <c r="LAR16" s="289"/>
      <c r="LAS16" s="289"/>
      <c r="LAT16" s="289"/>
      <c r="LAU16" s="289"/>
      <c r="LAV16" s="289"/>
      <c r="LAW16" s="289"/>
      <c r="LAX16" s="289"/>
      <c r="LAY16" s="289"/>
      <c r="LAZ16" s="289"/>
      <c r="LBA16" s="289"/>
      <c r="LBB16" s="289"/>
      <c r="LBC16" s="289"/>
      <c r="LBD16" s="289"/>
      <c r="LBE16" s="289"/>
      <c r="LBF16" s="289"/>
      <c r="LBG16" s="289"/>
      <c r="LBH16" s="289"/>
      <c r="LBI16" s="289"/>
      <c r="LBJ16" s="289"/>
      <c r="LBK16" s="289"/>
      <c r="LBL16" s="289"/>
      <c r="LBM16" s="289"/>
      <c r="LBN16" s="289"/>
      <c r="LBO16" s="289"/>
      <c r="LBP16" s="289"/>
      <c r="LBQ16" s="289"/>
      <c r="LBR16" s="289"/>
      <c r="LBS16" s="289"/>
      <c r="LBT16" s="289"/>
      <c r="LBU16" s="289"/>
      <c r="LBV16" s="289"/>
      <c r="LBW16" s="289"/>
      <c r="LBX16" s="289"/>
      <c r="LBY16" s="289"/>
      <c r="LBZ16" s="289"/>
      <c r="LCA16" s="289"/>
      <c r="LCB16" s="289"/>
      <c r="LCC16" s="289"/>
      <c r="LCD16" s="289"/>
      <c r="LCE16" s="289"/>
      <c r="LCF16" s="289"/>
      <c r="LCG16" s="289"/>
      <c r="LCH16" s="289"/>
      <c r="LCI16" s="289"/>
      <c r="LCJ16" s="289"/>
      <c r="LCK16" s="289"/>
      <c r="LCL16" s="289"/>
      <c r="LCM16" s="289"/>
      <c r="LCN16" s="289"/>
      <c r="LCO16" s="289"/>
      <c r="LCP16" s="289"/>
      <c r="LCQ16" s="289"/>
      <c r="LCR16" s="289"/>
      <c r="LCS16" s="289"/>
      <c r="LCT16" s="289"/>
      <c r="LCU16" s="289"/>
      <c r="LCV16" s="289"/>
      <c r="LCW16" s="289"/>
      <c r="LCX16" s="289"/>
      <c r="LCY16" s="289"/>
      <c r="LCZ16" s="289"/>
      <c r="LDA16" s="289"/>
      <c r="LDB16" s="289"/>
      <c r="LDC16" s="289"/>
      <c r="LDD16" s="289"/>
      <c r="LDE16" s="289"/>
      <c r="LDF16" s="289"/>
      <c r="LDG16" s="289"/>
      <c r="LDH16" s="289"/>
      <c r="LDI16" s="289"/>
      <c r="LDJ16" s="289"/>
      <c r="LDK16" s="289"/>
      <c r="LDL16" s="289"/>
      <c r="LDM16" s="289"/>
      <c r="LDN16" s="289"/>
      <c r="LDO16" s="289"/>
      <c r="LDP16" s="289"/>
      <c r="LDQ16" s="289"/>
      <c r="LDR16" s="289"/>
      <c r="LDS16" s="289"/>
      <c r="LDT16" s="289"/>
      <c r="LDU16" s="289"/>
      <c r="LDV16" s="289"/>
      <c r="LDW16" s="289"/>
      <c r="LDX16" s="289"/>
      <c r="LDY16" s="289"/>
      <c r="LDZ16" s="289"/>
      <c r="LEA16" s="289"/>
      <c r="LEB16" s="289"/>
      <c r="LEC16" s="289"/>
      <c r="LED16" s="289"/>
      <c r="LEE16" s="289"/>
      <c r="LEF16" s="289"/>
      <c r="LEG16" s="289"/>
      <c r="LEH16" s="289"/>
      <c r="LEI16" s="289"/>
      <c r="LEJ16" s="289"/>
      <c r="LEK16" s="289"/>
      <c r="LEL16" s="289"/>
      <c r="LEM16" s="289"/>
      <c r="LEN16" s="289"/>
      <c r="LEO16" s="289"/>
      <c r="LEP16" s="289"/>
      <c r="LEQ16" s="289"/>
      <c r="LER16" s="289"/>
      <c r="LES16" s="289"/>
      <c r="LET16" s="289"/>
      <c r="LEU16" s="289"/>
      <c r="LEV16" s="289"/>
      <c r="LEW16" s="289"/>
      <c r="LEX16" s="289"/>
      <c r="LEY16" s="289"/>
      <c r="LEZ16" s="289"/>
      <c r="LFA16" s="289"/>
      <c r="LFB16" s="289"/>
      <c r="LFC16" s="289"/>
      <c r="LFD16" s="289"/>
      <c r="LFE16" s="289"/>
      <c r="LFF16" s="289"/>
      <c r="LFG16" s="289"/>
      <c r="LFH16" s="289"/>
      <c r="LFI16" s="289"/>
      <c r="LFJ16" s="289"/>
      <c r="LFK16" s="289"/>
      <c r="LFL16" s="289"/>
      <c r="LFM16" s="289"/>
      <c r="LFN16" s="289"/>
      <c r="LFO16" s="289"/>
      <c r="LFP16" s="289"/>
      <c r="LFQ16" s="289"/>
      <c r="LFR16" s="289"/>
      <c r="LFS16" s="289"/>
      <c r="LFT16" s="289"/>
      <c r="LFU16" s="289"/>
      <c r="LFV16" s="289"/>
      <c r="LFW16" s="289"/>
      <c r="LFX16" s="289"/>
      <c r="LFY16" s="289"/>
      <c r="LFZ16" s="289"/>
      <c r="LGA16" s="289"/>
      <c r="LGB16" s="289"/>
      <c r="LGC16" s="289"/>
      <c r="LGD16" s="289"/>
      <c r="LGE16" s="289"/>
      <c r="LGF16" s="289"/>
      <c r="LGG16" s="289"/>
      <c r="LGH16" s="289"/>
      <c r="LGI16" s="289"/>
      <c r="LGJ16" s="289"/>
      <c r="LGK16" s="289"/>
      <c r="LGL16" s="289"/>
      <c r="LGM16" s="289"/>
      <c r="LGN16" s="289"/>
      <c r="LGO16" s="289"/>
      <c r="LGP16" s="289"/>
      <c r="LGQ16" s="289"/>
      <c r="LGR16" s="289"/>
      <c r="LGS16" s="289"/>
      <c r="LGT16" s="289"/>
      <c r="LGU16" s="289"/>
      <c r="LGV16" s="289"/>
      <c r="LGW16" s="289"/>
      <c r="LGX16" s="289"/>
      <c r="LGY16" s="289"/>
      <c r="LGZ16" s="289"/>
      <c r="LHA16" s="289"/>
      <c r="LHB16" s="289"/>
      <c r="LHC16" s="289"/>
      <c r="LHD16" s="289"/>
      <c r="LHE16" s="289"/>
      <c r="LHF16" s="289"/>
      <c r="LHG16" s="289"/>
      <c r="LHH16" s="289"/>
      <c r="LHI16" s="289"/>
      <c r="LHJ16" s="289"/>
      <c r="LHK16" s="289"/>
      <c r="LHL16" s="289"/>
      <c r="LHM16" s="289"/>
      <c r="LHN16" s="289"/>
      <c r="LHO16" s="289"/>
      <c r="LHP16" s="289"/>
      <c r="LHQ16" s="289"/>
      <c r="LHR16" s="289"/>
      <c r="LHS16" s="289"/>
      <c r="LHT16" s="289"/>
      <c r="LHU16" s="289"/>
      <c r="LHV16" s="289"/>
      <c r="LHW16" s="289"/>
      <c r="LHX16" s="289"/>
      <c r="LHY16" s="289"/>
      <c r="LHZ16" s="289"/>
      <c r="LIA16" s="289"/>
      <c r="LIB16" s="289"/>
      <c r="LIC16" s="289"/>
      <c r="LID16" s="289"/>
      <c r="LIE16" s="289"/>
      <c r="LIF16" s="289"/>
      <c r="LIG16" s="289"/>
      <c r="LIH16" s="289"/>
      <c r="LII16" s="289"/>
      <c r="LIJ16" s="289"/>
      <c r="LIK16" s="289"/>
      <c r="LIL16" s="289"/>
      <c r="LIM16" s="289"/>
      <c r="LIN16" s="289"/>
      <c r="LIO16" s="289"/>
      <c r="LIP16" s="289"/>
      <c r="LIQ16" s="289"/>
      <c r="LIR16" s="289"/>
      <c r="LIS16" s="289"/>
      <c r="LIT16" s="289"/>
      <c r="LIU16" s="289"/>
      <c r="LIV16" s="289"/>
      <c r="LIW16" s="289"/>
      <c r="LIX16" s="289"/>
      <c r="LIY16" s="289"/>
      <c r="LIZ16" s="289"/>
      <c r="LJA16" s="289"/>
      <c r="LJB16" s="289"/>
      <c r="LJC16" s="289"/>
      <c r="LJD16" s="289"/>
      <c r="LJE16" s="289"/>
      <c r="LJF16" s="289"/>
      <c r="LJG16" s="289"/>
      <c r="LJH16" s="289"/>
      <c r="LJI16" s="289"/>
      <c r="LJJ16" s="289"/>
      <c r="LJK16" s="289"/>
      <c r="LJL16" s="289"/>
      <c r="LJM16" s="289"/>
      <c r="LJN16" s="289"/>
      <c r="LJO16" s="289"/>
      <c r="LJP16" s="289"/>
      <c r="LJQ16" s="289"/>
      <c r="LJR16" s="289"/>
      <c r="LJS16" s="289"/>
      <c r="LJT16" s="289"/>
      <c r="LJU16" s="289"/>
      <c r="LJV16" s="289"/>
      <c r="LJW16" s="289"/>
      <c r="LJX16" s="289"/>
      <c r="LJY16" s="289"/>
      <c r="LJZ16" s="289"/>
      <c r="LKA16" s="289"/>
      <c r="LKB16" s="289"/>
      <c r="LKC16" s="289"/>
      <c r="LKD16" s="289"/>
      <c r="LKE16" s="289"/>
      <c r="LKF16" s="289"/>
      <c r="LKG16" s="289"/>
      <c r="LKH16" s="289"/>
      <c r="LKI16" s="289"/>
      <c r="LKJ16" s="289"/>
      <c r="LKK16" s="289"/>
      <c r="LKL16" s="289"/>
      <c r="LKM16" s="289"/>
      <c r="LKN16" s="289"/>
      <c r="LKO16" s="289"/>
      <c r="LKP16" s="289"/>
      <c r="LKQ16" s="289"/>
      <c r="LKR16" s="289"/>
      <c r="LKS16" s="289"/>
      <c r="LKT16" s="289"/>
      <c r="LKU16" s="289"/>
      <c r="LKV16" s="289"/>
      <c r="LKW16" s="289"/>
      <c r="LKX16" s="289"/>
      <c r="LKY16" s="289"/>
      <c r="LKZ16" s="289"/>
      <c r="LLA16" s="289"/>
      <c r="LLB16" s="289"/>
      <c r="LLC16" s="289"/>
      <c r="LLD16" s="289"/>
      <c r="LLE16" s="289"/>
      <c r="LLF16" s="289"/>
      <c r="LLG16" s="289"/>
      <c r="LLH16" s="289"/>
      <c r="LLI16" s="289"/>
      <c r="LLJ16" s="289"/>
      <c r="LLK16" s="289"/>
      <c r="LLL16" s="289"/>
      <c r="LLM16" s="289"/>
      <c r="LLN16" s="289"/>
      <c r="LLO16" s="289"/>
      <c r="LLP16" s="289"/>
      <c r="LLQ16" s="289"/>
      <c r="LLR16" s="289"/>
      <c r="LLS16" s="289"/>
      <c r="LLT16" s="289"/>
      <c r="LLU16" s="289"/>
      <c r="LLV16" s="289"/>
      <c r="LLW16" s="289"/>
      <c r="LLX16" s="289"/>
      <c r="LLY16" s="289"/>
      <c r="LLZ16" s="289"/>
      <c r="LMA16" s="289"/>
      <c r="LMB16" s="289"/>
      <c r="LMC16" s="289"/>
      <c r="LMD16" s="289"/>
      <c r="LME16" s="289"/>
      <c r="LMF16" s="289"/>
      <c r="LMG16" s="289"/>
      <c r="LMH16" s="289"/>
      <c r="LMI16" s="289"/>
      <c r="LMJ16" s="289"/>
      <c r="LMK16" s="289"/>
      <c r="LML16" s="289"/>
      <c r="LMM16" s="289"/>
      <c r="LMN16" s="289"/>
      <c r="LMO16" s="289"/>
      <c r="LMP16" s="289"/>
      <c r="LMQ16" s="289"/>
      <c r="LMR16" s="289"/>
      <c r="LMS16" s="289"/>
      <c r="LMT16" s="289"/>
      <c r="LMU16" s="289"/>
      <c r="LMV16" s="289"/>
      <c r="LMW16" s="289"/>
      <c r="LMX16" s="289"/>
      <c r="LMY16" s="289"/>
      <c r="LMZ16" s="289"/>
      <c r="LNA16" s="289"/>
      <c r="LNB16" s="289"/>
      <c r="LNC16" s="289"/>
      <c r="LND16" s="289"/>
      <c r="LNE16" s="289"/>
      <c r="LNF16" s="289"/>
      <c r="LNG16" s="289"/>
      <c r="LNH16" s="289"/>
      <c r="LNI16" s="289"/>
      <c r="LNJ16" s="289"/>
      <c r="LNK16" s="289"/>
      <c r="LNL16" s="289"/>
      <c r="LNM16" s="289"/>
      <c r="LNN16" s="289"/>
      <c r="LNO16" s="289"/>
      <c r="LNP16" s="289"/>
      <c r="LNQ16" s="289"/>
      <c r="LNR16" s="289"/>
      <c r="LNS16" s="289"/>
      <c r="LNT16" s="289"/>
      <c r="LNU16" s="289"/>
      <c r="LNV16" s="289"/>
      <c r="LNW16" s="289"/>
      <c r="LNX16" s="289"/>
      <c r="LNY16" s="289"/>
      <c r="LNZ16" s="289"/>
      <c r="LOA16" s="289"/>
      <c r="LOB16" s="289"/>
      <c r="LOC16" s="289"/>
      <c r="LOD16" s="289"/>
      <c r="LOE16" s="289"/>
      <c r="LOF16" s="289"/>
      <c r="LOG16" s="289"/>
      <c r="LOH16" s="289"/>
      <c r="LOI16" s="289"/>
      <c r="LOJ16" s="289"/>
      <c r="LOK16" s="289"/>
      <c r="LOL16" s="289"/>
      <c r="LOM16" s="289"/>
      <c r="LON16" s="289"/>
      <c r="LOO16" s="289"/>
      <c r="LOP16" s="289"/>
      <c r="LOQ16" s="289"/>
      <c r="LOR16" s="289"/>
      <c r="LOS16" s="289"/>
      <c r="LOT16" s="289"/>
      <c r="LOU16" s="289"/>
      <c r="LOV16" s="289"/>
      <c r="LOW16" s="289"/>
      <c r="LOX16" s="289"/>
      <c r="LOY16" s="289"/>
      <c r="LOZ16" s="289"/>
      <c r="LPA16" s="289"/>
      <c r="LPB16" s="289"/>
      <c r="LPC16" s="289"/>
      <c r="LPD16" s="289"/>
      <c r="LPE16" s="289"/>
      <c r="LPF16" s="289"/>
      <c r="LPG16" s="289"/>
      <c r="LPH16" s="289"/>
      <c r="LPI16" s="289"/>
      <c r="LPJ16" s="289"/>
      <c r="LPK16" s="289"/>
      <c r="LPL16" s="289"/>
      <c r="LPM16" s="289"/>
      <c r="LPN16" s="289"/>
      <c r="LPO16" s="289"/>
      <c r="LPP16" s="289"/>
      <c r="LPQ16" s="289"/>
      <c r="LPR16" s="289"/>
      <c r="LPS16" s="289"/>
      <c r="LPT16" s="289"/>
      <c r="LPU16" s="289"/>
      <c r="LPV16" s="289"/>
      <c r="LPW16" s="289"/>
      <c r="LPX16" s="289"/>
      <c r="LPY16" s="289"/>
      <c r="LPZ16" s="289"/>
      <c r="LQA16" s="289"/>
      <c r="LQB16" s="289"/>
      <c r="LQC16" s="289"/>
      <c r="LQD16" s="289"/>
      <c r="LQE16" s="289"/>
      <c r="LQF16" s="289"/>
      <c r="LQG16" s="289"/>
      <c r="LQH16" s="289"/>
      <c r="LQI16" s="289"/>
      <c r="LQJ16" s="289"/>
      <c r="LQK16" s="289"/>
      <c r="LQL16" s="289"/>
      <c r="LQM16" s="289"/>
      <c r="LQN16" s="289"/>
      <c r="LQO16" s="289"/>
      <c r="LQP16" s="289"/>
      <c r="LQQ16" s="289"/>
      <c r="LQR16" s="289"/>
      <c r="LQS16" s="289"/>
      <c r="LQT16" s="289"/>
      <c r="LQU16" s="289"/>
      <c r="LQV16" s="289"/>
      <c r="LQW16" s="289"/>
      <c r="LQX16" s="289"/>
      <c r="LQY16" s="289"/>
      <c r="LQZ16" s="289"/>
      <c r="LRA16" s="289"/>
      <c r="LRB16" s="289"/>
      <c r="LRC16" s="289"/>
      <c r="LRD16" s="289"/>
      <c r="LRE16" s="289"/>
      <c r="LRF16" s="289"/>
      <c r="LRG16" s="289"/>
      <c r="LRH16" s="289"/>
      <c r="LRI16" s="289"/>
      <c r="LRJ16" s="289"/>
      <c r="LRK16" s="289"/>
      <c r="LRL16" s="289"/>
      <c r="LRM16" s="289"/>
      <c r="LRN16" s="289"/>
      <c r="LRO16" s="289"/>
      <c r="LRP16" s="289"/>
      <c r="LRQ16" s="289"/>
      <c r="LRR16" s="289"/>
      <c r="LRS16" s="289"/>
      <c r="LRT16" s="289"/>
      <c r="LRU16" s="289"/>
      <c r="LRV16" s="289"/>
      <c r="LRW16" s="289"/>
      <c r="LRX16" s="289"/>
      <c r="LRY16" s="289"/>
      <c r="LRZ16" s="289"/>
      <c r="LSA16" s="289"/>
      <c r="LSB16" s="289"/>
      <c r="LSC16" s="289"/>
      <c r="LSD16" s="289"/>
      <c r="LSE16" s="289"/>
      <c r="LSF16" s="289"/>
      <c r="LSG16" s="289"/>
      <c r="LSH16" s="289"/>
      <c r="LSI16" s="289"/>
      <c r="LSJ16" s="289"/>
      <c r="LSK16" s="289"/>
      <c r="LSL16" s="289"/>
      <c r="LSM16" s="289"/>
      <c r="LSN16" s="289"/>
      <c r="LSO16" s="289"/>
      <c r="LSP16" s="289"/>
      <c r="LSQ16" s="289"/>
      <c r="LSR16" s="289"/>
      <c r="LSS16" s="289"/>
      <c r="LST16" s="289"/>
      <c r="LSU16" s="289"/>
      <c r="LSV16" s="289"/>
      <c r="LSW16" s="289"/>
      <c r="LSX16" s="289"/>
      <c r="LSY16" s="289"/>
      <c r="LSZ16" s="289"/>
      <c r="LTA16" s="289"/>
      <c r="LTB16" s="289"/>
      <c r="LTC16" s="289"/>
      <c r="LTD16" s="289"/>
      <c r="LTE16" s="289"/>
      <c r="LTF16" s="289"/>
      <c r="LTG16" s="289"/>
      <c r="LTH16" s="289"/>
      <c r="LTI16" s="289"/>
      <c r="LTJ16" s="289"/>
      <c r="LTK16" s="289"/>
      <c r="LTL16" s="289"/>
      <c r="LTM16" s="289"/>
      <c r="LTN16" s="289"/>
      <c r="LTO16" s="289"/>
      <c r="LTP16" s="289"/>
      <c r="LTQ16" s="289"/>
      <c r="LTR16" s="289"/>
      <c r="LTS16" s="289"/>
      <c r="LTT16" s="289"/>
      <c r="LTU16" s="289"/>
      <c r="LTV16" s="289"/>
      <c r="LTW16" s="289"/>
      <c r="LTX16" s="289"/>
      <c r="LTY16" s="289"/>
      <c r="LTZ16" s="289"/>
      <c r="LUA16" s="289"/>
      <c r="LUB16" s="289"/>
      <c r="LUC16" s="289"/>
      <c r="LUD16" s="289"/>
      <c r="LUE16" s="289"/>
      <c r="LUF16" s="289"/>
      <c r="LUG16" s="289"/>
      <c r="LUH16" s="289"/>
      <c r="LUI16" s="289"/>
      <c r="LUJ16" s="289"/>
      <c r="LUK16" s="289"/>
      <c r="LUL16" s="289"/>
      <c r="LUM16" s="289"/>
      <c r="LUN16" s="289"/>
      <c r="LUO16" s="289"/>
      <c r="LUP16" s="289"/>
      <c r="LUQ16" s="289"/>
      <c r="LUR16" s="289"/>
      <c r="LUS16" s="289"/>
      <c r="LUT16" s="289"/>
      <c r="LUU16" s="289"/>
      <c r="LUV16" s="289"/>
      <c r="LUW16" s="289"/>
      <c r="LUX16" s="289"/>
      <c r="LUY16" s="289"/>
      <c r="LUZ16" s="289"/>
      <c r="LVA16" s="289"/>
      <c r="LVB16" s="289"/>
      <c r="LVC16" s="289"/>
      <c r="LVD16" s="289"/>
      <c r="LVE16" s="289"/>
      <c r="LVF16" s="289"/>
      <c r="LVG16" s="289"/>
      <c r="LVH16" s="289"/>
      <c r="LVI16" s="289"/>
      <c r="LVJ16" s="289"/>
      <c r="LVK16" s="289"/>
      <c r="LVL16" s="289"/>
      <c r="LVM16" s="289"/>
      <c r="LVN16" s="289"/>
      <c r="LVO16" s="289"/>
      <c r="LVP16" s="289"/>
      <c r="LVQ16" s="289"/>
      <c r="LVR16" s="289"/>
      <c r="LVS16" s="289"/>
      <c r="LVT16" s="289"/>
      <c r="LVU16" s="289"/>
      <c r="LVV16" s="289"/>
      <c r="LVW16" s="289"/>
      <c r="LVX16" s="289"/>
      <c r="LVY16" s="289"/>
      <c r="LVZ16" s="289"/>
      <c r="LWA16" s="289"/>
      <c r="LWB16" s="289"/>
      <c r="LWC16" s="289"/>
      <c r="LWD16" s="289"/>
      <c r="LWE16" s="289"/>
      <c r="LWF16" s="289"/>
      <c r="LWG16" s="289"/>
      <c r="LWH16" s="289"/>
      <c r="LWI16" s="289"/>
      <c r="LWJ16" s="289"/>
      <c r="LWK16" s="289"/>
      <c r="LWL16" s="289"/>
      <c r="LWM16" s="289"/>
      <c r="LWN16" s="289"/>
      <c r="LWO16" s="289"/>
      <c r="LWP16" s="289"/>
      <c r="LWQ16" s="289"/>
      <c r="LWR16" s="289"/>
      <c r="LWS16" s="289"/>
      <c r="LWT16" s="289"/>
      <c r="LWU16" s="289"/>
      <c r="LWV16" s="289"/>
      <c r="LWW16" s="289"/>
      <c r="LWX16" s="289"/>
      <c r="LWY16" s="289"/>
      <c r="LWZ16" s="289"/>
      <c r="LXA16" s="289"/>
      <c r="LXB16" s="289"/>
      <c r="LXC16" s="289"/>
      <c r="LXD16" s="289"/>
      <c r="LXE16" s="289"/>
      <c r="LXF16" s="289"/>
      <c r="LXG16" s="289"/>
      <c r="LXH16" s="289"/>
      <c r="LXI16" s="289"/>
      <c r="LXJ16" s="289"/>
      <c r="LXK16" s="289"/>
      <c r="LXL16" s="289"/>
      <c r="LXM16" s="289"/>
      <c r="LXN16" s="289"/>
      <c r="LXO16" s="289"/>
      <c r="LXP16" s="289"/>
      <c r="LXQ16" s="289"/>
      <c r="LXR16" s="289"/>
      <c r="LXS16" s="289"/>
      <c r="LXT16" s="289"/>
      <c r="LXU16" s="289"/>
      <c r="LXV16" s="289"/>
      <c r="LXW16" s="289"/>
      <c r="LXX16" s="289"/>
      <c r="LXY16" s="289"/>
      <c r="LXZ16" s="289"/>
      <c r="LYA16" s="289"/>
      <c r="LYB16" s="289"/>
      <c r="LYC16" s="289"/>
      <c r="LYD16" s="289"/>
      <c r="LYE16" s="289"/>
      <c r="LYF16" s="289"/>
      <c r="LYG16" s="289"/>
      <c r="LYH16" s="289"/>
      <c r="LYI16" s="289"/>
      <c r="LYJ16" s="289"/>
      <c r="LYK16" s="289"/>
      <c r="LYL16" s="289"/>
      <c r="LYM16" s="289"/>
      <c r="LYN16" s="289"/>
      <c r="LYO16" s="289"/>
      <c r="LYP16" s="289"/>
      <c r="LYQ16" s="289"/>
      <c r="LYR16" s="289"/>
      <c r="LYS16" s="289"/>
      <c r="LYT16" s="289"/>
      <c r="LYU16" s="289"/>
      <c r="LYV16" s="289"/>
      <c r="LYW16" s="289"/>
      <c r="LYX16" s="289"/>
      <c r="LYY16" s="289"/>
      <c r="LYZ16" s="289"/>
      <c r="LZA16" s="289"/>
      <c r="LZB16" s="289"/>
      <c r="LZC16" s="289"/>
      <c r="LZD16" s="289"/>
      <c r="LZE16" s="289"/>
      <c r="LZF16" s="289"/>
      <c r="LZG16" s="289"/>
      <c r="LZH16" s="289"/>
      <c r="LZI16" s="289"/>
      <c r="LZJ16" s="289"/>
      <c r="LZK16" s="289"/>
      <c r="LZL16" s="289"/>
      <c r="LZM16" s="289"/>
      <c r="LZN16" s="289"/>
      <c r="LZO16" s="289"/>
      <c r="LZP16" s="289"/>
      <c r="LZQ16" s="289"/>
      <c r="LZR16" s="289"/>
      <c r="LZS16" s="289"/>
      <c r="LZT16" s="289"/>
      <c r="LZU16" s="289"/>
      <c r="LZV16" s="289"/>
      <c r="LZW16" s="289"/>
      <c r="LZX16" s="289"/>
      <c r="LZY16" s="289"/>
      <c r="LZZ16" s="289"/>
      <c r="MAA16" s="289"/>
      <c r="MAB16" s="289"/>
      <c r="MAC16" s="289"/>
      <c r="MAD16" s="289"/>
      <c r="MAE16" s="289"/>
      <c r="MAF16" s="289"/>
      <c r="MAG16" s="289"/>
      <c r="MAH16" s="289"/>
      <c r="MAI16" s="289"/>
      <c r="MAJ16" s="289"/>
      <c r="MAK16" s="289"/>
      <c r="MAL16" s="289"/>
      <c r="MAM16" s="289"/>
      <c r="MAN16" s="289"/>
      <c r="MAO16" s="289"/>
      <c r="MAP16" s="289"/>
      <c r="MAQ16" s="289"/>
      <c r="MAR16" s="289"/>
      <c r="MAS16" s="289"/>
      <c r="MAT16" s="289"/>
      <c r="MAU16" s="289"/>
      <c r="MAV16" s="289"/>
      <c r="MAW16" s="289"/>
      <c r="MAX16" s="289"/>
      <c r="MAY16" s="289"/>
      <c r="MAZ16" s="289"/>
      <c r="MBA16" s="289"/>
      <c r="MBB16" s="289"/>
      <c r="MBC16" s="289"/>
      <c r="MBD16" s="289"/>
      <c r="MBE16" s="289"/>
      <c r="MBF16" s="289"/>
      <c r="MBG16" s="289"/>
      <c r="MBH16" s="289"/>
      <c r="MBI16" s="289"/>
      <c r="MBJ16" s="289"/>
      <c r="MBK16" s="289"/>
      <c r="MBL16" s="289"/>
      <c r="MBM16" s="289"/>
      <c r="MBN16" s="289"/>
      <c r="MBO16" s="289"/>
      <c r="MBP16" s="289"/>
      <c r="MBQ16" s="289"/>
      <c r="MBR16" s="289"/>
      <c r="MBS16" s="289"/>
      <c r="MBT16" s="289"/>
      <c r="MBU16" s="289"/>
      <c r="MBV16" s="289"/>
      <c r="MBW16" s="289"/>
      <c r="MBX16" s="289"/>
      <c r="MBY16" s="289"/>
      <c r="MBZ16" s="289"/>
      <c r="MCA16" s="289"/>
      <c r="MCB16" s="289"/>
      <c r="MCC16" s="289"/>
      <c r="MCD16" s="289"/>
      <c r="MCE16" s="289"/>
      <c r="MCF16" s="289"/>
      <c r="MCG16" s="289"/>
      <c r="MCH16" s="289"/>
      <c r="MCI16" s="289"/>
      <c r="MCJ16" s="289"/>
      <c r="MCK16" s="289"/>
      <c r="MCL16" s="289"/>
      <c r="MCM16" s="289"/>
      <c r="MCN16" s="289"/>
      <c r="MCO16" s="289"/>
      <c r="MCP16" s="289"/>
      <c r="MCQ16" s="289"/>
      <c r="MCR16" s="289"/>
      <c r="MCS16" s="289"/>
      <c r="MCT16" s="289"/>
      <c r="MCU16" s="289"/>
      <c r="MCV16" s="289"/>
      <c r="MCW16" s="289"/>
      <c r="MCX16" s="289"/>
      <c r="MCY16" s="289"/>
      <c r="MCZ16" s="289"/>
      <c r="MDA16" s="289"/>
      <c r="MDB16" s="289"/>
      <c r="MDC16" s="289"/>
      <c r="MDD16" s="289"/>
      <c r="MDE16" s="289"/>
      <c r="MDF16" s="289"/>
      <c r="MDG16" s="289"/>
      <c r="MDH16" s="289"/>
      <c r="MDI16" s="289"/>
      <c r="MDJ16" s="289"/>
      <c r="MDK16" s="289"/>
      <c r="MDL16" s="289"/>
      <c r="MDM16" s="289"/>
      <c r="MDN16" s="289"/>
      <c r="MDO16" s="289"/>
      <c r="MDP16" s="289"/>
      <c r="MDQ16" s="289"/>
      <c r="MDR16" s="289"/>
      <c r="MDS16" s="289"/>
      <c r="MDT16" s="289"/>
      <c r="MDU16" s="289"/>
      <c r="MDV16" s="289"/>
      <c r="MDW16" s="289"/>
      <c r="MDX16" s="289"/>
      <c r="MDY16" s="289"/>
      <c r="MDZ16" s="289"/>
      <c r="MEA16" s="289"/>
      <c r="MEB16" s="289"/>
      <c r="MEC16" s="289"/>
      <c r="MED16" s="289"/>
      <c r="MEE16" s="289"/>
      <c r="MEF16" s="289"/>
      <c r="MEG16" s="289"/>
      <c r="MEH16" s="289"/>
      <c r="MEI16" s="289"/>
      <c r="MEJ16" s="289"/>
      <c r="MEK16" s="289"/>
      <c r="MEL16" s="289"/>
      <c r="MEM16" s="289"/>
      <c r="MEN16" s="289"/>
      <c r="MEO16" s="289"/>
      <c r="MEP16" s="289"/>
      <c r="MEQ16" s="289"/>
      <c r="MER16" s="289"/>
      <c r="MES16" s="289"/>
      <c r="MET16" s="289"/>
      <c r="MEU16" s="289"/>
      <c r="MEV16" s="289"/>
      <c r="MEW16" s="289"/>
      <c r="MEX16" s="289"/>
      <c r="MEY16" s="289"/>
      <c r="MEZ16" s="289"/>
      <c r="MFA16" s="289"/>
      <c r="MFB16" s="289"/>
      <c r="MFC16" s="289"/>
      <c r="MFD16" s="289"/>
      <c r="MFE16" s="289"/>
      <c r="MFF16" s="289"/>
      <c r="MFG16" s="289"/>
      <c r="MFH16" s="289"/>
      <c r="MFI16" s="289"/>
      <c r="MFJ16" s="289"/>
      <c r="MFK16" s="289"/>
      <c r="MFL16" s="289"/>
      <c r="MFM16" s="289"/>
      <c r="MFN16" s="289"/>
      <c r="MFO16" s="289"/>
      <c r="MFP16" s="289"/>
      <c r="MFQ16" s="289"/>
      <c r="MFR16" s="289"/>
      <c r="MFS16" s="289"/>
      <c r="MFT16" s="289"/>
      <c r="MFU16" s="289"/>
      <c r="MFV16" s="289"/>
      <c r="MFW16" s="289"/>
      <c r="MFX16" s="289"/>
      <c r="MFY16" s="289"/>
      <c r="MFZ16" s="289"/>
      <c r="MGA16" s="289"/>
      <c r="MGB16" s="289"/>
      <c r="MGC16" s="289"/>
      <c r="MGD16" s="289"/>
      <c r="MGE16" s="289"/>
      <c r="MGF16" s="289"/>
      <c r="MGG16" s="289"/>
      <c r="MGH16" s="289"/>
      <c r="MGI16" s="289"/>
      <c r="MGJ16" s="289"/>
      <c r="MGK16" s="289"/>
      <c r="MGL16" s="289"/>
      <c r="MGM16" s="289"/>
      <c r="MGN16" s="289"/>
      <c r="MGO16" s="289"/>
      <c r="MGP16" s="289"/>
      <c r="MGQ16" s="289"/>
      <c r="MGR16" s="289"/>
      <c r="MGS16" s="289"/>
      <c r="MGT16" s="289"/>
      <c r="MGU16" s="289"/>
      <c r="MGV16" s="289"/>
      <c r="MGW16" s="289"/>
      <c r="MGX16" s="289"/>
      <c r="MGY16" s="289"/>
      <c r="MGZ16" s="289"/>
      <c r="MHA16" s="289"/>
      <c r="MHB16" s="289"/>
      <c r="MHC16" s="289"/>
      <c r="MHD16" s="289"/>
      <c r="MHE16" s="289"/>
      <c r="MHF16" s="289"/>
      <c r="MHG16" s="289"/>
      <c r="MHH16" s="289"/>
      <c r="MHI16" s="289"/>
      <c r="MHJ16" s="289"/>
      <c r="MHK16" s="289"/>
      <c r="MHL16" s="289"/>
      <c r="MHM16" s="289"/>
      <c r="MHN16" s="289"/>
      <c r="MHO16" s="289"/>
      <c r="MHP16" s="289"/>
      <c r="MHQ16" s="289"/>
      <c r="MHR16" s="289"/>
      <c r="MHS16" s="289"/>
      <c r="MHT16" s="289"/>
      <c r="MHU16" s="289"/>
      <c r="MHV16" s="289"/>
      <c r="MHW16" s="289"/>
      <c r="MHX16" s="289"/>
      <c r="MHY16" s="289"/>
      <c r="MHZ16" s="289"/>
      <c r="MIA16" s="289"/>
      <c r="MIB16" s="289"/>
      <c r="MIC16" s="289"/>
      <c r="MID16" s="289"/>
      <c r="MIE16" s="289"/>
      <c r="MIF16" s="289"/>
      <c r="MIG16" s="289"/>
      <c r="MIH16" s="289"/>
      <c r="MII16" s="289"/>
      <c r="MIJ16" s="289"/>
      <c r="MIK16" s="289"/>
      <c r="MIL16" s="289"/>
      <c r="MIM16" s="289"/>
      <c r="MIN16" s="289"/>
      <c r="MIO16" s="289"/>
      <c r="MIP16" s="289"/>
      <c r="MIQ16" s="289"/>
      <c r="MIR16" s="289"/>
      <c r="MIS16" s="289"/>
      <c r="MIT16" s="289"/>
      <c r="MIU16" s="289"/>
      <c r="MIV16" s="289"/>
      <c r="MIW16" s="289"/>
      <c r="MIX16" s="289"/>
      <c r="MIY16" s="289"/>
      <c r="MIZ16" s="289"/>
      <c r="MJA16" s="289"/>
      <c r="MJB16" s="289"/>
      <c r="MJC16" s="289"/>
      <c r="MJD16" s="289"/>
      <c r="MJE16" s="289"/>
      <c r="MJF16" s="289"/>
      <c r="MJG16" s="289"/>
      <c r="MJH16" s="289"/>
      <c r="MJI16" s="289"/>
      <c r="MJJ16" s="289"/>
      <c r="MJK16" s="289"/>
      <c r="MJL16" s="289"/>
      <c r="MJM16" s="289"/>
      <c r="MJN16" s="289"/>
      <c r="MJO16" s="289"/>
      <c r="MJP16" s="289"/>
      <c r="MJQ16" s="289"/>
      <c r="MJR16" s="289"/>
      <c r="MJS16" s="289"/>
      <c r="MJT16" s="289"/>
      <c r="MJU16" s="289"/>
      <c r="MJV16" s="289"/>
      <c r="MJW16" s="289"/>
      <c r="MJX16" s="289"/>
      <c r="MJY16" s="289"/>
      <c r="MJZ16" s="289"/>
      <c r="MKA16" s="289"/>
      <c r="MKB16" s="289"/>
      <c r="MKC16" s="289"/>
      <c r="MKD16" s="289"/>
      <c r="MKE16" s="289"/>
      <c r="MKF16" s="289"/>
      <c r="MKG16" s="289"/>
      <c r="MKH16" s="289"/>
      <c r="MKI16" s="289"/>
      <c r="MKJ16" s="289"/>
      <c r="MKK16" s="289"/>
      <c r="MKL16" s="289"/>
      <c r="MKM16" s="289"/>
      <c r="MKN16" s="289"/>
      <c r="MKO16" s="289"/>
      <c r="MKP16" s="289"/>
      <c r="MKQ16" s="289"/>
      <c r="MKR16" s="289"/>
      <c r="MKS16" s="289"/>
      <c r="MKT16" s="289"/>
      <c r="MKU16" s="289"/>
      <c r="MKV16" s="289"/>
      <c r="MKW16" s="289"/>
      <c r="MKX16" s="289"/>
      <c r="MKY16" s="289"/>
      <c r="MKZ16" s="289"/>
      <c r="MLA16" s="289"/>
      <c r="MLB16" s="289"/>
      <c r="MLC16" s="289"/>
      <c r="MLD16" s="289"/>
      <c r="MLE16" s="289"/>
      <c r="MLF16" s="289"/>
      <c r="MLG16" s="289"/>
      <c r="MLH16" s="289"/>
      <c r="MLI16" s="289"/>
      <c r="MLJ16" s="289"/>
      <c r="MLK16" s="289"/>
      <c r="MLL16" s="289"/>
      <c r="MLM16" s="289"/>
      <c r="MLN16" s="289"/>
      <c r="MLO16" s="289"/>
      <c r="MLP16" s="289"/>
      <c r="MLQ16" s="289"/>
      <c r="MLR16" s="289"/>
      <c r="MLS16" s="289"/>
      <c r="MLT16" s="289"/>
      <c r="MLU16" s="289"/>
      <c r="MLV16" s="289"/>
      <c r="MLW16" s="289"/>
      <c r="MLX16" s="289"/>
      <c r="MLY16" s="289"/>
      <c r="MLZ16" s="289"/>
      <c r="MMA16" s="289"/>
      <c r="MMB16" s="289"/>
      <c r="MMC16" s="289"/>
      <c r="MMD16" s="289"/>
      <c r="MME16" s="289"/>
      <c r="MMF16" s="289"/>
      <c r="MMG16" s="289"/>
      <c r="MMH16" s="289"/>
      <c r="MMI16" s="289"/>
      <c r="MMJ16" s="289"/>
      <c r="MMK16" s="289"/>
      <c r="MML16" s="289"/>
      <c r="MMM16" s="289"/>
      <c r="MMN16" s="289"/>
      <c r="MMO16" s="289"/>
      <c r="MMP16" s="289"/>
      <c r="MMQ16" s="289"/>
      <c r="MMR16" s="289"/>
      <c r="MMS16" s="289"/>
      <c r="MMT16" s="289"/>
      <c r="MMU16" s="289"/>
      <c r="MMV16" s="289"/>
      <c r="MMW16" s="289"/>
      <c r="MMX16" s="289"/>
      <c r="MMY16" s="289"/>
      <c r="MMZ16" s="289"/>
      <c r="MNA16" s="289"/>
      <c r="MNB16" s="289"/>
      <c r="MNC16" s="289"/>
      <c r="MND16" s="289"/>
      <c r="MNE16" s="289"/>
      <c r="MNF16" s="289"/>
      <c r="MNG16" s="289"/>
      <c r="MNH16" s="289"/>
      <c r="MNI16" s="289"/>
      <c r="MNJ16" s="289"/>
      <c r="MNK16" s="289"/>
      <c r="MNL16" s="289"/>
      <c r="MNM16" s="289"/>
      <c r="MNN16" s="289"/>
      <c r="MNO16" s="289"/>
      <c r="MNP16" s="289"/>
      <c r="MNQ16" s="289"/>
      <c r="MNR16" s="289"/>
      <c r="MNS16" s="289"/>
      <c r="MNT16" s="289"/>
      <c r="MNU16" s="289"/>
      <c r="MNV16" s="289"/>
      <c r="MNW16" s="289"/>
      <c r="MNX16" s="289"/>
      <c r="MNY16" s="289"/>
      <c r="MNZ16" s="289"/>
      <c r="MOA16" s="289"/>
      <c r="MOB16" s="289"/>
      <c r="MOC16" s="289"/>
      <c r="MOD16" s="289"/>
      <c r="MOE16" s="289"/>
      <c r="MOF16" s="289"/>
      <c r="MOG16" s="289"/>
      <c r="MOH16" s="289"/>
      <c r="MOI16" s="289"/>
      <c r="MOJ16" s="289"/>
      <c r="MOK16" s="289"/>
      <c r="MOL16" s="289"/>
      <c r="MOM16" s="289"/>
      <c r="MON16" s="289"/>
      <c r="MOO16" s="289"/>
      <c r="MOP16" s="289"/>
      <c r="MOQ16" s="289"/>
      <c r="MOR16" s="289"/>
      <c r="MOS16" s="289"/>
      <c r="MOT16" s="289"/>
      <c r="MOU16" s="289"/>
      <c r="MOV16" s="289"/>
      <c r="MOW16" s="289"/>
      <c r="MOX16" s="289"/>
      <c r="MOY16" s="289"/>
      <c r="MOZ16" s="289"/>
      <c r="MPA16" s="289"/>
      <c r="MPB16" s="289"/>
      <c r="MPC16" s="289"/>
      <c r="MPD16" s="289"/>
      <c r="MPE16" s="289"/>
      <c r="MPF16" s="289"/>
      <c r="MPG16" s="289"/>
      <c r="MPH16" s="289"/>
      <c r="MPI16" s="289"/>
      <c r="MPJ16" s="289"/>
      <c r="MPK16" s="289"/>
      <c r="MPL16" s="289"/>
      <c r="MPM16" s="289"/>
      <c r="MPN16" s="289"/>
      <c r="MPO16" s="289"/>
      <c r="MPP16" s="289"/>
      <c r="MPQ16" s="289"/>
      <c r="MPR16" s="289"/>
      <c r="MPS16" s="289"/>
      <c r="MPT16" s="289"/>
      <c r="MPU16" s="289"/>
      <c r="MPV16" s="289"/>
      <c r="MPW16" s="289"/>
      <c r="MPX16" s="289"/>
      <c r="MPY16" s="289"/>
      <c r="MPZ16" s="289"/>
      <c r="MQA16" s="289"/>
      <c r="MQB16" s="289"/>
      <c r="MQC16" s="289"/>
      <c r="MQD16" s="289"/>
      <c r="MQE16" s="289"/>
      <c r="MQF16" s="289"/>
      <c r="MQG16" s="289"/>
      <c r="MQH16" s="289"/>
      <c r="MQI16" s="289"/>
      <c r="MQJ16" s="289"/>
      <c r="MQK16" s="289"/>
      <c r="MQL16" s="289"/>
      <c r="MQM16" s="289"/>
      <c r="MQN16" s="289"/>
      <c r="MQO16" s="289"/>
      <c r="MQP16" s="289"/>
      <c r="MQQ16" s="289"/>
      <c r="MQR16" s="289"/>
      <c r="MQS16" s="289"/>
      <c r="MQT16" s="289"/>
      <c r="MQU16" s="289"/>
      <c r="MQV16" s="289"/>
      <c r="MQW16" s="289"/>
      <c r="MQX16" s="289"/>
      <c r="MQY16" s="289"/>
      <c r="MQZ16" s="289"/>
      <c r="MRA16" s="289"/>
      <c r="MRB16" s="289"/>
      <c r="MRC16" s="289"/>
      <c r="MRD16" s="289"/>
      <c r="MRE16" s="289"/>
      <c r="MRF16" s="289"/>
      <c r="MRG16" s="289"/>
      <c r="MRH16" s="289"/>
      <c r="MRI16" s="289"/>
      <c r="MRJ16" s="289"/>
      <c r="MRK16" s="289"/>
      <c r="MRL16" s="289"/>
      <c r="MRM16" s="289"/>
      <c r="MRN16" s="289"/>
      <c r="MRO16" s="289"/>
      <c r="MRP16" s="289"/>
      <c r="MRQ16" s="289"/>
      <c r="MRR16" s="289"/>
      <c r="MRS16" s="289"/>
      <c r="MRT16" s="289"/>
      <c r="MRU16" s="289"/>
      <c r="MRV16" s="289"/>
      <c r="MRW16" s="289"/>
      <c r="MRX16" s="289"/>
      <c r="MRY16" s="289"/>
      <c r="MRZ16" s="289"/>
      <c r="MSA16" s="289"/>
      <c r="MSB16" s="289"/>
      <c r="MSC16" s="289"/>
      <c r="MSD16" s="289"/>
      <c r="MSE16" s="289"/>
      <c r="MSF16" s="289"/>
      <c r="MSG16" s="289"/>
      <c r="MSH16" s="289"/>
      <c r="MSI16" s="289"/>
      <c r="MSJ16" s="289"/>
      <c r="MSK16" s="289"/>
      <c r="MSL16" s="289"/>
      <c r="MSM16" s="289"/>
      <c r="MSN16" s="289"/>
      <c r="MSO16" s="289"/>
      <c r="MSP16" s="289"/>
      <c r="MSQ16" s="289"/>
      <c r="MSR16" s="289"/>
      <c r="MSS16" s="289"/>
      <c r="MST16" s="289"/>
      <c r="MSU16" s="289"/>
      <c r="MSV16" s="289"/>
      <c r="MSW16" s="289"/>
      <c r="MSX16" s="289"/>
      <c r="MSY16" s="289"/>
      <c r="MSZ16" s="289"/>
      <c r="MTA16" s="289"/>
      <c r="MTB16" s="289"/>
      <c r="MTC16" s="289"/>
      <c r="MTD16" s="289"/>
      <c r="MTE16" s="289"/>
      <c r="MTF16" s="289"/>
      <c r="MTG16" s="289"/>
      <c r="MTH16" s="289"/>
      <c r="MTI16" s="289"/>
      <c r="MTJ16" s="289"/>
      <c r="MTK16" s="289"/>
      <c r="MTL16" s="289"/>
      <c r="MTM16" s="289"/>
      <c r="MTN16" s="289"/>
      <c r="MTO16" s="289"/>
      <c r="MTP16" s="289"/>
      <c r="MTQ16" s="289"/>
      <c r="MTR16" s="289"/>
      <c r="MTS16" s="289"/>
      <c r="MTT16" s="289"/>
      <c r="MTU16" s="289"/>
      <c r="MTV16" s="289"/>
      <c r="MTW16" s="289"/>
      <c r="MTX16" s="289"/>
      <c r="MTY16" s="289"/>
      <c r="MTZ16" s="289"/>
      <c r="MUA16" s="289"/>
      <c r="MUB16" s="289"/>
      <c r="MUC16" s="289"/>
      <c r="MUD16" s="289"/>
      <c r="MUE16" s="289"/>
      <c r="MUF16" s="289"/>
      <c r="MUG16" s="289"/>
      <c r="MUH16" s="289"/>
      <c r="MUI16" s="289"/>
      <c r="MUJ16" s="289"/>
      <c r="MUK16" s="289"/>
      <c r="MUL16" s="289"/>
      <c r="MUM16" s="289"/>
      <c r="MUN16" s="289"/>
      <c r="MUO16" s="289"/>
      <c r="MUP16" s="289"/>
      <c r="MUQ16" s="289"/>
      <c r="MUR16" s="289"/>
      <c r="MUS16" s="289"/>
      <c r="MUT16" s="289"/>
      <c r="MUU16" s="289"/>
      <c r="MUV16" s="289"/>
      <c r="MUW16" s="289"/>
      <c r="MUX16" s="289"/>
      <c r="MUY16" s="289"/>
      <c r="MUZ16" s="289"/>
      <c r="MVA16" s="289"/>
      <c r="MVB16" s="289"/>
      <c r="MVC16" s="289"/>
      <c r="MVD16" s="289"/>
      <c r="MVE16" s="289"/>
      <c r="MVF16" s="289"/>
      <c r="MVG16" s="289"/>
      <c r="MVH16" s="289"/>
      <c r="MVI16" s="289"/>
      <c r="MVJ16" s="289"/>
      <c r="MVK16" s="289"/>
      <c r="MVL16" s="289"/>
      <c r="MVM16" s="289"/>
      <c r="MVN16" s="289"/>
      <c r="MVO16" s="289"/>
      <c r="MVP16" s="289"/>
      <c r="MVQ16" s="289"/>
      <c r="MVR16" s="289"/>
      <c r="MVS16" s="289"/>
      <c r="MVT16" s="289"/>
      <c r="MVU16" s="289"/>
      <c r="MVV16" s="289"/>
      <c r="MVW16" s="289"/>
      <c r="MVX16" s="289"/>
      <c r="MVY16" s="289"/>
      <c r="MVZ16" s="289"/>
      <c r="MWA16" s="289"/>
      <c r="MWB16" s="289"/>
      <c r="MWC16" s="289"/>
      <c r="MWD16" s="289"/>
      <c r="MWE16" s="289"/>
      <c r="MWF16" s="289"/>
      <c r="MWG16" s="289"/>
      <c r="MWH16" s="289"/>
      <c r="MWI16" s="289"/>
      <c r="MWJ16" s="289"/>
      <c r="MWK16" s="289"/>
      <c r="MWL16" s="289"/>
      <c r="MWM16" s="289"/>
      <c r="MWN16" s="289"/>
      <c r="MWO16" s="289"/>
      <c r="MWP16" s="289"/>
      <c r="MWQ16" s="289"/>
      <c r="MWR16" s="289"/>
      <c r="MWS16" s="289"/>
      <c r="MWT16" s="289"/>
      <c r="MWU16" s="289"/>
      <c r="MWV16" s="289"/>
      <c r="MWW16" s="289"/>
      <c r="MWX16" s="289"/>
      <c r="MWY16" s="289"/>
      <c r="MWZ16" s="289"/>
      <c r="MXA16" s="289"/>
      <c r="MXB16" s="289"/>
      <c r="MXC16" s="289"/>
      <c r="MXD16" s="289"/>
      <c r="MXE16" s="289"/>
      <c r="MXF16" s="289"/>
      <c r="MXG16" s="289"/>
      <c r="MXH16" s="289"/>
      <c r="MXI16" s="289"/>
      <c r="MXJ16" s="289"/>
      <c r="MXK16" s="289"/>
      <c r="MXL16" s="289"/>
      <c r="MXM16" s="289"/>
      <c r="MXN16" s="289"/>
      <c r="MXO16" s="289"/>
      <c r="MXP16" s="289"/>
      <c r="MXQ16" s="289"/>
      <c r="MXR16" s="289"/>
      <c r="MXS16" s="289"/>
      <c r="MXT16" s="289"/>
      <c r="MXU16" s="289"/>
      <c r="MXV16" s="289"/>
      <c r="MXW16" s="289"/>
      <c r="MXX16" s="289"/>
      <c r="MXY16" s="289"/>
      <c r="MXZ16" s="289"/>
      <c r="MYA16" s="289"/>
      <c r="MYB16" s="289"/>
      <c r="MYC16" s="289"/>
      <c r="MYD16" s="289"/>
      <c r="MYE16" s="289"/>
      <c r="MYF16" s="289"/>
      <c r="MYG16" s="289"/>
      <c r="MYH16" s="289"/>
      <c r="MYI16" s="289"/>
      <c r="MYJ16" s="289"/>
      <c r="MYK16" s="289"/>
      <c r="MYL16" s="289"/>
      <c r="MYM16" s="289"/>
      <c r="MYN16" s="289"/>
      <c r="MYO16" s="289"/>
      <c r="MYP16" s="289"/>
      <c r="MYQ16" s="289"/>
      <c r="MYR16" s="289"/>
      <c r="MYS16" s="289"/>
      <c r="MYT16" s="289"/>
      <c r="MYU16" s="289"/>
      <c r="MYV16" s="289"/>
      <c r="MYW16" s="289"/>
      <c r="MYX16" s="289"/>
      <c r="MYY16" s="289"/>
      <c r="MYZ16" s="289"/>
      <c r="MZA16" s="289"/>
      <c r="MZB16" s="289"/>
      <c r="MZC16" s="289"/>
      <c r="MZD16" s="289"/>
      <c r="MZE16" s="289"/>
      <c r="MZF16" s="289"/>
      <c r="MZG16" s="289"/>
      <c r="MZH16" s="289"/>
      <c r="MZI16" s="289"/>
      <c r="MZJ16" s="289"/>
      <c r="MZK16" s="289"/>
      <c r="MZL16" s="289"/>
      <c r="MZM16" s="289"/>
      <c r="MZN16" s="289"/>
      <c r="MZO16" s="289"/>
      <c r="MZP16" s="289"/>
      <c r="MZQ16" s="289"/>
      <c r="MZR16" s="289"/>
      <c r="MZS16" s="289"/>
      <c r="MZT16" s="289"/>
      <c r="MZU16" s="289"/>
      <c r="MZV16" s="289"/>
      <c r="MZW16" s="289"/>
      <c r="MZX16" s="289"/>
      <c r="MZY16" s="289"/>
      <c r="MZZ16" s="289"/>
      <c r="NAA16" s="289"/>
      <c r="NAB16" s="289"/>
      <c r="NAC16" s="289"/>
      <c r="NAD16" s="289"/>
      <c r="NAE16" s="289"/>
      <c r="NAF16" s="289"/>
      <c r="NAG16" s="289"/>
      <c r="NAH16" s="289"/>
      <c r="NAI16" s="289"/>
      <c r="NAJ16" s="289"/>
      <c r="NAK16" s="289"/>
      <c r="NAL16" s="289"/>
      <c r="NAM16" s="289"/>
      <c r="NAN16" s="289"/>
      <c r="NAO16" s="289"/>
      <c r="NAP16" s="289"/>
      <c r="NAQ16" s="289"/>
      <c r="NAR16" s="289"/>
      <c r="NAS16" s="289"/>
      <c r="NAT16" s="289"/>
      <c r="NAU16" s="289"/>
      <c r="NAV16" s="289"/>
      <c r="NAW16" s="289"/>
      <c r="NAX16" s="289"/>
      <c r="NAY16" s="289"/>
      <c r="NAZ16" s="289"/>
      <c r="NBA16" s="289"/>
      <c r="NBB16" s="289"/>
      <c r="NBC16" s="289"/>
      <c r="NBD16" s="289"/>
      <c r="NBE16" s="289"/>
      <c r="NBF16" s="289"/>
      <c r="NBG16" s="289"/>
      <c r="NBH16" s="289"/>
      <c r="NBI16" s="289"/>
      <c r="NBJ16" s="289"/>
      <c r="NBK16" s="289"/>
      <c r="NBL16" s="289"/>
      <c r="NBM16" s="289"/>
      <c r="NBN16" s="289"/>
      <c r="NBO16" s="289"/>
      <c r="NBP16" s="289"/>
      <c r="NBQ16" s="289"/>
      <c r="NBR16" s="289"/>
      <c r="NBS16" s="289"/>
      <c r="NBT16" s="289"/>
      <c r="NBU16" s="289"/>
      <c r="NBV16" s="289"/>
      <c r="NBW16" s="289"/>
      <c r="NBX16" s="289"/>
      <c r="NBY16" s="289"/>
      <c r="NBZ16" s="289"/>
      <c r="NCA16" s="289"/>
      <c r="NCB16" s="289"/>
      <c r="NCC16" s="289"/>
      <c r="NCD16" s="289"/>
      <c r="NCE16" s="289"/>
      <c r="NCF16" s="289"/>
      <c r="NCG16" s="289"/>
      <c r="NCH16" s="289"/>
      <c r="NCI16" s="289"/>
      <c r="NCJ16" s="289"/>
      <c r="NCK16" s="289"/>
      <c r="NCL16" s="289"/>
      <c r="NCM16" s="289"/>
      <c r="NCN16" s="289"/>
      <c r="NCO16" s="289"/>
      <c r="NCP16" s="289"/>
      <c r="NCQ16" s="289"/>
      <c r="NCR16" s="289"/>
      <c r="NCS16" s="289"/>
      <c r="NCT16" s="289"/>
      <c r="NCU16" s="289"/>
      <c r="NCV16" s="289"/>
      <c r="NCW16" s="289"/>
      <c r="NCX16" s="289"/>
      <c r="NCY16" s="289"/>
      <c r="NCZ16" s="289"/>
      <c r="NDA16" s="289"/>
      <c r="NDB16" s="289"/>
      <c r="NDC16" s="289"/>
      <c r="NDD16" s="289"/>
      <c r="NDE16" s="289"/>
      <c r="NDF16" s="289"/>
      <c r="NDG16" s="289"/>
      <c r="NDH16" s="289"/>
      <c r="NDI16" s="289"/>
      <c r="NDJ16" s="289"/>
      <c r="NDK16" s="289"/>
      <c r="NDL16" s="289"/>
      <c r="NDM16" s="289"/>
      <c r="NDN16" s="289"/>
      <c r="NDO16" s="289"/>
      <c r="NDP16" s="289"/>
      <c r="NDQ16" s="289"/>
      <c r="NDR16" s="289"/>
      <c r="NDS16" s="289"/>
      <c r="NDT16" s="289"/>
      <c r="NDU16" s="289"/>
      <c r="NDV16" s="289"/>
      <c r="NDW16" s="289"/>
      <c r="NDX16" s="289"/>
      <c r="NDY16" s="289"/>
      <c r="NDZ16" s="289"/>
      <c r="NEA16" s="289"/>
      <c r="NEB16" s="289"/>
      <c r="NEC16" s="289"/>
      <c r="NED16" s="289"/>
      <c r="NEE16" s="289"/>
      <c r="NEF16" s="289"/>
      <c r="NEG16" s="289"/>
      <c r="NEH16" s="289"/>
      <c r="NEI16" s="289"/>
      <c r="NEJ16" s="289"/>
      <c r="NEK16" s="289"/>
      <c r="NEL16" s="289"/>
      <c r="NEM16" s="289"/>
      <c r="NEN16" s="289"/>
      <c r="NEO16" s="289"/>
      <c r="NEP16" s="289"/>
      <c r="NEQ16" s="289"/>
      <c r="NER16" s="289"/>
      <c r="NES16" s="289"/>
      <c r="NET16" s="289"/>
      <c r="NEU16" s="289"/>
      <c r="NEV16" s="289"/>
      <c r="NEW16" s="289"/>
      <c r="NEX16" s="289"/>
      <c r="NEY16" s="289"/>
      <c r="NEZ16" s="289"/>
      <c r="NFA16" s="289"/>
      <c r="NFB16" s="289"/>
      <c r="NFC16" s="289"/>
      <c r="NFD16" s="289"/>
      <c r="NFE16" s="289"/>
      <c r="NFF16" s="289"/>
      <c r="NFG16" s="289"/>
      <c r="NFH16" s="289"/>
      <c r="NFI16" s="289"/>
      <c r="NFJ16" s="289"/>
      <c r="NFK16" s="289"/>
      <c r="NFL16" s="289"/>
      <c r="NFM16" s="289"/>
      <c r="NFN16" s="289"/>
      <c r="NFO16" s="289"/>
      <c r="NFP16" s="289"/>
      <c r="NFQ16" s="289"/>
      <c r="NFR16" s="289"/>
      <c r="NFS16" s="289"/>
      <c r="NFT16" s="289"/>
      <c r="NFU16" s="289"/>
      <c r="NFV16" s="289"/>
      <c r="NFW16" s="289"/>
      <c r="NFX16" s="289"/>
      <c r="NFY16" s="289"/>
      <c r="NFZ16" s="289"/>
      <c r="NGA16" s="289"/>
      <c r="NGB16" s="289"/>
      <c r="NGC16" s="289"/>
      <c r="NGD16" s="289"/>
      <c r="NGE16" s="289"/>
      <c r="NGF16" s="289"/>
      <c r="NGG16" s="289"/>
      <c r="NGH16" s="289"/>
      <c r="NGI16" s="289"/>
      <c r="NGJ16" s="289"/>
      <c r="NGK16" s="289"/>
      <c r="NGL16" s="289"/>
      <c r="NGM16" s="289"/>
      <c r="NGN16" s="289"/>
      <c r="NGO16" s="289"/>
      <c r="NGP16" s="289"/>
      <c r="NGQ16" s="289"/>
      <c r="NGR16" s="289"/>
      <c r="NGS16" s="289"/>
      <c r="NGT16" s="289"/>
      <c r="NGU16" s="289"/>
      <c r="NGV16" s="289"/>
      <c r="NGW16" s="289"/>
      <c r="NGX16" s="289"/>
      <c r="NGY16" s="289"/>
      <c r="NGZ16" s="289"/>
      <c r="NHA16" s="289"/>
      <c r="NHB16" s="289"/>
      <c r="NHC16" s="289"/>
      <c r="NHD16" s="289"/>
      <c r="NHE16" s="289"/>
      <c r="NHF16" s="289"/>
      <c r="NHG16" s="289"/>
      <c r="NHH16" s="289"/>
      <c r="NHI16" s="289"/>
      <c r="NHJ16" s="289"/>
      <c r="NHK16" s="289"/>
      <c r="NHL16" s="289"/>
      <c r="NHM16" s="289"/>
      <c r="NHN16" s="289"/>
      <c r="NHO16" s="289"/>
      <c r="NHP16" s="289"/>
      <c r="NHQ16" s="289"/>
      <c r="NHR16" s="289"/>
      <c r="NHS16" s="289"/>
      <c r="NHT16" s="289"/>
      <c r="NHU16" s="289"/>
      <c r="NHV16" s="289"/>
      <c r="NHW16" s="289"/>
      <c r="NHX16" s="289"/>
      <c r="NHY16" s="289"/>
      <c r="NHZ16" s="289"/>
      <c r="NIA16" s="289"/>
      <c r="NIB16" s="289"/>
      <c r="NIC16" s="289"/>
      <c r="NID16" s="289"/>
      <c r="NIE16" s="289"/>
      <c r="NIF16" s="289"/>
      <c r="NIG16" s="289"/>
      <c r="NIH16" s="289"/>
      <c r="NII16" s="289"/>
      <c r="NIJ16" s="289"/>
      <c r="NIK16" s="289"/>
      <c r="NIL16" s="289"/>
      <c r="NIM16" s="289"/>
      <c r="NIN16" s="289"/>
      <c r="NIO16" s="289"/>
      <c r="NIP16" s="289"/>
      <c r="NIQ16" s="289"/>
      <c r="NIR16" s="289"/>
      <c r="NIS16" s="289"/>
      <c r="NIT16" s="289"/>
      <c r="NIU16" s="289"/>
      <c r="NIV16" s="289"/>
      <c r="NIW16" s="289"/>
      <c r="NIX16" s="289"/>
      <c r="NIY16" s="289"/>
      <c r="NIZ16" s="289"/>
      <c r="NJA16" s="289"/>
      <c r="NJB16" s="289"/>
      <c r="NJC16" s="289"/>
      <c r="NJD16" s="289"/>
      <c r="NJE16" s="289"/>
      <c r="NJF16" s="289"/>
      <c r="NJG16" s="289"/>
      <c r="NJH16" s="289"/>
      <c r="NJI16" s="289"/>
      <c r="NJJ16" s="289"/>
      <c r="NJK16" s="289"/>
      <c r="NJL16" s="289"/>
      <c r="NJM16" s="289"/>
      <c r="NJN16" s="289"/>
      <c r="NJO16" s="289"/>
      <c r="NJP16" s="289"/>
      <c r="NJQ16" s="289"/>
      <c r="NJR16" s="289"/>
      <c r="NJS16" s="289"/>
      <c r="NJT16" s="289"/>
      <c r="NJU16" s="289"/>
      <c r="NJV16" s="289"/>
      <c r="NJW16" s="289"/>
      <c r="NJX16" s="289"/>
      <c r="NJY16" s="289"/>
      <c r="NJZ16" s="289"/>
      <c r="NKA16" s="289"/>
      <c r="NKB16" s="289"/>
      <c r="NKC16" s="289"/>
      <c r="NKD16" s="289"/>
      <c r="NKE16" s="289"/>
      <c r="NKF16" s="289"/>
      <c r="NKG16" s="289"/>
      <c r="NKH16" s="289"/>
      <c r="NKI16" s="289"/>
      <c r="NKJ16" s="289"/>
      <c r="NKK16" s="289"/>
      <c r="NKL16" s="289"/>
      <c r="NKM16" s="289"/>
      <c r="NKN16" s="289"/>
      <c r="NKO16" s="289"/>
      <c r="NKP16" s="289"/>
      <c r="NKQ16" s="289"/>
      <c r="NKR16" s="289"/>
      <c r="NKS16" s="289"/>
      <c r="NKT16" s="289"/>
      <c r="NKU16" s="289"/>
      <c r="NKV16" s="289"/>
      <c r="NKW16" s="289"/>
      <c r="NKX16" s="289"/>
      <c r="NKY16" s="289"/>
      <c r="NKZ16" s="289"/>
      <c r="NLA16" s="289"/>
      <c r="NLB16" s="289"/>
      <c r="NLC16" s="289"/>
      <c r="NLD16" s="289"/>
      <c r="NLE16" s="289"/>
      <c r="NLF16" s="289"/>
      <c r="NLG16" s="289"/>
      <c r="NLH16" s="289"/>
      <c r="NLI16" s="289"/>
      <c r="NLJ16" s="289"/>
      <c r="NLK16" s="289"/>
      <c r="NLL16" s="289"/>
      <c r="NLM16" s="289"/>
      <c r="NLN16" s="289"/>
      <c r="NLO16" s="289"/>
      <c r="NLP16" s="289"/>
      <c r="NLQ16" s="289"/>
      <c r="NLR16" s="289"/>
      <c r="NLS16" s="289"/>
      <c r="NLT16" s="289"/>
      <c r="NLU16" s="289"/>
      <c r="NLV16" s="289"/>
      <c r="NLW16" s="289"/>
      <c r="NLX16" s="289"/>
      <c r="NLY16" s="289"/>
      <c r="NLZ16" s="289"/>
      <c r="NMA16" s="289"/>
      <c r="NMB16" s="289"/>
      <c r="NMC16" s="289"/>
      <c r="NMD16" s="289"/>
      <c r="NME16" s="289"/>
      <c r="NMF16" s="289"/>
      <c r="NMG16" s="289"/>
      <c r="NMH16" s="289"/>
      <c r="NMI16" s="289"/>
      <c r="NMJ16" s="289"/>
      <c r="NMK16" s="289"/>
      <c r="NML16" s="289"/>
      <c r="NMM16" s="289"/>
      <c r="NMN16" s="289"/>
      <c r="NMO16" s="289"/>
      <c r="NMP16" s="289"/>
      <c r="NMQ16" s="289"/>
      <c r="NMR16" s="289"/>
      <c r="NMS16" s="289"/>
      <c r="NMT16" s="289"/>
      <c r="NMU16" s="289"/>
      <c r="NMV16" s="289"/>
      <c r="NMW16" s="289"/>
      <c r="NMX16" s="289"/>
      <c r="NMY16" s="289"/>
      <c r="NMZ16" s="289"/>
      <c r="NNA16" s="289"/>
      <c r="NNB16" s="289"/>
      <c r="NNC16" s="289"/>
      <c r="NND16" s="289"/>
      <c r="NNE16" s="289"/>
      <c r="NNF16" s="289"/>
      <c r="NNG16" s="289"/>
      <c r="NNH16" s="289"/>
      <c r="NNI16" s="289"/>
      <c r="NNJ16" s="289"/>
      <c r="NNK16" s="289"/>
      <c r="NNL16" s="289"/>
      <c r="NNM16" s="289"/>
      <c r="NNN16" s="289"/>
      <c r="NNO16" s="289"/>
      <c r="NNP16" s="289"/>
      <c r="NNQ16" s="289"/>
      <c r="NNR16" s="289"/>
      <c r="NNS16" s="289"/>
      <c r="NNT16" s="289"/>
      <c r="NNU16" s="289"/>
      <c r="NNV16" s="289"/>
      <c r="NNW16" s="289"/>
      <c r="NNX16" s="289"/>
      <c r="NNY16" s="289"/>
      <c r="NNZ16" s="289"/>
      <c r="NOA16" s="289"/>
      <c r="NOB16" s="289"/>
      <c r="NOC16" s="289"/>
      <c r="NOD16" s="289"/>
      <c r="NOE16" s="289"/>
      <c r="NOF16" s="289"/>
      <c r="NOG16" s="289"/>
      <c r="NOH16" s="289"/>
      <c r="NOI16" s="289"/>
      <c r="NOJ16" s="289"/>
      <c r="NOK16" s="289"/>
      <c r="NOL16" s="289"/>
      <c r="NOM16" s="289"/>
      <c r="NON16" s="289"/>
      <c r="NOO16" s="289"/>
      <c r="NOP16" s="289"/>
      <c r="NOQ16" s="289"/>
      <c r="NOR16" s="289"/>
      <c r="NOS16" s="289"/>
      <c r="NOT16" s="289"/>
      <c r="NOU16" s="289"/>
      <c r="NOV16" s="289"/>
      <c r="NOW16" s="289"/>
      <c r="NOX16" s="289"/>
      <c r="NOY16" s="289"/>
      <c r="NOZ16" s="289"/>
      <c r="NPA16" s="289"/>
      <c r="NPB16" s="289"/>
      <c r="NPC16" s="289"/>
      <c r="NPD16" s="289"/>
      <c r="NPE16" s="289"/>
      <c r="NPF16" s="289"/>
      <c r="NPG16" s="289"/>
      <c r="NPH16" s="289"/>
      <c r="NPI16" s="289"/>
      <c r="NPJ16" s="289"/>
      <c r="NPK16" s="289"/>
      <c r="NPL16" s="289"/>
      <c r="NPM16" s="289"/>
      <c r="NPN16" s="289"/>
      <c r="NPO16" s="289"/>
      <c r="NPP16" s="289"/>
      <c r="NPQ16" s="289"/>
      <c r="NPR16" s="289"/>
      <c r="NPS16" s="289"/>
      <c r="NPT16" s="289"/>
      <c r="NPU16" s="289"/>
      <c r="NPV16" s="289"/>
      <c r="NPW16" s="289"/>
      <c r="NPX16" s="289"/>
      <c r="NPY16" s="289"/>
      <c r="NPZ16" s="289"/>
      <c r="NQA16" s="289"/>
      <c r="NQB16" s="289"/>
      <c r="NQC16" s="289"/>
      <c r="NQD16" s="289"/>
      <c r="NQE16" s="289"/>
      <c r="NQF16" s="289"/>
      <c r="NQG16" s="289"/>
      <c r="NQH16" s="289"/>
      <c r="NQI16" s="289"/>
      <c r="NQJ16" s="289"/>
      <c r="NQK16" s="289"/>
      <c r="NQL16" s="289"/>
      <c r="NQM16" s="289"/>
      <c r="NQN16" s="289"/>
      <c r="NQO16" s="289"/>
      <c r="NQP16" s="289"/>
      <c r="NQQ16" s="289"/>
      <c r="NQR16" s="289"/>
      <c r="NQS16" s="289"/>
      <c r="NQT16" s="289"/>
      <c r="NQU16" s="289"/>
      <c r="NQV16" s="289"/>
      <c r="NQW16" s="289"/>
      <c r="NQX16" s="289"/>
      <c r="NQY16" s="289"/>
      <c r="NQZ16" s="289"/>
      <c r="NRA16" s="289"/>
      <c r="NRB16" s="289"/>
      <c r="NRC16" s="289"/>
      <c r="NRD16" s="289"/>
      <c r="NRE16" s="289"/>
      <c r="NRF16" s="289"/>
      <c r="NRG16" s="289"/>
      <c r="NRH16" s="289"/>
      <c r="NRI16" s="289"/>
      <c r="NRJ16" s="289"/>
      <c r="NRK16" s="289"/>
      <c r="NRL16" s="289"/>
      <c r="NRM16" s="289"/>
      <c r="NRN16" s="289"/>
      <c r="NRO16" s="289"/>
      <c r="NRP16" s="289"/>
      <c r="NRQ16" s="289"/>
      <c r="NRR16" s="289"/>
      <c r="NRS16" s="289"/>
      <c r="NRT16" s="289"/>
      <c r="NRU16" s="289"/>
      <c r="NRV16" s="289"/>
      <c r="NRW16" s="289"/>
      <c r="NRX16" s="289"/>
      <c r="NRY16" s="289"/>
      <c r="NRZ16" s="289"/>
      <c r="NSA16" s="289"/>
      <c r="NSB16" s="289"/>
      <c r="NSC16" s="289"/>
      <c r="NSD16" s="289"/>
      <c r="NSE16" s="289"/>
      <c r="NSF16" s="289"/>
      <c r="NSG16" s="289"/>
      <c r="NSH16" s="289"/>
      <c r="NSI16" s="289"/>
      <c r="NSJ16" s="289"/>
      <c r="NSK16" s="289"/>
      <c r="NSL16" s="289"/>
      <c r="NSM16" s="289"/>
      <c r="NSN16" s="289"/>
      <c r="NSO16" s="289"/>
      <c r="NSP16" s="289"/>
      <c r="NSQ16" s="289"/>
      <c r="NSR16" s="289"/>
      <c r="NSS16" s="289"/>
      <c r="NST16" s="289"/>
      <c r="NSU16" s="289"/>
      <c r="NSV16" s="289"/>
      <c r="NSW16" s="289"/>
      <c r="NSX16" s="289"/>
      <c r="NSY16" s="289"/>
      <c r="NSZ16" s="289"/>
      <c r="NTA16" s="289"/>
      <c r="NTB16" s="289"/>
      <c r="NTC16" s="289"/>
      <c r="NTD16" s="289"/>
      <c r="NTE16" s="289"/>
      <c r="NTF16" s="289"/>
      <c r="NTG16" s="289"/>
      <c r="NTH16" s="289"/>
      <c r="NTI16" s="289"/>
      <c r="NTJ16" s="289"/>
      <c r="NTK16" s="289"/>
      <c r="NTL16" s="289"/>
      <c r="NTM16" s="289"/>
      <c r="NTN16" s="289"/>
      <c r="NTO16" s="289"/>
      <c r="NTP16" s="289"/>
      <c r="NTQ16" s="289"/>
      <c r="NTR16" s="289"/>
      <c r="NTS16" s="289"/>
      <c r="NTT16" s="289"/>
      <c r="NTU16" s="289"/>
      <c r="NTV16" s="289"/>
      <c r="NTW16" s="289"/>
      <c r="NTX16" s="289"/>
      <c r="NTY16" s="289"/>
      <c r="NTZ16" s="289"/>
      <c r="NUA16" s="289"/>
      <c r="NUB16" s="289"/>
      <c r="NUC16" s="289"/>
      <c r="NUD16" s="289"/>
      <c r="NUE16" s="289"/>
      <c r="NUF16" s="289"/>
      <c r="NUG16" s="289"/>
      <c r="NUH16" s="289"/>
      <c r="NUI16" s="289"/>
      <c r="NUJ16" s="289"/>
      <c r="NUK16" s="289"/>
      <c r="NUL16" s="289"/>
      <c r="NUM16" s="289"/>
      <c r="NUN16" s="289"/>
      <c r="NUO16" s="289"/>
      <c r="NUP16" s="289"/>
      <c r="NUQ16" s="289"/>
      <c r="NUR16" s="289"/>
      <c r="NUS16" s="289"/>
      <c r="NUT16" s="289"/>
      <c r="NUU16" s="289"/>
      <c r="NUV16" s="289"/>
      <c r="NUW16" s="289"/>
      <c r="NUX16" s="289"/>
      <c r="NUY16" s="289"/>
      <c r="NUZ16" s="289"/>
      <c r="NVA16" s="289"/>
      <c r="NVB16" s="289"/>
      <c r="NVC16" s="289"/>
      <c r="NVD16" s="289"/>
      <c r="NVE16" s="289"/>
      <c r="NVF16" s="289"/>
      <c r="NVG16" s="289"/>
      <c r="NVH16" s="289"/>
      <c r="NVI16" s="289"/>
      <c r="NVJ16" s="289"/>
      <c r="NVK16" s="289"/>
      <c r="NVL16" s="289"/>
      <c r="NVM16" s="289"/>
      <c r="NVN16" s="289"/>
      <c r="NVO16" s="289"/>
      <c r="NVP16" s="289"/>
      <c r="NVQ16" s="289"/>
      <c r="NVR16" s="289"/>
      <c r="NVS16" s="289"/>
      <c r="NVT16" s="289"/>
      <c r="NVU16" s="289"/>
      <c r="NVV16" s="289"/>
      <c r="NVW16" s="289"/>
      <c r="NVX16" s="289"/>
      <c r="NVY16" s="289"/>
      <c r="NVZ16" s="289"/>
      <c r="NWA16" s="289"/>
      <c r="NWB16" s="289"/>
      <c r="NWC16" s="289"/>
      <c r="NWD16" s="289"/>
      <c r="NWE16" s="289"/>
      <c r="NWF16" s="289"/>
      <c r="NWG16" s="289"/>
      <c r="NWH16" s="289"/>
      <c r="NWI16" s="289"/>
      <c r="NWJ16" s="289"/>
      <c r="NWK16" s="289"/>
      <c r="NWL16" s="289"/>
      <c r="NWM16" s="289"/>
      <c r="NWN16" s="289"/>
      <c r="NWO16" s="289"/>
      <c r="NWP16" s="289"/>
      <c r="NWQ16" s="289"/>
      <c r="NWR16" s="289"/>
      <c r="NWS16" s="289"/>
      <c r="NWT16" s="289"/>
      <c r="NWU16" s="289"/>
      <c r="NWV16" s="289"/>
      <c r="NWW16" s="289"/>
      <c r="NWX16" s="289"/>
      <c r="NWY16" s="289"/>
      <c r="NWZ16" s="289"/>
      <c r="NXA16" s="289"/>
      <c r="NXB16" s="289"/>
      <c r="NXC16" s="289"/>
      <c r="NXD16" s="289"/>
      <c r="NXE16" s="289"/>
      <c r="NXF16" s="289"/>
      <c r="NXG16" s="289"/>
      <c r="NXH16" s="289"/>
      <c r="NXI16" s="289"/>
      <c r="NXJ16" s="289"/>
      <c r="NXK16" s="289"/>
      <c r="NXL16" s="289"/>
      <c r="NXM16" s="289"/>
      <c r="NXN16" s="289"/>
      <c r="NXO16" s="289"/>
      <c r="NXP16" s="289"/>
      <c r="NXQ16" s="289"/>
      <c r="NXR16" s="289"/>
      <c r="NXS16" s="289"/>
      <c r="NXT16" s="289"/>
      <c r="NXU16" s="289"/>
      <c r="NXV16" s="289"/>
      <c r="NXW16" s="289"/>
      <c r="NXX16" s="289"/>
      <c r="NXY16" s="289"/>
      <c r="NXZ16" s="289"/>
      <c r="NYA16" s="289"/>
      <c r="NYB16" s="289"/>
      <c r="NYC16" s="289"/>
      <c r="NYD16" s="289"/>
      <c r="NYE16" s="289"/>
      <c r="NYF16" s="289"/>
      <c r="NYG16" s="289"/>
      <c r="NYH16" s="289"/>
      <c r="NYI16" s="289"/>
      <c r="NYJ16" s="289"/>
      <c r="NYK16" s="289"/>
      <c r="NYL16" s="289"/>
      <c r="NYM16" s="289"/>
      <c r="NYN16" s="289"/>
      <c r="NYO16" s="289"/>
      <c r="NYP16" s="289"/>
      <c r="NYQ16" s="289"/>
      <c r="NYR16" s="289"/>
      <c r="NYS16" s="289"/>
      <c r="NYT16" s="289"/>
      <c r="NYU16" s="289"/>
      <c r="NYV16" s="289"/>
      <c r="NYW16" s="289"/>
      <c r="NYX16" s="289"/>
      <c r="NYY16" s="289"/>
      <c r="NYZ16" s="289"/>
      <c r="NZA16" s="289"/>
      <c r="NZB16" s="289"/>
      <c r="NZC16" s="289"/>
      <c r="NZD16" s="289"/>
      <c r="NZE16" s="289"/>
      <c r="NZF16" s="289"/>
      <c r="NZG16" s="289"/>
      <c r="NZH16" s="289"/>
      <c r="NZI16" s="289"/>
      <c r="NZJ16" s="289"/>
      <c r="NZK16" s="289"/>
      <c r="NZL16" s="289"/>
      <c r="NZM16" s="289"/>
      <c r="NZN16" s="289"/>
      <c r="NZO16" s="289"/>
      <c r="NZP16" s="289"/>
      <c r="NZQ16" s="289"/>
      <c r="NZR16" s="289"/>
      <c r="NZS16" s="289"/>
      <c r="NZT16" s="289"/>
      <c r="NZU16" s="289"/>
      <c r="NZV16" s="289"/>
      <c r="NZW16" s="289"/>
      <c r="NZX16" s="289"/>
      <c r="NZY16" s="289"/>
      <c r="NZZ16" s="289"/>
      <c r="OAA16" s="289"/>
      <c r="OAB16" s="289"/>
      <c r="OAC16" s="289"/>
      <c r="OAD16" s="289"/>
      <c r="OAE16" s="289"/>
      <c r="OAF16" s="289"/>
      <c r="OAG16" s="289"/>
      <c r="OAH16" s="289"/>
      <c r="OAI16" s="289"/>
      <c r="OAJ16" s="289"/>
      <c r="OAK16" s="289"/>
      <c r="OAL16" s="289"/>
      <c r="OAM16" s="289"/>
      <c r="OAN16" s="289"/>
      <c r="OAO16" s="289"/>
      <c r="OAP16" s="289"/>
      <c r="OAQ16" s="289"/>
      <c r="OAR16" s="289"/>
      <c r="OAS16" s="289"/>
      <c r="OAT16" s="289"/>
      <c r="OAU16" s="289"/>
      <c r="OAV16" s="289"/>
      <c r="OAW16" s="289"/>
      <c r="OAX16" s="289"/>
      <c r="OAY16" s="289"/>
      <c r="OAZ16" s="289"/>
      <c r="OBA16" s="289"/>
      <c r="OBB16" s="289"/>
      <c r="OBC16" s="289"/>
      <c r="OBD16" s="289"/>
      <c r="OBE16" s="289"/>
      <c r="OBF16" s="289"/>
      <c r="OBG16" s="289"/>
      <c r="OBH16" s="289"/>
      <c r="OBI16" s="289"/>
      <c r="OBJ16" s="289"/>
      <c r="OBK16" s="289"/>
      <c r="OBL16" s="289"/>
      <c r="OBM16" s="289"/>
      <c r="OBN16" s="289"/>
      <c r="OBO16" s="289"/>
      <c r="OBP16" s="289"/>
      <c r="OBQ16" s="289"/>
      <c r="OBR16" s="289"/>
      <c r="OBS16" s="289"/>
      <c r="OBT16" s="289"/>
      <c r="OBU16" s="289"/>
      <c r="OBV16" s="289"/>
      <c r="OBW16" s="289"/>
      <c r="OBX16" s="289"/>
      <c r="OBY16" s="289"/>
      <c r="OBZ16" s="289"/>
      <c r="OCA16" s="289"/>
      <c r="OCB16" s="289"/>
      <c r="OCC16" s="289"/>
      <c r="OCD16" s="289"/>
      <c r="OCE16" s="289"/>
      <c r="OCF16" s="289"/>
      <c r="OCG16" s="289"/>
      <c r="OCH16" s="289"/>
      <c r="OCI16" s="289"/>
      <c r="OCJ16" s="289"/>
      <c r="OCK16" s="289"/>
      <c r="OCL16" s="289"/>
      <c r="OCM16" s="289"/>
      <c r="OCN16" s="289"/>
      <c r="OCO16" s="289"/>
      <c r="OCP16" s="289"/>
      <c r="OCQ16" s="289"/>
      <c r="OCR16" s="289"/>
      <c r="OCS16" s="289"/>
      <c r="OCT16" s="289"/>
      <c r="OCU16" s="289"/>
      <c r="OCV16" s="289"/>
      <c r="OCW16" s="289"/>
      <c r="OCX16" s="289"/>
      <c r="OCY16" s="289"/>
      <c r="OCZ16" s="289"/>
      <c r="ODA16" s="289"/>
      <c r="ODB16" s="289"/>
      <c r="ODC16" s="289"/>
      <c r="ODD16" s="289"/>
      <c r="ODE16" s="289"/>
      <c r="ODF16" s="289"/>
      <c r="ODG16" s="289"/>
      <c r="ODH16" s="289"/>
      <c r="ODI16" s="289"/>
      <c r="ODJ16" s="289"/>
      <c r="ODK16" s="289"/>
      <c r="ODL16" s="289"/>
      <c r="ODM16" s="289"/>
      <c r="ODN16" s="289"/>
      <c r="ODO16" s="289"/>
      <c r="ODP16" s="289"/>
      <c r="ODQ16" s="289"/>
      <c r="ODR16" s="289"/>
      <c r="ODS16" s="289"/>
      <c r="ODT16" s="289"/>
      <c r="ODU16" s="289"/>
      <c r="ODV16" s="289"/>
      <c r="ODW16" s="289"/>
      <c r="ODX16" s="289"/>
      <c r="ODY16" s="289"/>
      <c r="ODZ16" s="289"/>
      <c r="OEA16" s="289"/>
      <c r="OEB16" s="289"/>
      <c r="OEC16" s="289"/>
      <c r="OED16" s="289"/>
      <c r="OEE16" s="289"/>
      <c r="OEF16" s="289"/>
      <c r="OEG16" s="289"/>
      <c r="OEH16" s="289"/>
      <c r="OEI16" s="289"/>
      <c r="OEJ16" s="289"/>
      <c r="OEK16" s="289"/>
      <c r="OEL16" s="289"/>
      <c r="OEM16" s="289"/>
      <c r="OEN16" s="289"/>
      <c r="OEO16" s="289"/>
      <c r="OEP16" s="289"/>
      <c r="OEQ16" s="289"/>
      <c r="OER16" s="289"/>
      <c r="OES16" s="289"/>
      <c r="OET16" s="289"/>
      <c r="OEU16" s="289"/>
      <c r="OEV16" s="289"/>
      <c r="OEW16" s="289"/>
      <c r="OEX16" s="289"/>
      <c r="OEY16" s="289"/>
      <c r="OEZ16" s="289"/>
      <c r="OFA16" s="289"/>
      <c r="OFB16" s="289"/>
      <c r="OFC16" s="289"/>
      <c r="OFD16" s="289"/>
      <c r="OFE16" s="289"/>
      <c r="OFF16" s="289"/>
      <c r="OFG16" s="289"/>
      <c r="OFH16" s="289"/>
      <c r="OFI16" s="289"/>
      <c r="OFJ16" s="289"/>
      <c r="OFK16" s="289"/>
      <c r="OFL16" s="289"/>
      <c r="OFM16" s="289"/>
      <c r="OFN16" s="289"/>
      <c r="OFO16" s="289"/>
      <c r="OFP16" s="289"/>
      <c r="OFQ16" s="289"/>
      <c r="OFR16" s="289"/>
      <c r="OFS16" s="289"/>
      <c r="OFT16" s="289"/>
      <c r="OFU16" s="289"/>
      <c r="OFV16" s="289"/>
      <c r="OFW16" s="289"/>
      <c r="OFX16" s="289"/>
      <c r="OFY16" s="289"/>
      <c r="OFZ16" s="289"/>
      <c r="OGA16" s="289"/>
      <c r="OGB16" s="289"/>
      <c r="OGC16" s="289"/>
      <c r="OGD16" s="289"/>
      <c r="OGE16" s="289"/>
      <c r="OGF16" s="289"/>
      <c r="OGG16" s="289"/>
      <c r="OGH16" s="289"/>
      <c r="OGI16" s="289"/>
      <c r="OGJ16" s="289"/>
      <c r="OGK16" s="289"/>
      <c r="OGL16" s="289"/>
      <c r="OGM16" s="289"/>
      <c r="OGN16" s="289"/>
      <c r="OGO16" s="289"/>
      <c r="OGP16" s="289"/>
      <c r="OGQ16" s="289"/>
      <c r="OGR16" s="289"/>
      <c r="OGS16" s="289"/>
      <c r="OGT16" s="289"/>
      <c r="OGU16" s="289"/>
      <c r="OGV16" s="289"/>
      <c r="OGW16" s="289"/>
      <c r="OGX16" s="289"/>
      <c r="OGY16" s="289"/>
      <c r="OGZ16" s="289"/>
      <c r="OHA16" s="289"/>
      <c r="OHB16" s="289"/>
      <c r="OHC16" s="289"/>
      <c r="OHD16" s="289"/>
      <c r="OHE16" s="289"/>
      <c r="OHF16" s="289"/>
      <c r="OHG16" s="289"/>
      <c r="OHH16" s="289"/>
      <c r="OHI16" s="289"/>
      <c r="OHJ16" s="289"/>
      <c r="OHK16" s="289"/>
      <c r="OHL16" s="289"/>
      <c r="OHM16" s="289"/>
      <c r="OHN16" s="289"/>
      <c r="OHO16" s="289"/>
      <c r="OHP16" s="289"/>
      <c r="OHQ16" s="289"/>
      <c r="OHR16" s="289"/>
      <c r="OHS16" s="289"/>
      <c r="OHT16" s="289"/>
      <c r="OHU16" s="289"/>
      <c r="OHV16" s="289"/>
      <c r="OHW16" s="289"/>
      <c r="OHX16" s="289"/>
      <c r="OHY16" s="289"/>
      <c r="OHZ16" s="289"/>
      <c r="OIA16" s="289"/>
      <c r="OIB16" s="289"/>
      <c r="OIC16" s="289"/>
      <c r="OID16" s="289"/>
      <c r="OIE16" s="289"/>
      <c r="OIF16" s="289"/>
      <c r="OIG16" s="289"/>
      <c r="OIH16" s="289"/>
      <c r="OII16" s="289"/>
      <c r="OIJ16" s="289"/>
      <c r="OIK16" s="289"/>
      <c r="OIL16" s="289"/>
      <c r="OIM16" s="289"/>
      <c r="OIN16" s="289"/>
      <c r="OIO16" s="289"/>
      <c r="OIP16" s="289"/>
      <c r="OIQ16" s="289"/>
      <c r="OIR16" s="289"/>
      <c r="OIS16" s="289"/>
      <c r="OIT16" s="289"/>
      <c r="OIU16" s="289"/>
      <c r="OIV16" s="289"/>
      <c r="OIW16" s="289"/>
      <c r="OIX16" s="289"/>
      <c r="OIY16" s="289"/>
      <c r="OIZ16" s="289"/>
      <c r="OJA16" s="289"/>
      <c r="OJB16" s="289"/>
      <c r="OJC16" s="289"/>
      <c r="OJD16" s="289"/>
      <c r="OJE16" s="289"/>
      <c r="OJF16" s="289"/>
      <c r="OJG16" s="289"/>
      <c r="OJH16" s="289"/>
      <c r="OJI16" s="289"/>
      <c r="OJJ16" s="289"/>
      <c r="OJK16" s="289"/>
      <c r="OJL16" s="289"/>
      <c r="OJM16" s="289"/>
      <c r="OJN16" s="289"/>
      <c r="OJO16" s="289"/>
      <c r="OJP16" s="289"/>
      <c r="OJQ16" s="289"/>
      <c r="OJR16" s="289"/>
      <c r="OJS16" s="289"/>
      <c r="OJT16" s="289"/>
      <c r="OJU16" s="289"/>
      <c r="OJV16" s="289"/>
      <c r="OJW16" s="289"/>
      <c r="OJX16" s="289"/>
      <c r="OJY16" s="289"/>
      <c r="OJZ16" s="289"/>
      <c r="OKA16" s="289"/>
      <c r="OKB16" s="289"/>
      <c r="OKC16" s="289"/>
      <c r="OKD16" s="289"/>
      <c r="OKE16" s="289"/>
      <c r="OKF16" s="289"/>
      <c r="OKG16" s="289"/>
      <c r="OKH16" s="289"/>
      <c r="OKI16" s="289"/>
      <c r="OKJ16" s="289"/>
      <c r="OKK16" s="289"/>
      <c r="OKL16" s="289"/>
      <c r="OKM16" s="289"/>
      <c r="OKN16" s="289"/>
      <c r="OKO16" s="289"/>
      <c r="OKP16" s="289"/>
      <c r="OKQ16" s="289"/>
      <c r="OKR16" s="289"/>
      <c r="OKS16" s="289"/>
      <c r="OKT16" s="289"/>
      <c r="OKU16" s="289"/>
      <c r="OKV16" s="289"/>
      <c r="OKW16" s="289"/>
      <c r="OKX16" s="289"/>
      <c r="OKY16" s="289"/>
      <c r="OKZ16" s="289"/>
      <c r="OLA16" s="289"/>
      <c r="OLB16" s="289"/>
      <c r="OLC16" s="289"/>
      <c r="OLD16" s="289"/>
      <c r="OLE16" s="289"/>
      <c r="OLF16" s="289"/>
      <c r="OLG16" s="289"/>
      <c r="OLH16" s="289"/>
      <c r="OLI16" s="289"/>
      <c r="OLJ16" s="289"/>
      <c r="OLK16" s="289"/>
      <c r="OLL16" s="289"/>
      <c r="OLM16" s="289"/>
      <c r="OLN16" s="289"/>
      <c r="OLO16" s="289"/>
      <c r="OLP16" s="289"/>
      <c r="OLQ16" s="289"/>
      <c r="OLR16" s="289"/>
      <c r="OLS16" s="289"/>
      <c r="OLT16" s="289"/>
      <c r="OLU16" s="289"/>
      <c r="OLV16" s="289"/>
      <c r="OLW16" s="289"/>
      <c r="OLX16" s="289"/>
      <c r="OLY16" s="289"/>
      <c r="OLZ16" s="289"/>
      <c r="OMA16" s="289"/>
      <c r="OMB16" s="289"/>
      <c r="OMC16" s="289"/>
      <c r="OMD16" s="289"/>
      <c r="OME16" s="289"/>
      <c r="OMF16" s="289"/>
      <c r="OMG16" s="289"/>
      <c r="OMH16" s="289"/>
      <c r="OMI16" s="289"/>
      <c r="OMJ16" s="289"/>
      <c r="OMK16" s="289"/>
      <c r="OML16" s="289"/>
      <c r="OMM16" s="289"/>
      <c r="OMN16" s="289"/>
      <c r="OMO16" s="289"/>
      <c r="OMP16" s="289"/>
      <c r="OMQ16" s="289"/>
      <c r="OMR16" s="289"/>
      <c r="OMS16" s="289"/>
      <c r="OMT16" s="289"/>
      <c r="OMU16" s="289"/>
      <c r="OMV16" s="289"/>
      <c r="OMW16" s="289"/>
      <c r="OMX16" s="289"/>
      <c r="OMY16" s="289"/>
      <c r="OMZ16" s="289"/>
      <c r="ONA16" s="289"/>
      <c r="ONB16" s="289"/>
      <c r="ONC16" s="289"/>
      <c r="OND16" s="289"/>
      <c r="ONE16" s="289"/>
      <c r="ONF16" s="289"/>
      <c r="ONG16" s="289"/>
      <c r="ONH16" s="289"/>
      <c r="ONI16" s="289"/>
      <c r="ONJ16" s="289"/>
      <c r="ONK16" s="289"/>
      <c r="ONL16" s="289"/>
      <c r="ONM16" s="289"/>
      <c r="ONN16" s="289"/>
      <c r="ONO16" s="289"/>
      <c r="ONP16" s="289"/>
      <c r="ONQ16" s="289"/>
      <c r="ONR16" s="289"/>
      <c r="ONS16" s="289"/>
      <c r="ONT16" s="289"/>
      <c r="ONU16" s="289"/>
      <c r="ONV16" s="289"/>
      <c r="ONW16" s="289"/>
      <c r="ONX16" s="289"/>
      <c r="ONY16" s="289"/>
      <c r="ONZ16" s="289"/>
      <c r="OOA16" s="289"/>
      <c r="OOB16" s="289"/>
      <c r="OOC16" s="289"/>
      <c r="OOD16" s="289"/>
      <c r="OOE16" s="289"/>
      <c r="OOF16" s="289"/>
      <c r="OOG16" s="289"/>
      <c r="OOH16" s="289"/>
      <c r="OOI16" s="289"/>
      <c r="OOJ16" s="289"/>
      <c r="OOK16" s="289"/>
      <c r="OOL16" s="289"/>
      <c r="OOM16" s="289"/>
      <c r="OON16" s="289"/>
      <c r="OOO16" s="289"/>
      <c r="OOP16" s="289"/>
      <c r="OOQ16" s="289"/>
      <c r="OOR16" s="289"/>
      <c r="OOS16" s="289"/>
      <c r="OOT16" s="289"/>
      <c r="OOU16" s="289"/>
      <c r="OOV16" s="289"/>
      <c r="OOW16" s="289"/>
      <c r="OOX16" s="289"/>
      <c r="OOY16" s="289"/>
      <c r="OOZ16" s="289"/>
      <c r="OPA16" s="289"/>
      <c r="OPB16" s="289"/>
      <c r="OPC16" s="289"/>
      <c r="OPD16" s="289"/>
      <c r="OPE16" s="289"/>
      <c r="OPF16" s="289"/>
      <c r="OPG16" s="289"/>
      <c r="OPH16" s="289"/>
      <c r="OPI16" s="289"/>
      <c r="OPJ16" s="289"/>
      <c r="OPK16" s="289"/>
      <c r="OPL16" s="289"/>
      <c r="OPM16" s="289"/>
      <c r="OPN16" s="289"/>
      <c r="OPO16" s="289"/>
      <c r="OPP16" s="289"/>
      <c r="OPQ16" s="289"/>
      <c r="OPR16" s="289"/>
      <c r="OPS16" s="289"/>
      <c r="OPT16" s="289"/>
      <c r="OPU16" s="289"/>
      <c r="OPV16" s="289"/>
      <c r="OPW16" s="289"/>
      <c r="OPX16" s="289"/>
      <c r="OPY16" s="289"/>
      <c r="OPZ16" s="289"/>
      <c r="OQA16" s="289"/>
      <c r="OQB16" s="289"/>
      <c r="OQC16" s="289"/>
      <c r="OQD16" s="289"/>
      <c r="OQE16" s="289"/>
      <c r="OQF16" s="289"/>
      <c r="OQG16" s="289"/>
      <c r="OQH16" s="289"/>
      <c r="OQI16" s="289"/>
      <c r="OQJ16" s="289"/>
      <c r="OQK16" s="289"/>
      <c r="OQL16" s="289"/>
      <c r="OQM16" s="289"/>
      <c r="OQN16" s="289"/>
      <c r="OQO16" s="289"/>
      <c r="OQP16" s="289"/>
      <c r="OQQ16" s="289"/>
      <c r="OQR16" s="289"/>
      <c r="OQS16" s="289"/>
      <c r="OQT16" s="289"/>
      <c r="OQU16" s="289"/>
      <c r="OQV16" s="289"/>
      <c r="OQW16" s="289"/>
      <c r="OQX16" s="289"/>
      <c r="OQY16" s="289"/>
      <c r="OQZ16" s="289"/>
      <c r="ORA16" s="289"/>
      <c r="ORB16" s="289"/>
      <c r="ORC16" s="289"/>
      <c r="ORD16" s="289"/>
      <c r="ORE16" s="289"/>
      <c r="ORF16" s="289"/>
      <c r="ORG16" s="289"/>
      <c r="ORH16" s="289"/>
      <c r="ORI16" s="289"/>
      <c r="ORJ16" s="289"/>
      <c r="ORK16" s="289"/>
      <c r="ORL16" s="289"/>
      <c r="ORM16" s="289"/>
      <c r="ORN16" s="289"/>
      <c r="ORO16" s="289"/>
      <c r="ORP16" s="289"/>
      <c r="ORQ16" s="289"/>
      <c r="ORR16" s="289"/>
      <c r="ORS16" s="289"/>
      <c r="ORT16" s="289"/>
      <c r="ORU16" s="289"/>
      <c r="ORV16" s="289"/>
      <c r="ORW16" s="289"/>
      <c r="ORX16" s="289"/>
      <c r="ORY16" s="289"/>
      <c r="ORZ16" s="289"/>
      <c r="OSA16" s="289"/>
      <c r="OSB16" s="289"/>
      <c r="OSC16" s="289"/>
      <c r="OSD16" s="289"/>
      <c r="OSE16" s="289"/>
      <c r="OSF16" s="289"/>
      <c r="OSG16" s="289"/>
      <c r="OSH16" s="289"/>
      <c r="OSI16" s="289"/>
      <c r="OSJ16" s="289"/>
      <c r="OSK16" s="289"/>
      <c r="OSL16" s="289"/>
      <c r="OSM16" s="289"/>
      <c r="OSN16" s="289"/>
      <c r="OSO16" s="289"/>
      <c r="OSP16" s="289"/>
      <c r="OSQ16" s="289"/>
      <c r="OSR16" s="289"/>
      <c r="OSS16" s="289"/>
      <c r="OST16" s="289"/>
      <c r="OSU16" s="289"/>
      <c r="OSV16" s="289"/>
      <c r="OSW16" s="289"/>
      <c r="OSX16" s="289"/>
      <c r="OSY16" s="289"/>
      <c r="OSZ16" s="289"/>
      <c r="OTA16" s="289"/>
      <c r="OTB16" s="289"/>
      <c r="OTC16" s="289"/>
      <c r="OTD16" s="289"/>
      <c r="OTE16" s="289"/>
      <c r="OTF16" s="289"/>
      <c r="OTG16" s="289"/>
      <c r="OTH16" s="289"/>
      <c r="OTI16" s="289"/>
      <c r="OTJ16" s="289"/>
      <c r="OTK16" s="289"/>
      <c r="OTL16" s="289"/>
      <c r="OTM16" s="289"/>
      <c r="OTN16" s="289"/>
      <c r="OTO16" s="289"/>
      <c r="OTP16" s="289"/>
      <c r="OTQ16" s="289"/>
      <c r="OTR16" s="289"/>
      <c r="OTS16" s="289"/>
      <c r="OTT16" s="289"/>
      <c r="OTU16" s="289"/>
      <c r="OTV16" s="289"/>
      <c r="OTW16" s="289"/>
      <c r="OTX16" s="289"/>
      <c r="OTY16" s="289"/>
      <c r="OTZ16" s="289"/>
      <c r="OUA16" s="289"/>
      <c r="OUB16" s="289"/>
      <c r="OUC16" s="289"/>
      <c r="OUD16" s="289"/>
      <c r="OUE16" s="289"/>
      <c r="OUF16" s="289"/>
      <c r="OUG16" s="289"/>
      <c r="OUH16" s="289"/>
      <c r="OUI16" s="289"/>
      <c r="OUJ16" s="289"/>
      <c r="OUK16" s="289"/>
      <c r="OUL16" s="289"/>
      <c r="OUM16" s="289"/>
      <c r="OUN16" s="289"/>
      <c r="OUO16" s="289"/>
      <c r="OUP16" s="289"/>
      <c r="OUQ16" s="289"/>
      <c r="OUR16" s="289"/>
      <c r="OUS16" s="289"/>
      <c r="OUT16" s="289"/>
      <c r="OUU16" s="289"/>
      <c r="OUV16" s="289"/>
      <c r="OUW16" s="289"/>
      <c r="OUX16" s="289"/>
      <c r="OUY16" s="289"/>
      <c r="OUZ16" s="289"/>
      <c r="OVA16" s="289"/>
      <c r="OVB16" s="289"/>
      <c r="OVC16" s="289"/>
      <c r="OVD16" s="289"/>
      <c r="OVE16" s="289"/>
      <c r="OVF16" s="289"/>
      <c r="OVG16" s="289"/>
      <c r="OVH16" s="289"/>
      <c r="OVI16" s="289"/>
      <c r="OVJ16" s="289"/>
      <c r="OVK16" s="289"/>
      <c r="OVL16" s="289"/>
      <c r="OVM16" s="289"/>
      <c r="OVN16" s="289"/>
      <c r="OVO16" s="289"/>
      <c r="OVP16" s="289"/>
      <c r="OVQ16" s="289"/>
      <c r="OVR16" s="289"/>
      <c r="OVS16" s="289"/>
      <c r="OVT16" s="289"/>
      <c r="OVU16" s="289"/>
      <c r="OVV16" s="289"/>
      <c r="OVW16" s="289"/>
      <c r="OVX16" s="289"/>
      <c r="OVY16" s="289"/>
      <c r="OVZ16" s="289"/>
      <c r="OWA16" s="289"/>
      <c r="OWB16" s="289"/>
      <c r="OWC16" s="289"/>
      <c r="OWD16" s="289"/>
      <c r="OWE16" s="289"/>
      <c r="OWF16" s="289"/>
      <c r="OWG16" s="289"/>
      <c r="OWH16" s="289"/>
      <c r="OWI16" s="289"/>
      <c r="OWJ16" s="289"/>
      <c r="OWK16" s="289"/>
      <c r="OWL16" s="289"/>
      <c r="OWM16" s="289"/>
      <c r="OWN16" s="289"/>
      <c r="OWO16" s="289"/>
      <c r="OWP16" s="289"/>
      <c r="OWQ16" s="289"/>
      <c r="OWR16" s="289"/>
      <c r="OWS16" s="289"/>
      <c r="OWT16" s="289"/>
      <c r="OWU16" s="289"/>
      <c r="OWV16" s="289"/>
      <c r="OWW16" s="289"/>
      <c r="OWX16" s="289"/>
      <c r="OWY16" s="289"/>
      <c r="OWZ16" s="289"/>
      <c r="OXA16" s="289"/>
      <c r="OXB16" s="289"/>
      <c r="OXC16" s="289"/>
      <c r="OXD16" s="289"/>
      <c r="OXE16" s="289"/>
      <c r="OXF16" s="289"/>
      <c r="OXG16" s="289"/>
      <c r="OXH16" s="289"/>
      <c r="OXI16" s="289"/>
      <c r="OXJ16" s="289"/>
      <c r="OXK16" s="289"/>
      <c r="OXL16" s="289"/>
      <c r="OXM16" s="289"/>
      <c r="OXN16" s="289"/>
      <c r="OXO16" s="289"/>
      <c r="OXP16" s="289"/>
      <c r="OXQ16" s="289"/>
      <c r="OXR16" s="289"/>
      <c r="OXS16" s="289"/>
      <c r="OXT16" s="289"/>
      <c r="OXU16" s="289"/>
      <c r="OXV16" s="289"/>
      <c r="OXW16" s="289"/>
      <c r="OXX16" s="289"/>
      <c r="OXY16" s="289"/>
      <c r="OXZ16" s="289"/>
      <c r="OYA16" s="289"/>
      <c r="OYB16" s="289"/>
      <c r="OYC16" s="289"/>
      <c r="OYD16" s="289"/>
      <c r="OYE16" s="289"/>
      <c r="OYF16" s="289"/>
      <c r="OYG16" s="289"/>
      <c r="OYH16" s="289"/>
      <c r="OYI16" s="289"/>
      <c r="OYJ16" s="289"/>
      <c r="OYK16" s="289"/>
      <c r="OYL16" s="289"/>
      <c r="OYM16" s="289"/>
      <c r="OYN16" s="289"/>
      <c r="OYO16" s="289"/>
      <c r="OYP16" s="289"/>
      <c r="OYQ16" s="289"/>
      <c r="OYR16" s="289"/>
      <c r="OYS16" s="289"/>
      <c r="OYT16" s="289"/>
      <c r="OYU16" s="289"/>
      <c r="OYV16" s="289"/>
      <c r="OYW16" s="289"/>
      <c r="OYX16" s="289"/>
      <c r="OYY16" s="289"/>
      <c r="OYZ16" s="289"/>
      <c r="OZA16" s="289"/>
      <c r="OZB16" s="289"/>
      <c r="OZC16" s="289"/>
      <c r="OZD16" s="289"/>
      <c r="OZE16" s="289"/>
      <c r="OZF16" s="289"/>
      <c r="OZG16" s="289"/>
      <c r="OZH16" s="289"/>
      <c r="OZI16" s="289"/>
      <c r="OZJ16" s="289"/>
      <c r="OZK16" s="289"/>
      <c r="OZL16" s="289"/>
      <c r="OZM16" s="289"/>
      <c r="OZN16" s="289"/>
      <c r="OZO16" s="289"/>
      <c r="OZP16" s="289"/>
      <c r="OZQ16" s="289"/>
      <c r="OZR16" s="289"/>
      <c r="OZS16" s="289"/>
      <c r="OZT16" s="289"/>
      <c r="OZU16" s="289"/>
      <c r="OZV16" s="289"/>
      <c r="OZW16" s="289"/>
      <c r="OZX16" s="289"/>
      <c r="OZY16" s="289"/>
      <c r="OZZ16" s="289"/>
      <c r="PAA16" s="289"/>
      <c r="PAB16" s="289"/>
      <c r="PAC16" s="289"/>
      <c r="PAD16" s="289"/>
      <c r="PAE16" s="289"/>
      <c r="PAF16" s="289"/>
      <c r="PAG16" s="289"/>
      <c r="PAH16" s="289"/>
      <c r="PAI16" s="289"/>
      <c r="PAJ16" s="289"/>
      <c r="PAK16" s="289"/>
      <c r="PAL16" s="289"/>
      <c r="PAM16" s="289"/>
      <c r="PAN16" s="289"/>
      <c r="PAO16" s="289"/>
      <c r="PAP16" s="289"/>
      <c r="PAQ16" s="289"/>
      <c r="PAR16" s="289"/>
      <c r="PAS16" s="289"/>
      <c r="PAT16" s="289"/>
      <c r="PAU16" s="289"/>
      <c r="PAV16" s="289"/>
      <c r="PAW16" s="289"/>
      <c r="PAX16" s="289"/>
      <c r="PAY16" s="289"/>
      <c r="PAZ16" s="289"/>
      <c r="PBA16" s="289"/>
      <c r="PBB16" s="289"/>
      <c r="PBC16" s="289"/>
      <c r="PBD16" s="289"/>
      <c r="PBE16" s="289"/>
      <c r="PBF16" s="289"/>
      <c r="PBG16" s="289"/>
      <c r="PBH16" s="289"/>
      <c r="PBI16" s="289"/>
      <c r="PBJ16" s="289"/>
      <c r="PBK16" s="289"/>
      <c r="PBL16" s="289"/>
      <c r="PBM16" s="289"/>
      <c r="PBN16" s="289"/>
      <c r="PBO16" s="289"/>
      <c r="PBP16" s="289"/>
      <c r="PBQ16" s="289"/>
      <c r="PBR16" s="289"/>
      <c r="PBS16" s="289"/>
      <c r="PBT16" s="289"/>
      <c r="PBU16" s="289"/>
      <c r="PBV16" s="289"/>
      <c r="PBW16" s="289"/>
      <c r="PBX16" s="289"/>
      <c r="PBY16" s="289"/>
      <c r="PBZ16" s="289"/>
      <c r="PCA16" s="289"/>
      <c r="PCB16" s="289"/>
      <c r="PCC16" s="289"/>
      <c r="PCD16" s="289"/>
      <c r="PCE16" s="289"/>
      <c r="PCF16" s="289"/>
      <c r="PCG16" s="289"/>
      <c r="PCH16" s="289"/>
      <c r="PCI16" s="289"/>
      <c r="PCJ16" s="289"/>
      <c r="PCK16" s="289"/>
      <c r="PCL16" s="289"/>
      <c r="PCM16" s="289"/>
      <c r="PCN16" s="289"/>
      <c r="PCO16" s="289"/>
      <c r="PCP16" s="289"/>
      <c r="PCQ16" s="289"/>
      <c r="PCR16" s="289"/>
      <c r="PCS16" s="289"/>
      <c r="PCT16" s="289"/>
      <c r="PCU16" s="289"/>
      <c r="PCV16" s="289"/>
      <c r="PCW16" s="289"/>
      <c r="PCX16" s="289"/>
      <c r="PCY16" s="289"/>
      <c r="PCZ16" s="289"/>
      <c r="PDA16" s="289"/>
      <c r="PDB16" s="289"/>
      <c r="PDC16" s="289"/>
      <c r="PDD16" s="289"/>
      <c r="PDE16" s="289"/>
      <c r="PDF16" s="289"/>
      <c r="PDG16" s="289"/>
      <c r="PDH16" s="289"/>
      <c r="PDI16" s="289"/>
      <c r="PDJ16" s="289"/>
      <c r="PDK16" s="289"/>
      <c r="PDL16" s="289"/>
      <c r="PDM16" s="289"/>
      <c r="PDN16" s="289"/>
      <c r="PDO16" s="289"/>
      <c r="PDP16" s="289"/>
      <c r="PDQ16" s="289"/>
      <c r="PDR16" s="289"/>
      <c r="PDS16" s="289"/>
      <c r="PDT16" s="289"/>
      <c r="PDU16" s="289"/>
      <c r="PDV16" s="289"/>
      <c r="PDW16" s="289"/>
      <c r="PDX16" s="289"/>
      <c r="PDY16" s="289"/>
      <c r="PDZ16" s="289"/>
      <c r="PEA16" s="289"/>
      <c r="PEB16" s="289"/>
      <c r="PEC16" s="289"/>
      <c r="PED16" s="289"/>
      <c r="PEE16" s="289"/>
      <c r="PEF16" s="289"/>
      <c r="PEG16" s="289"/>
      <c r="PEH16" s="289"/>
      <c r="PEI16" s="289"/>
      <c r="PEJ16" s="289"/>
      <c r="PEK16" s="289"/>
      <c r="PEL16" s="289"/>
      <c r="PEM16" s="289"/>
      <c r="PEN16" s="289"/>
      <c r="PEO16" s="289"/>
      <c r="PEP16" s="289"/>
      <c r="PEQ16" s="289"/>
      <c r="PER16" s="289"/>
      <c r="PES16" s="289"/>
      <c r="PET16" s="289"/>
      <c r="PEU16" s="289"/>
      <c r="PEV16" s="289"/>
      <c r="PEW16" s="289"/>
      <c r="PEX16" s="289"/>
      <c r="PEY16" s="289"/>
      <c r="PEZ16" s="289"/>
      <c r="PFA16" s="289"/>
      <c r="PFB16" s="289"/>
      <c r="PFC16" s="289"/>
      <c r="PFD16" s="289"/>
      <c r="PFE16" s="289"/>
      <c r="PFF16" s="289"/>
      <c r="PFG16" s="289"/>
      <c r="PFH16" s="289"/>
      <c r="PFI16" s="289"/>
      <c r="PFJ16" s="289"/>
      <c r="PFK16" s="289"/>
      <c r="PFL16" s="289"/>
      <c r="PFM16" s="289"/>
      <c r="PFN16" s="289"/>
      <c r="PFO16" s="289"/>
      <c r="PFP16" s="289"/>
      <c r="PFQ16" s="289"/>
      <c r="PFR16" s="289"/>
      <c r="PFS16" s="289"/>
      <c r="PFT16" s="289"/>
      <c r="PFU16" s="289"/>
      <c r="PFV16" s="289"/>
      <c r="PFW16" s="289"/>
      <c r="PFX16" s="289"/>
      <c r="PFY16" s="289"/>
      <c r="PFZ16" s="289"/>
      <c r="PGA16" s="289"/>
      <c r="PGB16" s="289"/>
      <c r="PGC16" s="289"/>
      <c r="PGD16" s="289"/>
      <c r="PGE16" s="289"/>
      <c r="PGF16" s="289"/>
      <c r="PGG16" s="289"/>
      <c r="PGH16" s="289"/>
      <c r="PGI16" s="289"/>
      <c r="PGJ16" s="289"/>
      <c r="PGK16" s="289"/>
      <c r="PGL16" s="289"/>
      <c r="PGM16" s="289"/>
      <c r="PGN16" s="289"/>
      <c r="PGO16" s="289"/>
      <c r="PGP16" s="289"/>
      <c r="PGQ16" s="289"/>
      <c r="PGR16" s="289"/>
      <c r="PGS16" s="289"/>
      <c r="PGT16" s="289"/>
      <c r="PGU16" s="289"/>
      <c r="PGV16" s="289"/>
      <c r="PGW16" s="289"/>
      <c r="PGX16" s="289"/>
      <c r="PGY16" s="289"/>
      <c r="PGZ16" s="289"/>
      <c r="PHA16" s="289"/>
      <c r="PHB16" s="289"/>
      <c r="PHC16" s="289"/>
      <c r="PHD16" s="289"/>
      <c r="PHE16" s="289"/>
      <c r="PHF16" s="289"/>
      <c r="PHG16" s="289"/>
      <c r="PHH16" s="289"/>
      <c r="PHI16" s="289"/>
      <c r="PHJ16" s="289"/>
      <c r="PHK16" s="289"/>
      <c r="PHL16" s="289"/>
      <c r="PHM16" s="289"/>
      <c r="PHN16" s="289"/>
      <c r="PHO16" s="289"/>
      <c r="PHP16" s="289"/>
      <c r="PHQ16" s="289"/>
      <c r="PHR16" s="289"/>
      <c r="PHS16" s="289"/>
      <c r="PHT16" s="289"/>
      <c r="PHU16" s="289"/>
      <c r="PHV16" s="289"/>
      <c r="PHW16" s="289"/>
      <c r="PHX16" s="289"/>
      <c r="PHY16" s="289"/>
      <c r="PHZ16" s="289"/>
      <c r="PIA16" s="289"/>
      <c r="PIB16" s="289"/>
      <c r="PIC16" s="289"/>
      <c r="PID16" s="289"/>
      <c r="PIE16" s="289"/>
      <c r="PIF16" s="289"/>
      <c r="PIG16" s="289"/>
      <c r="PIH16" s="289"/>
      <c r="PII16" s="289"/>
      <c r="PIJ16" s="289"/>
      <c r="PIK16" s="289"/>
      <c r="PIL16" s="289"/>
      <c r="PIM16" s="289"/>
      <c r="PIN16" s="289"/>
      <c r="PIO16" s="289"/>
      <c r="PIP16" s="289"/>
      <c r="PIQ16" s="289"/>
      <c r="PIR16" s="289"/>
      <c r="PIS16" s="289"/>
      <c r="PIT16" s="289"/>
      <c r="PIU16" s="289"/>
      <c r="PIV16" s="289"/>
      <c r="PIW16" s="289"/>
      <c r="PIX16" s="289"/>
      <c r="PIY16" s="289"/>
      <c r="PIZ16" s="289"/>
      <c r="PJA16" s="289"/>
      <c r="PJB16" s="289"/>
      <c r="PJC16" s="289"/>
      <c r="PJD16" s="289"/>
      <c r="PJE16" s="289"/>
      <c r="PJF16" s="289"/>
      <c r="PJG16" s="289"/>
      <c r="PJH16" s="289"/>
      <c r="PJI16" s="289"/>
      <c r="PJJ16" s="289"/>
      <c r="PJK16" s="289"/>
      <c r="PJL16" s="289"/>
      <c r="PJM16" s="289"/>
      <c r="PJN16" s="289"/>
      <c r="PJO16" s="289"/>
      <c r="PJP16" s="289"/>
      <c r="PJQ16" s="289"/>
      <c r="PJR16" s="289"/>
      <c r="PJS16" s="289"/>
      <c r="PJT16" s="289"/>
      <c r="PJU16" s="289"/>
      <c r="PJV16" s="289"/>
      <c r="PJW16" s="289"/>
      <c r="PJX16" s="289"/>
      <c r="PJY16" s="289"/>
      <c r="PJZ16" s="289"/>
      <c r="PKA16" s="289"/>
      <c r="PKB16" s="289"/>
      <c r="PKC16" s="289"/>
      <c r="PKD16" s="289"/>
      <c r="PKE16" s="289"/>
      <c r="PKF16" s="289"/>
      <c r="PKG16" s="289"/>
      <c r="PKH16" s="289"/>
      <c r="PKI16" s="289"/>
      <c r="PKJ16" s="289"/>
      <c r="PKK16" s="289"/>
      <c r="PKL16" s="289"/>
      <c r="PKM16" s="289"/>
      <c r="PKN16" s="289"/>
      <c r="PKO16" s="289"/>
      <c r="PKP16" s="289"/>
      <c r="PKQ16" s="289"/>
      <c r="PKR16" s="289"/>
      <c r="PKS16" s="289"/>
      <c r="PKT16" s="289"/>
      <c r="PKU16" s="289"/>
      <c r="PKV16" s="289"/>
      <c r="PKW16" s="289"/>
      <c r="PKX16" s="289"/>
      <c r="PKY16" s="289"/>
      <c r="PKZ16" s="289"/>
      <c r="PLA16" s="289"/>
      <c r="PLB16" s="289"/>
      <c r="PLC16" s="289"/>
      <c r="PLD16" s="289"/>
      <c r="PLE16" s="289"/>
      <c r="PLF16" s="289"/>
      <c r="PLG16" s="289"/>
      <c r="PLH16" s="289"/>
      <c r="PLI16" s="289"/>
      <c r="PLJ16" s="289"/>
      <c r="PLK16" s="289"/>
      <c r="PLL16" s="289"/>
      <c r="PLM16" s="289"/>
      <c r="PLN16" s="289"/>
      <c r="PLO16" s="289"/>
      <c r="PLP16" s="289"/>
      <c r="PLQ16" s="289"/>
      <c r="PLR16" s="289"/>
      <c r="PLS16" s="289"/>
      <c r="PLT16" s="289"/>
      <c r="PLU16" s="289"/>
      <c r="PLV16" s="289"/>
      <c r="PLW16" s="289"/>
      <c r="PLX16" s="289"/>
      <c r="PLY16" s="289"/>
      <c r="PLZ16" s="289"/>
      <c r="PMA16" s="289"/>
      <c r="PMB16" s="289"/>
      <c r="PMC16" s="289"/>
      <c r="PMD16" s="289"/>
      <c r="PME16" s="289"/>
      <c r="PMF16" s="289"/>
      <c r="PMG16" s="289"/>
      <c r="PMH16" s="289"/>
      <c r="PMI16" s="289"/>
      <c r="PMJ16" s="289"/>
      <c r="PMK16" s="289"/>
      <c r="PML16" s="289"/>
      <c r="PMM16" s="289"/>
      <c r="PMN16" s="289"/>
      <c r="PMO16" s="289"/>
      <c r="PMP16" s="289"/>
      <c r="PMQ16" s="289"/>
      <c r="PMR16" s="289"/>
      <c r="PMS16" s="289"/>
      <c r="PMT16" s="289"/>
      <c r="PMU16" s="289"/>
      <c r="PMV16" s="289"/>
      <c r="PMW16" s="289"/>
      <c r="PMX16" s="289"/>
      <c r="PMY16" s="289"/>
      <c r="PMZ16" s="289"/>
      <c r="PNA16" s="289"/>
      <c r="PNB16" s="289"/>
      <c r="PNC16" s="289"/>
      <c r="PND16" s="289"/>
      <c r="PNE16" s="289"/>
      <c r="PNF16" s="289"/>
      <c r="PNG16" s="289"/>
      <c r="PNH16" s="289"/>
      <c r="PNI16" s="289"/>
      <c r="PNJ16" s="289"/>
      <c r="PNK16" s="289"/>
      <c r="PNL16" s="289"/>
      <c r="PNM16" s="289"/>
      <c r="PNN16" s="289"/>
      <c r="PNO16" s="289"/>
      <c r="PNP16" s="289"/>
      <c r="PNQ16" s="289"/>
      <c r="PNR16" s="289"/>
      <c r="PNS16" s="289"/>
      <c r="PNT16" s="289"/>
      <c r="PNU16" s="289"/>
      <c r="PNV16" s="289"/>
      <c r="PNW16" s="289"/>
      <c r="PNX16" s="289"/>
      <c r="PNY16" s="289"/>
      <c r="PNZ16" s="289"/>
      <c r="POA16" s="289"/>
      <c r="POB16" s="289"/>
      <c r="POC16" s="289"/>
      <c r="POD16" s="289"/>
      <c r="POE16" s="289"/>
      <c r="POF16" s="289"/>
      <c r="POG16" s="289"/>
      <c r="POH16" s="289"/>
      <c r="POI16" s="289"/>
      <c r="POJ16" s="289"/>
      <c r="POK16" s="289"/>
      <c r="POL16" s="289"/>
      <c r="POM16" s="289"/>
      <c r="PON16" s="289"/>
      <c r="POO16" s="289"/>
      <c r="POP16" s="289"/>
      <c r="POQ16" s="289"/>
      <c r="POR16" s="289"/>
      <c r="POS16" s="289"/>
      <c r="POT16" s="289"/>
      <c r="POU16" s="289"/>
      <c r="POV16" s="289"/>
      <c r="POW16" s="289"/>
      <c r="POX16" s="289"/>
      <c r="POY16" s="289"/>
      <c r="POZ16" s="289"/>
      <c r="PPA16" s="289"/>
      <c r="PPB16" s="289"/>
      <c r="PPC16" s="289"/>
      <c r="PPD16" s="289"/>
      <c r="PPE16" s="289"/>
      <c r="PPF16" s="289"/>
      <c r="PPG16" s="289"/>
      <c r="PPH16" s="289"/>
      <c r="PPI16" s="289"/>
      <c r="PPJ16" s="289"/>
      <c r="PPK16" s="289"/>
      <c r="PPL16" s="289"/>
      <c r="PPM16" s="289"/>
      <c r="PPN16" s="289"/>
      <c r="PPO16" s="289"/>
      <c r="PPP16" s="289"/>
      <c r="PPQ16" s="289"/>
      <c r="PPR16" s="289"/>
      <c r="PPS16" s="289"/>
      <c r="PPT16" s="289"/>
      <c r="PPU16" s="289"/>
      <c r="PPV16" s="289"/>
      <c r="PPW16" s="289"/>
      <c r="PPX16" s="289"/>
      <c r="PPY16" s="289"/>
      <c r="PPZ16" s="289"/>
      <c r="PQA16" s="289"/>
      <c r="PQB16" s="289"/>
      <c r="PQC16" s="289"/>
      <c r="PQD16" s="289"/>
      <c r="PQE16" s="289"/>
      <c r="PQF16" s="289"/>
      <c r="PQG16" s="289"/>
      <c r="PQH16" s="289"/>
      <c r="PQI16" s="289"/>
      <c r="PQJ16" s="289"/>
      <c r="PQK16" s="289"/>
      <c r="PQL16" s="289"/>
      <c r="PQM16" s="289"/>
      <c r="PQN16" s="289"/>
      <c r="PQO16" s="289"/>
      <c r="PQP16" s="289"/>
      <c r="PQQ16" s="289"/>
      <c r="PQR16" s="289"/>
      <c r="PQS16" s="289"/>
      <c r="PQT16" s="289"/>
      <c r="PQU16" s="289"/>
      <c r="PQV16" s="289"/>
      <c r="PQW16" s="289"/>
      <c r="PQX16" s="289"/>
      <c r="PQY16" s="289"/>
      <c r="PQZ16" s="289"/>
      <c r="PRA16" s="289"/>
      <c r="PRB16" s="289"/>
      <c r="PRC16" s="289"/>
      <c r="PRD16" s="289"/>
      <c r="PRE16" s="289"/>
      <c r="PRF16" s="289"/>
      <c r="PRG16" s="289"/>
      <c r="PRH16" s="289"/>
      <c r="PRI16" s="289"/>
      <c r="PRJ16" s="289"/>
      <c r="PRK16" s="289"/>
      <c r="PRL16" s="289"/>
      <c r="PRM16" s="289"/>
      <c r="PRN16" s="289"/>
      <c r="PRO16" s="289"/>
      <c r="PRP16" s="289"/>
      <c r="PRQ16" s="289"/>
      <c r="PRR16" s="289"/>
      <c r="PRS16" s="289"/>
      <c r="PRT16" s="289"/>
      <c r="PRU16" s="289"/>
      <c r="PRV16" s="289"/>
      <c r="PRW16" s="289"/>
      <c r="PRX16" s="289"/>
      <c r="PRY16" s="289"/>
      <c r="PRZ16" s="289"/>
      <c r="PSA16" s="289"/>
      <c r="PSB16" s="289"/>
      <c r="PSC16" s="289"/>
      <c r="PSD16" s="289"/>
      <c r="PSE16" s="289"/>
      <c r="PSF16" s="289"/>
      <c r="PSG16" s="289"/>
      <c r="PSH16" s="289"/>
      <c r="PSI16" s="289"/>
      <c r="PSJ16" s="289"/>
      <c r="PSK16" s="289"/>
      <c r="PSL16" s="289"/>
      <c r="PSM16" s="289"/>
      <c r="PSN16" s="289"/>
      <c r="PSO16" s="289"/>
      <c r="PSP16" s="289"/>
      <c r="PSQ16" s="289"/>
      <c r="PSR16" s="289"/>
      <c r="PSS16" s="289"/>
      <c r="PST16" s="289"/>
      <c r="PSU16" s="289"/>
      <c r="PSV16" s="289"/>
      <c r="PSW16" s="289"/>
      <c r="PSX16" s="289"/>
      <c r="PSY16" s="289"/>
      <c r="PSZ16" s="289"/>
      <c r="PTA16" s="289"/>
      <c r="PTB16" s="289"/>
      <c r="PTC16" s="289"/>
      <c r="PTD16" s="289"/>
      <c r="PTE16" s="289"/>
      <c r="PTF16" s="289"/>
      <c r="PTG16" s="289"/>
      <c r="PTH16" s="289"/>
      <c r="PTI16" s="289"/>
      <c r="PTJ16" s="289"/>
      <c r="PTK16" s="289"/>
      <c r="PTL16" s="289"/>
      <c r="PTM16" s="289"/>
      <c r="PTN16" s="289"/>
      <c r="PTO16" s="289"/>
      <c r="PTP16" s="289"/>
      <c r="PTQ16" s="289"/>
      <c r="PTR16" s="289"/>
      <c r="PTS16" s="289"/>
      <c r="PTT16" s="289"/>
      <c r="PTU16" s="289"/>
      <c r="PTV16" s="289"/>
      <c r="PTW16" s="289"/>
      <c r="PTX16" s="289"/>
      <c r="PTY16" s="289"/>
      <c r="PTZ16" s="289"/>
      <c r="PUA16" s="289"/>
      <c r="PUB16" s="289"/>
      <c r="PUC16" s="289"/>
      <c r="PUD16" s="289"/>
      <c r="PUE16" s="289"/>
      <c r="PUF16" s="289"/>
      <c r="PUG16" s="289"/>
      <c r="PUH16" s="289"/>
      <c r="PUI16" s="289"/>
      <c r="PUJ16" s="289"/>
      <c r="PUK16" s="289"/>
      <c r="PUL16" s="289"/>
      <c r="PUM16" s="289"/>
      <c r="PUN16" s="289"/>
      <c r="PUO16" s="289"/>
      <c r="PUP16" s="289"/>
      <c r="PUQ16" s="289"/>
      <c r="PUR16" s="289"/>
      <c r="PUS16" s="289"/>
      <c r="PUT16" s="289"/>
      <c r="PUU16" s="289"/>
      <c r="PUV16" s="289"/>
      <c r="PUW16" s="289"/>
      <c r="PUX16" s="289"/>
      <c r="PUY16" s="289"/>
      <c r="PUZ16" s="289"/>
      <c r="PVA16" s="289"/>
      <c r="PVB16" s="289"/>
      <c r="PVC16" s="289"/>
      <c r="PVD16" s="289"/>
      <c r="PVE16" s="289"/>
      <c r="PVF16" s="289"/>
      <c r="PVG16" s="289"/>
      <c r="PVH16" s="289"/>
      <c r="PVI16" s="289"/>
      <c r="PVJ16" s="289"/>
      <c r="PVK16" s="289"/>
      <c r="PVL16" s="289"/>
      <c r="PVM16" s="289"/>
      <c r="PVN16" s="289"/>
      <c r="PVO16" s="289"/>
      <c r="PVP16" s="289"/>
      <c r="PVQ16" s="289"/>
      <c r="PVR16" s="289"/>
      <c r="PVS16" s="289"/>
      <c r="PVT16" s="289"/>
      <c r="PVU16" s="289"/>
      <c r="PVV16" s="289"/>
      <c r="PVW16" s="289"/>
      <c r="PVX16" s="289"/>
      <c r="PVY16" s="289"/>
      <c r="PVZ16" s="289"/>
      <c r="PWA16" s="289"/>
      <c r="PWB16" s="289"/>
      <c r="PWC16" s="289"/>
      <c r="PWD16" s="289"/>
      <c r="PWE16" s="289"/>
      <c r="PWF16" s="289"/>
      <c r="PWG16" s="289"/>
      <c r="PWH16" s="289"/>
      <c r="PWI16" s="289"/>
      <c r="PWJ16" s="289"/>
      <c r="PWK16" s="289"/>
      <c r="PWL16" s="289"/>
      <c r="PWM16" s="289"/>
      <c r="PWN16" s="289"/>
      <c r="PWO16" s="289"/>
      <c r="PWP16" s="289"/>
      <c r="PWQ16" s="289"/>
      <c r="PWR16" s="289"/>
      <c r="PWS16" s="289"/>
      <c r="PWT16" s="289"/>
      <c r="PWU16" s="289"/>
      <c r="PWV16" s="289"/>
      <c r="PWW16" s="289"/>
      <c r="PWX16" s="289"/>
      <c r="PWY16" s="289"/>
      <c r="PWZ16" s="289"/>
      <c r="PXA16" s="289"/>
      <c r="PXB16" s="289"/>
      <c r="PXC16" s="289"/>
      <c r="PXD16" s="289"/>
      <c r="PXE16" s="289"/>
      <c r="PXF16" s="289"/>
      <c r="PXG16" s="289"/>
      <c r="PXH16" s="289"/>
      <c r="PXI16" s="289"/>
      <c r="PXJ16" s="289"/>
      <c r="PXK16" s="289"/>
      <c r="PXL16" s="289"/>
      <c r="PXM16" s="289"/>
      <c r="PXN16" s="289"/>
      <c r="PXO16" s="289"/>
      <c r="PXP16" s="289"/>
      <c r="PXQ16" s="289"/>
      <c r="PXR16" s="289"/>
      <c r="PXS16" s="289"/>
      <c r="PXT16" s="289"/>
      <c r="PXU16" s="289"/>
      <c r="PXV16" s="289"/>
      <c r="PXW16" s="289"/>
      <c r="PXX16" s="289"/>
      <c r="PXY16" s="289"/>
      <c r="PXZ16" s="289"/>
      <c r="PYA16" s="289"/>
      <c r="PYB16" s="289"/>
      <c r="PYC16" s="289"/>
      <c r="PYD16" s="289"/>
      <c r="PYE16" s="289"/>
      <c r="PYF16" s="289"/>
      <c r="PYG16" s="289"/>
      <c r="PYH16" s="289"/>
      <c r="PYI16" s="289"/>
      <c r="PYJ16" s="289"/>
      <c r="PYK16" s="289"/>
      <c r="PYL16" s="289"/>
      <c r="PYM16" s="289"/>
      <c r="PYN16" s="289"/>
      <c r="PYO16" s="289"/>
      <c r="PYP16" s="289"/>
      <c r="PYQ16" s="289"/>
      <c r="PYR16" s="289"/>
      <c r="PYS16" s="289"/>
      <c r="PYT16" s="289"/>
      <c r="PYU16" s="289"/>
      <c r="PYV16" s="289"/>
      <c r="PYW16" s="289"/>
      <c r="PYX16" s="289"/>
      <c r="PYY16" s="289"/>
      <c r="PYZ16" s="289"/>
      <c r="PZA16" s="289"/>
      <c r="PZB16" s="289"/>
      <c r="PZC16" s="289"/>
      <c r="PZD16" s="289"/>
      <c r="PZE16" s="289"/>
      <c r="PZF16" s="289"/>
      <c r="PZG16" s="289"/>
      <c r="PZH16" s="289"/>
      <c r="PZI16" s="289"/>
      <c r="PZJ16" s="289"/>
      <c r="PZK16" s="289"/>
      <c r="PZL16" s="289"/>
      <c r="PZM16" s="289"/>
      <c r="PZN16" s="289"/>
      <c r="PZO16" s="289"/>
      <c r="PZP16" s="289"/>
      <c r="PZQ16" s="289"/>
      <c r="PZR16" s="289"/>
      <c r="PZS16" s="289"/>
      <c r="PZT16" s="289"/>
      <c r="PZU16" s="289"/>
      <c r="PZV16" s="289"/>
      <c r="PZW16" s="289"/>
      <c r="PZX16" s="289"/>
      <c r="PZY16" s="289"/>
      <c r="PZZ16" s="289"/>
      <c r="QAA16" s="289"/>
      <c r="QAB16" s="289"/>
      <c r="QAC16" s="289"/>
      <c r="QAD16" s="289"/>
      <c r="QAE16" s="289"/>
      <c r="QAF16" s="289"/>
      <c r="QAG16" s="289"/>
      <c r="QAH16" s="289"/>
      <c r="QAI16" s="289"/>
      <c r="QAJ16" s="289"/>
      <c r="QAK16" s="289"/>
      <c r="QAL16" s="289"/>
      <c r="QAM16" s="289"/>
      <c r="QAN16" s="289"/>
      <c r="QAO16" s="289"/>
      <c r="QAP16" s="289"/>
      <c r="QAQ16" s="289"/>
      <c r="QAR16" s="289"/>
      <c r="QAS16" s="289"/>
      <c r="QAT16" s="289"/>
      <c r="QAU16" s="289"/>
      <c r="QAV16" s="289"/>
      <c r="QAW16" s="289"/>
      <c r="QAX16" s="289"/>
      <c r="QAY16" s="289"/>
      <c r="QAZ16" s="289"/>
      <c r="QBA16" s="289"/>
      <c r="QBB16" s="289"/>
      <c r="QBC16" s="289"/>
      <c r="QBD16" s="289"/>
      <c r="QBE16" s="289"/>
      <c r="QBF16" s="289"/>
      <c r="QBG16" s="289"/>
      <c r="QBH16" s="289"/>
      <c r="QBI16" s="289"/>
      <c r="QBJ16" s="289"/>
      <c r="QBK16" s="289"/>
      <c r="QBL16" s="289"/>
      <c r="QBM16" s="289"/>
      <c r="QBN16" s="289"/>
      <c r="QBO16" s="289"/>
      <c r="QBP16" s="289"/>
      <c r="QBQ16" s="289"/>
      <c r="QBR16" s="289"/>
      <c r="QBS16" s="289"/>
      <c r="QBT16" s="289"/>
      <c r="QBU16" s="289"/>
      <c r="QBV16" s="289"/>
      <c r="QBW16" s="289"/>
      <c r="QBX16" s="289"/>
      <c r="QBY16" s="289"/>
      <c r="QBZ16" s="289"/>
      <c r="QCA16" s="289"/>
      <c r="QCB16" s="289"/>
      <c r="QCC16" s="289"/>
      <c r="QCD16" s="289"/>
      <c r="QCE16" s="289"/>
      <c r="QCF16" s="289"/>
      <c r="QCG16" s="289"/>
      <c r="QCH16" s="289"/>
      <c r="QCI16" s="289"/>
      <c r="QCJ16" s="289"/>
      <c r="QCK16" s="289"/>
      <c r="QCL16" s="289"/>
      <c r="QCM16" s="289"/>
      <c r="QCN16" s="289"/>
      <c r="QCO16" s="289"/>
      <c r="QCP16" s="289"/>
      <c r="QCQ16" s="289"/>
      <c r="QCR16" s="289"/>
      <c r="QCS16" s="289"/>
      <c r="QCT16" s="289"/>
      <c r="QCU16" s="289"/>
      <c r="QCV16" s="289"/>
      <c r="QCW16" s="289"/>
      <c r="QCX16" s="289"/>
      <c r="QCY16" s="289"/>
      <c r="QCZ16" s="289"/>
      <c r="QDA16" s="289"/>
      <c r="QDB16" s="289"/>
      <c r="QDC16" s="289"/>
      <c r="QDD16" s="289"/>
      <c r="QDE16" s="289"/>
      <c r="QDF16" s="289"/>
      <c r="QDG16" s="289"/>
      <c r="QDH16" s="289"/>
      <c r="QDI16" s="289"/>
      <c r="QDJ16" s="289"/>
      <c r="QDK16" s="289"/>
      <c r="QDL16" s="289"/>
      <c r="QDM16" s="289"/>
      <c r="QDN16" s="289"/>
      <c r="QDO16" s="289"/>
      <c r="QDP16" s="289"/>
      <c r="QDQ16" s="289"/>
      <c r="QDR16" s="289"/>
      <c r="QDS16" s="289"/>
      <c r="QDT16" s="289"/>
      <c r="QDU16" s="289"/>
      <c r="QDV16" s="289"/>
      <c r="QDW16" s="289"/>
      <c r="QDX16" s="289"/>
      <c r="QDY16" s="289"/>
      <c r="QDZ16" s="289"/>
      <c r="QEA16" s="289"/>
      <c r="QEB16" s="289"/>
      <c r="QEC16" s="289"/>
      <c r="QED16" s="289"/>
      <c r="QEE16" s="289"/>
      <c r="QEF16" s="289"/>
      <c r="QEG16" s="289"/>
      <c r="QEH16" s="289"/>
      <c r="QEI16" s="289"/>
      <c r="QEJ16" s="289"/>
      <c r="QEK16" s="289"/>
      <c r="QEL16" s="289"/>
      <c r="QEM16" s="289"/>
      <c r="QEN16" s="289"/>
      <c r="QEO16" s="289"/>
      <c r="QEP16" s="289"/>
      <c r="QEQ16" s="289"/>
      <c r="QER16" s="289"/>
      <c r="QES16" s="289"/>
      <c r="QET16" s="289"/>
      <c r="QEU16" s="289"/>
      <c r="QEV16" s="289"/>
      <c r="QEW16" s="289"/>
      <c r="QEX16" s="289"/>
      <c r="QEY16" s="289"/>
      <c r="QEZ16" s="289"/>
      <c r="QFA16" s="289"/>
      <c r="QFB16" s="289"/>
      <c r="QFC16" s="289"/>
      <c r="QFD16" s="289"/>
      <c r="QFE16" s="289"/>
      <c r="QFF16" s="289"/>
      <c r="QFG16" s="289"/>
      <c r="QFH16" s="289"/>
      <c r="QFI16" s="289"/>
      <c r="QFJ16" s="289"/>
      <c r="QFK16" s="289"/>
      <c r="QFL16" s="289"/>
      <c r="QFM16" s="289"/>
      <c r="QFN16" s="289"/>
      <c r="QFO16" s="289"/>
      <c r="QFP16" s="289"/>
      <c r="QFQ16" s="289"/>
      <c r="QFR16" s="289"/>
      <c r="QFS16" s="289"/>
      <c r="QFT16" s="289"/>
      <c r="QFU16" s="289"/>
      <c r="QFV16" s="289"/>
      <c r="QFW16" s="289"/>
      <c r="QFX16" s="289"/>
      <c r="QFY16" s="289"/>
      <c r="QFZ16" s="289"/>
      <c r="QGA16" s="289"/>
      <c r="QGB16" s="289"/>
      <c r="QGC16" s="289"/>
      <c r="QGD16" s="289"/>
      <c r="QGE16" s="289"/>
      <c r="QGF16" s="289"/>
      <c r="QGG16" s="289"/>
      <c r="QGH16" s="289"/>
      <c r="QGI16" s="289"/>
      <c r="QGJ16" s="289"/>
      <c r="QGK16" s="289"/>
      <c r="QGL16" s="289"/>
      <c r="QGM16" s="289"/>
      <c r="QGN16" s="289"/>
      <c r="QGO16" s="289"/>
      <c r="QGP16" s="289"/>
      <c r="QGQ16" s="289"/>
      <c r="QGR16" s="289"/>
      <c r="QGS16" s="289"/>
      <c r="QGT16" s="289"/>
      <c r="QGU16" s="289"/>
      <c r="QGV16" s="289"/>
      <c r="QGW16" s="289"/>
      <c r="QGX16" s="289"/>
      <c r="QGY16" s="289"/>
      <c r="QGZ16" s="289"/>
      <c r="QHA16" s="289"/>
      <c r="QHB16" s="289"/>
      <c r="QHC16" s="289"/>
      <c r="QHD16" s="289"/>
      <c r="QHE16" s="289"/>
      <c r="QHF16" s="289"/>
      <c r="QHG16" s="289"/>
      <c r="QHH16" s="289"/>
      <c r="QHI16" s="289"/>
      <c r="QHJ16" s="289"/>
      <c r="QHK16" s="289"/>
      <c r="QHL16" s="289"/>
      <c r="QHM16" s="289"/>
      <c r="QHN16" s="289"/>
      <c r="QHO16" s="289"/>
      <c r="QHP16" s="289"/>
      <c r="QHQ16" s="289"/>
      <c r="QHR16" s="289"/>
      <c r="QHS16" s="289"/>
      <c r="QHT16" s="289"/>
      <c r="QHU16" s="289"/>
      <c r="QHV16" s="289"/>
      <c r="QHW16" s="289"/>
      <c r="QHX16" s="289"/>
      <c r="QHY16" s="289"/>
      <c r="QHZ16" s="289"/>
      <c r="QIA16" s="289"/>
      <c r="QIB16" s="289"/>
      <c r="QIC16" s="289"/>
      <c r="QID16" s="289"/>
      <c r="QIE16" s="289"/>
      <c r="QIF16" s="289"/>
      <c r="QIG16" s="289"/>
      <c r="QIH16" s="289"/>
      <c r="QII16" s="289"/>
      <c r="QIJ16" s="289"/>
      <c r="QIK16" s="289"/>
      <c r="QIL16" s="289"/>
      <c r="QIM16" s="289"/>
      <c r="QIN16" s="289"/>
      <c r="QIO16" s="289"/>
      <c r="QIP16" s="289"/>
      <c r="QIQ16" s="289"/>
      <c r="QIR16" s="289"/>
      <c r="QIS16" s="289"/>
      <c r="QIT16" s="289"/>
      <c r="QIU16" s="289"/>
      <c r="QIV16" s="289"/>
      <c r="QIW16" s="289"/>
      <c r="QIX16" s="289"/>
      <c r="QIY16" s="289"/>
      <c r="QIZ16" s="289"/>
      <c r="QJA16" s="289"/>
      <c r="QJB16" s="289"/>
      <c r="QJC16" s="289"/>
      <c r="QJD16" s="289"/>
      <c r="QJE16" s="289"/>
      <c r="QJF16" s="289"/>
      <c r="QJG16" s="289"/>
      <c r="QJH16" s="289"/>
      <c r="QJI16" s="289"/>
      <c r="QJJ16" s="289"/>
      <c r="QJK16" s="289"/>
      <c r="QJL16" s="289"/>
      <c r="QJM16" s="289"/>
      <c r="QJN16" s="289"/>
      <c r="QJO16" s="289"/>
      <c r="QJP16" s="289"/>
      <c r="QJQ16" s="289"/>
      <c r="QJR16" s="289"/>
      <c r="QJS16" s="289"/>
      <c r="QJT16" s="289"/>
      <c r="QJU16" s="289"/>
      <c r="QJV16" s="289"/>
      <c r="QJW16" s="289"/>
      <c r="QJX16" s="289"/>
      <c r="QJY16" s="289"/>
      <c r="QJZ16" s="289"/>
      <c r="QKA16" s="289"/>
      <c r="QKB16" s="289"/>
      <c r="QKC16" s="289"/>
      <c r="QKD16" s="289"/>
      <c r="QKE16" s="289"/>
      <c r="QKF16" s="289"/>
      <c r="QKG16" s="289"/>
      <c r="QKH16" s="289"/>
      <c r="QKI16" s="289"/>
      <c r="QKJ16" s="289"/>
      <c r="QKK16" s="289"/>
      <c r="QKL16" s="289"/>
      <c r="QKM16" s="289"/>
      <c r="QKN16" s="289"/>
      <c r="QKO16" s="289"/>
      <c r="QKP16" s="289"/>
      <c r="QKQ16" s="289"/>
      <c r="QKR16" s="289"/>
      <c r="QKS16" s="289"/>
      <c r="QKT16" s="289"/>
      <c r="QKU16" s="289"/>
      <c r="QKV16" s="289"/>
      <c r="QKW16" s="289"/>
      <c r="QKX16" s="289"/>
      <c r="QKY16" s="289"/>
      <c r="QKZ16" s="289"/>
      <c r="QLA16" s="289"/>
      <c r="QLB16" s="289"/>
      <c r="QLC16" s="289"/>
      <c r="QLD16" s="289"/>
      <c r="QLE16" s="289"/>
      <c r="QLF16" s="289"/>
      <c r="QLG16" s="289"/>
      <c r="QLH16" s="289"/>
      <c r="QLI16" s="289"/>
      <c r="QLJ16" s="289"/>
      <c r="QLK16" s="289"/>
      <c r="QLL16" s="289"/>
      <c r="QLM16" s="289"/>
      <c r="QLN16" s="289"/>
      <c r="QLO16" s="289"/>
      <c r="QLP16" s="289"/>
      <c r="QLQ16" s="289"/>
      <c r="QLR16" s="289"/>
      <c r="QLS16" s="289"/>
      <c r="QLT16" s="289"/>
      <c r="QLU16" s="289"/>
      <c r="QLV16" s="289"/>
      <c r="QLW16" s="289"/>
      <c r="QLX16" s="289"/>
      <c r="QLY16" s="289"/>
      <c r="QLZ16" s="289"/>
      <c r="QMA16" s="289"/>
      <c r="QMB16" s="289"/>
      <c r="QMC16" s="289"/>
      <c r="QMD16" s="289"/>
      <c r="QME16" s="289"/>
      <c r="QMF16" s="289"/>
      <c r="QMG16" s="289"/>
      <c r="QMH16" s="289"/>
      <c r="QMI16" s="289"/>
      <c r="QMJ16" s="289"/>
      <c r="QMK16" s="289"/>
      <c r="QML16" s="289"/>
      <c r="QMM16" s="289"/>
      <c r="QMN16" s="289"/>
      <c r="QMO16" s="289"/>
      <c r="QMP16" s="289"/>
      <c r="QMQ16" s="289"/>
      <c r="QMR16" s="289"/>
      <c r="QMS16" s="289"/>
      <c r="QMT16" s="289"/>
      <c r="QMU16" s="289"/>
      <c r="QMV16" s="289"/>
      <c r="QMW16" s="289"/>
      <c r="QMX16" s="289"/>
      <c r="QMY16" s="289"/>
      <c r="QMZ16" s="289"/>
      <c r="QNA16" s="289"/>
      <c r="QNB16" s="289"/>
      <c r="QNC16" s="289"/>
      <c r="QND16" s="289"/>
      <c r="QNE16" s="289"/>
      <c r="QNF16" s="289"/>
      <c r="QNG16" s="289"/>
      <c r="QNH16" s="289"/>
      <c r="QNI16" s="289"/>
      <c r="QNJ16" s="289"/>
      <c r="QNK16" s="289"/>
      <c r="QNL16" s="289"/>
      <c r="QNM16" s="289"/>
      <c r="QNN16" s="289"/>
      <c r="QNO16" s="289"/>
      <c r="QNP16" s="289"/>
      <c r="QNQ16" s="289"/>
      <c r="QNR16" s="289"/>
      <c r="QNS16" s="289"/>
      <c r="QNT16" s="289"/>
      <c r="QNU16" s="289"/>
      <c r="QNV16" s="289"/>
      <c r="QNW16" s="289"/>
      <c r="QNX16" s="289"/>
      <c r="QNY16" s="289"/>
      <c r="QNZ16" s="289"/>
      <c r="QOA16" s="289"/>
      <c r="QOB16" s="289"/>
      <c r="QOC16" s="289"/>
      <c r="QOD16" s="289"/>
      <c r="QOE16" s="289"/>
      <c r="QOF16" s="289"/>
      <c r="QOG16" s="289"/>
      <c r="QOH16" s="289"/>
      <c r="QOI16" s="289"/>
      <c r="QOJ16" s="289"/>
      <c r="QOK16" s="289"/>
      <c r="QOL16" s="289"/>
      <c r="QOM16" s="289"/>
      <c r="QON16" s="289"/>
      <c r="QOO16" s="289"/>
      <c r="QOP16" s="289"/>
      <c r="QOQ16" s="289"/>
      <c r="QOR16" s="289"/>
      <c r="QOS16" s="289"/>
      <c r="QOT16" s="289"/>
      <c r="QOU16" s="289"/>
      <c r="QOV16" s="289"/>
      <c r="QOW16" s="289"/>
      <c r="QOX16" s="289"/>
      <c r="QOY16" s="289"/>
      <c r="QOZ16" s="289"/>
      <c r="QPA16" s="289"/>
      <c r="QPB16" s="289"/>
      <c r="QPC16" s="289"/>
      <c r="QPD16" s="289"/>
      <c r="QPE16" s="289"/>
      <c r="QPF16" s="289"/>
      <c r="QPG16" s="289"/>
      <c r="QPH16" s="289"/>
      <c r="QPI16" s="289"/>
      <c r="QPJ16" s="289"/>
      <c r="QPK16" s="289"/>
      <c r="QPL16" s="289"/>
      <c r="QPM16" s="289"/>
      <c r="QPN16" s="289"/>
      <c r="QPO16" s="289"/>
      <c r="QPP16" s="289"/>
      <c r="QPQ16" s="289"/>
      <c r="QPR16" s="289"/>
      <c r="QPS16" s="289"/>
      <c r="QPT16" s="289"/>
      <c r="QPU16" s="289"/>
      <c r="QPV16" s="289"/>
      <c r="QPW16" s="289"/>
      <c r="QPX16" s="289"/>
      <c r="QPY16" s="289"/>
      <c r="QPZ16" s="289"/>
      <c r="QQA16" s="289"/>
      <c r="QQB16" s="289"/>
      <c r="QQC16" s="289"/>
      <c r="QQD16" s="289"/>
      <c r="QQE16" s="289"/>
      <c r="QQF16" s="289"/>
      <c r="QQG16" s="289"/>
      <c r="QQH16" s="289"/>
      <c r="QQI16" s="289"/>
      <c r="QQJ16" s="289"/>
      <c r="QQK16" s="289"/>
      <c r="QQL16" s="289"/>
      <c r="QQM16" s="289"/>
      <c r="QQN16" s="289"/>
      <c r="QQO16" s="289"/>
      <c r="QQP16" s="289"/>
      <c r="QQQ16" s="289"/>
      <c r="QQR16" s="289"/>
      <c r="QQS16" s="289"/>
      <c r="QQT16" s="289"/>
      <c r="QQU16" s="289"/>
      <c r="QQV16" s="289"/>
      <c r="QQW16" s="289"/>
      <c r="QQX16" s="289"/>
      <c r="QQY16" s="289"/>
      <c r="QQZ16" s="289"/>
      <c r="QRA16" s="289"/>
      <c r="QRB16" s="289"/>
      <c r="QRC16" s="289"/>
      <c r="QRD16" s="289"/>
      <c r="QRE16" s="289"/>
      <c r="QRF16" s="289"/>
      <c r="QRG16" s="289"/>
      <c r="QRH16" s="289"/>
      <c r="QRI16" s="289"/>
      <c r="QRJ16" s="289"/>
      <c r="QRK16" s="289"/>
      <c r="QRL16" s="289"/>
      <c r="QRM16" s="289"/>
      <c r="QRN16" s="289"/>
      <c r="QRO16" s="289"/>
      <c r="QRP16" s="289"/>
      <c r="QRQ16" s="289"/>
      <c r="QRR16" s="289"/>
      <c r="QRS16" s="289"/>
      <c r="QRT16" s="289"/>
      <c r="QRU16" s="289"/>
      <c r="QRV16" s="289"/>
      <c r="QRW16" s="289"/>
      <c r="QRX16" s="289"/>
      <c r="QRY16" s="289"/>
      <c r="QRZ16" s="289"/>
      <c r="QSA16" s="289"/>
      <c r="QSB16" s="289"/>
      <c r="QSC16" s="289"/>
      <c r="QSD16" s="289"/>
      <c r="QSE16" s="289"/>
      <c r="QSF16" s="289"/>
      <c r="QSG16" s="289"/>
      <c r="QSH16" s="289"/>
      <c r="QSI16" s="289"/>
      <c r="QSJ16" s="289"/>
      <c r="QSK16" s="289"/>
      <c r="QSL16" s="289"/>
      <c r="QSM16" s="289"/>
      <c r="QSN16" s="289"/>
      <c r="QSO16" s="289"/>
      <c r="QSP16" s="289"/>
      <c r="QSQ16" s="289"/>
      <c r="QSR16" s="289"/>
      <c r="QSS16" s="289"/>
      <c r="QST16" s="289"/>
      <c r="QSU16" s="289"/>
      <c r="QSV16" s="289"/>
      <c r="QSW16" s="289"/>
      <c r="QSX16" s="289"/>
      <c r="QSY16" s="289"/>
      <c r="QSZ16" s="289"/>
      <c r="QTA16" s="289"/>
      <c r="QTB16" s="289"/>
      <c r="QTC16" s="289"/>
      <c r="QTD16" s="289"/>
      <c r="QTE16" s="289"/>
      <c r="QTF16" s="289"/>
      <c r="QTG16" s="289"/>
      <c r="QTH16" s="289"/>
      <c r="QTI16" s="289"/>
      <c r="QTJ16" s="289"/>
      <c r="QTK16" s="289"/>
      <c r="QTL16" s="289"/>
      <c r="QTM16" s="289"/>
      <c r="QTN16" s="289"/>
      <c r="QTO16" s="289"/>
      <c r="QTP16" s="289"/>
      <c r="QTQ16" s="289"/>
      <c r="QTR16" s="289"/>
      <c r="QTS16" s="289"/>
      <c r="QTT16" s="289"/>
      <c r="QTU16" s="289"/>
      <c r="QTV16" s="289"/>
      <c r="QTW16" s="289"/>
      <c r="QTX16" s="289"/>
      <c r="QTY16" s="289"/>
      <c r="QTZ16" s="289"/>
      <c r="QUA16" s="289"/>
      <c r="QUB16" s="289"/>
      <c r="QUC16" s="289"/>
      <c r="QUD16" s="289"/>
      <c r="QUE16" s="289"/>
      <c r="QUF16" s="289"/>
      <c r="QUG16" s="289"/>
      <c r="QUH16" s="289"/>
      <c r="QUI16" s="289"/>
      <c r="QUJ16" s="289"/>
      <c r="QUK16" s="289"/>
      <c r="QUL16" s="289"/>
      <c r="QUM16" s="289"/>
      <c r="QUN16" s="289"/>
      <c r="QUO16" s="289"/>
      <c r="QUP16" s="289"/>
      <c r="QUQ16" s="289"/>
      <c r="QUR16" s="289"/>
      <c r="QUS16" s="289"/>
      <c r="QUT16" s="289"/>
      <c r="QUU16" s="289"/>
      <c r="QUV16" s="289"/>
      <c r="QUW16" s="289"/>
      <c r="QUX16" s="289"/>
      <c r="QUY16" s="289"/>
      <c r="QUZ16" s="289"/>
      <c r="QVA16" s="289"/>
      <c r="QVB16" s="289"/>
      <c r="QVC16" s="289"/>
      <c r="QVD16" s="289"/>
      <c r="QVE16" s="289"/>
      <c r="QVF16" s="289"/>
      <c r="QVG16" s="289"/>
      <c r="QVH16" s="289"/>
      <c r="QVI16" s="289"/>
      <c r="QVJ16" s="289"/>
      <c r="QVK16" s="289"/>
      <c r="QVL16" s="289"/>
      <c r="QVM16" s="289"/>
      <c r="QVN16" s="289"/>
      <c r="QVO16" s="289"/>
      <c r="QVP16" s="289"/>
      <c r="QVQ16" s="289"/>
      <c r="QVR16" s="289"/>
      <c r="QVS16" s="289"/>
      <c r="QVT16" s="289"/>
      <c r="QVU16" s="289"/>
      <c r="QVV16" s="289"/>
      <c r="QVW16" s="289"/>
      <c r="QVX16" s="289"/>
      <c r="QVY16" s="289"/>
      <c r="QVZ16" s="289"/>
      <c r="QWA16" s="289"/>
      <c r="QWB16" s="289"/>
      <c r="QWC16" s="289"/>
      <c r="QWD16" s="289"/>
      <c r="QWE16" s="289"/>
      <c r="QWF16" s="289"/>
      <c r="QWG16" s="289"/>
      <c r="QWH16" s="289"/>
      <c r="QWI16" s="289"/>
      <c r="QWJ16" s="289"/>
      <c r="QWK16" s="289"/>
      <c r="QWL16" s="289"/>
      <c r="QWM16" s="289"/>
      <c r="QWN16" s="289"/>
      <c r="QWO16" s="289"/>
      <c r="QWP16" s="289"/>
      <c r="QWQ16" s="289"/>
      <c r="QWR16" s="289"/>
      <c r="QWS16" s="289"/>
      <c r="QWT16" s="289"/>
      <c r="QWU16" s="289"/>
      <c r="QWV16" s="289"/>
      <c r="QWW16" s="289"/>
      <c r="QWX16" s="289"/>
      <c r="QWY16" s="289"/>
      <c r="QWZ16" s="289"/>
      <c r="QXA16" s="289"/>
      <c r="QXB16" s="289"/>
      <c r="QXC16" s="289"/>
      <c r="QXD16" s="289"/>
      <c r="QXE16" s="289"/>
      <c r="QXF16" s="289"/>
      <c r="QXG16" s="289"/>
      <c r="QXH16" s="289"/>
      <c r="QXI16" s="289"/>
      <c r="QXJ16" s="289"/>
      <c r="QXK16" s="289"/>
      <c r="QXL16" s="289"/>
      <c r="QXM16" s="289"/>
      <c r="QXN16" s="289"/>
      <c r="QXO16" s="289"/>
      <c r="QXP16" s="289"/>
      <c r="QXQ16" s="289"/>
      <c r="QXR16" s="289"/>
      <c r="QXS16" s="289"/>
      <c r="QXT16" s="289"/>
      <c r="QXU16" s="289"/>
      <c r="QXV16" s="289"/>
      <c r="QXW16" s="289"/>
      <c r="QXX16" s="289"/>
      <c r="QXY16" s="289"/>
      <c r="QXZ16" s="289"/>
      <c r="QYA16" s="289"/>
      <c r="QYB16" s="289"/>
      <c r="QYC16" s="289"/>
      <c r="QYD16" s="289"/>
      <c r="QYE16" s="289"/>
      <c r="QYF16" s="289"/>
      <c r="QYG16" s="289"/>
      <c r="QYH16" s="289"/>
      <c r="QYI16" s="289"/>
      <c r="QYJ16" s="289"/>
      <c r="QYK16" s="289"/>
      <c r="QYL16" s="289"/>
      <c r="QYM16" s="289"/>
      <c r="QYN16" s="289"/>
      <c r="QYO16" s="289"/>
      <c r="QYP16" s="289"/>
      <c r="QYQ16" s="289"/>
      <c r="QYR16" s="289"/>
      <c r="QYS16" s="289"/>
      <c r="QYT16" s="289"/>
      <c r="QYU16" s="289"/>
      <c r="QYV16" s="289"/>
      <c r="QYW16" s="289"/>
      <c r="QYX16" s="289"/>
      <c r="QYY16" s="289"/>
      <c r="QYZ16" s="289"/>
      <c r="QZA16" s="289"/>
      <c r="QZB16" s="289"/>
      <c r="QZC16" s="289"/>
      <c r="QZD16" s="289"/>
      <c r="QZE16" s="289"/>
      <c r="QZF16" s="289"/>
      <c r="QZG16" s="289"/>
      <c r="QZH16" s="289"/>
      <c r="QZI16" s="289"/>
      <c r="QZJ16" s="289"/>
      <c r="QZK16" s="289"/>
      <c r="QZL16" s="289"/>
      <c r="QZM16" s="289"/>
      <c r="QZN16" s="289"/>
      <c r="QZO16" s="289"/>
      <c r="QZP16" s="289"/>
      <c r="QZQ16" s="289"/>
      <c r="QZR16" s="289"/>
      <c r="QZS16" s="289"/>
      <c r="QZT16" s="289"/>
      <c r="QZU16" s="289"/>
      <c r="QZV16" s="289"/>
      <c r="QZW16" s="289"/>
      <c r="QZX16" s="289"/>
      <c r="QZY16" s="289"/>
      <c r="QZZ16" s="289"/>
      <c r="RAA16" s="289"/>
      <c r="RAB16" s="289"/>
      <c r="RAC16" s="289"/>
      <c r="RAD16" s="289"/>
      <c r="RAE16" s="289"/>
      <c r="RAF16" s="289"/>
      <c r="RAG16" s="289"/>
      <c r="RAH16" s="289"/>
      <c r="RAI16" s="289"/>
      <c r="RAJ16" s="289"/>
      <c r="RAK16" s="289"/>
      <c r="RAL16" s="289"/>
      <c r="RAM16" s="289"/>
      <c r="RAN16" s="289"/>
      <c r="RAO16" s="289"/>
      <c r="RAP16" s="289"/>
      <c r="RAQ16" s="289"/>
      <c r="RAR16" s="289"/>
      <c r="RAS16" s="289"/>
      <c r="RAT16" s="289"/>
      <c r="RAU16" s="289"/>
      <c r="RAV16" s="289"/>
      <c r="RAW16" s="289"/>
      <c r="RAX16" s="289"/>
      <c r="RAY16" s="289"/>
      <c r="RAZ16" s="289"/>
      <c r="RBA16" s="289"/>
      <c r="RBB16" s="289"/>
      <c r="RBC16" s="289"/>
      <c r="RBD16" s="289"/>
      <c r="RBE16" s="289"/>
      <c r="RBF16" s="289"/>
      <c r="RBG16" s="289"/>
      <c r="RBH16" s="289"/>
      <c r="RBI16" s="289"/>
      <c r="RBJ16" s="289"/>
      <c r="RBK16" s="289"/>
      <c r="RBL16" s="289"/>
      <c r="RBM16" s="289"/>
      <c r="RBN16" s="289"/>
      <c r="RBO16" s="289"/>
      <c r="RBP16" s="289"/>
      <c r="RBQ16" s="289"/>
      <c r="RBR16" s="289"/>
      <c r="RBS16" s="289"/>
      <c r="RBT16" s="289"/>
      <c r="RBU16" s="289"/>
      <c r="RBV16" s="289"/>
      <c r="RBW16" s="289"/>
      <c r="RBX16" s="289"/>
      <c r="RBY16" s="289"/>
      <c r="RBZ16" s="289"/>
      <c r="RCA16" s="289"/>
      <c r="RCB16" s="289"/>
      <c r="RCC16" s="289"/>
      <c r="RCD16" s="289"/>
      <c r="RCE16" s="289"/>
      <c r="RCF16" s="289"/>
      <c r="RCG16" s="289"/>
      <c r="RCH16" s="289"/>
      <c r="RCI16" s="289"/>
      <c r="RCJ16" s="289"/>
      <c r="RCK16" s="289"/>
      <c r="RCL16" s="289"/>
      <c r="RCM16" s="289"/>
      <c r="RCN16" s="289"/>
      <c r="RCO16" s="289"/>
      <c r="RCP16" s="289"/>
      <c r="RCQ16" s="289"/>
      <c r="RCR16" s="289"/>
      <c r="RCS16" s="289"/>
      <c r="RCT16" s="289"/>
      <c r="RCU16" s="289"/>
      <c r="RCV16" s="289"/>
      <c r="RCW16" s="289"/>
      <c r="RCX16" s="289"/>
      <c r="RCY16" s="289"/>
      <c r="RCZ16" s="289"/>
      <c r="RDA16" s="289"/>
      <c r="RDB16" s="289"/>
      <c r="RDC16" s="289"/>
      <c r="RDD16" s="289"/>
      <c r="RDE16" s="289"/>
      <c r="RDF16" s="289"/>
      <c r="RDG16" s="289"/>
      <c r="RDH16" s="289"/>
      <c r="RDI16" s="289"/>
      <c r="RDJ16" s="289"/>
      <c r="RDK16" s="289"/>
      <c r="RDL16" s="289"/>
      <c r="RDM16" s="289"/>
      <c r="RDN16" s="289"/>
      <c r="RDO16" s="289"/>
      <c r="RDP16" s="289"/>
      <c r="RDQ16" s="289"/>
      <c r="RDR16" s="289"/>
      <c r="RDS16" s="289"/>
      <c r="RDT16" s="289"/>
      <c r="RDU16" s="289"/>
      <c r="RDV16" s="289"/>
      <c r="RDW16" s="289"/>
      <c r="RDX16" s="289"/>
      <c r="RDY16" s="289"/>
      <c r="RDZ16" s="289"/>
      <c r="REA16" s="289"/>
      <c r="REB16" s="289"/>
      <c r="REC16" s="289"/>
      <c r="RED16" s="289"/>
      <c r="REE16" s="289"/>
      <c r="REF16" s="289"/>
      <c r="REG16" s="289"/>
      <c r="REH16" s="289"/>
      <c r="REI16" s="289"/>
      <c r="REJ16" s="289"/>
      <c r="REK16" s="289"/>
      <c r="REL16" s="289"/>
      <c r="REM16" s="289"/>
      <c r="REN16" s="289"/>
      <c r="REO16" s="289"/>
      <c r="REP16" s="289"/>
      <c r="REQ16" s="289"/>
      <c r="RER16" s="289"/>
      <c r="RES16" s="289"/>
      <c r="RET16" s="289"/>
      <c r="REU16" s="289"/>
      <c r="REV16" s="289"/>
      <c r="REW16" s="289"/>
      <c r="REX16" s="289"/>
      <c r="REY16" s="289"/>
      <c r="REZ16" s="289"/>
      <c r="RFA16" s="289"/>
      <c r="RFB16" s="289"/>
      <c r="RFC16" s="289"/>
      <c r="RFD16" s="289"/>
      <c r="RFE16" s="289"/>
      <c r="RFF16" s="289"/>
      <c r="RFG16" s="289"/>
      <c r="RFH16" s="289"/>
      <c r="RFI16" s="289"/>
      <c r="RFJ16" s="289"/>
      <c r="RFK16" s="289"/>
      <c r="RFL16" s="289"/>
      <c r="RFM16" s="289"/>
      <c r="RFN16" s="289"/>
      <c r="RFO16" s="289"/>
      <c r="RFP16" s="289"/>
      <c r="RFQ16" s="289"/>
      <c r="RFR16" s="289"/>
      <c r="RFS16" s="289"/>
      <c r="RFT16" s="289"/>
      <c r="RFU16" s="289"/>
      <c r="RFV16" s="289"/>
      <c r="RFW16" s="289"/>
      <c r="RFX16" s="289"/>
      <c r="RFY16" s="289"/>
      <c r="RFZ16" s="289"/>
      <c r="RGA16" s="289"/>
      <c r="RGB16" s="289"/>
      <c r="RGC16" s="289"/>
      <c r="RGD16" s="289"/>
      <c r="RGE16" s="289"/>
      <c r="RGF16" s="289"/>
      <c r="RGG16" s="289"/>
      <c r="RGH16" s="289"/>
      <c r="RGI16" s="289"/>
      <c r="RGJ16" s="289"/>
      <c r="RGK16" s="289"/>
      <c r="RGL16" s="289"/>
      <c r="RGM16" s="289"/>
      <c r="RGN16" s="289"/>
      <c r="RGO16" s="289"/>
      <c r="RGP16" s="289"/>
      <c r="RGQ16" s="289"/>
      <c r="RGR16" s="289"/>
      <c r="RGS16" s="289"/>
      <c r="RGT16" s="289"/>
      <c r="RGU16" s="289"/>
      <c r="RGV16" s="289"/>
      <c r="RGW16" s="289"/>
      <c r="RGX16" s="289"/>
      <c r="RGY16" s="289"/>
      <c r="RGZ16" s="289"/>
      <c r="RHA16" s="289"/>
      <c r="RHB16" s="289"/>
      <c r="RHC16" s="289"/>
      <c r="RHD16" s="289"/>
      <c r="RHE16" s="289"/>
      <c r="RHF16" s="289"/>
      <c r="RHG16" s="289"/>
      <c r="RHH16" s="289"/>
      <c r="RHI16" s="289"/>
      <c r="RHJ16" s="289"/>
      <c r="RHK16" s="289"/>
      <c r="RHL16" s="289"/>
      <c r="RHM16" s="289"/>
      <c r="RHN16" s="289"/>
      <c r="RHO16" s="289"/>
      <c r="RHP16" s="289"/>
      <c r="RHQ16" s="289"/>
      <c r="RHR16" s="289"/>
      <c r="RHS16" s="289"/>
      <c r="RHT16" s="289"/>
      <c r="RHU16" s="289"/>
      <c r="RHV16" s="289"/>
      <c r="RHW16" s="289"/>
      <c r="RHX16" s="289"/>
      <c r="RHY16" s="289"/>
      <c r="RHZ16" s="289"/>
      <c r="RIA16" s="289"/>
      <c r="RIB16" s="289"/>
      <c r="RIC16" s="289"/>
      <c r="RID16" s="289"/>
      <c r="RIE16" s="289"/>
      <c r="RIF16" s="289"/>
      <c r="RIG16" s="289"/>
      <c r="RIH16" s="289"/>
      <c r="RII16" s="289"/>
      <c r="RIJ16" s="289"/>
      <c r="RIK16" s="289"/>
      <c r="RIL16" s="289"/>
      <c r="RIM16" s="289"/>
      <c r="RIN16" s="289"/>
      <c r="RIO16" s="289"/>
      <c r="RIP16" s="289"/>
      <c r="RIQ16" s="289"/>
      <c r="RIR16" s="289"/>
      <c r="RIS16" s="289"/>
      <c r="RIT16" s="289"/>
      <c r="RIU16" s="289"/>
      <c r="RIV16" s="289"/>
      <c r="RIW16" s="289"/>
      <c r="RIX16" s="289"/>
      <c r="RIY16" s="289"/>
      <c r="RIZ16" s="289"/>
      <c r="RJA16" s="289"/>
      <c r="RJB16" s="289"/>
      <c r="RJC16" s="289"/>
      <c r="RJD16" s="289"/>
      <c r="RJE16" s="289"/>
      <c r="RJF16" s="289"/>
      <c r="RJG16" s="289"/>
      <c r="RJH16" s="289"/>
      <c r="RJI16" s="289"/>
      <c r="RJJ16" s="289"/>
      <c r="RJK16" s="289"/>
      <c r="RJL16" s="289"/>
      <c r="RJM16" s="289"/>
      <c r="RJN16" s="289"/>
      <c r="RJO16" s="289"/>
      <c r="RJP16" s="289"/>
      <c r="RJQ16" s="289"/>
      <c r="RJR16" s="289"/>
      <c r="RJS16" s="289"/>
      <c r="RJT16" s="289"/>
      <c r="RJU16" s="289"/>
      <c r="RJV16" s="289"/>
      <c r="RJW16" s="289"/>
      <c r="RJX16" s="289"/>
      <c r="RJY16" s="289"/>
      <c r="RJZ16" s="289"/>
      <c r="RKA16" s="289"/>
      <c r="RKB16" s="289"/>
      <c r="RKC16" s="289"/>
      <c r="RKD16" s="289"/>
      <c r="RKE16" s="289"/>
      <c r="RKF16" s="289"/>
      <c r="RKG16" s="289"/>
      <c r="RKH16" s="289"/>
      <c r="RKI16" s="289"/>
      <c r="RKJ16" s="289"/>
      <c r="RKK16" s="289"/>
      <c r="RKL16" s="289"/>
      <c r="RKM16" s="289"/>
      <c r="RKN16" s="289"/>
      <c r="RKO16" s="289"/>
      <c r="RKP16" s="289"/>
      <c r="RKQ16" s="289"/>
      <c r="RKR16" s="289"/>
      <c r="RKS16" s="289"/>
      <c r="RKT16" s="289"/>
      <c r="RKU16" s="289"/>
      <c r="RKV16" s="289"/>
      <c r="RKW16" s="289"/>
      <c r="RKX16" s="289"/>
      <c r="RKY16" s="289"/>
      <c r="RKZ16" s="289"/>
      <c r="RLA16" s="289"/>
      <c r="RLB16" s="289"/>
      <c r="RLC16" s="289"/>
      <c r="RLD16" s="289"/>
      <c r="RLE16" s="289"/>
      <c r="RLF16" s="289"/>
      <c r="RLG16" s="289"/>
      <c r="RLH16" s="289"/>
      <c r="RLI16" s="289"/>
      <c r="RLJ16" s="289"/>
      <c r="RLK16" s="289"/>
      <c r="RLL16" s="289"/>
      <c r="RLM16" s="289"/>
      <c r="RLN16" s="289"/>
      <c r="RLO16" s="289"/>
      <c r="RLP16" s="289"/>
      <c r="RLQ16" s="289"/>
      <c r="RLR16" s="289"/>
      <c r="RLS16" s="289"/>
      <c r="RLT16" s="289"/>
      <c r="RLU16" s="289"/>
      <c r="RLV16" s="289"/>
      <c r="RLW16" s="289"/>
      <c r="RLX16" s="289"/>
      <c r="RLY16" s="289"/>
      <c r="RLZ16" s="289"/>
      <c r="RMA16" s="289"/>
      <c r="RMB16" s="289"/>
      <c r="RMC16" s="289"/>
      <c r="RMD16" s="289"/>
      <c r="RME16" s="289"/>
      <c r="RMF16" s="289"/>
      <c r="RMG16" s="289"/>
      <c r="RMH16" s="289"/>
      <c r="RMI16" s="289"/>
      <c r="RMJ16" s="289"/>
      <c r="RMK16" s="289"/>
      <c r="RML16" s="289"/>
      <c r="RMM16" s="289"/>
      <c r="RMN16" s="289"/>
      <c r="RMO16" s="289"/>
      <c r="RMP16" s="289"/>
      <c r="RMQ16" s="289"/>
      <c r="RMR16" s="289"/>
      <c r="RMS16" s="289"/>
      <c r="RMT16" s="289"/>
      <c r="RMU16" s="289"/>
      <c r="RMV16" s="289"/>
      <c r="RMW16" s="289"/>
      <c r="RMX16" s="289"/>
      <c r="RMY16" s="289"/>
      <c r="RMZ16" s="289"/>
      <c r="RNA16" s="289"/>
      <c r="RNB16" s="289"/>
      <c r="RNC16" s="289"/>
      <c r="RND16" s="289"/>
      <c r="RNE16" s="289"/>
      <c r="RNF16" s="289"/>
      <c r="RNG16" s="289"/>
      <c r="RNH16" s="289"/>
      <c r="RNI16" s="289"/>
      <c r="RNJ16" s="289"/>
      <c r="RNK16" s="289"/>
      <c r="RNL16" s="289"/>
      <c r="RNM16" s="289"/>
      <c r="RNN16" s="289"/>
      <c r="RNO16" s="289"/>
      <c r="RNP16" s="289"/>
      <c r="RNQ16" s="289"/>
      <c r="RNR16" s="289"/>
      <c r="RNS16" s="289"/>
      <c r="RNT16" s="289"/>
      <c r="RNU16" s="289"/>
      <c r="RNV16" s="289"/>
      <c r="RNW16" s="289"/>
      <c r="RNX16" s="289"/>
      <c r="RNY16" s="289"/>
      <c r="RNZ16" s="289"/>
      <c r="ROA16" s="289"/>
      <c r="ROB16" s="289"/>
      <c r="ROC16" s="289"/>
      <c r="ROD16" s="289"/>
      <c r="ROE16" s="289"/>
      <c r="ROF16" s="289"/>
      <c r="ROG16" s="289"/>
      <c r="ROH16" s="289"/>
      <c r="ROI16" s="289"/>
      <c r="ROJ16" s="289"/>
      <c r="ROK16" s="289"/>
      <c r="ROL16" s="289"/>
      <c r="ROM16" s="289"/>
      <c r="RON16" s="289"/>
      <c r="ROO16" s="289"/>
      <c r="ROP16" s="289"/>
      <c r="ROQ16" s="289"/>
      <c r="ROR16" s="289"/>
      <c r="ROS16" s="289"/>
      <c r="ROT16" s="289"/>
      <c r="ROU16" s="289"/>
      <c r="ROV16" s="289"/>
      <c r="ROW16" s="289"/>
      <c r="ROX16" s="289"/>
      <c r="ROY16" s="289"/>
      <c r="ROZ16" s="289"/>
      <c r="RPA16" s="289"/>
      <c r="RPB16" s="289"/>
      <c r="RPC16" s="289"/>
      <c r="RPD16" s="289"/>
      <c r="RPE16" s="289"/>
      <c r="RPF16" s="289"/>
      <c r="RPG16" s="289"/>
      <c r="RPH16" s="289"/>
      <c r="RPI16" s="289"/>
      <c r="RPJ16" s="289"/>
      <c r="RPK16" s="289"/>
      <c r="RPL16" s="289"/>
      <c r="RPM16" s="289"/>
      <c r="RPN16" s="289"/>
      <c r="RPO16" s="289"/>
      <c r="RPP16" s="289"/>
      <c r="RPQ16" s="289"/>
      <c r="RPR16" s="289"/>
      <c r="RPS16" s="289"/>
      <c r="RPT16" s="289"/>
      <c r="RPU16" s="289"/>
      <c r="RPV16" s="289"/>
      <c r="RPW16" s="289"/>
      <c r="RPX16" s="289"/>
      <c r="RPY16" s="289"/>
      <c r="RPZ16" s="289"/>
      <c r="RQA16" s="289"/>
      <c r="RQB16" s="289"/>
      <c r="RQC16" s="289"/>
      <c r="RQD16" s="289"/>
      <c r="RQE16" s="289"/>
      <c r="RQF16" s="289"/>
      <c r="RQG16" s="289"/>
      <c r="RQH16" s="289"/>
      <c r="RQI16" s="289"/>
      <c r="RQJ16" s="289"/>
      <c r="RQK16" s="289"/>
      <c r="RQL16" s="289"/>
      <c r="RQM16" s="289"/>
      <c r="RQN16" s="289"/>
      <c r="RQO16" s="289"/>
      <c r="RQP16" s="289"/>
      <c r="RQQ16" s="289"/>
      <c r="RQR16" s="289"/>
      <c r="RQS16" s="289"/>
      <c r="RQT16" s="289"/>
      <c r="RQU16" s="289"/>
      <c r="RQV16" s="289"/>
      <c r="RQW16" s="289"/>
      <c r="RQX16" s="289"/>
      <c r="RQY16" s="289"/>
      <c r="RQZ16" s="289"/>
      <c r="RRA16" s="289"/>
      <c r="RRB16" s="289"/>
      <c r="RRC16" s="289"/>
      <c r="RRD16" s="289"/>
      <c r="RRE16" s="289"/>
      <c r="RRF16" s="289"/>
      <c r="RRG16" s="289"/>
      <c r="RRH16" s="289"/>
      <c r="RRI16" s="289"/>
      <c r="RRJ16" s="289"/>
      <c r="RRK16" s="289"/>
      <c r="RRL16" s="289"/>
      <c r="RRM16" s="289"/>
      <c r="RRN16" s="289"/>
      <c r="RRO16" s="289"/>
      <c r="RRP16" s="289"/>
      <c r="RRQ16" s="289"/>
      <c r="RRR16" s="289"/>
      <c r="RRS16" s="289"/>
      <c r="RRT16" s="289"/>
      <c r="RRU16" s="289"/>
      <c r="RRV16" s="289"/>
      <c r="RRW16" s="289"/>
      <c r="RRX16" s="289"/>
      <c r="RRY16" s="289"/>
      <c r="RRZ16" s="289"/>
      <c r="RSA16" s="289"/>
      <c r="RSB16" s="289"/>
      <c r="RSC16" s="289"/>
      <c r="RSD16" s="289"/>
      <c r="RSE16" s="289"/>
      <c r="RSF16" s="289"/>
      <c r="RSG16" s="289"/>
      <c r="RSH16" s="289"/>
      <c r="RSI16" s="289"/>
      <c r="RSJ16" s="289"/>
      <c r="RSK16" s="289"/>
      <c r="RSL16" s="289"/>
      <c r="RSM16" s="289"/>
      <c r="RSN16" s="289"/>
      <c r="RSO16" s="289"/>
      <c r="RSP16" s="289"/>
      <c r="RSQ16" s="289"/>
      <c r="RSR16" s="289"/>
      <c r="RSS16" s="289"/>
      <c r="RST16" s="289"/>
      <c r="RSU16" s="289"/>
      <c r="RSV16" s="289"/>
      <c r="RSW16" s="289"/>
      <c r="RSX16" s="289"/>
      <c r="RSY16" s="289"/>
      <c r="RSZ16" s="289"/>
      <c r="RTA16" s="289"/>
      <c r="RTB16" s="289"/>
      <c r="RTC16" s="289"/>
      <c r="RTD16" s="289"/>
      <c r="RTE16" s="289"/>
      <c r="RTF16" s="289"/>
      <c r="RTG16" s="289"/>
      <c r="RTH16" s="289"/>
      <c r="RTI16" s="289"/>
      <c r="RTJ16" s="289"/>
      <c r="RTK16" s="289"/>
      <c r="RTL16" s="289"/>
      <c r="RTM16" s="289"/>
      <c r="RTN16" s="289"/>
      <c r="RTO16" s="289"/>
      <c r="RTP16" s="289"/>
      <c r="RTQ16" s="289"/>
      <c r="RTR16" s="289"/>
      <c r="RTS16" s="289"/>
      <c r="RTT16" s="289"/>
      <c r="RTU16" s="289"/>
      <c r="RTV16" s="289"/>
      <c r="RTW16" s="289"/>
      <c r="RTX16" s="289"/>
      <c r="RTY16" s="289"/>
      <c r="RTZ16" s="289"/>
      <c r="RUA16" s="289"/>
      <c r="RUB16" s="289"/>
      <c r="RUC16" s="289"/>
      <c r="RUD16" s="289"/>
      <c r="RUE16" s="289"/>
      <c r="RUF16" s="289"/>
      <c r="RUG16" s="289"/>
      <c r="RUH16" s="289"/>
      <c r="RUI16" s="289"/>
      <c r="RUJ16" s="289"/>
      <c r="RUK16" s="289"/>
      <c r="RUL16" s="289"/>
      <c r="RUM16" s="289"/>
      <c r="RUN16" s="289"/>
      <c r="RUO16" s="289"/>
      <c r="RUP16" s="289"/>
      <c r="RUQ16" s="289"/>
      <c r="RUR16" s="289"/>
      <c r="RUS16" s="289"/>
      <c r="RUT16" s="289"/>
      <c r="RUU16" s="289"/>
      <c r="RUV16" s="289"/>
      <c r="RUW16" s="289"/>
      <c r="RUX16" s="289"/>
      <c r="RUY16" s="289"/>
      <c r="RUZ16" s="289"/>
      <c r="RVA16" s="289"/>
      <c r="RVB16" s="289"/>
      <c r="RVC16" s="289"/>
      <c r="RVD16" s="289"/>
      <c r="RVE16" s="289"/>
      <c r="RVF16" s="289"/>
      <c r="RVG16" s="289"/>
      <c r="RVH16" s="289"/>
      <c r="RVI16" s="289"/>
      <c r="RVJ16" s="289"/>
      <c r="RVK16" s="289"/>
      <c r="RVL16" s="289"/>
      <c r="RVM16" s="289"/>
      <c r="RVN16" s="289"/>
      <c r="RVO16" s="289"/>
      <c r="RVP16" s="289"/>
      <c r="RVQ16" s="289"/>
      <c r="RVR16" s="289"/>
      <c r="RVS16" s="289"/>
      <c r="RVT16" s="289"/>
      <c r="RVU16" s="289"/>
      <c r="RVV16" s="289"/>
      <c r="RVW16" s="289"/>
      <c r="RVX16" s="289"/>
      <c r="RVY16" s="289"/>
      <c r="RVZ16" s="289"/>
      <c r="RWA16" s="289"/>
      <c r="RWB16" s="289"/>
      <c r="RWC16" s="289"/>
      <c r="RWD16" s="289"/>
      <c r="RWE16" s="289"/>
      <c r="RWF16" s="289"/>
      <c r="RWG16" s="289"/>
      <c r="RWH16" s="289"/>
      <c r="RWI16" s="289"/>
      <c r="RWJ16" s="289"/>
      <c r="RWK16" s="289"/>
      <c r="RWL16" s="289"/>
      <c r="RWM16" s="289"/>
      <c r="RWN16" s="289"/>
      <c r="RWO16" s="289"/>
      <c r="RWP16" s="289"/>
      <c r="RWQ16" s="289"/>
      <c r="RWR16" s="289"/>
      <c r="RWS16" s="289"/>
      <c r="RWT16" s="289"/>
      <c r="RWU16" s="289"/>
      <c r="RWV16" s="289"/>
      <c r="RWW16" s="289"/>
      <c r="RWX16" s="289"/>
      <c r="RWY16" s="289"/>
      <c r="RWZ16" s="289"/>
      <c r="RXA16" s="289"/>
      <c r="RXB16" s="289"/>
      <c r="RXC16" s="289"/>
      <c r="RXD16" s="289"/>
      <c r="RXE16" s="289"/>
      <c r="RXF16" s="289"/>
      <c r="RXG16" s="289"/>
      <c r="RXH16" s="289"/>
      <c r="RXI16" s="289"/>
      <c r="RXJ16" s="289"/>
      <c r="RXK16" s="289"/>
      <c r="RXL16" s="289"/>
      <c r="RXM16" s="289"/>
      <c r="RXN16" s="289"/>
      <c r="RXO16" s="289"/>
      <c r="RXP16" s="289"/>
      <c r="RXQ16" s="289"/>
      <c r="RXR16" s="289"/>
      <c r="RXS16" s="289"/>
      <c r="RXT16" s="289"/>
      <c r="RXU16" s="289"/>
      <c r="RXV16" s="289"/>
      <c r="RXW16" s="289"/>
      <c r="RXX16" s="289"/>
      <c r="RXY16" s="289"/>
      <c r="RXZ16" s="289"/>
      <c r="RYA16" s="289"/>
      <c r="RYB16" s="289"/>
      <c r="RYC16" s="289"/>
      <c r="RYD16" s="289"/>
      <c r="RYE16" s="289"/>
      <c r="RYF16" s="289"/>
      <c r="RYG16" s="289"/>
      <c r="RYH16" s="289"/>
      <c r="RYI16" s="289"/>
      <c r="RYJ16" s="289"/>
      <c r="RYK16" s="289"/>
      <c r="RYL16" s="289"/>
      <c r="RYM16" s="289"/>
      <c r="RYN16" s="289"/>
      <c r="RYO16" s="289"/>
      <c r="RYP16" s="289"/>
      <c r="RYQ16" s="289"/>
      <c r="RYR16" s="289"/>
      <c r="RYS16" s="289"/>
      <c r="RYT16" s="289"/>
      <c r="RYU16" s="289"/>
      <c r="RYV16" s="289"/>
      <c r="RYW16" s="289"/>
      <c r="RYX16" s="289"/>
      <c r="RYY16" s="289"/>
      <c r="RYZ16" s="289"/>
      <c r="RZA16" s="289"/>
      <c r="RZB16" s="289"/>
      <c r="RZC16" s="289"/>
      <c r="RZD16" s="289"/>
      <c r="RZE16" s="289"/>
      <c r="RZF16" s="289"/>
      <c r="RZG16" s="289"/>
      <c r="RZH16" s="289"/>
      <c r="RZI16" s="289"/>
      <c r="RZJ16" s="289"/>
      <c r="RZK16" s="289"/>
      <c r="RZL16" s="289"/>
      <c r="RZM16" s="289"/>
      <c r="RZN16" s="289"/>
      <c r="RZO16" s="289"/>
      <c r="RZP16" s="289"/>
      <c r="RZQ16" s="289"/>
      <c r="RZR16" s="289"/>
      <c r="RZS16" s="289"/>
      <c r="RZT16" s="289"/>
      <c r="RZU16" s="289"/>
      <c r="RZV16" s="289"/>
      <c r="RZW16" s="289"/>
      <c r="RZX16" s="289"/>
      <c r="RZY16" s="289"/>
      <c r="RZZ16" s="289"/>
      <c r="SAA16" s="289"/>
      <c r="SAB16" s="289"/>
      <c r="SAC16" s="289"/>
      <c r="SAD16" s="289"/>
      <c r="SAE16" s="289"/>
      <c r="SAF16" s="289"/>
      <c r="SAG16" s="289"/>
      <c r="SAH16" s="289"/>
      <c r="SAI16" s="289"/>
      <c r="SAJ16" s="289"/>
      <c r="SAK16" s="289"/>
      <c r="SAL16" s="289"/>
      <c r="SAM16" s="289"/>
      <c r="SAN16" s="289"/>
      <c r="SAO16" s="289"/>
      <c r="SAP16" s="289"/>
      <c r="SAQ16" s="289"/>
      <c r="SAR16" s="289"/>
      <c r="SAS16" s="289"/>
      <c r="SAT16" s="289"/>
      <c r="SAU16" s="289"/>
      <c r="SAV16" s="289"/>
      <c r="SAW16" s="289"/>
      <c r="SAX16" s="289"/>
      <c r="SAY16" s="289"/>
      <c r="SAZ16" s="289"/>
      <c r="SBA16" s="289"/>
      <c r="SBB16" s="289"/>
      <c r="SBC16" s="289"/>
      <c r="SBD16" s="289"/>
      <c r="SBE16" s="289"/>
      <c r="SBF16" s="289"/>
      <c r="SBG16" s="289"/>
      <c r="SBH16" s="289"/>
      <c r="SBI16" s="289"/>
      <c r="SBJ16" s="289"/>
      <c r="SBK16" s="289"/>
      <c r="SBL16" s="289"/>
      <c r="SBM16" s="289"/>
      <c r="SBN16" s="289"/>
      <c r="SBO16" s="289"/>
      <c r="SBP16" s="289"/>
      <c r="SBQ16" s="289"/>
      <c r="SBR16" s="289"/>
      <c r="SBS16" s="289"/>
      <c r="SBT16" s="289"/>
      <c r="SBU16" s="289"/>
      <c r="SBV16" s="289"/>
      <c r="SBW16" s="289"/>
      <c r="SBX16" s="289"/>
      <c r="SBY16" s="289"/>
      <c r="SBZ16" s="289"/>
      <c r="SCA16" s="289"/>
      <c r="SCB16" s="289"/>
      <c r="SCC16" s="289"/>
      <c r="SCD16" s="289"/>
      <c r="SCE16" s="289"/>
      <c r="SCF16" s="289"/>
      <c r="SCG16" s="289"/>
      <c r="SCH16" s="289"/>
      <c r="SCI16" s="289"/>
      <c r="SCJ16" s="289"/>
      <c r="SCK16" s="289"/>
      <c r="SCL16" s="289"/>
      <c r="SCM16" s="289"/>
      <c r="SCN16" s="289"/>
      <c r="SCO16" s="289"/>
      <c r="SCP16" s="289"/>
      <c r="SCQ16" s="289"/>
      <c r="SCR16" s="289"/>
      <c r="SCS16" s="289"/>
      <c r="SCT16" s="289"/>
      <c r="SCU16" s="289"/>
      <c r="SCV16" s="289"/>
      <c r="SCW16" s="289"/>
      <c r="SCX16" s="289"/>
      <c r="SCY16" s="289"/>
      <c r="SCZ16" s="289"/>
      <c r="SDA16" s="289"/>
      <c r="SDB16" s="289"/>
      <c r="SDC16" s="289"/>
      <c r="SDD16" s="289"/>
      <c r="SDE16" s="289"/>
      <c r="SDF16" s="289"/>
      <c r="SDG16" s="289"/>
      <c r="SDH16" s="289"/>
      <c r="SDI16" s="289"/>
      <c r="SDJ16" s="289"/>
      <c r="SDK16" s="289"/>
      <c r="SDL16" s="289"/>
      <c r="SDM16" s="289"/>
      <c r="SDN16" s="289"/>
      <c r="SDO16" s="289"/>
      <c r="SDP16" s="289"/>
      <c r="SDQ16" s="289"/>
      <c r="SDR16" s="289"/>
      <c r="SDS16" s="289"/>
      <c r="SDT16" s="289"/>
      <c r="SDU16" s="289"/>
      <c r="SDV16" s="289"/>
      <c r="SDW16" s="289"/>
      <c r="SDX16" s="289"/>
      <c r="SDY16" s="289"/>
      <c r="SDZ16" s="289"/>
      <c r="SEA16" s="289"/>
      <c r="SEB16" s="289"/>
      <c r="SEC16" s="289"/>
      <c r="SED16" s="289"/>
      <c r="SEE16" s="289"/>
      <c r="SEF16" s="289"/>
      <c r="SEG16" s="289"/>
      <c r="SEH16" s="289"/>
      <c r="SEI16" s="289"/>
      <c r="SEJ16" s="289"/>
      <c r="SEK16" s="289"/>
      <c r="SEL16" s="289"/>
      <c r="SEM16" s="289"/>
      <c r="SEN16" s="289"/>
      <c r="SEO16" s="289"/>
      <c r="SEP16" s="289"/>
      <c r="SEQ16" s="289"/>
      <c r="SER16" s="289"/>
      <c r="SES16" s="289"/>
      <c r="SET16" s="289"/>
      <c r="SEU16" s="289"/>
      <c r="SEV16" s="289"/>
      <c r="SEW16" s="289"/>
      <c r="SEX16" s="289"/>
      <c r="SEY16" s="289"/>
      <c r="SEZ16" s="289"/>
      <c r="SFA16" s="289"/>
      <c r="SFB16" s="289"/>
      <c r="SFC16" s="289"/>
      <c r="SFD16" s="289"/>
      <c r="SFE16" s="289"/>
      <c r="SFF16" s="289"/>
      <c r="SFG16" s="289"/>
      <c r="SFH16" s="289"/>
      <c r="SFI16" s="289"/>
      <c r="SFJ16" s="289"/>
      <c r="SFK16" s="289"/>
      <c r="SFL16" s="289"/>
      <c r="SFM16" s="289"/>
      <c r="SFN16" s="289"/>
      <c r="SFO16" s="289"/>
      <c r="SFP16" s="289"/>
      <c r="SFQ16" s="289"/>
      <c r="SFR16" s="289"/>
      <c r="SFS16" s="289"/>
      <c r="SFT16" s="289"/>
      <c r="SFU16" s="289"/>
      <c r="SFV16" s="289"/>
      <c r="SFW16" s="289"/>
      <c r="SFX16" s="289"/>
      <c r="SFY16" s="289"/>
      <c r="SFZ16" s="289"/>
      <c r="SGA16" s="289"/>
      <c r="SGB16" s="289"/>
      <c r="SGC16" s="289"/>
      <c r="SGD16" s="289"/>
      <c r="SGE16" s="289"/>
      <c r="SGF16" s="289"/>
      <c r="SGG16" s="289"/>
      <c r="SGH16" s="289"/>
      <c r="SGI16" s="289"/>
      <c r="SGJ16" s="289"/>
      <c r="SGK16" s="289"/>
      <c r="SGL16" s="289"/>
      <c r="SGM16" s="289"/>
      <c r="SGN16" s="289"/>
      <c r="SGO16" s="289"/>
      <c r="SGP16" s="289"/>
      <c r="SGQ16" s="289"/>
      <c r="SGR16" s="289"/>
      <c r="SGS16" s="289"/>
      <c r="SGT16" s="289"/>
      <c r="SGU16" s="289"/>
      <c r="SGV16" s="289"/>
      <c r="SGW16" s="289"/>
      <c r="SGX16" s="289"/>
      <c r="SGY16" s="289"/>
      <c r="SGZ16" s="289"/>
      <c r="SHA16" s="289"/>
      <c r="SHB16" s="289"/>
      <c r="SHC16" s="289"/>
      <c r="SHD16" s="289"/>
      <c r="SHE16" s="289"/>
      <c r="SHF16" s="289"/>
      <c r="SHG16" s="289"/>
      <c r="SHH16" s="289"/>
      <c r="SHI16" s="289"/>
      <c r="SHJ16" s="289"/>
      <c r="SHK16" s="289"/>
      <c r="SHL16" s="289"/>
      <c r="SHM16" s="289"/>
      <c r="SHN16" s="289"/>
      <c r="SHO16" s="289"/>
      <c r="SHP16" s="289"/>
      <c r="SHQ16" s="289"/>
      <c r="SHR16" s="289"/>
      <c r="SHS16" s="289"/>
      <c r="SHT16" s="289"/>
      <c r="SHU16" s="289"/>
      <c r="SHV16" s="289"/>
      <c r="SHW16" s="289"/>
      <c r="SHX16" s="289"/>
      <c r="SHY16" s="289"/>
      <c r="SHZ16" s="289"/>
      <c r="SIA16" s="289"/>
      <c r="SIB16" s="289"/>
      <c r="SIC16" s="289"/>
      <c r="SID16" s="289"/>
      <c r="SIE16" s="289"/>
      <c r="SIF16" s="289"/>
      <c r="SIG16" s="289"/>
      <c r="SIH16" s="289"/>
      <c r="SII16" s="289"/>
      <c r="SIJ16" s="289"/>
      <c r="SIK16" s="289"/>
      <c r="SIL16" s="289"/>
      <c r="SIM16" s="289"/>
      <c r="SIN16" s="289"/>
      <c r="SIO16" s="289"/>
      <c r="SIP16" s="289"/>
      <c r="SIQ16" s="289"/>
      <c r="SIR16" s="289"/>
      <c r="SIS16" s="289"/>
      <c r="SIT16" s="289"/>
      <c r="SIU16" s="289"/>
      <c r="SIV16" s="289"/>
      <c r="SIW16" s="289"/>
      <c r="SIX16" s="289"/>
      <c r="SIY16" s="289"/>
      <c r="SIZ16" s="289"/>
      <c r="SJA16" s="289"/>
      <c r="SJB16" s="289"/>
      <c r="SJC16" s="289"/>
      <c r="SJD16" s="289"/>
      <c r="SJE16" s="289"/>
      <c r="SJF16" s="289"/>
      <c r="SJG16" s="289"/>
      <c r="SJH16" s="289"/>
      <c r="SJI16" s="289"/>
      <c r="SJJ16" s="289"/>
      <c r="SJK16" s="289"/>
      <c r="SJL16" s="289"/>
      <c r="SJM16" s="289"/>
      <c r="SJN16" s="289"/>
      <c r="SJO16" s="289"/>
      <c r="SJP16" s="289"/>
      <c r="SJQ16" s="289"/>
      <c r="SJR16" s="289"/>
      <c r="SJS16" s="289"/>
      <c r="SJT16" s="289"/>
      <c r="SJU16" s="289"/>
      <c r="SJV16" s="289"/>
      <c r="SJW16" s="289"/>
      <c r="SJX16" s="289"/>
      <c r="SJY16" s="289"/>
      <c r="SJZ16" s="289"/>
      <c r="SKA16" s="289"/>
      <c r="SKB16" s="289"/>
      <c r="SKC16" s="289"/>
      <c r="SKD16" s="289"/>
      <c r="SKE16" s="289"/>
      <c r="SKF16" s="289"/>
      <c r="SKG16" s="289"/>
      <c r="SKH16" s="289"/>
      <c r="SKI16" s="289"/>
      <c r="SKJ16" s="289"/>
      <c r="SKK16" s="289"/>
      <c r="SKL16" s="289"/>
      <c r="SKM16" s="289"/>
      <c r="SKN16" s="289"/>
      <c r="SKO16" s="289"/>
      <c r="SKP16" s="289"/>
      <c r="SKQ16" s="289"/>
      <c r="SKR16" s="289"/>
      <c r="SKS16" s="289"/>
      <c r="SKT16" s="289"/>
      <c r="SKU16" s="289"/>
      <c r="SKV16" s="289"/>
      <c r="SKW16" s="289"/>
      <c r="SKX16" s="289"/>
      <c r="SKY16" s="289"/>
      <c r="SKZ16" s="289"/>
      <c r="SLA16" s="289"/>
      <c r="SLB16" s="289"/>
      <c r="SLC16" s="289"/>
      <c r="SLD16" s="289"/>
      <c r="SLE16" s="289"/>
      <c r="SLF16" s="289"/>
      <c r="SLG16" s="289"/>
      <c r="SLH16" s="289"/>
      <c r="SLI16" s="289"/>
      <c r="SLJ16" s="289"/>
      <c r="SLK16" s="289"/>
      <c r="SLL16" s="289"/>
      <c r="SLM16" s="289"/>
      <c r="SLN16" s="289"/>
      <c r="SLO16" s="289"/>
      <c r="SLP16" s="289"/>
      <c r="SLQ16" s="289"/>
      <c r="SLR16" s="289"/>
      <c r="SLS16" s="289"/>
      <c r="SLT16" s="289"/>
      <c r="SLU16" s="289"/>
      <c r="SLV16" s="289"/>
      <c r="SLW16" s="289"/>
      <c r="SLX16" s="289"/>
      <c r="SLY16" s="289"/>
      <c r="SLZ16" s="289"/>
      <c r="SMA16" s="289"/>
      <c r="SMB16" s="289"/>
      <c r="SMC16" s="289"/>
      <c r="SMD16" s="289"/>
      <c r="SME16" s="289"/>
      <c r="SMF16" s="289"/>
      <c r="SMG16" s="289"/>
      <c r="SMH16" s="289"/>
      <c r="SMI16" s="289"/>
      <c r="SMJ16" s="289"/>
      <c r="SMK16" s="289"/>
      <c r="SML16" s="289"/>
      <c r="SMM16" s="289"/>
      <c r="SMN16" s="289"/>
      <c r="SMO16" s="289"/>
      <c r="SMP16" s="289"/>
      <c r="SMQ16" s="289"/>
      <c r="SMR16" s="289"/>
      <c r="SMS16" s="289"/>
      <c r="SMT16" s="289"/>
      <c r="SMU16" s="289"/>
      <c r="SMV16" s="289"/>
      <c r="SMW16" s="289"/>
      <c r="SMX16" s="289"/>
      <c r="SMY16" s="289"/>
      <c r="SMZ16" s="289"/>
      <c r="SNA16" s="289"/>
      <c r="SNB16" s="289"/>
      <c r="SNC16" s="289"/>
      <c r="SND16" s="289"/>
      <c r="SNE16" s="289"/>
      <c r="SNF16" s="289"/>
      <c r="SNG16" s="289"/>
      <c r="SNH16" s="289"/>
      <c r="SNI16" s="289"/>
      <c r="SNJ16" s="289"/>
      <c r="SNK16" s="289"/>
      <c r="SNL16" s="289"/>
      <c r="SNM16" s="289"/>
      <c r="SNN16" s="289"/>
      <c r="SNO16" s="289"/>
      <c r="SNP16" s="289"/>
      <c r="SNQ16" s="289"/>
      <c r="SNR16" s="289"/>
      <c r="SNS16" s="289"/>
      <c r="SNT16" s="289"/>
      <c r="SNU16" s="289"/>
      <c r="SNV16" s="289"/>
      <c r="SNW16" s="289"/>
      <c r="SNX16" s="289"/>
      <c r="SNY16" s="289"/>
      <c r="SNZ16" s="289"/>
      <c r="SOA16" s="289"/>
      <c r="SOB16" s="289"/>
      <c r="SOC16" s="289"/>
      <c r="SOD16" s="289"/>
      <c r="SOE16" s="289"/>
      <c r="SOF16" s="289"/>
      <c r="SOG16" s="289"/>
      <c r="SOH16" s="289"/>
      <c r="SOI16" s="289"/>
      <c r="SOJ16" s="289"/>
      <c r="SOK16" s="289"/>
      <c r="SOL16" s="289"/>
      <c r="SOM16" s="289"/>
      <c r="SON16" s="289"/>
      <c r="SOO16" s="289"/>
      <c r="SOP16" s="289"/>
      <c r="SOQ16" s="289"/>
      <c r="SOR16" s="289"/>
      <c r="SOS16" s="289"/>
      <c r="SOT16" s="289"/>
      <c r="SOU16" s="289"/>
      <c r="SOV16" s="289"/>
      <c r="SOW16" s="289"/>
      <c r="SOX16" s="289"/>
      <c r="SOY16" s="289"/>
      <c r="SOZ16" s="289"/>
      <c r="SPA16" s="289"/>
      <c r="SPB16" s="289"/>
      <c r="SPC16" s="289"/>
      <c r="SPD16" s="289"/>
      <c r="SPE16" s="289"/>
      <c r="SPF16" s="289"/>
      <c r="SPG16" s="289"/>
      <c r="SPH16" s="289"/>
      <c r="SPI16" s="289"/>
      <c r="SPJ16" s="289"/>
      <c r="SPK16" s="289"/>
      <c r="SPL16" s="289"/>
      <c r="SPM16" s="289"/>
      <c r="SPN16" s="289"/>
      <c r="SPO16" s="289"/>
      <c r="SPP16" s="289"/>
      <c r="SPQ16" s="289"/>
      <c r="SPR16" s="289"/>
      <c r="SPS16" s="289"/>
      <c r="SPT16" s="289"/>
      <c r="SPU16" s="289"/>
      <c r="SPV16" s="289"/>
      <c r="SPW16" s="289"/>
      <c r="SPX16" s="289"/>
      <c r="SPY16" s="289"/>
      <c r="SPZ16" s="289"/>
      <c r="SQA16" s="289"/>
      <c r="SQB16" s="289"/>
      <c r="SQC16" s="289"/>
      <c r="SQD16" s="289"/>
      <c r="SQE16" s="289"/>
      <c r="SQF16" s="289"/>
      <c r="SQG16" s="289"/>
      <c r="SQH16" s="289"/>
      <c r="SQI16" s="289"/>
      <c r="SQJ16" s="289"/>
      <c r="SQK16" s="289"/>
      <c r="SQL16" s="289"/>
      <c r="SQM16" s="289"/>
      <c r="SQN16" s="289"/>
      <c r="SQO16" s="289"/>
      <c r="SQP16" s="289"/>
      <c r="SQQ16" s="289"/>
      <c r="SQR16" s="289"/>
      <c r="SQS16" s="289"/>
      <c r="SQT16" s="289"/>
      <c r="SQU16" s="289"/>
      <c r="SQV16" s="289"/>
      <c r="SQW16" s="289"/>
      <c r="SQX16" s="289"/>
      <c r="SQY16" s="289"/>
      <c r="SQZ16" s="289"/>
      <c r="SRA16" s="289"/>
      <c r="SRB16" s="289"/>
      <c r="SRC16" s="289"/>
      <c r="SRD16" s="289"/>
      <c r="SRE16" s="289"/>
      <c r="SRF16" s="289"/>
      <c r="SRG16" s="289"/>
      <c r="SRH16" s="289"/>
      <c r="SRI16" s="289"/>
      <c r="SRJ16" s="289"/>
      <c r="SRK16" s="289"/>
      <c r="SRL16" s="289"/>
      <c r="SRM16" s="289"/>
      <c r="SRN16" s="289"/>
      <c r="SRO16" s="289"/>
      <c r="SRP16" s="289"/>
      <c r="SRQ16" s="289"/>
      <c r="SRR16" s="289"/>
      <c r="SRS16" s="289"/>
      <c r="SRT16" s="289"/>
      <c r="SRU16" s="289"/>
      <c r="SRV16" s="289"/>
      <c r="SRW16" s="289"/>
      <c r="SRX16" s="289"/>
      <c r="SRY16" s="289"/>
      <c r="SRZ16" s="289"/>
      <c r="SSA16" s="289"/>
      <c r="SSB16" s="289"/>
      <c r="SSC16" s="289"/>
      <c r="SSD16" s="289"/>
      <c r="SSE16" s="289"/>
      <c r="SSF16" s="289"/>
      <c r="SSG16" s="289"/>
      <c r="SSH16" s="289"/>
      <c r="SSI16" s="289"/>
      <c r="SSJ16" s="289"/>
      <c r="SSK16" s="289"/>
      <c r="SSL16" s="289"/>
      <c r="SSM16" s="289"/>
      <c r="SSN16" s="289"/>
      <c r="SSO16" s="289"/>
      <c r="SSP16" s="289"/>
      <c r="SSQ16" s="289"/>
      <c r="SSR16" s="289"/>
      <c r="SSS16" s="289"/>
      <c r="SST16" s="289"/>
      <c r="SSU16" s="289"/>
      <c r="SSV16" s="289"/>
      <c r="SSW16" s="289"/>
      <c r="SSX16" s="289"/>
      <c r="SSY16" s="289"/>
      <c r="SSZ16" s="289"/>
      <c r="STA16" s="289"/>
      <c r="STB16" s="289"/>
      <c r="STC16" s="289"/>
      <c r="STD16" s="289"/>
      <c r="STE16" s="289"/>
      <c r="STF16" s="289"/>
      <c r="STG16" s="289"/>
      <c r="STH16" s="289"/>
      <c r="STI16" s="289"/>
      <c r="STJ16" s="289"/>
      <c r="STK16" s="289"/>
      <c r="STL16" s="289"/>
      <c r="STM16" s="289"/>
      <c r="STN16" s="289"/>
      <c r="STO16" s="289"/>
      <c r="STP16" s="289"/>
      <c r="STQ16" s="289"/>
      <c r="STR16" s="289"/>
      <c r="STS16" s="289"/>
      <c r="STT16" s="289"/>
      <c r="STU16" s="289"/>
      <c r="STV16" s="289"/>
      <c r="STW16" s="289"/>
      <c r="STX16" s="289"/>
      <c r="STY16" s="289"/>
      <c r="STZ16" s="289"/>
      <c r="SUA16" s="289"/>
      <c r="SUB16" s="289"/>
      <c r="SUC16" s="289"/>
      <c r="SUD16" s="289"/>
      <c r="SUE16" s="289"/>
      <c r="SUF16" s="289"/>
      <c r="SUG16" s="289"/>
      <c r="SUH16" s="289"/>
      <c r="SUI16" s="289"/>
      <c r="SUJ16" s="289"/>
      <c r="SUK16" s="289"/>
      <c r="SUL16" s="289"/>
      <c r="SUM16" s="289"/>
      <c r="SUN16" s="289"/>
      <c r="SUO16" s="289"/>
      <c r="SUP16" s="289"/>
      <c r="SUQ16" s="289"/>
      <c r="SUR16" s="289"/>
      <c r="SUS16" s="289"/>
      <c r="SUT16" s="289"/>
      <c r="SUU16" s="289"/>
      <c r="SUV16" s="289"/>
      <c r="SUW16" s="289"/>
      <c r="SUX16" s="289"/>
      <c r="SUY16" s="289"/>
      <c r="SUZ16" s="289"/>
      <c r="SVA16" s="289"/>
      <c r="SVB16" s="289"/>
      <c r="SVC16" s="289"/>
      <c r="SVD16" s="289"/>
      <c r="SVE16" s="289"/>
      <c r="SVF16" s="289"/>
      <c r="SVG16" s="289"/>
      <c r="SVH16" s="289"/>
      <c r="SVI16" s="289"/>
      <c r="SVJ16" s="289"/>
      <c r="SVK16" s="289"/>
      <c r="SVL16" s="289"/>
      <c r="SVM16" s="289"/>
      <c r="SVN16" s="289"/>
      <c r="SVO16" s="289"/>
      <c r="SVP16" s="289"/>
      <c r="SVQ16" s="289"/>
      <c r="SVR16" s="289"/>
      <c r="SVS16" s="289"/>
      <c r="SVT16" s="289"/>
      <c r="SVU16" s="289"/>
      <c r="SVV16" s="289"/>
      <c r="SVW16" s="289"/>
      <c r="SVX16" s="289"/>
      <c r="SVY16" s="289"/>
      <c r="SVZ16" s="289"/>
      <c r="SWA16" s="289"/>
      <c r="SWB16" s="289"/>
      <c r="SWC16" s="289"/>
      <c r="SWD16" s="289"/>
      <c r="SWE16" s="289"/>
      <c r="SWF16" s="289"/>
      <c r="SWG16" s="289"/>
      <c r="SWH16" s="289"/>
      <c r="SWI16" s="289"/>
      <c r="SWJ16" s="289"/>
      <c r="SWK16" s="289"/>
      <c r="SWL16" s="289"/>
      <c r="SWM16" s="289"/>
      <c r="SWN16" s="289"/>
      <c r="SWO16" s="289"/>
      <c r="SWP16" s="289"/>
      <c r="SWQ16" s="289"/>
      <c r="SWR16" s="289"/>
      <c r="SWS16" s="289"/>
      <c r="SWT16" s="289"/>
      <c r="SWU16" s="289"/>
      <c r="SWV16" s="289"/>
      <c r="SWW16" s="289"/>
      <c r="SWX16" s="289"/>
      <c r="SWY16" s="289"/>
      <c r="SWZ16" s="289"/>
      <c r="SXA16" s="289"/>
      <c r="SXB16" s="289"/>
      <c r="SXC16" s="289"/>
      <c r="SXD16" s="289"/>
      <c r="SXE16" s="289"/>
      <c r="SXF16" s="289"/>
      <c r="SXG16" s="289"/>
      <c r="SXH16" s="289"/>
      <c r="SXI16" s="289"/>
      <c r="SXJ16" s="289"/>
      <c r="SXK16" s="289"/>
      <c r="SXL16" s="289"/>
      <c r="SXM16" s="289"/>
      <c r="SXN16" s="289"/>
      <c r="SXO16" s="289"/>
      <c r="SXP16" s="289"/>
      <c r="SXQ16" s="289"/>
      <c r="SXR16" s="289"/>
      <c r="SXS16" s="289"/>
      <c r="SXT16" s="289"/>
      <c r="SXU16" s="289"/>
      <c r="SXV16" s="289"/>
      <c r="SXW16" s="289"/>
      <c r="SXX16" s="289"/>
      <c r="SXY16" s="289"/>
      <c r="SXZ16" s="289"/>
      <c r="SYA16" s="289"/>
      <c r="SYB16" s="289"/>
      <c r="SYC16" s="289"/>
      <c r="SYD16" s="289"/>
      <c r="SYE16" s="289"/>
      <c r="SYF16" s="289"/>
      <c r="SYG16" s="289"/>
      <c r="SYH16" s="289"/>
      <c r="SYI16" s="289"/>
      <c r="SYJ16" s="289"/>
      <c r="SYK16" s="289"/>
      <c r="SYL16" s="289"/>
      <c r="SYM16" s="289"/>
      <c r="SYN16" s="289"/>
      <c r="SYO16" s="289"/>
      <c r="SYP16" s="289"/>
      <c r="SYQ16" s="289"/>
      <c r="SYR16" s="289"/>
      <c r="SYS16" s="289"/>
      <c r="SYT16" s="289"/>
      <c r="SYU16" s="289"/>
      <c r="SYV16" s="289"/>
      <c r="SYW16" s="289"/>
      <c r="SYX16" s="289"/>
      <c r="SYY16" s="289"/>
      <c r="SYZ16" s="289"/>
      <c r="SZA16" s="289"/>
      <c r="SZB16" s="289"/>
      <c r="SZC16" s="289"/>
      <c r="SZD16" s="289"/>
      <c r="SZE16" s="289"/>
      <c r="SZF16" s="289"/>
      <c r="SZG16" s="289"/>
      <c r="SZH16" s="289"/>
      <c r="SZI16" s="289"/>
      <c r="SZJ16" s="289"/>
      <c r="SZK16" s="289"/>
      <c r="SZL16" s="289"/>
      <c r="SZM16" s="289"/>
      <c r="SZN16" s="289"/>
      <c r="SZO16" s="289"/>
      <c r="SZP16" s="289"/>
      <c r="SZQ16" s="289"/>
      <c r="SZR16" s="289"/>
      <c r="SZS16" s="289"/>
      <c r="SZT16" s="289"/>
      <c r="SZU16" s="289"/>
      <c r="SZV16" s="289"/>
      <c r="SZW16" s="289"/>
      <c r="SZX16" s="289"/>
      <c r="SZY16" s="289"/>
      <c r="SZZ16" s="289"/>
      <c r="TAA16" s="289"/>
      <c r="TAB16" s="289"/>
      <c r="TAC16" s="289"/>
      <c r="TAD16" s="289"/>
      <c r="TAE16" s="289"/>
      <c r="TAF16" s="289"/>
      <c r="TAG16" s="289"/>
      <c r="TAH16" s="289"/>
      <c r="TAI16" s="289"/>
      <c r="TAJ16" s="289"/>
      <c r="TAK16" s="289"/>
      <c r="TAL16" s="289"/>
      <c r="TAM16" s="289"/>
      <c r="TAN16" s="289"/>
      <c r="TAO16" s="289"/>
      <c r="TAP16" s="289"/>
      <c r="TAQ16" s="289"/>
      <c r="TAR16" s="289"/>
      <c r="TAS16" s="289"/>
      <c r="TAT16" s="289"/>
      <c r="TAU16" s="289"/>
      <c r="TAV16" s="289"/>
      <c r="TAW16" s="289"/>
      <c r="TAX16" s="289"/>
      <c r="TAY16" s="289"/>
      <c r="TAZ16" s="289"/>
      <c r="TBA16" s="289"/>
      <c r="TBB16" s="289"/>
      <c r="TBC16" s="289"/>
      <c r="TBD16" s="289"/>
      <c r="TBE16" s="289"/>
      <c r="TBF16" s="289"/>
      <c r="TBG16" s="289"/>
      <c r="TBH16" s="289"/>
      <c r="TBI16" s="289"/>
      <c r="TBJ16" s="289"/>
      <c r="TBK16" s="289"/>
      <c r="TBL16" s="289"/>
      <c r="TBM16" s="289"/>
      <c r="TBN16" s="289"/>
      <c r="TBO16" s="289"/>
      <c r="TBP16" s="289"/>
      <c r="TBQ16" s="289"/>
      <c r="TBR16" s="289"/>
      <c r="TBS16" s="289"/>
      <c r="TBT16" s="289"/>
      <c r="TBU16" s="289"/>
      <c r="TBV16" s="289"/>
      <c r="TBW16" s="289"/>
      <c r="TBX16" s="289"/>
      <c r="TBY16" s="289"/>
      <c r="TBZ16" s="289"/>
      <c r="TCA16" s="289"/>
      <c r="TCB16" s="289"/>
      <c r="TCC16" s="289"/>
      <c r="TCD16" s="289"/>
      <c r="TCE16" s="289"/>
      <c r="TCF16" s="289"/>
      <c r="TCG16" s="289"/>
      <c r="TCH16" s="289"/>
      <c r="TCI16" s="289"/>
      <c r="TCJ16" s="289"/>
      <c r="TCK16" s="289"/>
      <c r="TCL16" s="289"/>
      <c r="TCM16" s="289"/>
      <c r="TCN16" s="289"/>
      <c r="TCO16" s="289"/>
      <c r="TCP16" s="289"/>
      <c r="TCQ16" s="289"/>
      <c r="TCR16" s="289"/>
      <c r="TCS16" s="289"/>
      <c r="TCT16" s="289"/>
      <c r="TCU16" s="289"/>
      <c r="TCV16" s="289"/>
      <c r="TCW16" s="289"/>
      <c r="TCX16" s="289"/>
      <c r="TCY16" s="289"/>
      <c r="TCZ16" s="289"/>
      <c r="TDA16" s="289"/>
      <c r="TDB16" s="289"/>
      <c r="TDC16" s="289"/>
      <c r="TDD16" s="289"/>
      <c r="TDE16" s="289"/>
      <c r="TDF16" s="289"/>
      <c r="TDG16" s="289"/>
      <c r="TDH16" s="289"/>
      <c r="TDI16" s="289"/>
      <c r="TDJ16" s="289"/>
      <c r="TDK16" s="289"/>
      <c r="TDL16" s="289"/>
      <c r="TDM16" s="289"/>
      <c r="TDN16" s="289"/>
      <c r="TDO16" s="289"/>
      <c r="TDP16" s="289"/>
      <c r="TDQ16" s="289"/>
      <c r="TDR16" s="289"/>
      <c r="TDS16" s="289"/>
      <c r="TDT16" s="289"/>
      <c r="TDU16" s="289"/>
      <c r="TDV16" s="289"/>
      <c r="TDW16" s="289"/>
      <c r="TDX16" s="289"/>
      <c r="TDY16" s="289"/>
      <c r="TDZ16" s="289"/>
      <c r="TEA16" s="289"/>
      <c r="TEB16" s="289"/>
      <c r="TEC16" s="289"/>
      <c r="TED16" s="289"/>
      <c r="TEE16" s="289"/>
      <c r="TEF16" s="289"/>
      <c r="TEG16" s="289"/>
      <c r="TEH16" s="289"/>
      <c r="TEI16" s="289"/>
      <c r="TEJ16" s="289"/>
      <c r="TEK16" s="289"/>
      <c r="TEL16" s="289"/>
      <c r="TEM16" s="289"/>
      <c r="TEN16" s="289"/>
      <c r="TEO16" s="289"/>
      <c r="TEP16" s="289"/>
      <c r="TEQ16" s="289"/>
      <c r="TER16" s="289"/>
      <c r="TES16" s="289"/>
      <c r="TET16" s="289"/>
      <c r="TEU16" s="289"/>
      <c r="TEV16" s="289"/>
      <c r="TEW16" s="289"/>
      <c r="TEX16" s="289"/>
      <c r="TEY16" s="289"/>
      <c r="TEZ16" s="289"/>
      <c r="TFA16" s="289"/>
      <c r="TFB16" s="289"/>
      <c r="TFC16" s="289"/>
      <c r="TFD16" s="289"/>
      <c r="TFE16" s="289"/>
      <c r="TFF16" s="289"/>
      <c r="TFG16" s="289"/>
      <c r="TFH16" s="289"/>
      <c r="TFI16" s="289"/>
      <c r="TFJ16" s="289"/>
      <c r="TFK16" s="289"/>
      <c r="TFL16" s="289"/>
      <c r="TFM16" s="289"/>
      <c r="TFN16" s="289"/>
      <c r="TFO16" s="289"/>
      <c r="TFP16" s="289"/>
      <c r="TFQ16" s="289"/>
      <c r="TFR16" s="289"/>
      <c r="TFS16" s="289"/>
      <c r="TFT16" s="289"/>
      <c r="TFU16" s="289"/>
      <c r="TFV16" s="289"/>
      <c r="TFW16" s="289"/>
      <c r="TFX16" s="289"/>
      <c r="TFY16" s="289"/>
      <c r="TFZ16" s="289"/>
      <c r="TGA16" s="289"/>
      <c r="TGB16" s="289"/>
      <c r="TGC16" s="289"/>
      <c r="TGD16" s="289"/>
      <c r="TGE16" s="289"/>
      <c r="TGF16" s="289"/>
      <c r="TGG16" s="289"/>
      <c r="TGH16" s="289"/>
      <c r="TGI16" s="289"/>
      <c r="TGJ16" s="289"/>
      <c r="TGK16" s="289"/>
      <c r="TGL16" s="289"/>
      <c r="TGM16" s="289"/>
      <c r="TGN16" s="289"/>
      <c r="TGO16" s="289"/>
      <c r="TGP16" s="289"/>
      <c r="TGQ16" s="289"/>
      <c r="TGR16" s="289"/>
      <c r="TGS16" s="289"/>
      <c r="TGT16" s="289"/>
      <c r="TGU16" s="289"/>
      <c r="TGV16" s="289"/>
      <c r="TGW16" s="289"/>
      <c r="TGX16" s="289"/>
      <c r="TGY16" s="289"/>
      <c r="TGZ16" s="289"/>
      <c r="THA16" s="289"/>
      <c r="THB16" s="289"/>
      <c r="THC16" s="289"/>
      <c r="THD16" s="289"/>
      <c r="THE16" s="289"/>
      <c r="THF16" s="289"/>
      <c r="THG16" s="289"/>
      <c r="THH16" s="289"/>
      <c r="THI16" s="289"/>
      <c r="THJ16" s="289"/>
      <c r="THK16" s="289"/>
      <c r="THL16" s="289"/>
      <c r="THM16" s="289"/>
      <c r="THN16" s="289"/>
      <c r="THO16" s="289"/>
      <c r="THP16" s="289"/>
      <c r="THQ16" s="289"/>
      <c r="THR16" s="289"/>
      <c r="THS16" s="289"/>
      <c r="THT16" s="289"/>
      <c r="THU16" s="289"/>
      <c r="THV16" s="289"/>
      <c r="THW16" s="289"/>
      <c r="THX16" s="289"/>
      <c r="THY16" s="289"/>
      <c r="THZ16" s="289"/>
      <c r="TIA16" s="289"/>
      <c r="TIB16" s="289"/>
      <c r="TIC16" s="289"/>
      <c r="TID16" s="289"/>
      <c r="TIE16" s="289"/>
      <c r="TIF16" s="289"/>
      <c r="TIG16" s="289"/>
      <c r="TIH16" s="289"/>
      <c r="TII16" s="289"/>
      <c r="TIJ16" s="289"/>
      <c r="TIK16" s="289"/>
      <c r="TIL16" s="289"/>
      <c r="TIM16" s="289"/>
      <c r="TIN16" s="289"/>
      <c r="TIO16" s="289"/>
      <c r="TIP16" s="289"/>
      <c r="TIQ16" s="289"/>
      <c r="TIR16" s="289"/>
      <c r="TIS16" s="289"/>
      <c r="TIT16" s="289"/>
      <c r="TIU16" s="289"/>
      <c r="TIV16" s="289"/>
      <c r="TIW16" s="289"/>
      <c r="TIX16" s="289"/>
      <c r="TIY16" s="289"/>
      <c r="TIZ16" s="289"/>
      <c r="TJA16" s="289"/>
      <c r="TJB16" s="289"/>
      <c r="TJC16" s="289"/>
      <c r="TJD16" s="289"/>
      <c r="TJE16" s="289"/>
      <c r="TJF16" s="289"/>
      <c r="TJG16" s="289"/>
      <c r="TJH16" s="289"/>
      <c r="TJI16" s="289"/>
      <c r="TJJ16" s="289"/>
      <c r="TJK16" s="289"/>
      <c r="TJL16" s="289"/>
      <c r="TJM16" s="289"/>
      <c r="TJN16" s="289"/>
      <c r="TJO16" s="289"/>
      <c r="TJP16" s="289"/>
      <c r="TJQ16" s="289"/>
      <c r="TJR16" s="289"/>
      <c r="TJS16" s="289"/>
      <c r="TJT16" s="289"/>
      <c r="TJU16" s="289"/>
      <c r="TJV16" s="289"/>
      <c r="TJW16" s="289"/>
      <c r="TJX16" s="289"/>
      <c r="TJY16" s="289"/>
      <c r="TJZ16" s="289"/>
      <c r="TKA16" s="289"/>
      <c r="TKB16" s="289"/>
      <c r="TKC16" s="289"/>
      <c r="TKD16" s="289"/>
      <c r="TKE16" s="289"/>
      <c r="TKF16" s="289"/>
      <c r="TKG16" s="289"/>
      <c r="TKH16" s="289"/>
      <c r="TKI16" s="289"/>
      <c r="TKJ16" s="289"/>
      <c r="TKK16" s="289"/>
      <c r="TKL16" s="289"/>
      <c r="TKM16" s="289"/>
      <c r="TKN16" s="289"/>
      <c r="TKO16" s="289"/>
      <c r="TKP16" s="289"/>
      <c r="TKQ16" s="289"/>
      <c r="TKR16" s="289"/>
      <c r="TKS16" s="289"/>
      <c r="TKT16" s="289"/>
      <c r="TKU16" s="289"/>
      <c r="TKV16" s="289"/>
      <c r="TKW16" s="289"/>
      <c r="TKX16" s="289"/>
      <c r="TKY16" s="289"/>
      <c r="TKZ16" s="289"/>
      <c r="TLA16" s="289"/>
      <c r="TLB16" s="289"/>
      <c r="TLC16" s="289"/>
      <c r="TLD16" s="289"/>
      <c r="TLE16" s="289"/>
      <c r="TLF16" s="289"/>
      <c r="TLG16" s="289"/>
      <c r="TLH16" s="289"/>
      <c r="TLI16" s="289"/>
      <c r="TLJ16" s="289"/>
      <c r="TLK16" s="289"/>
      <c r="TLL16" s="289"/>
      <c r="TLM16" s="289"/>
      <c r="TLN16" s="289"/>
      <c r="TLO16" s="289"/>
      <c r="TLP16" s="289"/>
      <c r="TLQ16" s="289"/>
      <c r="TLR16" s="289"/>
      <c r="TLS16" s="289"/>
      <c r="TLT16" s="289"/>
      <c r="TLU16" s="289"/>
      <c r="TLV16" s="289"/>
      <c r="TLW16" s="289"/>
      <c r="TLX16" s="289"/>
      <c r="TLY16" s="289"/>
      <c r="TLZ16" s="289"/>
      <c r="TMA16" s="289"/>
      <c r="TMB16" s="289"/>
      <c r="TMC16" s="289"/>
      <c r="TMD16" s="289"/>
      <c r="TME16" s="289"/>
      <c r="TMF16" s="289"/>
      <c r="TMG16" s="289"/>
      <c r="TMH16" s="289"/>
      <c r="TMI16" s="289"/>
      <c r="TMJ16" s="289"/>
      <c r="TMK16" s="289"/>
      <c r="TML16" s="289"/>
      <c r="TMM16" s="289"/>
      <c r="TMN16" s="289"/>
      <c r="TMO16" s="289"/>
      <c r="TMP16" s="289"/>
      <c r="TMQ16" s="289"/>
      <c r="TMR16" s="289"/>
      <c r="TMS16" s="289"/>
      <c r="TMT16" s="289"/>
      <c r="TMU16" s="289"/>
      <c r="TMV16" s="289"/>
      <c r="TMW16" s="289"/>
      <c r="TMX16" s="289"/>
      <c r="TMY16" s="289"/>
      <c r="TMZ16" s="289"/>
      <c r="TNA16" s="289"/>
      <c r="TNB16" s="289"/>
      <c r="TNC16" s="289"/>
      <c r="TND16" s="289"/>
      <c r="TNE16" s="289"/>
      <c r="TNF16" s="289"/>
      <c r="TNG16" s="289"/>
      <c r="TNH16" s="289"/>
      <c r="TNI16" s="289"/>
      <c r="TNJ16" s="289"/>
      <c r="TNK16" s="289"/>
      <c r="TNL16" s="289"/>
      <c r="TNM16" s="289"/>
      <c r="TNN16" s="289"/>
      <c r="TNO16" s="289"/>
      <c r="TNP16" s="289"/>
      <c r="TNQ16" s="289"/>
      <c r="TNR16" s="289"/>
      <c r="TNS16" s="289"/>
      <c r="TNT16" s="289"/>
      <c r="TNU16" s="289"/>
      <c r="TNV16" s="289"/>
      <c r="TNW16" s="289"/>
      <c r="TNX16" s="289"/>
      <c r="TNY16" s="289"/>
      <c r="TNZ16" s="289"/>
      <c r="TOA16" s="289"/>
      <c r="TOB16" s="289"/>
      <c r="TOC16" s="289"/>
      <c r="TOD16" s="289"/>
      <c r="TOE16" s="289"/>
      <c r="TOF16" s="289"/>
      <c r="TOG16" s="289"/>
      <c r="TOH16" s="289"/>
      <c r="TOI16" s="289"/>
      <c r="TOJ16" s="289"/>
      <c r="TOK16" s="289"/>
      <c r="TOL16" s="289"/>
      <c r="TOM16" s="289"/>
      <c r="TON16" s="289"/>
      <c r="TOO16" s="289"/>
      <c r="TOP16" s="289"/>
      <c r="TOQ16" s="289"/>
      <c r="TOR16" s="289"/>
      <c r="TOS16" s="289"/>
      <c r="TOT16" s="289"/>
      <c r="TOU16" s="289"/>
      <c r="TOV16" s="289"/>
      <c r="TOW16" s="289"/>
      <c r="TOX16" s="289"/>
      <c r="TOY16" s="289"/>
      <c r="TOZ16" s="289"/>
      <c r="TPA16" s="289"/>
      <c r="TPB16" s="289"/>
      <c r="TPC16" s="289"/>
      <c r="TPD16" s="289"/>
      <c r="TPE16" s="289"/>
      <c r="TPF16" s="289"/>
      <c r="TPG16" s="289"/>
      <c r="TPH16" s="289"/>
      <c r="TPI16" s="289"/>
      <c r="TPJ16" s="289"/>
      <c r="TPK16" s="289"/>
      <c r="TPL16" s="289"/>
      <c r="TPM16" s="289"/>
      <c r="TPN16" s="289"/>
      <c r="TPO16" s="289"/>
      <c r="TPP16" s="289"/>
      <c r="TPQ16" s="289"/>
      <c r="TPR16" s="289"/>
      <c r="TPS16" s="289"/>
      <c r="TPT16" s="289"/>
      <c r="TPU16" s="289"/>
      <c r="TPV16" s="289"/>
      <c r="TPW16" s="289"/>
      <c r="TPX16" s="289"/>
      <c r="TPY16" s="289"/>
      <c r="TPZ16" s="289"/>
      <c r="TQA16" s="289"/>
      <c r="TQB16" s="289"/>
      <c r="TQC16" s="289"/>
      <c r="TQD16" s="289"/>
      <c r="TQE16" s="289"/>
      <c r="TQF16" s="289"/>
      <c r="TQG16" s="289"/>
      <c r="TQH16" s="289"/>
      <c r="TQI16" s="289"/>
      <c r="TQJ16" s="289"/>
      <c r="TQK16" s="289"/>
      <c r="TQL16" s="289"/>
      <c r="TQM16" s="289"/>
      <c r="TQN16" s="289"/>
      <c r="TQO16" s="289"/>
      <c r="TQP16" s="289"/>
      <c r="TQQ16" s="289"/>
      <c r="TQR16" s="289"/>
      <c r="TQS16" s="289"/>
      <c r="TQT16" s="289"/>
      <c r="TQU16" s="289"/>
      <c r="TQV16" s="289"/>
      <c r="TQW16" s="289"/>
      <c r="TQX16" s="289"/>
      <c r="TQY16" s="289"/>
      <c r="TQZ16" s="289"/>
      <c r="TRA16" s="289"/>
      <c r="TRB16" s="289"/>
      <c r="TRC16" s="289"/>
      <c r="TRD16" s="289"/>
      <c r="TRE16" s="289"/>
      <c r="TRF16" s="289"/>
      <c r="TRG16" s="289"/>
      <c r="TRH16" s="289"/>
      <c r="TRI16" s="289"/>
      <c r="TRJ16" s="289"/>
      <c r="TRK16" s="289"/>
      <c r="TRL16" s="289"/>
      <c r="TRM16" s="289"/>
      <c r="TRN16" s="289"/>
      <c r="TRO16" s="289"/>
      <c r="TRP16" s="289"/>
      <c r="TRQ16" s="289"/>
      <c r="TRR16" s="289"/>
      <c r="TRS16" s="289"/>
      <c r="TRT16" s="289"/>
      <c r="TRU16" s="289"/>
      <c r="TRV16" s="289"/>
      <c r="TRW16" s="289"/>
      <c r="TRX16" s="289"/>
      <c r="TRY16" s="289"/>
      <c r="TRZ16" s="289"/>
      <c r="TSA16" s="289"/>
      <c r="TSB16" s="289"/>
      <c r="TSC16" s="289"/>
      <c r="TSD16" s="289"/>
      <c r="TSE16" s="289"/>
      <c r="TSF16" s="289"/>
      <c r="TSG16" s="289"/>
      <c r="TSH16" s="289"/>
      <c r="TSI16" s="289"/>
      <c r="TSJ16" s="289"/>
      <c r="TSK16" s="289"/>
      <c r="TSL16" s="289"/>
      <c r="TSM16" s="289"/>
      <c r="TSN16" s="289"/>
      <c r="TSO16" s="289"/>
      <c r="TSP16" s="289"/>
      <c r="TSQ16" s="289"/>
      <c r="TSR16" s="289"/>
      <c r="TSS16" s="289"/>
      <c r="TST16" s="289"/>
      <c r="TSU16" s="289"/>
      <c r="TSV16" s="289"/>
      <c r="TSW16" s="289"/>
      <c r="TSX16" s="289"/>
      <c r="TSY16" s="289"/>
      <c r="TSZ16" s="289"/>
      <c r="TTA16" s="289"/>
      <c r="TTB16" s="289"/>
      <c r="TTC16" s="289"/>
      <c r="TTD16" s="289"/>
      <c r="TTE16" s="289"/>
      <c r="TTF16" s="289"/>
      <c r="TTG16" s="289"/>
      <c r="TTH16" s="289"/>
      <c r="TTI16" s="289"/>
      <c r="TTJ16" s="289"/>
      <c r="TTK16" s="289"/>
      <c r="TTL16" s="289"/>
      <c r="TTM16" s="289"/>
      <c r="TTN16" s="289"/>
      <c r="TTO16" s="289"/>
      <c r="TTP16" s="289"/>
      <c r="TTQ16" s="289"/>
      <c r="TTR16" s="289"/>
      <c r="TTS16" s="289"/>
      <c r="TTT16" s="289"/>
      <c r="TTU16" s="289"/>
      <c r="TTV16" s="289"/>
      <c r="TTW16" s="289"/>
      <c r="TTX16" s="289"/>
      <c r="TTY16" s="289"/>
      <c r="TTZ16" s="289"/>
      <c r="TUA16" s="289"/>
      <c r="TUB16" s="289"/>
      <c r="TUC16" s="289"/>
      <c r="TUD16" s="289"/>
      <c r="TUE16" s="289"/>
      <c r="TUF16" s="289"/>
      <c r="TUG16" s="289"/>
      <c r="TUH16" s="289"/>
      <c r="TUI16" s="289"/>
      <c r="TUJ16" s="289"/>
      <c r="TUK16" s="289"/>
      <c r="TUL16" s="289"/>
      <c r="TUM16" s="289"/>
      <c r="TUN16" s="289"/>
      <c r="TUO16" s="289"/>
      <c r="TUP16" s="289"/>
      <c r="TUQ16" s="289"/>
      <c r="TUR16" s="289"/>
      <c r="TUS16" s="289"/>
      <c r="TUT16" s="289"/>
      <c r="TUU16" s="289"/>
      <c r="TUV16" s="289"/>
      <c r="TUW16" s="289"/>
      <c r="TUX16" s="289"/>
      <c r="TUY16" s="289"/>
      <c r="TUZ16" s="289"/>
      <c r="TVA16" s="289"/>
      <c r="TVB16" s="289"/>
      <c r="TVC16" s="289"/>
      <c r="TVD16" s="289"/>
      <c r="TVE16" s="289"/>
      <c r="TVF16" s="289"/>
      <c r="TVG16" s="289"/>
      <c r="TVH16" s="289"/>
      <c r="TVI16" s="289"/>
      <c r="TVJ16" s="289"/>
      <c r="TVK16" s="289"/>
      <c r="TVL16" s="289"/>
      <c r="TVM16" s="289"/>
      <c r="TVN16" s="289"/>
      <c r="TVO16" s="289"/>
      <c r="TVP16" s="289"/>
      <c r="TVQ16" s="289"/>
      <c r="TVR16" s="289"/>
      <c r="TVS16" s="289"/>
      <c r="TVT16" s="289"/>
      <c r="TVU16" s="289"/>
      <c r="TVV16" s="289"/>
      <c r="TVW16" s="289"/>
      <c r="TVX16" s="289"/>
      <c r="TVY16" s="289"/>
      <c r="TVZ16" s="289"/>
      <c r="TWA16" s="289"/>
      <c r="TWB16" s="289"/>
      <c r="TWC16" s="289"/>
      <c r="TWD16" s="289"/>
      <c r="TWE16" s="289"/>
      <c r="TWF16" s="289"/>
      <c r="TWG16" s="289"/>
      <c r="TWH16" s="289"/>
      <c r="TWI16" s="289"/>
      <c r="TWJ16" s="289"/>
      <c r="TWK16" s="289"/>
      <c r="TWL16" s="289"/>
      <c r="TWM16" s="289"/>
      <c r="TWN16" s="289"/>
      <c r="TWO16" s="289"/>
      <c r="TWP16" s="289"/>
      <c r="TWQ16" s="289"/>
      <c r="TWR16" s="289"/>
      <c r="TWS16" s="289"/>
      <c r="TWT16" s="289"/>
      <c r="TWU16" s="289"/>
      <c r="TWV16" s="289"/>
      <c r="TWW16" s="289"/>
      <c r="TWX16" s="289"/>
      <c r="TWY16" s="289"/>
      <c r="TWZ16" s="289"/>
      <c r="TXA16" s="289"/>
      <c r="TXB16" s="289"/>
      <c r="TXC16" s="289"/>
      <c r="TXD16" s="289"/>
      <c r="TXE16" s="289"/>
      <c r="TXF16" s="289"/>
      <c r="TXG16" s="289"/>
      <c r="TXH16" s="289"/>
      <c r="TXI16" s="289"/>
      <c r="TXJ16" s="289"/>
      <c r="TXK16" s="289"/>
      <c r="TXL16" s="289"/>
      <c r="TXM16" s="289"/>
      <c r="TXN16" s="289"/>
      <c r="TXO16" s="289"/>
      <c r="TXP16" s="289"/>
      <c r="TXQ16" s="289"/>
      <c r="TXR16" s="289"/>
      <c r="TXS16" s="289"/>
      <c r="TXT16" s="289"/>
      <c r="TXU16" s="289"/>
      <c r="TXV16" s="289"/>
      <c r="TXW16" s="289"/>
      <c r="TXX16" s="289"/>
      <c r="TXY16" s="289"/>
      <c r="TXZ16" s="289"/>
      <c r="TYA16" s="289"/>
      <c r="TYB16" s="289"/>
      <c r="TYC16" s="289"/>
      <c r="TYD16" s="289"/>
      <c r="TYE16" s="289"/>
      <c r="TYF16" s="289"/>
      <c r="TYG16" s="289"/>
      <c r="TYH16" s="289"/>
      <c r="TYI16" s="289"/>
      <c r="TYJ16" s="289"/>
      <c r="TYK16" s="289"/>
      <c r="TYL16" s="289"/>
      <c r="TYM16" s="289"/>
      <c r="TYN16" s="289"/>
      <c r="TYO16" s="289"/>
      <c r="TYP16" s="289"/>
      <c r="TYQ16" s="289"/>
      <c r="TYR16" s="289"/>
      <c r="TYS16" s="289"/>
      <c r="TYT16" s="289"/>
      <c r="TYU16" s="289"/>
      <c r="TYV16" s="289"/>
      <c r="TYW16" s="289"/>
      <c r="TYX16" s="289"/>
      <c r="TYY16" s="289"/>
      <c r="TYZ16" s="289"/>
      <c r="TZA16" s="289"/>
      <c r="TZB16" s="289"/>
      <c r="TZC16" s="289"/>
      <c r="TZD16" s="289"/>
      <c r="TZE16" s="289"/>
      <c r="TZF16" s="289"/>
      <c r="TZG16" s="289"/>
      <c r="TZH16" s="289"/>
      <c r="TZI16" s="289"/>
      <c r="TZJ16" s="289"/>
      <c r="TZK16" s="289"/>
      <c r="TZL16" s="289"/>
      <c r="TZM16" s="289"/>
      <c r="TZN16" s="289"/>
      <c r="TZO16" s="289"/>
      <c r="TZP16" s="289"/>
      <c r="TZQ16" s="289"/>
      <c r="TZR16" s="289"/>
      <c r="TZS16" s="289"/>
      <c r="TZT16" s="289"/>
      <c r="TZU16" s="289"/>
      <c r="TZV16" s="289"/>
      <c r="TZW16" s="289"/>
      <c r="TZX16" s="289"/>
      <c r="TZY16" s="289"/>
      <c r="TZZ16" s="289"/>
      <c r="UAA16" s="289"/>
      <c r="UAB16" s="289"/>
      <c r="UAC16" s="289"/>
      <c r="UAD16" s="289"/>
      <c r="UAE16" s="289"/>
      <c r="UAF16" s="289"/>
      <c r="UAG16" s="289"/>
      <c r="UAH16" s="289"/>
      <c r="UAI16" s="289"/>
      <c r="UAJ16" s="289"/>
      <c r="UAK16" s="289"/>
      <c r="UAL16" s="289"/>
      <c r="UAM16" s="289"/>
      <c r="UAN16" s="289"/>
      <c r="UAO16" s="289"/>
      <c r="UAP16" s="289"/>
      <c r="UAQ16" s="289"/>
      <c r="UAR16" s="289"/>
      <c r="UAS16" s="289"/>
      <c r="UAT16" s="289"/>
      <c r="UAU16" s="289"/>
      <c r="UAV16" s="289"/>
      <c r="UAW16" s="289"/>
      <c r="UAX16" s="289"/>
      <c r="UAY16" s="289"/>
      <c r="UAZ16" s="289"/>
      <c r="UBA16" s="289"/>
      <c r="UBB16" s="289"/>
      <c r="UBC16" s="289"/>
      <c r="UBD16" s="289"/>
      <c r="UBE16" s="289"/>
      <c r="UBF16" s="289"/>
      <c r="UBG16" s="289"/>
      <c r="UBH16" s="289"/>
      <c r="UBI16" s="289"/>
      <c r="UBJ16" s="289"/>
      <c r="UBK16" s="289"/>
      <c r="UBL16" s="289"/>
      <c r="UBM16" s="289"/>
      <c r="UBN16" s="289"/>
      <c r="UBO16" s="289"/>
      <c r="UBP16" s="289"/>
      <c r="UBQ16" s="289"/>
      <c r="UBR16" s="289"/>
      <c r="UBS16" s="289"/>
      <c r="UBT16" s="289"/>
      <c r="UBU16" s="289"/>
      <c r="UBV16" s="289"/>
      <c r="UBW16" s="289"/>
      <c r="UBX16" s="289"/>
      <c r="UBY16" s="289"/>
      <c r="UBZ16" s="289"/>
      <c r="UCA16" s="289"/>
      <c r="UCB16" s="289"/>
      <c r="UCC16" s="289"/>
      <c r="UCD16" s="289"/>
      <c r="UCE16" s="289"/>
      <c r="UCF16" s="289"/>
      <c r="UCG16" s="289"/>
      <c r="UCH16" s="289"/>
      <c r="UCI16" s="289"/>
      <c r="UCJ16" s="289"/>
      <c r="UCK16" s="289"/>
      <c r="UCL16" s="289"/>
      <c r="UCM16" s="289"/>
      <c r="UCN16" s="289"/>
      <c r="UCO16" s="289"/>
      <c r="UCP16" s="289"/>
      <c r="UCQ16" s="289"/>
      <c r="UCR16" s="289"/>
      <c r="UCS16" s="289"/>
      <c r="UCT16" s="289"/>
      <c r="UCU16" s="289"/>
      <c r="UCV16" s="289"/>
      <c r="UCW16" s="289"/>
      <c r="UCX16" s="289"/>
      <c r="UCY16" s="289"/>
      <c r="UCZ16" s="289"/>
      <c r="UDA16" s="289"/>
      <c r="UDB16" s="289"/>
      <c r="UDC16" s="289"/>
      <c r="UDD16" s="289"/>
      <c r="UDE16" s="289"/>
      <c r="UDF16" s="289"/>
      <c r="UDG16" s="289"/>
      <c r="UDH16" s="289"/>
      <c r="UDI16" s="289"/>
      <c r="UDJ16" s="289"/>
      <c r="UDK16" s="289"/>
      <c r="UDL16" s="289"/>
      <c r="UDM16" s="289"/>
      <c r="UDN16" s="289"/>
      <c r="UDO16" s="289"/>
      <c r="UDP16" s="289"/>
      <c r="UDQ16" s="289"/>
      <c r="UDR16" s="289"/>
      <c r="UDS16" s="289"/>
      <c r="UDT16" s="289"/>
      <c r="UDU16" s="289"/>
      <c r="UDV16" s="289"/>
      <c r="UDW16" s="289"/>
      <c r="UDX16" s="289"/>
      <c r="UDY16" s="289"/>
      <c r="UDZ16" s="289"/>
      <c r="UEA16" s="289"/>
      <c r="UEB16" s="289"/>
      <c r="UEC16" s="289"/>
      <c r="UED16" s="289"/>
      <c r="UEE16" s="289"/>
      <c r="UEF16" s="289"/>
      <c r="UEG16" s="289"/>
      <c r="UEH16" s="289"/>
      <c r="UEI16" s="289"/>
      <c r="UEJ16" s="289"/>
      <c r="UEK16" s="289"/>
      <c r="UEL16" s="289"/>
      <c r="UEM16" s="289"/>
      <c r="UEN16" s="289"/>
      <c r="UEO16" s="289"/>
      <c r="UEP16" s="289"/>
      <c r="UEQ16" s="289"/>
      <c r="UER16" s="289"/>
      <c r="UES16" s="289"/>
      <c r="UET16" s="289"/>
      <c r="UEU16" s="289"/>
      <c r="UEV16" s="289"/>
      <c r="UEW16" s="289"/>
      <c r="UEX16" s="289"/>
      <c r="UEY16" s="289"/>
      <c r="UEZ16" s="289"/>
      <c r="UFA16" s="289"/>
      <c r="UFB16" s="289"/>
      <c r="UFC16" s="289"/>
      <c r="UFD16" s="289"/>
      <c r="UFE16" s="289"/>
      <c r="UFF16" s="289"/>
      <c r="UFG16" s="289"/>
      <c r="UFH16" s="289"/>
      <c r="UFI16" s="289"/>
      <c r="UFJ16" s="289"/>
      <c r="UFK16" s="289"/>
      <c r="UFL16" s="289"/>
      <c r="UFM16" s="289"/>
      <c r="UFN16" s="289"/>
      <c r="UFO16" s="289"/>
      <c r="UFP16" s="289"/>
      <c r="UFQ16" s="289"/>
      <c r="UFR16" s="289"/>
      <c r="UFS16" s="289"/>
      <c r="UFT16" s="289"/>
      <c r="UFU16" s="289"/>
      <c r="UFV16" s="289"/>
      <c r="UFW16" s="289"/>
      <c r="UFX16" s="289"/>
      <c r="UFY16" s="289"/>
      <c r="UFZ16" s="289"/>
      <c r="UGA16" s="289"/>
      <c r="UGB16" s="289"/>
      <c r="UGC16" s="289"/>
      <c r="UGD16" s="289"/>
      <c r="UGE16" s="289"/>
      <c r="UGF16" s="289"/>
      <c r="UGG16" s="289"/>
      <c r="UGH16" s="289"/>
      <c r="UGI16" s="289"/>
      <c r="UGJ16" s="289"/>
      <c r="UGK16" s="289"/>
      <c r="UGL16" s="289"/>
      <c r="UGM16" s="289"/>
      <c r="UGN16" s="289"/>
      <c r="UGO16" s="289"/>
      <c r="UGP16" s="289"/>
      <c r="UGQ16" s="289"/>
      <c r="UGR16" s="289"/>
      <c r="UGS16" s="289"/>
      <c r="UGT16" s="289"/>
      <c r="UGU16" s="289"/>
      <c r="UGV16" s="289"/>
      <c r="UGW16" s="289"/>
      <c r="UGX16" s="289"/>
      <c r="UGY16" s="289"/>
      <c r="UGZ16" s="289"/>
      <c r="UHA16" s="289"/>
      <c r="UHB16" s="289"/>
      <c r="UHC16" s="289"/>
      <c r="UHD16" s="289"/>
      <c r="UHE16" s="289"/>
      <c r="UHF16" s="289"/>
      <c r="UHG16" s="289"/>
      <c r="UHH16" s="289"/>
      <c r="UHI16" s="289"/>
      <c r="UHJ16" s="289"/>
      <c r="UHK16" s="289"/>
      <c r="UHL16" s="289"/>
      <c r="UHM16" s="289"/>
      <c r="UHN16" s="289"/>
      <c r="UHO16" s="289"/>
      <c r="UHP16" s="289"/>
      <c r="UHQ16" s="289"/>
      <c r="UHR16" s="289"/>
      <c r="UHS16" s="289"/>
      <c r="UHT16" s="289"/>
      <c r="UHU16" s="289"/>
      <c r="UHV16" s="289"/>
      <c r="UHW16" s="289"/>
      <c r="UHX16" s="289"/>
      <c r="UHY16" s="289"/>
      <c r="UHZ16" s="289"/>
      <c r="UIA16" s="289"/>
      <c r="UIB16" s="289"/>
      <c r="UIC16" s="289"/>
      <c r="UID16" s="289"/>
      <c r="UIE16" s="289"/>
      <c r="UIF16" s="289"/>
      <c r="UIG16" s="289"/>
      <c r="UIH16" s="289"/>
      <c r="UII16" s="289"/>
      <c r="UIJ16" s="289"/>
      <c r="UIK16" s="289"/>
      <c r="UIL16" s="289"/>
      <c r="UIM16" s="289"/>
      <c r="UIN16" s="289"/>
      <c r="UIO16" s="289"/>
      <c r="UIP16" s="289"/>
      <c r="UIQ16" s="289"/>
      <c r="UIR16" s="289"/>
      <c r="UIS16" s="289"/>
      <c r="UIT16" s="289"/>
      <c r="UIU16" s="289"/>
      <c r="UIV16" s="289"/>
      <c r="UIW16" s="289"/>
      <c r="UIX16" s="289"/>
      <c r="UIY16" s="289"/>
      <c r="UIZ16" s="289"/>
      <c r="UJA16" s="289"/>
      <c r="UJB16" s="289"/>
      <c r="UJC16" s="289"/>
      <c r="UJD16" s="289"/>
      <c r="UJE16" s="289"/>
      <c r="UJF16" s="289"/>
      <c r="UJG16" s="289"/>
      <c r="UJH16" s="289"/>
      <c r="UJI16" s="289"/>
      <c r="UJJ16" s="289"/>
      <c r="UJK16" s="289"/>
      <c r="UJL16" s="289"/>
      <c r="UJM16" s="289"/>
      <c r="UJN16" s="289"/>
      <c r="UJO16" s="289"/>
      <c r="UJP16" s="289"/>
      <c r="UJQ16" s="289"/>
      <c r="UJR16" s="289"/>
      <c r="UJS16" s="289"/>
      <c r="UJT16" s="289"/>
      <c r="UJU16" s="289"/>
      <c r="UJV16" s="289"/>
      <c r="UJW16" s="289"/>
      <c r="UJX16" s="289"/>
      <c r="UJY16" s="289"/>
      <c r="UJZ16" s="289"/>
      <c r="UKA16" s="289"/>
      <c r="UKB16" s="289"/>
      <c r="UKC16" s="289"/>
      <c r="UKD16" s="289"/>
      <c r="UKE16" s="289"/>
      <c r="UKF16" s="289"/>
      <c r="UKG16" s="289"/>
      <c r="UKH16" s="289"/>
      <c r="UKI16" s="289"/>
      <c r="UKJ16" s="289"/>
      <c r="UKK16" s="289"/>
      <c r="UKL16" s="289"/>
      <c r="UKM16" s="289"/>
      <c r="UKN16" s="289"/>
      <c r="UKO16" s="289"/>
      <c r="UKP16" s="289"/>
      <c r="UKQ16" s="289"/>
      <c r="UKR16" s="289"/>
      <c r="UKS16" s="289"/>
      <c r="UKT16" s="289"/>
      <c r="UKU16" s="289"/>
      <c r="UKV16" s="289"/>
      <c r="UKW16" s="289"/>
      <c r="UKX16" s="289"/>
      <c r="UKY16" s="289"/>
      <c r="UKZ16" s="289"/>
      <c r="ULA16" s="289"/>
      <c r="ULB16" s="289"/>
      <c r="ULC16" s="289"/>
      <c r="ULD16" s="289"/>
      <c r="ULE16" s="289"/>
      <c r="ULF16" s="289"/>
      <c r="ULG16" s="289"/>
      <c r="ULH16" s="289"/>
      <c r="ULI16" s="289"/>
      <c r="ULJ16" s="289"/>
      <c r="ULK16" s="289"/>
      <c r="ULL16" s="289"/>
      <c r="ULM16" s="289"/>
      <c r="ULN16" s="289"/>
      <c r="ULO16" s="289"/>
      <c r="ULP16" s="289"/>
      <c r="ULQ16" s="289"/>
      <c r="ULR16" s="289"/>
      <c r="ULS16" s="289"/>
      <c r="ULT16" s="289"/>
      <c r="ULU16" s="289"/>
      <c r="ULV16" s="289"/>
      <c r="ULW16" s="289"/>
      <c r="ULX16" s="289"/>
      <c r="ULY16" s="289"/>
      <c r="ULZ16" s="289"/>
      <c r="UMA16" s="289"/>
      <c r="UMB16" s="289"/>
      <c r="UMC16" s="289"/>
      <c r="UMD16" s="289"/>
      <c r="UME16" s="289"/>
      <c r="UMF16" s="289"/>
      <c r="UMG16" s="289"/>
      <c r="UMH16" s="289"/>
      <c r="UMI16" s="289"/>
      <c r="UMJ16" s="289"/>
      <c r="UMK16" s="289"/>
      <c r="UML16" s="289"/>
      <c r="UMM16" s="289"/>
      <c r="UMN16" s="289"/>
      <c r="UMO16" s="289"/>
      <c r="UMP16" s="289"/>
      <c r="UMQ16" s="289"/>
      <c r="UMR16" s="289"/>
      <c r="UMS16" s="289"/>
      <c r="UMT16" s="289"/>
      <c r="UMU16" s="289"/>
      <c r="UMV16" s="289"/>
      <c r="UMW16" s="289"/>
      <c r="UMX16" s="289"/>
      <c r="UMY16" s="289"/>
      <c r="UMZ16" s="289"/>
      <c r="UNA16" s="289"/>
      <c r="UNB16" s="289"/>
      <c r="UNC16" s="289"/>
      <c r="UND16" s="289"/>
      <c r="UNE16" s="289"/>
      <c r="UNF16" s="289"/>
      <c r="UNG16" s="289"/>
      <c r="UNH16" s="289"/>
      <c r="UNI16" s="289"/>
      <c r="UNJ16" s="289"/>
      <c r="UNK16" s="289"/>
      <c r="UNL16" s="289"/>
      <c r="UNM16" s="289"/>
      <c r="UNN16" s="289"/>
      <c r="UNO16" s="289"/>
      <c r="UNP16" s="289"/>
      <c r="UNQ16" s="289"/>
      <c r="UNR16" s="289"/>
      <c r="UNS16" s="289"/>
      <c r="UNT16" s="289"/>
      <c r="UNU16" s="289"/>
      <c r="UNV16" s="289"/>
      <c r="UNW16" s="289"/>
      <c r="UNX16" s="289"/>
      <c r="UNY16" s="289"/>
      <c r="UNZ16" s="289"/>
      <c r="UOA16" s="289"/>
      <c r="UOB16" s="289"/>
      <c r="UOC16" s="289"/>
      <c r="UOD16" s="289"/>
      <c r="UOE16" s="289"/>
      <c r="UOF16" s="289"/>
      <c r="UOG16" s="289"/>
      <c r="UOH16" s="289"/>
      <c r="UOI16" s="289"/>
      <c r="UOJ16" s="289"/>
      <c r="UOK16" s="289"/>
      <c r="UOL16" s="289"/>
      <c r="UOM16" s="289"/>
      <c r="UON16" s="289"/>
      <c r="UOO16" s="289"/>
      <c r="UOP16" s="289"/>
      <c r="UOQ16" s="289"/>
      <c r="UOR16" s="289"/>
      <c r="UOS16" s="289"/>
      <c r="UOT16" s="289"/>
      <c r="UOU16" s="289"/>
      <c r="UOV16" s="289"/>
      <c r="UOW16" s="289"/>
      <c r="UOX16" s="289"/>
      <c r="UOY16" s="289"/>
      <c r="UOZ16" s="289"/>
      <c r="UPA16" s="289"/>
      <c r="UPB16" s="289"/>
      <c r="UPC16" s="289"/>
      <c r="UPD16" s="289"/>
      <c r="UPE16" s="289"/>
      <c r="UPF16" s="289"/>
      <c r="UPG16" s="289"/>
      <c r="UPH16" s="289"/>
      <c r="UPI16" s="289"/>
      <c r="UPJ16" s="289"/>
      <c r="UPK16" s="289"/>
      <c r="UPL16" s="289"/>
      <c r="UPM16" s="289"/>
      <c r="UPN16" s="289"/>
      <c r="UPO16" s="289"/>
      <c r="UPP16" s="289"/>
      <c r="UPQ16" s="289"/>
      <c r="UPR16" s="289"/>
      <c r="UPS16" s="289"/>
      <c r="UPT16" s="289"/>
      <c r="UPU16" s="289"/>
      <c r="UPV16" s="289"/>
      <c r="UPW16" s="289"/>
      <c r="UPX16" s="289"/>
      <c r="UPY16" s="289"/>
      <c r="UPZ16" s="289"/>
      <c r="UQA16" s="289"/>
      <c r="UQB16" s="289"/>
      <c r="UQC16" s="289"/>
      <c r="UQD16" s="289"/>
      <c r="UQE16" s="289"/>
      <c r="UQF16" s="289"/>
      <c r="UQG16" s="289"/>
      <c r="UQH16" s="289"/>
      <c r="UQI16" s="289"/>
      <c r="UQJ16" s="289"/>
      <c r="UQK16" s="289"/>
      <c r="UQL16" s="289"/>
      <c r="UQM16" s="289"/>
      <c r="UQN16" s="289"/>
      <c r="UQO16" s="289"/>
      <c r="UQP16" s="289"/>
      <c r="UQQ16" s="289"/>
      <c r="UQR16" s="289"/>
      <c r="UQS16" s="289"/>
      <c r="UQT16" s="289"/>
      <c r="UQU16" s="289"/>
      <c r="UQV16" s="289"/>
      <c r="UQW16" s="289"/>
      <c r="UQX16" s="289"/>
      <c r="UQY16" s="289"/>
      <c r="UQZ16" s="289"/>
      <c r="URA16" s="289"/>
      <c r="URB16" s="289"/>
      <c r="URC16" s="289"/>
      <c r="URD16" s="289"/>
      <c r="URE16" s="289"/>
      <c r="URF16" s="289"/>
      <c r="URG16" s="289"/>
      <c r="URH16" s="289"/>
      <c r="URI16" s="289"/>
      <c r="URJ16" s="289"/>
      <c r="URK16" s="289"/>
      <c r="URL16" s="289"/>
      <c r="URM16" s="289"/>
      <c r="URN16" s="289"/>
      <c r="URO16" s="289"/>
      <c r="URP16" s="289"/>
      <c r="URQ16" s="289"/>
      <c r="URR16" s="289"/>
      <c r="URS16" s="289"/>
      <c r="URT16" s="289"/>
      <c r="URU16" s="289"/>
      <c r="URV16" s="289"/>
      <c r="URW16" s="289"/>
      <c r="URX16" s="289"/>
      <c r="URY16" s="289"/>
      <c r="URZ16" s="289"/>
      <c r="USA16" s="289"/>
      <c r="USB16" s="289"/>
      <c r="USC16" s="289"/>
      <c r="USD16" s="289"/>
      <c r="USE16" s="289"/>
      <c r="USF16" s="289"/>
      <c r="USG16" s="289"/>
      <c r="USH16" s="289"/>
      <c r="USI16" s="289"/>
      <c r="USJ16" s="289"/>
      <c r="USK16" s="289"/>
      <c r="USL16" s="289"/>
      <c r="USM16" s="289"/>
      <c r="USN16" s="289"/>
      <c r="USO16" s="289"/>
      <c r="USP16" s="289"/>
      <c r="USQ16" s="289"/>
      <c r="USR16" s="289"/>
      <c r="USS16" s="289"/>
      <c r="UST16" s="289"/>
      <c r="USU16" s="289"/>
      <c r="USV16" s="289"/>
      <c r="USW16" s="289"/>
      <c r="USX16" s="289"/>
      <c r="USY16" s="289"/>
      <c r="USZ16" s="289"/>
      <c r="UTA16" s="289"/>
      <c r="UTB16" s="289"/>
      <c r="UTC16" s="289"/>
      <c r="UTD16" s="289"/>
      <c r="UTE16" s="289"/>
      <c r="UTF16" s="289"/>
      <c r="UTG16" s="289"/>
      <c r="UTH16" s="289"/>
      <c r="UTI16" s="289"/>
      <c r="UTJ16" s="289"/>
      <c r="UTK16" s="289"/>
      <c r="UTL16" s="289"/>
      <c r="UTM16" s="289"/>
      <c r="UTN16" s="289"/>
      <c r="UTO16" s="289"/>
      <c r="UTP16" s="289"/>
      <c r="UTQ16" s="289"/>
      <c r="UTR16" s="289"/>
      <c r="UTS16" s="289"/>
      <c r="UTT16" s="289"/>
      <c r="UTU16" s="289"/>
      <c r="UTV16" s="289"/>
      <c r="UTW16" s="289"/>
      <c r="UTX16" s="289"/>
      <c r="UTY16" s="289"/>
      <c r="UTZ16" s="289"/>
      <c r="UUA16" s="289"/>
      <c r="UUB16" s="289"/>
      <c r="UUC16" s="289"/>
      <c r="UUD16" s="289"/>
      <c r="UUE16" s="289"/>
      <c r="UUF16" s="289"/>
      <c r="UUG16" s="289"/>
      <c r="UUH16" s="289"/>
      <c r="UUI16" s="289"/>
      <c r="UUJ16" s="289"/>
      <c r="UUK16" s="289"/>
      <c r="UUL16" s="289"/>
      <c r="UUM16" s="289"/>
      <c r="UUN16" s="289"/>
      <c r="UUO16" s="289"/>
      <c r="UUP16" s="289"/>
      <c r="UUQ16" s="289"/>
      <c r="UUR16" s="289"/>
      <c r="UUS16" s="289"/>
      <c r="UUT16" s="289"/>
      <c r="UUU16" s="289"/>
      <c r="UUV16" s="289"/>
      <c r="UUW16" s="289"/>
      <c r="UUX16" s="289"/>
      <c r="UUY16" s="289"/>
      <c r="UUZ16" s="289"/>
      <c r="UVA16" s="289"/>
      <c r="UVB16" s="289"/>
      <c r="UVC16" s="289"/>
      <c r="UVD16" s="289"/>
      <c r="UVE16" s="289"/>
      <c r="UVF16" s="289"/>
      <c r="UVG16" s="289"/>
      <c r="UVH16" s="289"/>
      <c r="UVI16" s="289"/>
      <c r="UVJ16" s="289"/>
      <c r="UVK16" s="289"/>
      <c r="UVL16" s="289"/>
      <c r="UVM16" s="289"/>
      <c r="UVN16" s="289"/>
      <c r="UVO16" s="289"/>
      <c r="UVP16" s="289"/>
      <c r="UVQ16" s="289"/>
      <c r="UVR16" s="289"/>
      <c r="UVS16" s="289"/>
      <c r="UVT16" s="289"/>
      <c r="UVU16" s="289"/>
      <c r="UVV16" s="289"/>
      <c r="UVW16" s="289"/>
      <c r="UVX16" s="289"/>
      <c r="UVY16" s="289"/>
      <c r="UVZ16" s="289"/>
      <c r="UWA16" s="289"/>
      <c r="UWB16" s="289"/>
      <c r="UWC16" s="289"/>
      <c r="UWD16" s="289"/>
      <c r="UWE16" s="289"/>
      <c r="UWF16" s="289"/>
      <c r="UWG16" s="289"/>
      <c r="UWH16" s="289"/>
      <c r="UWI16" s="289"/>
      <c r="UWJ16" s="289"/>
      <c r="UWK16" s="289"/>
      <c r="UWL16" s="289"/>
      <c r="UWM16" s="289"/>
      <c r="UWN16" s="289"/>
      <c r="UWO16" s="289"/>
      <c r="UWP16" s="289"/>
      <c r="UWQ16" s="289"/>
      <c r="UWR16" s="289"/>
      <c r="UWS16" s="289"/>
      <c r="UWT16" s="289"/>
      <c r="UWU16" s="289"/>
      <c r="UWV16" s="289"/>
      <c r="UWW16" s="289"/>
      <c r="UWX16" s="289"/>
      <c r="UWY16" s="289"/>
      <c r="UWZ16" s="289"/>
      <c r="UXA16" s="289"/>
      <c r="UXB16" s="289"/>
      <c r="UXC16" s="289"/>
      <c r="UXD16" s="289"/>
      <c r="UXE16" s="289"/>
      <c r="UXF16" s="289"/>
      <c r="UXG16" s="289"/>
      <c r="UXH16" s="289"/>
      <c r="UXI16" s="289"/>
      <c r="UXJ16" s="289"/>
      <c r="UXK16" s="289"/>
      <c r="UXL16" s="289"/>
      <c r="UXM16" s="289"/>
      <c r="UXN16" s="289"/>
      <c r="UXO16" s="289"/>
      <c r="UXP16" s="289"/>
      <c r="UXQ16" s="289"/>
      <c r="UXR16" s="289"/>
      <c r="UXS16" s="289"/>
      <c r="UXT16" s="289"/>
      <c r="UXU16" s="289"/>
      <c r="UXV16" s="289"/>
      <c r="UXW16" s="289"/>
      <c r="UXX16" s="289"/>
      <c r="UXY16" s="289"/>
      <c r="UXZ16" s="289"/>
      <c r="UYA16" s="289"/>
      <c r="UYB16" s="289"/>
      <c r="UYC16" s="289"/>
      <c r="UYD16" s="289"/>
      <c r="UYE16" s="289"/>
      <c r="UYF16" s="289"/>
      <c r="UYG16" s="289"/>
      <c r="UYH16" s="289"/>
      <c r="UYI16" s="289"/>
      <c r="UYJ16" s="289"/>
      <c r="UYK16" s="289"/>
      <c r="UYL16" s="289"/>
      <c r="UYM16" s="289"/>
      <c r="UYN16" s="289"/>
      <c r="UYO16" s="289"/>
      <c r="UYP16" s="289"/>
      <c r="UYQ16" s="289"/>
      <c r="UYR16" s="289"/>
      <c r="UYS16" s="289"/>
      <c r="UYT16" s="289"/>
      <c r="UYU16" s="289"/>
      <c r="UYV16" s="289"/>
      <c r="UYW16" s="289"/>
      <c r="UYX16" s="289"/>
      <c r="UYY16" s="289"/>
      <c r="UYZ16" s="289"/>
      <c r="UZA16" s="289"/>
      <c r="UZB16" s="289"/>
      <c r="UZC16" s="289"/>
      <c r="UZD16" s="289"/>
      <c r="UZE16" s="289"/>
      <c r="UZF16" s="289"/>
      <c r="UZG16" s="289"/>
      <c r="UZH16" s="289"/>
      <c r="UZI16" s="289"/>
      <c r="UZJ16" s="289"/>
      <c r="UZK16" s="289"/>
      <c r="UZL16" s="289"/>
      <c r="UZM16" s="289"/>
      <c r="UZN16" s="289"/>
      <c r="UZO16" s="289"/>
      <c r="UZP16" s="289"/>
      <c r="UZQ16" s="289"/>
      <c r="UZR16" s="289"/>
      <c r="UZS16" s="289"/>
      <c r="UZT16" s="289"/>
      <c r="UZU16" s="289"/>
      <c r="UZV16" s="289"/>
      <c r="UZW16" s="289"/>
      <c r="UZX16" s="289"/>
      <c r="UZY16" s="289"/>
      <c r="UZZ16" s="289"/>
      <c r="VAA16" s="289"/>
      <c r="VAB16" s="289"/>
      <c r="VAC16" s="289"/>
      <c r="VAD16" s="289"/>
      <c r="VAE16" s="289"/>
      <c r="VAF16" s="289"/>
      <c r="VAG16" s="289"/>
      <c r="VAH16" s="289"/>
      <c r="VAI16" s="289"/>
      <c r="VAJ16" s="289"/>
      <c r="VAK16" s="289"/>
      <c r="VAL16" s="289"/>
      <c r="VAM16" s="289"/>
      <c r="VAN16" s="289"/>
      <c r="VAO16" s="289"/>
      <c r="VAP16" s="289"/>
      <c r="VAQ16" s="289"/>
      <c r="VAR16" s="289"/>
      <c r="VAS16" s="289"/>
      <c r="VAT16" s="289"/>
      <c r="VAU16" s="289"/>
      <c r="VAV16" s="289"/>
      <c r="VAW16" s="289"/>
      <c r="VAX16" s="289"/>
      <c r="VAY16" s="289"/>
      <c r="VAZ16" s="289"/>
      <c r="VBA16" s="289"/>
      <c r="VBB16" s="289"/>
      <c r="VBC16" s="289"/>
      <c r="VBD16" s="289"/>
      <c r="VBE16" s="289"/>
      <c r="VBF16" s="289"/>
      <c r="VBG16" s="289"/>
      <c r="VBH16" s="289"/>
      <c r="VBI16" s="289"/>
      <c r="VBJ16" s="289"/>
      <c r="VBK16" s="289"/>
      <c r="VBL16" s="289"/>
      <c r="VBM16" s="289"/>
      <c r="VBN16" s="289"/>
      <c r="VBO16" s="289"/>
      <c r="VBP16" s="289"/>
      <c r="VBQ16" s="289"/>
      <c r="VBR16" s="289"/>
      <c r="VBS16" s="289"/>
      <c r="VBT16" s="289"/>
      <c r="VBU16" s="289"/>
      <c r="VBV16" s="289"/>
      <c r="VBW16" s="289"/>
      <c r="VBX16" s="289"/>
      <c r="VBY16" s="289"/>
      <c r="VBZ16" s="289"/>
      <c r="VCA16" s="289"/>
      <c r="VCB16" s="289"/>
      <c r="VCC16" s="289"/>
      <c r="VCD16" s="289"/>
      <c r="VCE16" s="289"/>
      <c r="VCF16" s="289"/>
      <c r="VCG16" s="289"/>
      <c r="VCH16" s="289"/>
      <c r="VCI16" s="289"/>
      <c r="VCJ16" s="289"/>
      <c r="VCK16" s="289"/>
      <c r="VCL16" s="289"/>
      <c r="VCM16" s="289"/>
      <c r="VCN16" s="289"/>
      <c r="VCO16" s="289"/>
      <c r="VCP16" s="289"/>
      <c r="VCQ16" s="289"/>
      <c r="VCR16" s="289"/>
      <c r="VCS16" s="289"/>
      <c r="VCT16" s="289"/>
      <c r="VCU16" s="289"/>
      <c r="VCV16" s="289"/>
      <c r="VCW16" s="289"/>
      <c r="VCX16" s="289"/>
      <c r="VCY16" s="289"/>
      <c r="VCZ16" s="289"/>
      <c r="VDA16" s="289"/>
      <c r="VDB16" s="289"/>
      <c r="VDC16" s="289"/>
      <c r="VDD16" s="289"/>
      <c r="VDE16" s="289"/>
      <c r="VDF16" s="289"/>
      <c r="VDG16" s="289"/>
      <c r="VDH16" s="289"/>
      <c r="VDI16" s="289"/>
      <c r="VDJ16" s="289"/>
      <c r="VDK16" s="289"/>
      <c r="VDL16" s="289"/>
      <c r="VDM16" s="289"/>
      <c r="VDN16" s="289"/>
      <c r="VDO16" s="289"/>
      <c r="VDP16" s="289"/>
      <c r="VDQ16" s="289"/>
      <c r="VDR16" s="289"/>
      <c r="VDS16" s="289"/>
      <c r="VDT16" s="289"/>
      <c r="VDU16" s="289"/>
      <c r="VDV16" s="289"/>
      <c r="VDW16" s="289"/>
      <c r="VDX16" s="289"/>
      <c r="VDY16" s="289"/>
      <c r="VDZ16" s="289"/>
      <c r="VEA16" s="289"/>
      <c r="VEB16" s="289"/>
      <c r="VEC16" s="289"/>
      <c r="VED16" s="289"/>
      <c r="VEE16" s="289"/>
      <c r="VEF16" s="289"/>
      <c r="VEG16" s="289"/>
      <c r="VEH16" s="289"/>
      <c r="VEI16" s="289"/>
      <c r="VEJ16" s="289"/>
      <c r="VEK16" s="289"/>
      <c r="VEL16" s="289"/>
      <c r="VEM16" s="289"/>
      <c r="VEN16" s="289"/>
      <c r="VEO16" s="289"/>
      <c r="VEP16" s="289"/>
      <c r="VEQ16" s="289"/>
      <c r="VER16" s="289"/>
      <c r="VES16" s="289"/>
      <c r="VET16" s="289"/>
      <c r="VEU16" s="289"/>
      <c r="VEV16" s="289"/>
      <c r="VEW16" s="289"/>
      <c r="VEX16" s="289"/>
      <c r="VEY16" s="289"/>
      <c r="VEZ16" s="289"/>
      <c r="VFA16" s="289"/>
      <c r="VFB16" s="289"/>
      <c r="VFC16" s="289"/>
      <c r="VFD16" s="289"/>
      <c r="VFE16" s="289"/>
      <c r="VFF16" s="289"/>
      <c r="VFG16" s="289"/>
      <c r="VFH16" s="289"/>
      <c r="VFI16" s="289"/>
      <c r="VFJ16" s="289"/>
      <c r="VFK16" s="289"/>
      <c r="VFL16" s="289"/>
      <c r="VFM16" s="289"/>
      <c r="VFN16" s="289"/>
      <c r="VFO16" s="289"/>
      <c r="VFP16" s="289"/>
      <c r="VFQ16" s="289"/>
      <c r="VFR16" s="289"/>
      <c r="VFS16" s="289"/>
      <c r="VFT16" s="289"/>
      <c r="VFU16" s="289"/>
      <c r="VFV16" s="289"/>
      <c r="VFW16" s="289"/>
      <c r="VFX16" s="289"/>
      <c r="VFY16" s="289"/>
      <c r="VFZ16" s="289"/>
      <c r="VGA16" s="289"/>
      <c r="VGB16" s="289"/>
      <c r="VGC16" s="289"/>
      <c r="VGD16" s="289"/>
      <c r="VGE16" s="289"/>
      <c r="VGF16" s="289"/>
      <c r="VGG16" s="289"/>
      <c r="VGH16" s="289"/>
      <c r="VGI16" s="289"/>
      <c r="VGJ16" s="289"/>
      <c r="VGK16" s="289"/>
      <c r="VGL16" s="289"/>
      <c r="VGM16" s="289"/>
      <c r="VGN16" s="289"/>
      <c r="VGO16" s="289"/>
      <c r="VGP16" s="289"/>
      <c r="VGQ16" s="289"/>
      <c r="VGR16" s="289"/>
      <c r="VGS16" s="289"/>
      <c r="VGT16" s="289"/>
      <c r="VGU16" s="289"/>
      <c r="VGV16" s="289"/>
      <c r="VGW16" s="289"/>
      <c r="VGX16" s="289"/>
      <c r="VGY16" s="289"/>
      <c r="VGZ16" s="289"/>
      <c r="VHA16" s="289"/>
      <c r="VHB16" s="289"/>
      <c r="VHC16" s="289"/>
      <c r="VHD16" s="289"/>
      <c r="VHE16" s="289"/>
      <c r="VHF16" s="289"/>
      <c r="VHG16" s="289"/>
      <c r="VHH16" s="289"/>
      <c r="VHI16" s="289"/>
      <c r="VHJ16" s="289"/>
      <c r="VHK16" s="289"/>
      <c r="VHL16" s="289"/>
      <c r="VHM16" s="289"/>
      <c r="VHN16" s="289"/>
      <c r="VHO16" s="289"/>
      <c r="VHP16" s="289"/>
      <c r="VHQ16" s="289"/>
      <c r="VHR16" s="289"/>
      <c r="VHS16" s="289"/>
      <c r="VHT16" s="289"/>
      <c r="VHU16" s="289"/>
      <c r="VHV16" s="289"/>
      <c r="VHW16" s="289"/>
      <c r="VHX16" s="289"/>
      <c r="VHY16" s="289"/>
      <c r="VHZ16" s="289"/>
      <c r="VIA16" s="289"/>
      <c r="VIB16" s="289"/>
      <c r="VIC16" s="289"/>
      <c r="VID16" s="289"/>
      <c r="VIE16" s="289"/>
      <c r="VIF16" s="289"/>
      <c r="VIG16" s="289"/>
      <c r="VIH16" s="289"/>
      <c r="VII16" s="289"/>
      <c r="VIJ16" s="289"/>
      <c r="VIK16" s="289"/>
      <c r="VIL16" s="289"/>
      <c r="VIM16" s="289"/>
      <c r="VIN16" s="289"/>
      <c r="VIO16" s="289"/>
      <c r="VIP16" s="289"/>
      <c r="VIQ16" s="289"/>
      <c r="VIR16" s="289"/>
      <c r="VIS16" s="289"/>
      <c r="VIT16" s="289"/>
      <c r="VIU16" s="289"/>
      <c r="VIV16" s="289"/>
      <c r="VIW16" s="289"/>
      <c r="VIX16" s="289"/>
      <c r="VIY16" s="289"/>
      <c r="VIZ16" s="289"/>
      <c r="VJA16" s="289"/>
      <c r="VJB16" s="289"/>
      <c r="VJC16" s="289"/>
      <c r="VJD16" s="289"/>
      <c r="VJE16" s="289"/>
      <c r="VJF16" s="289"/>
      <c r="VJG16" s="289"/>
      <c r="VJH16" s="289"/>
      <c r="VJI16" s="289"/>
      <c r="VJJ16" s="289"/>
      <c r="VJK16" s="289"/>
      <c r="VJL16" s="289"/>
      <c r="VJM16" s="289"/>
      <c r="VJN16" s="289"/>
      <c r="VJO16" s="289"/>
      <c r="VJP16" s="289"/>
      <c r="VJQ16" s="289"/>
      <c r="VJR16" s="289"/>
      <c r="VJS16" s="289"/>
      <c r="VJT16" s="289"/>
      <c r="VJU16" s="289"/>
      <c r="VJV16" s="289"/>
      <c r="VJW16" s="289"/>
      <c r="VJX16" s="289"/>
      <c r="VJY16" s="289"/>
      <c r="VJZ16" s="289"/>
      <c r="VKA16" s="289"/>
      <c r="VKB16" s="289"/>
      <c r="VKC16" s="289"/>
      <c r="VKD16" s="289"/>
      <c r="VKE16" s="289"/>
      <c r="VKF16" s="289"/>
      <c r="VKG16" s="289"/>
      <c r="VKH16" s="289"/>
      <c r="VKI16" s="289"/>
      <c r="VKJ16" s="289"/>
      <c r="VKK16" s="289"/>
      <c r="VKL16" s="289"/>
      <c r="VKM16" s="289"/>
      <c r="VKN16" s="289"/>
      <c r="VKO16" s="289"/>
      <c r="VKP16" s="289"/>
      <c r="VKQ16" s="289"/>
      <c r="VKR16" s="289"/>
      <c r="VKS16" s="289"/>
      <c r="VKT16" s="289"/>
      <c r="VKU16" s="289"/>
      <c r="VKV16" s="289"/>
      <c r="VKW16" s="289"/>
      <c r="VKX16" s="289"/>
      <c r="VKY16" s="289"/>
      <c r="VKZ16" s="289"/>
      <c r="VLA16" s="289"/>
      <c r="VLB16" s="289"/>
      <c r="VLC16" s="289"/>
      <c r="VLD16" s="289"/>
      <c r="VLE16" s="289"/>
      <c r="VLF16" s="289"/>
      <c r="VLG16" s="289"/>
      <c r="VLH16" s="289"/>
      <c r="VLI16" s="289"/>
      <c r="VLJ16" s="289"/>
      <c r="VLK16" s="289"/>
      <c r="VLL16" s="289"/>
      <c r="VLM16" s="289"/>
      <c r="VLN16" s="289"/>
      <c r="VLO16" s="289"/>
      <c r="VLP16" s="289"/>
      <c r="VLQ16" s="289"/>
      <c r="VLR16" s="289"/>
      <c r="VLS16" s="289"/>
      <c r="VLT16" s="289"/>
      <c r="VLU16" s="289"/>
      <c r="VLV16" s="289"/>
      <c r="VLW16" s="289"/>
      <c r="VLX16" s="289"/>
      <c r="VLY16" s="289"/>
      <c r="VLZ16" s="289"/>
      <c r="VMA16" s="289"/>
      <c r="VMB16" s="289"/>
      <c r="VMC16" s="289"/>
      <c r="VMD16" s="289"/>
      <c r="VME16" s="289"/>
      <c r="VMF16" s="289"/>
      <c r="VMG16" s="289"/>
      <c r="VMH16" s="289"/>
      <c r="VMI16" s="289"/>
      <c r="VMJ16" s="289"/>
      <c r="VMK16" s="289"/>
      <c r="VML16" s="289"/>
      <c r="VMM16" s="289"/>
      <c r="VMN16" s="289"/>
      <c r="VMO16" s="289"/>
      <c r="VMP16" s="289"/>
      <c r="VMQ16" s="289"/>
      <c r="VMR16" s="289"/>
      <c r="VMS16" s="289"/>
      <c r="VMT16" s="289"/>
      <c r="VMU16" s="289"/>
      <c r="VMV16" s="289"/>
      <c r="VMW16" s="289"/>
      <c r="VMX16" s="289"/>
      <c r="VMY16" s="289"/>
      <c r="VMZ16" s="289"/>
      <c r="VNA16" s="289"/>
      <c r="VNB16" s="289"/>
      <c r="VNC16" s="289"/>
      <c r="VND16" s="289"/>
      <c r="VNE16" s="289"/>
      <c r="VNF16" s="289"/>
      <c r="VNG16" s="289"/>
      <c r="VNH16" s="289"/>
      <c r="VNI16" s="289"/>
      <c r="VNJ16" s="289"/>
      <c r="VNK16" s="289"/>
      <c r="VNL16" s="289"/>
      <c r="VNM16" s="289"/>
      <c r="VNN16" s="289"/>
      <c r="VNO16" s="289"/>
      <c r="VNP16" s="289"/>
      <c r="VNQ16" s="289"/>
      <c r="VNR16" s="289"/>
      <c r="VNS16" s="289"/>
      <c r="VNT16" s="289"/>
      <c r="VNU16" s="289"/>
      <c r="VNV16" s="289"/>
      <c r="VNW16" s="289"/>
      <c r="VNX16" s="289"/>
      <c r="VNY16" s="289"/>
      <c r="VNZ16" s="289"/>
      <c r="VOA16" s="289"/>
      <c r="VOB16" s="289"/>
      <c r="VOC16" s="289"/>
      <c r="VOD16" s="289"/>
      <c r="VOE16" s="289"/>
      <c r="VOF16" s="289"/>
      <c r="VOG16" s="289"/>
      <c r="VOH16" s="289"/>
      <c r="VOI16" s="289"/>
      <c r="VOJ16" s="289"/>
      <c r="VOK16" s="289"/>
      <c r="VOL16" s="289"/>
      <c r="VOM16" s="289"/>
      <c r="VON16" s="289"/>
      <c r="VOO16" s="289"/>
      <c r="VOP16" s="289"/>
      <c r="VOQ16" s="289"/>
      <c r="VOR16" s="289"/>
      <c r="VOS16" s="289"/>
      <c r="VOT16" s="289"/>
      <c r="VOU16" s="289"/>
      <c r="VOV16" s="289"/>
      <c r="VOW16" s="289"/>
      <c r="VOX16" s="289"/>
      <c r="VOY16" s="289"/>
      <c r="VOZ16" s="289"/>
      <c r="VPA16" s="289"/>
      <c r="VPB16" s="289"/>
      <c r="VPC16" s="289"/>
      <c r="VPD16" s="289"/>
      <c r="VPE16" s="289"/>
      <c r="VPF16" s="289"/>
      <c r="VPG16" s="289"/>
      <c r="VPH16" s="289"/>
      <c r="VPI16" s="289"/>
      <c r="VPJ16" s="289"/>
      <c r="VPK16" s="289"/>
      <c r="VPL16" s="289"/>
      <c r="VPM16" s="289"/>
      <c r="VPN16" s="289"/>
      <c r="VPO16" s="289"/>
      <c r="VPP16" s="289"/>
      <c r="VPQ16" s="289"/>
      <c r="VPR16" s="289"/>
      <c r="VPS16" s="289"/>
      <c r="VPT16" s="289"/>
      <c r="VPU16" s="289"/>
      <c r="VPV16" s="289"/>
      <c r="VPW16" s="289"/>
      <c r="VPX16" s="289"/>
      <c r="VPY16" s="289"/>
      <c r="VPZ16" s="289"/>
      <c r="VQA16" s="289"/>
      <c r="VQB16" s="289"/>
      <c r="VQC16" s="289"/>
      <c r="VQD16" s="289"/>
      <c r="VQE16" s="289"/>
      <c r="VQF16" s="289"/>
      <c r="VQG16" s="289"/>
      <c r="VQH16" s="289"/>
      <c r="VQI16" s="289"/>
      <c r="VQJ16" s="289"/>
      <c r="VQK16" s="289"/>
      <c r="VQL16" s="289"/>
      <c r="VQM16" s="289"/>
      <c r="VQN16" s="289"/>
      <c r="VQO16" s="289"/>
      <c r="VQP16" s="289"/>
      <c r="VQQ16" s="289"/>
      <c r="VQR16" s="289"/>
      <c r="VQS16" s="289"/>
      <c r="VQT16" s="289"/>
      <c r="VQU16" s="289"/>
      <c r="VQV16" s="289"/>
      <c r="VQW16" s="289"/>
      <c r="VQX16" s="289"/>
      <c r="VQY16" s="289"/>
      <c r="VQZ16" s="289"/>
      <c r="VRA16" s="289"/>
      <c r="VRB16" s="289"/>
      <c r="VRC16" s="289"/>
      <c r="VRD16" s="289"/>
      <c r="VRE16" s="289"/>
      <c r="VRF16" s="289"/>
      <c r="VRG16" s="289"/>
      <c r="VRH16" s="289"/>
      <c r="VRI16" s="289"/>
      <c r="VRJ16" s="289"/>
      <c r="VRK16" s="289"/>
      <c r="VRL16" s="289"/>
      <c r="VRM16" s="289"/>
      <c r="VRN16" s="289"/>
      <c r="VRO16" s="289"/>
      <c r="VRP16" s="289"/>
      <c r="VRQ16" s="289"/>
      <c r="VRR16" s="289"/>
      <c r="VRS16" s="289"/>
      <c r="VRT16" s="289"/>
      <c r="VRU16" s="289"/>
      <c r="VRV16" s="289"/>
      <c r="VRW16" s="289"/>
      <c r="VRX16" s="289"/>
      <c r="VRY16" s="289"/>
      <c r="VRZ16" s="289"/>
      <c r="VSA16" s="289"/>
      <c r="VSB16" s="289"/>
      <c r="VSC16" s="289"/>
      <c r="VSD16" s="289"/>
      <c r="VSE16" s="289"/>
      <c r="VSF16" s="289"/>
      <c r="VSG16" s="289"/>
      <c r="VSH16" s="289"/>
      <c r="VSI16" s="289"/>
      <c r="VSJ16" s="289"/>
      <c r="VSK16" s="289"/>
      <c r="VSL16" s="289"/>
      <c r="VSM16" s="289"/>
      <c r="VSN16" s="289"/>
      <c r="VSO16" s="289"/>
      <c r="VSP16" s="289"/>
      <c r="VSQ16" s="289"/>
      <c r="VSR16" s="289"/>
      <c r="VSS16" s="289"/>
      <c r="VST16" s="289"/>
      <c r="VSU16" s="289"/>
      <c r="VSV16" s="289"/>
      <c r="VSW16" s="289"/>
      <c r="VSX16" s="289"/>
      <c r="VSY16" s="289"/>
      <c r="VSZ16" s="289"/>
      <c r="VTA16" s="289"/>
      <c r="VTB16" s="289"/>
      <c r="VTC16" s="289"/>
      <c r="VTD16" s="289"/>
      <c r="VTE16" s="289"/>
      <c r="VTF16" s="289"/>
      <c r="VTG16" s="289"/>
      <c r="VTH16" s="289"/>
      <c r="VTI16" s="289"/>
      <c r="VTJ16" s="289"/>
      <c r="VTK16" s="289"/>
      <c r="VTL16" s="289"/>
      <c r="VTM16" s="289"/>
      <c r="VTN16" s="289"/>
      <c r="VTO16" s="289"/>
      <c r="VTP16" s="289"/>
      <c r="VTQ16" s="289"/>
      <c r="VTR16" s="289"/>
      <c r="VTS16" s="289"/>
      <c r="VTT16" s="289"/>
      <c r="VTU16" s="289"/>
      <c r="VTV16" s="289"/>
      <c r="VTW16" s="289"/>
      <c r="VTX16" s="289"/>
      <c r="VTY16" s="289"/>
      <c r="VTZ16" s="289"/>
      <c r="VUA16" s="289"/>
      <c r="VUB16" s="289"/>
      <c r="VUC16" s="289"/>
      <c r="VUD16" s="289"/>
      <c r="VUE16" s="289"/>
      <c r="VUF16" s="289"/>
      <c r="VUG16" s="289"/>
      <c r="VUH16" s="289"/>
      <c r="VUI16" s="289"/>
      <c r="VUJ16" s="289"/>
      <c r="VUK16" s="289"/>
      <c r="VUL16" s="289"/>
      <c r="VUM16" s="289"/>
      <c r="VUN16" s="289"/>
      <c r="VUO16" s="289"/>
      <c r="VUP16" s="289"/>
      <c r="VUQ16" s="289"/>
      <c r="VUR16" s="289"/>
      <c r="VUS16" s="289"/>
      <c r="VUT16" s="289"/>
      <c r="VUU16" s="289"/>
      <c r="VUV16" s="289"/>
      <c r="VUW16" s="289"/>
      <c r="VUX16" s="289"/>
      <c r="VUY16" s="289"/>
      <c r="VUZ16" s="289"/>
      <c r="VVA16" s="289"/>
      <c r="VVB16" s="289"/>
      <c r="VVC16" s="289"/>
      <c r="VVD16" s="289"/>
      <c r="VVE16" s="289"/>
      <c r="VVF16" s="289"/>
      <c r="VVG16" s="289"/>
      <c r="VVH16" s="289"/>
      <c r="VVI16" s="289"/>
      <c r="VVJ16" s="289"/>
      <c r="VVK16" s="289"/>
      <c r="VVL16" s="289"/>
      <c r="VVM16" s="289"/>
      <c r="VVN16" s="289"/>
      <c r="VVO16" s="289"/>
      <c r="VVP16" s="289"/>
      <c r="VVQ16" s="289"/>
      <c r="VVR16" s="289"/>
      <c r="VVS16" s="289"/>
      <c r="VVT16" s="289"/>
      <c r="VVU16" s="289"/>
      <c r="VVV16" s="289"/>
      <c r="VVW16" s="289"/>
      <c r="VVX16" s="289"/>
      <c r="VVY16" s="289"/>
      <c r="VVZ16" s="289"/>
      <c r="VWA16" s="289"/>
      <c r="VWB16" s="289"/>
      <c r="VWC16" s="289"/>
      <c r="VWD16" s="289"/>
      <c r="VWE16" s="289"/>
      <c r="VWF16" s="289"/>
      <c r="VWG16" s="289"/>
      <c r="VWH16" s="289"/>
      <c r="VWI16" s="289"/>
      <c r="VWJ16" s="289"/>
      <c r="VWK16" s="289"/>
      <c r="VWL16" s="289"/>
      <c r="VWM16" s="289"/>
      <c r="VWN16" s="289"/>
      <c r="VWO16" s="289"/>
      <c r="VWP16" s="289"/>
      <c r="VWQ16" s="289"/>
      <c r="VWR16" s="289"/>
      <c r="VWS16" s="289"/>
      <c r="VWT16" s="289"/>
      <c r="VWU16" s="289"/>
      <c r="VWV16" s="289"/>
      <c r="VWW16" s="289"/>
      <c r="VWX16" s="289"/>
      <c r="VWY16" s="289"/>
      <c r="VWZ16" s="289"/>
      <c r="VXA16" s="289"/>
      <c r="VXB16" s="289"/>
      <c r="VXC16" s="289"/>
      <c r="VXD16" s="289"/>
      <c r="VXE16" s="289"/>
      <c r="VXF16" s="289"/>
      <c r="VXG16" s="289"/>
      <c r="VXH16" s="289"/>
      <c r="VXI16" s="289"/>
      <c r="VXJ16" s="289"/>
      <c r="VXK16" s="289"/>
      <c r="VXL16" s="289"/>
      <c r="VXM16" s="289"/>
      <c r="VXN16" s="289"/>
      <c r="VXO16" s="289"/>
      <c r="VXP16" s="289"/>
      <c r="VXQ16" s="289"/>
      <c r="VXR16" s="289"/>
      <c r="VXS16" s="289"/>
      <c r="VXT16" s="289"/>
      <c r="VXU16" s="289"/>
      <c r="VXV16" s="289"/>
      <c r="VXW16" s="289"/>
      <c r="VXX16" s="289"/>
      <c r="VXY16" s="289"/>
      <c r="VXZ16" s="289"/>
      <c r="VYA16" s="289"/>
      <c r="VYB16" s="289"/>
      <c r="VYC16" s="289"/>
      <c r="VYD16" s="289"/>
      <c r="VYE16" s="289"/>
      <c r="VYF16" s="289"/>
      <c r="VYG16" s="289"/>
      <c r="VYH16" s="289"/>
      <c r="VYI16" s="289"/>
      <c r="VYJ16" s="289"/>
      <c r="VYK16" s="289"/>
      <c r="VYL16" s="289"/>
      <c r="VYM16" s="289"/>
      <c r="VYN16" s="289"/>
      <c r="VYO16" s="289"/>
      <c r="VYP16" s="289"/>
      <c r="VYQ16" s="289"/>
      <c r="VYR16" s="289"/>
      <c r="VYS16" s="289"/>
      <c r="VYT16" s="289"/>
      <c r="VYU16" s="289"/>
      <c r="VYV16" s="289"/>
      <c r="VYW16" s="289"/>
      <c r="VYX16" s="289"/>
      <c r="VYY16" s="289"/>
      <c r="VYZ16" s="289"/>
      <c r="VZA16" s="289"/>
      <c r="VZB16" s="289"/>
      <c r="VZC16" s="289"/>
      <c r="VZD16" s="289"/>
      <c r="VZE16" s="289"/>
      <c r="VZF16" s="289"/>
      <c r="VZG16" s="289"/>
      <c r="VZH16" s="289"/>
      <c r="VZI16" s="289"/>
      <c r="VZJ16" s="289"/>
      <c r="VZK16" s="289"/>
      <c r="VZL16" s="289"/>
      <c r="VZM16" s="289"/>
      <c r="VZN16" s="289"/>
      <c r="VZO16" s="289"/>
      <c r="VZP16" s="289"/>
      <c r="VZQ16" s="289"/>
      <c r="VZR16" s="289"/>
      <c r="VZS16" s="289"/>
      <c r="VZT16" s="289"/>
      <c r="VZU16" s="289"/>
      <c r="VZV16" s="289"/>
      <c r="VZW16" s="289"/>
      <c r="VZX16" s="289"/>
      <c r="VZY16" s="289"/>
      <c r="VZZ16" s="289"/>
      <c r="WAA16" s="289"/>
      <c r="WAB16" s="289"/>
      <c r="WAC16" s="289"/>
      <c r="WAD16" s="289"/>
      <c r="WAE16" s="289"/>
      <c r="WAF16" s="289"/>
      <c r="WAG16" s="289"/>
      <c r="WAH16" s="289"/>
      <c r="WAI16" s="289"/>
      <c r="WAJ16" s="289"/>
      <c r="WAK16" s="289"/>
      <c r="WAL16" s="289"/>
      <c r="WAM16" s="289"/>
      <c r="WAN16" s="289"/>
      <c r="WAO16" s="289"/>
      <c r="WAP16" s="289"/>
      <c r="WAQ16" s="289"/>
      <c r="WAR16" s="289"/>
      <c r="WAS16" s="289"/>
      <c r="WAT16" s="289"/>
      <c r="WAU16" s="289"/>
      <c r="WAV16" s="289"/>
      <c r="WAW16" s="289"/>
      <c r="WAX16" s="289"/>
      <c r="WAY16" s="289"/>
      <c r="WAZ16" s="289"/>
      <c r="WBA16" s="289"/>
      <c r="WBB16" s="289"/>
      <c r="WBC16" s="289"/>
      <c r="WBD16" s="289"/>
      <c r="WBE16" s="289"/>
      <c r="WBF16" s="289"/>
      <c r="WBG16" s="289"/>
      <c r="WBH16" s="289"/>
      <c r="WBI16" s="289"/>
      <c r="WBJ16" s="289"/>
      <c r="WBK16" s="289"/>
      <c r="WBL16" s="289"/>
      <c r="WBM16" s="289"/>
      <c r="WBN16" s="289"/>
      <c r="WBO16" s="289"/>
      <c r="WBP16" s="289"/>
      <c r="WBQ16" s="289"/>
      <c r="WBR16" s="289"/>
      <c r="WBS16" s="289"/>
      <c r="WBT16" s="289"/>
      <c r="WBU16" s="289"/>
      <c r="WBV16" s="289"/>
      <c r="WBW16" s="289"/>
      <c r="WBX16" s="289"/>
      <c r="WBY16" s="289"/>
      <c r="WBZ16" s="289"/>
      <c r="WCA16" s="289"/>
      <c r="WCB16" s="289"/>
      <c r="WCC16" s="289"/>
      <c r="WCD16" s="289"/>
      <c r="WCE16" s="289"/>
      <c r="WCF16" s="289"/>
      <c r="WCG16" s="289"/>
      <c r="WCH16" s="289"/>
      <c r="WCI16" s="289"/>
      <c r="WCJ16" s="289"/>
      <c r="WCK16" s="289"/>
      <c r="WCL16" s="289"/>
      <c r="WCM16" s="289"/>
      <c r="WCN16" s="289"/>
      <c r="WCO16" s="289"/>
      <c r="WCP16" s="289"/>
      <c r="WCQ16" s="289"/>
      <c r="WCR16" s="289"/>
      <c r="WCS16" s="289"/>
      <c r="WCT16" s="289"/>
      <c r="WCU16" s="289"/>
      <c r="WCV16" s="289"/>
      <c r="WCW16" s="289"/>
      <c r="WCX16" s="289"/>
      <c r="WCY16" s="289"/>
      <c r="WCZ16" s="289"/>
      <c r="WDA16" s="289"/>
      <c r="WDB16" s="289"/>
      <c r="WDC16" s="289"/>
      <c r="WDD16" s="289"/>
      <c r="WDE16" s="289"/>
      <c r="WDF16" s="289"/>
      <c r="WDG16" s="289"/>
      <c r="WDH16" s="289"/>
      <c r="WDI16" s="289"/>
      <c r="WDJ16" s="289"/>
      <c r="WDK16" s="289"/>
      <c r="WDL16" s="289"/>
      <c r="WDM16" s="289"/>
      <c r="WDN16" s="289"/>
      <c r="WDO16" s="289"/>
      <c r="WDP16" s="289"/>
      <c r="WDQ16" s="289"/>
      <c r="WDR16" s="289"/>
      <c r="WDS16" s="289"/>
      <c r="WDT16" s="289"/>
      <c r="WDU16" s="289"/>
      <c r="WDV16" s="289"/>
      <c r="WDW16" s="289"/>
      <c r="WDX16" s="289"/>
      <c r="WDY16" s="289"/>
      <c r="WDZ16" s="289"/>
      <c r="WEA16" s="289"/>
      <c r="WEB16" s="289"/>
      <c r="WEC16" s="289"/>
      <c r="WED16" s="289"/>
      <c r="WEE16" s="289"/>
      <c r="WEF16" s="289"/>
      <c r="WEG16" s="289"/>
      <c r="WEH16" s="289"/>
      <c r="WEI16" s="289"/>
      <c r="WEJ16" s="289"/>
      <c r="WEK16" s="289"/>
      <c r="WEL16" s="289"/>
      <c r="WEM16" s="289"/>
      <c r="WEN16" s="289"/>
      <c r="WEO16" s="289"/>
      <c r="WEP16" s="289"/>
      <c r="WEQ16" s="289"/>
      <c r="WER16" s="289"/>
      <c r="WES16" s="289"/>
      <c r="WET16" s="289"/>
      <c r="WEU16" s="289"/>
      <c r="WEV16" s="289"/>
      <c r="WEW16" s="289"/>
      <c r="WEX16" s="289"/>
      <c r="WEY16" s="289"/>
      <c r="WEZ16" s="289"/>
      <c r="WFA16" s="289"/>
      <c r="WFB16" s="289"/>
      <c r="WFC16" s="289"/>
      <c r="WFD16" s="289"/>
      <c r="WFE16" s="289"/>
      <c r="WFF16" s="289"/>
      <c r="WFG16" s="289"/>
      <c r="WFH16" s="289"/>
      <c r="WFI16" s="289"/>
      <c r="WFJ16" s="289"/>
      <c r="WFK16" s="289"/>
      <c r="WFL16" s="289"/>
      <c r="WFM16" s="289"/>
      <c r="WFN16" s="289"/>
      <c r="WFO16" s="289"/>
      <c r="WFP16" s="289"/>
      <c r="WFQ16" s="289"/>
      <c r="WFR16" s="289"/>
      <c r="WFS16" s="289"/>
      <c r="WFT16" s="289"/>
      <c r="WFU16" s="289"/>
      <c r="WFV16" s="289"/>
      <c r="WFW16" s="289"/>
      <c r="WFX16" s="289"/>
      <c r="WFY16" s="289"/>
      <c r="WFZ16" s="289"/>
      <c r="WGA16" s="289"/>
      <c r="WGB16" s="289"/>
      <c r="WGC16" s="289"/>
      <c r="WGD16" s="289"/>
      <c r="WGE16" s="289"/>
      <c r="WGF16" s="289"/>
      <c r="WGG16" s="289"/>
      <c r="WGH16" s="289"/>
      <c r="WGI16" s="289"/>
      <c r="WGJ16" s="289"/>
      <c r="WGK16" s="289"/>
      <c r="WGL16" s="289"/>
      <c r="WGM16" s="289"/>
      <c r="WGN16" s="289"/>
      <c r="WGO16" s="289"/>
      <c r="WGP16" s="289"/>
      <c r="WGQ16" s="289"/>
      <c r="WGR16" s="289"/>
      <c r="WGS16" s="289"/>
      <c r="WGT16" s="289"/>
      <c r="WGU16" s="289"/>
      <c r="WGV16" s="289"/>
      <c r="WGW16" s="289"/>
      <c r="WGX16" s="289"/>
      <c r="WGY16" s="289"/>
      <c r="WGZ16" s="289"/>
      <c r="WHA16" s="289"/>
      <c r="WHB16" s="289"/>
      <c r="WHC16" s="289"/>
      <c r="WHD16" s="289"/>
      <c r="WHE16" s="289"/>
      <c r="WHF16" s="289"/>
      <c r="WHG16" s="289"/>
      <c r="WHH16" s="289"/>
      <c r="WHI16" s="289"/>
      <c r="WHJ16" s="289"/>
      <c r="WHK16" s="289"/>
      <c r="WHL16" s="289"/>
      <c r="WHM16" s="289"/>
      <c r="WHN16" s="289"/>
      <c r="WHO16" s="289"/>
      <c r="WHP16" s="289"/>
      <c r="WHQ16" s="289"/>
      <c r="WHR16" s="289"/>
      <c r="WHS16" s="289"/>
      <c r="WHT16" s="289"/>
      <c r="WHU16" s="289"/>
      <c r="WHV16" s="289"/>
      <c r="WHW16" s="289"/>
      <c r="WHX16" s="289"/>
      <c r="WHY16" s="289"/>
      <c r="WHZ16" s="289"/>
      <c r="WIA16" s="289"/>
      <c r="WIB16" s="289"/>
      <c r="WIC16" s="289"/>
      <c r="WID16" s="289"/>
      <c r="WIE16" s="289"/>
      <c r="WIF16" s="289"/>
      <c r="WIG16" s="289"/>
      <c r="WIH16" s="289"/>
      <c r="WII16" s="289"/>
      <c r="WIJ16" s="289"/>
      <c r="WIK16" s="289"/>
      <c r="WIL16" s="289"/>
      <c r="WIM16" s="289"/>
      <c r="WIN16" s="289"/>
      <c r="WIO16" s="289"/>
      <c r="WIP16" s="289"/>
      <c r="WIQ16" s="289"/>
      <c r="WIR16" s="289"/>
      <c r="WIS16" s="289"/>
      <c r="WIT16" s="289"/>
      <c r="WIU16" s="289"/>
      <c r="WIV16" s="289"/>
      <c r="WIW16" s="289"/>
      <c r="WIX16" s="289"/>
      <c r="WIY16" s="289"/>
      <c r="WIZ16" s="289"/>
      <c r="WJA16" s="289"/>
      <c r="WJB16" s="289"/>
      <c r="WJC16" s="289"/>
      <c r="WJD16" s="289"/>
      <c r="WJE16" s="289"/>
      <c r="WJF16" s="289"/>
      <c r="WJG16" s="289"/>
      <c r="WJH16" s="289"/>
      <c r="WJI16" s="289"/>
      <c r="WJJ16" s="289"/>
      <c r="WJK16" s="289"/>
      <c r="WJL16" s="289"/>
      <c r="WJM16" s="289"/>
      <c r="WJN16" s="289"/>
      <c r="WJO16" s="289"/>
      <c r="WJP16" s="289"/>
      <c r="WJQ16" s="289"/>
      <c r="WJR16" s="289"/>
      <c r="WJS16" s="289"/>
      <c r="WJT16" s="289"/>
      <c r="WJU16" s="289"/>
      <c r="WJV16" s="289"/>
      <c r="WJW16" s="289"/>
      <c r="WJX16" s="289"/>
      <c r="WJY16" s="289"/>
      <c r="WJZ16" s="289"/>
      <c r="WKA16" s="289"/>
      <c r="WKB16" s="289"/>
      <c r="WKC16" s="289"/>
      <c r="WKD16" s="289"/>
      <c r="WKE16" s="289"/>
      <c r="WKF16" s="289"/>
      <c r="WKG16" s="289"/>
      <c r="WKH16" s="289"/>
      <c r="WKI16" s="289"/>
      <c r="WKJ16" s="289"/>
      <c r="WKK16" s="289"/>
      <c r="WKL16" s="289"/>
      <c r="WKM16" s="289"/>
      <c r="WKN16" s="289"/>
      <c r="WKO16" s="289"/>
      <c r="WKP16" s="289"/>
      <c r="WKQ16" s="289"/>
      <c r="WKR16" s="289"/>
      <c r="WKS16" s="289"/>
      <c r="WKT16" s="289"/>
      <c r="WKU16" s="289"/>
      <c r="WKV16" s="289"/>
      <c r="WKW16" s="289"/>
      <c r="WKX16" s="289"/>
      <c r="WKY16" s="289"/>
      <c r="WKZ16" s="289"/>
      <c r="WLA16" s="289"/>
      <c r="WLB16" s="289"/>
      <c r="WLC16" s="289"/>
      <c r="WLD16" s="289"/>
      <c r="WLE16" s="289"/>
      <c r="WLF16" s="289"/>
      <c r="WLG16" s="289"/>
      <c r="WLH16" s="289"/>
      <c r="WLI16" s="289"/>
      <c r="WLJ16" s="289"/>
      <c r="WLK16" s="289"/>
      <c r="WLL16" s="289"/>
      <c r="WLM16" s="289"/>
      <c r="WLN16" s="289"/>
      <c r="WLO16" s="289"/>
      <c r="WLP16" s="289"/>
      <c r="WLQ16" s="289"/>
      <c r="WLR16" s="289"/>
      <c r="WLS16" s="289"/>
      <c r="WLT16" s="289"/>
      <c r="WLU16" s="289"/>
      <c r="WLV16" s="289"/>
      <c r="WLW16" s="289"/>
      <c r="WLX16" s="289"/>
      <c r="WLY16" s="289"/>
      <c r="WLZ16" s="289"/>
      <c r="WMA16" s="289"/>
      <c r="WMB16" s="289"/>
      <c r="WMC16" s="289"/>
      <c r="WMD16" s="289"/>
      <c r="WME16" s="289"/>
      <c r="WMF16" s="289"/>
      <c r="WMG16" s="289"/>
      <c r="WMH16" s="289"/>
      <c r="WMI16" s="289"/>
      <c r="WMJ16" s="289"/>
      <c r="WMK16" s="289"/>
      <c r="WML16" s="289"/>
      <c r="WMM16" s="289"/>
      <c r="WMN16" s="289"/>
      <c r="WMO16" s="289"/>
      <c r="WMP16" s="289"/>
      <c r="WMQ16" s="289"/>
      <c r="WMR16" s="289"/>
      <c r="WMS16" s="289"/>
      <c r="WMT16" s="289"/>
      <c r="WMU16" s="289"/>
      <c r="WMV16" s="289"/>
      <c r="WMW16" s="289"/>
      <c r="WMX16" s="289"/>
      <c r="WMY16" s="289"/>
      <c r="WMZ16" s="289"/>
      <c r="WNA16" s="289"/>
      <c r="WNB16" s="289"/>
      <c r="WNC16" s="289"/>
      <c r="WND16" s="289"/>
      <c r="WNE16" s="289"/>
      <c r="WNF16" s="289"/>
      <c r="WNG16" s="289"/>
      <c r="WNH16" s="289"/>
      <c r="WNI16" s="289"/>
      <c r="WNJ16" s="289"/>
      <c r="WNK16" s="289"/>
      <c r="WNL16" s="289"/>
      <c r="WNM16" s="289"/>
      <c r="WNN16" s="289"/>
      <c r="WNO16" s="289"/>
      <c r="WNP16" s="289"/>
      <c r="WNQ16" s="289"/>
      <c r="WNR16" s="289"/>
      <c r="WNS16" s="289"/>
      <c r="WNT16" s="289"/>
      <c r="WNU16" s="289"/>
      <c r="WNV16" s="289"/>
      <c r="WNW16" s="289"/>
      <c r="WNX16" s="289"/>
      <c r="WNY16" s="289"/>
      <c r="WNZ16" s="289"/>
      <c r="WOA16" s="289"/>
      <c r="WOB16" s="289"/>
      <c r="WOC16" s="289"/>
      <c r="WOD16" s="289"/>
      <c r="WOE16" s="289"/>
      <c r="WOF16" s="289"/>
      <c r="WOG16" s="289"/>
      <c r="WOH16" s="289"/>
      <c r="WOI16" s="289"/>
      <c r="WOJ16" s="289"/>
      <c r="WOK16" s="289"/>
      <c r="WOL16" s="289"/>
      <c r="WOM16" s="289"/>
      <c r="WON16" s="289"/>
      <c r="WOO16" s="289"/>
      <c r="WOP16" s="289"/>
      <c r="WOQ16" s="289"/>
      <c r="WOR16" s="289"/>
      <c r="WOS16" s="289"/>
      <c r="WOT16" s="289"/>
      <c r="WOU16" s="289"/>
      <c r="WOV16" s="289"/>
      <c r="WOW16" s="289"/>
      <c r="WOX16" s="289"/>
      <c r="WOY16" s="289"/>
      <c r="WOZ16" s="289"/>
      <c r="WPA16" s="289"/>
      <c r="WPB16" s="289"/>
      <c r="WPC16" s="289"/>
      <c r="WPD16" s="289"/>
      <c r="WPE16" s="289"/>
      <c r="WPF16" s="289"/>
      <c r="WPG16" s="289"/>
      <c r="WPH16" s="289"/>
      <c r="WPI16" s="289"/>
      <c r="WPJ16" s="289"/>
      <c r="WPK16" s="289"/>
      <c r="WPL16" s="289"/>
      <c r="WPM16" s="289"/>
      <c r="WPN16" s="289"/>
      <c r="WPO16" s="289"/>
      <c r="WPP16" s="289"/>
      <c r="WPQ16" s="289"/>
      <c r="WPR16" s="289"/>
      <c r="WPS16" s="289"/>
      <c r="WPT16" s="289"/>
      <c r="WPU16" s="289"/>
      <c r="WPV16" s="289"/>
      <c r="WPW16" s="289"/>
      <c r="WPX16" s="289"/>
      <c r="WPY16" s="289"/>
      <c r="WPZ16" s="289"/>
      <c r="WQA16" s="289"/>
      <c r="WQB16" s="289"/>
      <c r="WQC16" s="289"/>
      <c r="WQD16" s="289"/>
      <c r="WQE16" s="289"/>
      <c r="WQF16" s="289"/>
      <c r="WQG16" s="289"/>
      <c r="WQH16" s="289"/>
      <c r="WQI16" s="289"/>
      <c r="WQJ16" s="289"/>
      <c r="WQK16" s="289"/>
      <c r="WQL16" s="289"/>
      <c r="WQM16" s="289"/>
      <c r="WQN16" s="289"/>
      <c r="WQO16" s="289"/>
      <c r="WQP16" s="289"/>
      <c r="WQQ16" s="289"/>
      <c r="WQR16" s="289"/>
      <c r="WQS16" s="289"/>
      <c r="WQT16" s="289"/>
      <c r="WQU16" s="289"/>
      <c r="WQV16" s="289"/>
      <c r="WQW16" s="289"/>
      <c r="WQX16" s="289"/>
      <c r="WQY16" s="289"/>
      <c r="WQZ16" s="289"/>
      <c r="WRA16" s="289"/>
      <c r="WRB16" s="289"/>
      <c r="WRC16" s="289"/>
      <c r="WRD16" s="289"/>
      <c r="WRE16" s="289"/>
      <c r="WRF16" s="289"/>
      <c r="WRG16" s="289"/>
      <c r="WRH16" s="289"/>
      <c r="WRI16" s="289"/>
      <c r="WRJ16" s="289"/>
      <c r="WRK16" s="289"/>
      <c r="WRL16" s="289"/>
      <c r="WRM16" s="289"/>
      <c r="WRN16" s="289"/>
      <c r="WRO16" s="289"/>
      <c r="WRP16" s="289"/>
      <c r="WRQ16" s="289"/>
      <c r="WRR16" s="289"/>
      <c r="WRS16" s="289"/>
      <c r="WRT16" s="289"/>
      <c r="WRU16" s="289"/>
      <c r="WRV16" s="289"/>
      <c r="WRW16" s="289"/>
      <c r="WRX16" s="289"/>
      <c r="WRY16" s="289"/>
      <c r="WRZ16" s="289"/>
      <c r="WSA16" s="289"/>
      <c r="WSB16" s="289"/>
      <c r="WSC16" s="289"/>
      <c r="WSD16" s="289"/>
      <c r="WSE16" s="289"/>
      <c r="WSF16" s="289"/>
      <c r="WSG16" s="289"/>
      <c r="WSH16" s="289"/>
      <c r="WSI16" s="289"/>
      <c r="WSJ16" s="289"/>
      <c r="WSK16" s="289"/>
      <c r="WSL16" s="289"/>
      <c r="WSM16" s="289"/>
      <c r="WSN16" s="289"/>
      <c r="WSO16" s="289"/>
      <c r="WSP16" s="289"/>
      <c r="WSQ16" s="289"/>
      <c r="WSR16" s="289"/>
      <c r="WSS16" s="289"/>
      <c r="WST16" s="289"/>
      <c r="WSU16" s="289"/>
      <c r="WSV16" s="289"/>
      <c r="WSW16" s="289"/>
      <c r="WSX16" s="289"/>
      <c r="WSY16" s="289"/>
      <c r="WSZ16" s="289"/>
      <c r="WTA16" s="289"/>
      <c r="WTB16" s="289"/>
      <c r="WTC16" s="289"/>
      <c r="WTD16" s="289"/>
      <c r="WTE16" s="289"/>
      <c r="WTF16" s="289"/>
      <c r="WTG16" s="289"/>
      <c r="WTH16" s="289"/>
      <c r="WTI16" s="289"/>
      <c r="WTJ16" s="289"/>
      <c r="WTK16" s="289"/>
      <c r="WTL16" s="289"/>
      <c r="WTM16" s="289"/>
      <c r="WTN16" s="289"/>
      <c r="WTO16" s="289"/>
      <c r="WTP16" s="289"/>
      <c r="WTQ16" s="289"/>
      <c r="WTR16" s="289"/>
      <c r="WTS16" s="289"/>
      <c r="WTT16" s="289"/>
      <c r="WTU16" s="289"/>
      <c r="WTV16" s="289"/>
      <c r="WTW16" s="289"/>
      <c r="WTX16" s="289"/>
      <c r="WTY16" s="289"/>
      <c r="WTZ16" s="289"/>
      <c r="WUA16" s="289"/>
      <c r="WUB16" s="289"/>
      <c r="WUC16" s="289"/>
      <c r="WUD16" s="289"/>
      <c r="WUE16" s="289"/>
      <c r="WUF16" s="289"/>
      <c r="WUG16" s="289"/>
      <c r="WUH16" s="289"/>
      <c r="WUI16" s="289"/>
      <c r="WUJ16" s="289"/>
      <c r="WUK16" s="289"/>
      <c r="WUL16" s="289"/>
      <c r="WUM16" s="289"/>
      <c r="WUN16" s="289"/>
      <c r="WUO16" s="289"/>
      <c r="WUP16" s="289"/>
      <c r="WUQ16" s="289"/>
      <c r="WUR16" s="289"/>
      <c r="WUS16" s="289"/>
      <c r="WUT16" s="289"/>
      <c r="WUU16" s="289"/>
      <c r="WUV16" s="289"/>
      <c r="WUW16" s="289"/>
      <c r="WUX16" s="289"/>
      <c r="WUY16" s="289"/>
      <c r="WUZ16" s="289"/>
      <c r="WVA16" s="289"/>
      <c r="WVB16" s="289"/>
      <c r="WVC16" s="289"/>
      <c r="WVD16" s="289"/>
      <c r="WVE16" s="289"/>
      <c r="WVF16" s="289"/>
      <c r="WVG16" s="289"/>
      <c r="WVH16" s="289"/>
      <c r="WVI16" s="289"/>
      <c r="WVJ16" s="289"/>
      <c r="WVK16" s="289"/>
      <c r="WVL16" s="289"/>
      <c r="WVM16" s="289"/>
      <c r="WVN16" s="289"/>
      <c r="WVO16" s="289"/>
      <c r="WVP16" s="289"/>
      <c r="WVQ16" s="289"/>
      <c r="WVR16" s="289"/>
      <c r="WVS16" s="289"/>
      <c r="WVT16" s="289"/>
      <c r="WVU16" s="289"/>
      <c r="WVV16" s="289"/>
      <c r="WVW16" s="289"/>
      <c r="WVX16" s="289"/>
      <c r="WVY16" s="289"/>
      <c r="WVZ16" s="289"/>
      <c r="WWA16" s="289"/>
      <c r="WWB16" s="289"/>
      <c r="WWC16" s="289"/>
      <c r="WWD16" s="289"/>
      <c r="WWE16" s="289"/>
      <c r="WWF16" s="289"/>
      <c r="WWG16" s="289"/>
      <c r="WWH16" s="289"/>
      <c r="WWI16" s="289"/>
      <c r="WWJ16" s="289"/>
      <c r="WWK16" s="289"/>
      <c r="WWL16" s="289"/>
      <c r="WWM16" s="289"/>
      <c r="WWN16" s="289"/>
      <c r="WWO16" s="289"/>
      <c r="WWP16" s="289"/>
      <c r="WWQ16" s="289"/>
      <c r="WWR16" s="289"/>
      <c r="WWS16" s="289"/>
      <c r="WWT16" s="289"/>
      <c r="WWU16" s="289"/>
      <c r="WWV16" s="289"/>
      <c r="WWW16" s="289"/>
      <c r="WWX16" s="289"/>
      <c r="WWY16" s="289"/>
      <c r="WWZ16" s="289"/>
      <c r="WXA16" s="289"/>
      <c r="WXB16" s="289"/>
      <c r="WXC16" s="289"/>
      <c r="WXD16" s="289"/>
      <c r="WXE16" s="289"/>
      <c r="WXF16" s="289"/>
      <c r="WXG16" s="289"/>
      <c r="WXH16" s="289"/>
      <c r="WXI16" s="289"/>
      <c r="WXJ16" s="289"/>
      <c r="WXK16" s="289"/>
      <c r="WXL16" s="289"/>
      <c r="WXM16" s="289"/>
      <c r="WXN16" s="289"/>
      <c r="WXO16" s="289"/>
      <c r="WXP16" s="289"/>
      <c r="WXQ16" s="289"/>
      <c r="WXR16" s="289"/>
      <c r="WXS16" s="289"/>
      <c r="WXT16" s="289"/>
      <c r="WXU16" s="289"/>
      <c r="WXV16" s="289"/>
      <c r="WXW16" s="289"/>
      <c r="WXX16" s="289"/>
      <c r="WXY16" s="289"/>
      <c r="WXZ16" s="289"/>
      <c r="WYA16" s="289"/>
      <c r="WYB16" s="289"/>
      <c r="WYC16" s="289"/>
      <c r="WYD16" s="289"/>
      <c r="WYE16" s="289"/>
      <c r="WYF16" s="289"/>
      <c r="WYG16" s="289"/>
      <c r="WYH16" s="289"/>
      <c r="WYI16" s="289"/>
      <c r="WYJ16" s="289"/>
      <c r="WYK16" s="289"/>
      <c r="WYL16" s="289"/>
      <c r="WYM16" s="289"/>
      <c r="WYN16" s="289"/>
      <c r="WYO16" s="289"/>
      <c r="WYP16" s="289"/>
      <c r="WYQ16" s="289"/>
      <c r="WYR16" s="289"/>
      <c r="WYS16" s="289"/>
      <c r="WYT16" s="289"/>
      <c r="WYU16" s="289"/>
      <c r="WYV16" s="289"/>
      <c r="WYW16" s="289"/>
      <c r="WYX16" s="289"/>
      <c r="WYY16" s="289"/>
      <c r="WYZ16" s="289"/>
      <c r="WZA16" s="289"/>
      <c r="WZB16" s="289"/>
      <c r="WZC16" s="289"/>
      <c r="WZD16" s="289"/>
      <c r="WZE16" s="289"/>
      <c r="WZF16" s="289"/>
      <c r="WZG16" s="289"/>
      <c r="WZH16" s="289"/>
      <c r="WZI16" s="289"/>
      <c r="WZJ16" s="289"/>
      <c r="WZK16" s="289"/>
      <c r="WZL16" s="289"/>
      <c r="WZM16" s="289"/>
      <c r="WZN16" s="289"/>
      <c r="WZO16" s="289"/>
      <c r="WZP16" s="289"/>
      <c r="WZQ16" s="289"/>
      <c r="WZR16" s="289"/>
      <c r="WZS16" s="289"/>
      <c r="WZT16" s="289"/>
      <c r="WZU16" s="289"/>
      <c r="WZV16" s="289"/>
      <c r="WZW16" s="289"/>
      <c r="WZX16" s="289"/>
      <c r="WZY16" s="289"/>
      <c r="WZZ16" s="289"/>
      <c r="XAA16" s="289"/>
      <c r="XAB16" s="289"/>
      <c r="XAC16" s="289"/>
      <c r="XAD16" s="289"/>
      <c r="XAE16" s="289"/>
      <c r="XAF16" s="289"/>
      <c r="XAG16" s="289"/>
      <c r="XAH16" s="289"/>
      <c r="XAI16" s="289"/>
      <c r="XAJ16" s="289"/>
      <c r="XAK16" s="289"/>
      <c r="XAL16" s="289"/>
      <c r="XAM16" s="289"/>
      <c r="XAN16" s="289"/>
      <c r="XAO16" s="289"/>
      <c r="XAP16" s="289"/>
      <c r="XAQ16" s="289"/>
      <c r="XAR16" s="289"/>
      <c r="XAS16" s="289"/>
      <c r="XAT16" s="289"/>
      <c r="XAU16" s="289"/>
      <c r="XAV16" s="289"/>
      <c r="XAW16" s="289"/>
      <c r="XAX16" s="289"/>
      <c r="XAY16" s="289"/>
      <c r="XAZ16" s="289"/>
      <c r="XBA16" s="289"/>
      <c r="XBB16" s="289"/>
      <c r="XBC16" s="289"/>
      <c r="XBD16" s="289"/>
      <c r="XBE16" s="289"/>
      <c r="XBF16" s="289"/>
      <c r="XBG16" s="289"/>
      <c r="XBH16" s="289"/>
      <c r="XBI16" s="289"/>
      <c r="XBJ16" s="289"/>
      <c r="XBK16" s="289"/>
      <c r="XBL16" s="289"/>
      <c r="XBM16" s="289"/>
      <c r="XBN16" s="289"/>
      <c r="XBO16" s="289"/>
      <c r="XBP16" s="289"/>
      <c r="XBQ16" s="289"/>
      <c r="XBR16" s="289"/>
      <c r="XBS16" s="289"/>
      <c r="XBT16" s="289"/>
      <c r="XBU16" s="289"/>
      <c r="XBV16" s="289"/>
      <c r="XBW16" s="289"/>
      <c r="XBX16" s="289"/>
      <c r="XBY16" s="289"/>
      <c r="XBZ16" s="289"/>
      <c r="XCA16" s="289"/>
      <c r="XCB16" s="289"/>
      <c r="XCC16" s="289"/>
      <c r="XCD16" s="289"/>
      <c r="XCE16" s="289"/>
      <c r="XCF16" s="289"/>
      <c r="XCG16" s="289"/>
      <c r="XCH16" s="289"/>
      <c r="XCI16" s="289"/>
      <c r="XCJ16" s="289"/>
      <c r="XCK16" s="289"/>
      <c r="XCL16" s="289"/>
      <c r="XCM16" s="289"/>
      <c r="XCN16" s="289"/>
      <c r="XCO16" s="289"/>
      <c r="XCP16" s="289"/>
      <c r="XCQ16" s="289"/>
      <c r="XCR16" s="289"/>
      <c r="XCS16" s="289"/>
      <c r="XCT16" s="289"/>
      <c r="XCU16" s="289"/>
      <c r="XCV16" s="289"/>
      <c r="XCW16" s="289"/>
      <c r="XCX16" s="289"/>
      <c r="XCY16" s="289"/>
      <c r="XCZ16" s="289"/>
      <c r="XDA16" s="289"/>
      <c r="XDB16" s="289"/>
      <c r="XDC16" s="289"/>
      <c r="XDD16" s="289"/>
      <c r="XDE16" s="289"/>
      <c r="XDF16" s="289"/>
      <c r="XDG16" s="289"/>
      <c r="XDH16" s="289"/>
      <c r="XDI16" s="289"/>
      <c r="XDJ16" s="289"/>
      <c r="XDK16" s="289"/>
      <c r="XDL16" s="289"/>
      <c r="XDM16" s="289"/>
      <c r="XDN16" s="289"/>
      <c r="XDO16" s="289"/>
      <c r="XDP16" s="289"/>
      <c r="XDQ16" s="289"/>
      <c r="XDR16" s="289"/>
      <c r="XDS16" s="289"/>
      <c r="XDT16" s="289"/>
      <c r="XDU16" s="289"/>
      <c r="XDV16" s="289"/>
      <c r="XDW16" s="289"/>
      <c r="XDX16" s="289"/>
      <c r="XDY16" s="289"/>
      <c r="XDZ16" s="289"/>
      <c r="XEA16" s="289"/>
      <c r="XEB16" s="289"/>
      <c r="XEC16" s="289"/>
      <c r="XED16" s="289"/>
      <c r="XEE16" s="289"/>
      <c r="XEF16" s="289"/>
      <c r="XEG16" s="289"/>
      <c r="XEH16" s="289"/>
      <c r="XEI16" s="289"/>
      <c r="XEJ16" s="289"/>
      <c r="XEK16" s="289"/>
      <c r="XEL16" s="289"/>
      <c r="XEM16" s="289"/>
      <c r="XEN16" s="289"/>
      <c r="XEO16" s="289"/>
      <c r="XEP16" s="289"/>
      <c r="XEQ16" s="289"/>
      <c r="XER16" s="289"/>
      <c r="XES16" s="289"/>
      <c r="XET16" s="289"/>
      <c r="XEU16" s="289"/>
      <c r="XEV16" s="289"/>
      <c r="XEW16" s="289"/>
      <c r="XEX16" s="289"/>
      <c r="XEY16" s="289"/>
      <c r="XEZ16" s="289"/>
      <c r="XFA16" s="289"/>
      <c r="XFB16" s="289"/>
      <c r="XFC16" s="289"/>
      <c r="XFD16" s="289"/>
    </row>
    <row r="17" spans="1:16384" outlineLevel="1" x14ac:dyDescent="0.3">
      <c r="A17" s="15">
        <v>19000441</v>
      </c>
      <c r="B17" s="15" t="s">
        <v>429</v>
      </c>
      <c r="C17" s="24" t="s">
        <v>430</v>
      </c>
      <c r="D17" s="24" t="s">
        <v>412</v>
      </c>
      <c r="E17" s="24" t="s">
        <v>215</v>
      </c>
      <c r="F17" s="117">
        <v>1138726.6666666667</v>
      </c>
      <c r="G17" s="94">
        <f>F17</f>
        <v>1138726.6666666667</v>
      </c>
      <c r="H17" s="118"/>
      <c r="I17" s="35"/>
      <c r="J17" s="117">
        <v>1496918.125</v>
      </c>
      <c r="K17" s="94">
        <f>J17</f>
        <v>1496918.125</v>
      </c>
      <c r="L17" s="118"/>
      <c r="M17" s="35"/>
      <c r="N17" s="117">
        <v>1766754.75</v>
      </c>
      <c r="O17" s="94">
        <f>N17</f>
        <v>1766754.75</v>
      </c>
      <c r="P17" s="118"/>
      <c r="Q17" s="35"/>
      <c r="R17" s="117">
        <v>2129753.4166666665</v>
      </c>
      <c r="S17" s="94">
        <f>R17</f>
        <v>2129753.4166666665</v>
      </c>
      <c r="T17" s="118"/>
      <c r="U17" s="284"/>
      <c r="V17" s="117">
        <v>2689624.5666666669</v>
      </c>
      <c r="W17" s="94">
        <f>V17</f>
        <v>2689624.5666666669</v>
      </c>
      <c r="X17" s="118"/>
      <c r="Y17" s="284"/>
      <c r="Z17" s="117">
        <v>3424040.1020833328</v>
      </c>
      <c r="AA17" s="94">
        <f>Z17</f>
        <v>3424040.1020833328</v>
      </c>
      <c r="AB17" s="118"/>
      <c r="AC17" s="284"/>
      <c r="AD17" s="117">
        <v>4180502.6295833341</v>
      </c>
      <c r="AE17" s="94">
        <f>AD17</f>
        <v>4180502.6295833341</v>
      </c>
      <c r="AF17" s="118"/>
      <c r="AG17" s="284"/>
      <c r="AH17" s="117">
        <v>5006465.7437500004</v>
      </c>
      <c r="AI17" s="94">
        <f>AH17</f>
        <v>5006465.7437500004</v>
      </c>
      <c r="AJ17" s="118"/>
      <c r="AK17" s="284"/>
      <c r="AL17" s="117">
        <v>6602967.0645833323</v>
      </c>
      <c r="AM17" s="94">
        <f>AL17</f>
        <v>6602967.0645833323</v>
      </c>
      <c r="AN17" s="118"/>
      <c r="AO17" s="284"/>
      <c r="AP17" s="117">
        <v>9927938.5887499992</v>
      </c>
      <c r="AQ17" s="94">
        <f>AP17</f>
        <v>9927938.5887499992</v>
      </c>
      <c r="AR17" s="118"/>
      <c r="AS17" s="284"/>
      <c r="AT17" s="117">
        <v>9441810.0512500014</v>
      </c>
      <c r="AU17" s="94">
        <f>AT17</f>
        <v>9441810.0512500014</v>
      </c>
      <c r="AV17" s="118"/>
      <c r="AW17" s="284"/>
    </row>
    <row r="18" spans="1:16384" outlineLevel="1" x14ac:dyDescent="0.3">
      <c r="A18" s="15">
        <v>19000451</v>
      </c>
      <c r="B18" s="15" t="s">
        <v>431</v>
      </c>
      <c r="C18" s="24" t="s">
        <v>432</v>
      </c>
      <c r="D18" s="24" t="s">
        <v>412</v>
      </c>
      <c r="E18" s="24" t="s">
        <v>215</v>
      </c>
      <c r="F18" s="117">
        <v>154750</v>
      </c>
      <c r="G18" s="94">
        <f>F18</f>
        <v>154750</v>
      </c>
      <c r="H18" s="118"/>
      <c r="I18" s="35"/>
      <c r="J18" s="117">
        <v>0</v>
      </c>
      <c r="K18" s="94">
        <f>J18</f>
        <v>0</v>
      </c>
      <c r="L18" s="118"/>
      <c r="M18" s="35"/>
      <c r="N18" s="117"/>
      <c r="O18" s="94">
        <f>N18</f>
        <v>0</v>
      </c>
      <c r="P18" s="118"/>
      <c r="Q18" s="35"/>
      <c r="R18" s="117"/>
      <c r="S18" s="94">
        <f>R18</f>
        <v>0</v>
      </c>
      <c r="T18" s="118"/>
      <c r="U18" s="284"/>
      <c r="V18" s="117"/>
      <c r="W18" s="94">
        <f>V18</f>
        <v>0</v>
      </c>
      <c r="X18" s="118"/>
      <c r="Y18" s="284"/>
      <c r="Z18" s="117"/>
      <c r="AA18" s="94">
        <f>Z18</f>
        <v>0</v>
      </c>
      <c r="AB18" s="118"/>
      <c r="AC18" s="284"/>
      <c r="AD18" s="117"/>
      <c r="AE18" s="94">
        <f>AD18</f>
        <v>0</v>
      </c>
      <c r="AF18" s="118"/>
      <c r="AG18" s="284"/>
      <c r="AH18" s="117"/>
      <c r="AI18" s="94">
        <f>AH18</f>
        <v>0</v>
      </c>
      <c r="AJ18" s="118"/>
      <c r="AK18" s="284"/>
      <c r="AL18" s="117"/>
      <c r="AM18" s="94">
        <f>AL18</f>
        <v>0</v>
      </c>
      <c r="AN18" s="118"/>
      <c r="AO18" s="284"/>
      <c r="AP18" s="117"/>
      <c r="AQ18" s="94">
        <f>AP18</f>
        <v>0</v>
      </c>
      <c r="AR18" s="118"/>
      <c r="AS18" s="284"/>
      <c r="AT18" s="117"/>
      <c r="AU18" s="94">
        <f>AT18</f>
        <v>0</v>
      </c>
      <c r="AV18" s="118"/>
      <c r="AW18" s="284"/>
    </row>
    <row r="19" spans="1:16384" outlineLevel="1" x14ac:dyDescent="0.3">
      <c r="A19" s="15">
        <v>19000483</v>
      </c>
      <c r="B19" s="15" t="s">
        <v>433</v>
      </c>
      <c r="C19" s="24" t="s">
        <v>428</v>
      </c>
      <c r="D19" s="24" t="s">
        <v>412</v>
      </c>
      <c r="E19" s="24" t="s">
        <v>422</v>
      </c>
      <c r="F19" s="285"/>
      <c r="G19" s="286"/>
      <c r="H19" s="287"/>
      <c r="I19" s="288"/>
      <c r="J19" s="285"/>
      <c r="K19" s="286"/>
      <c r="L19" s="287"/>
      <c r="M19" s="288"/>
      <c r="N19" s="285"/>
      <c r="O19" s="286"/>
      <c r="P19" s="287"/>
      <c r="Q19" s="288"/>
      <c r="R19" s="285"/>
      <c r="S19" s="286"/>
      <c r="T19" s="287"/>
      <c r="U19" s="288"/>
      <c r="V19" s="285">
        <v>-3272265</v>
      </c>
      <c r="W19" s="286">
        <f>(V19*$W$2)</f>
        <v>-1821515.9817255626</v>
      </c>
      <c r="X19" s="287">
        <f>(V19*$X$2)</f>
        <v>-1450749.0182744374</v>
      </c>
      <c r="Y19" s="288"/>
      <c r="Z19" s="285"/>
      <c r="AA19" s="286"/>
      <c r="AB19" s="287"/>
      <c r="AC19" s="288"/>
      <c r="AD19" s="285"/>
      <c r="AE19" s="286"/>
      <c r="AF19" s="287"/>
      <c r="AG19" s="288"/>
      <c r="AH19" s="285"/>
      <c r="AI19" s="286"/>
      <c r="AJ19" s="287"/>
      <c r="AK19" s="288"/>
      <c r="AL19" s="285"/>
      <c r="AM19" s="286"/>
      <c r="AN19" s="287"/>
      <c r="AO19" s="288"/>
      <c r="AP19" s="285"/>
      <c r="AQ19" s="286"/>
      <c r="AR19" s="287"/>
      <c r="AS19" s="288"/>
      <c r="AT19" s="285"/>
      <c r="AU19" s="286"/>
      <c r="AV19" s="287"/>
      <c r="AW19" s="288"/>
      <c r="AX19" s="289"/>
      <c r="AY19" s="289"/>
      <c r="AZ19" s="289"/>
      <c r="BA19" s="289"/>
      <c r="BB19" s="289"/>
      <c r="BC19" s="289"/>
      <c r="BD19" s="289"/>
      <c r="BE19" s="289"/>
      <c r="BF19" s="289"/>
      <c r="BG19" s="289"/>
      <c r="BH19" s="289"/>
      <c r="BI19" s="289"/>
      <c r="BJ19" s="289"/>
      <c r="BK19" s="289"/>
      <c r="BL19" s="289"/>
      <c r="BM19" s="289"/>
      <c r="BN19" s="289"/>
      <c r="BO19" s="289"/>
      <c r="BP19" s="289"/>
      <c r="BQ19" s="289"/>
      <c r="BR19" s="289"/>
      <c r="BS19" s="289"/>
      <c r="BT19" s="289"/>
      <c r="BU19" s="289"/>
      <c r="BV19" s="289"/>
      <c r="BW19" s="289"/>
      <c r="BX19" s="289"/>
      <c r="BY19" s="289"/>
      <c r="BZ19" s="289"/>
      <c r="CA19" s="289"/>
      <c r="CB19" s="289"/>
      <c r="CC19" s="289"/>
      <c r="CD19" s="289"/>
      <c r="CE19" s="289"/>
      <c r="CF19" s="289"/>
      <c r="CG19" s="289"/>
      <c r="CH19" s="289"/>
      <c r="CI19" s="289"/>
      <c r="CJ19" s="289"/>
      <c r="CK19" s="289"/>
      <c r="CL19" s="289"/>
      <c r="CM19" s="289"/>
      <c r="CN19" s="289"/>
      <c r="CO19" s="289"/>
      <c r="CP19" s="289"/>
      <c r="CQ19" s="289"/>
      <c r="CR19" s="289"/>
      <c r="CS19" s="289"/>
      <c r="CT19" s="289"/>
      <c r="CU19" s="289"/>
      <c r="CV19" s="289"/>
      <c r="CW19" s="289"/>
      <c r="CX19" s="289"/>
      <c r="CY19" s="289"/>
      <c r="CZ19" s="289"/>
      <c r="DA19" s="289"/>
      <c r="DB19" s="289"/>
      <c r="DC19" s="289"/>
      <c r="DD19" s="289"/>
      <c r="DE19" s="289"/>
      <c r="DF19" s="289"/>
      <c r="DG19" s="289"/>
      <c r="DH19" s="289"/>
      <c r="DI19" s="289"/>
      <c r="DJ19" s="289"/>
      <c r="DK19" s="289"/>
      <c r="DL19" s="289"/>
      <c r="DM19" s="289"/>
      <c r="DN19" s="289"/>
      <c r="DO19" s="289"/>
      <c r="DP19" s="289"/>
      <c r="DQ19" s="289"/>
      <c r="DR19" s="289"/>
      <c r="DS19" s="289"/>
      <c r="DT19" s="289"/>
      <c r="DU19" s="289"/>
      <c r="DV19" s="289"/>
      <c r="DW19" s="289"/>
      <c r="DX19" s="289"/>
      <c r="DY19" s="289"/>
      <c r="DZ19" s="289"/>
      <c r="EA19" s="289"/>
      <c r="EB19" s="289"/>
      <c r="EC19" s="289"/>
      <c r="ED19" s="289"/>
      <c r="EE19" s="289"/>
      <c r="EF19" s="289"/>
      <c r="EG19" s="289"/>
      <c r="EH19" s="289"/>
      <c r="EI19" s="289"/>
      <c r="EJ19" s="289"/>
      <c r="EK19" s="289"/>
      <c r="EL19" s="289"/>
      <c r="EM19" s="289"/>
      <c r="EN19" s="289"/>
      <c r="EO19" s="289"/>
      <c r="EP19" s="289"/>
      <c r="EQ19" s="289"/>
      <c r="ER19" s="289"/>
      <c r="ES19" s="289"/>
      <c r="ET19" s="289"/>
      <c r="EU19" s="289"/>
      <c r="EV19" s="289"/>
      <c r="EW19" s="289"/>
      <c r="EX19" s="289"/>
      <c r="EY19" s="289"/>
      <c r="EZ19" s="289"/>
      <c r="FA19" s="289"/>
      <c r="FB19" s="289"/>
      <c r="FC19" s="289"/>
      <c r="FD19" s="289"/>
      <c r="FE19" s="289"/>
      <c r="FF19" s="289"/>
      <c r="FG19" s="289"/>
      <c r="FH19" s="289"/>
      <c r="FI19" s="289"/>
      <c r="FJ19" s="289"/>
      <c r="FK19" s="289"/>
      <c r="FL19" s="289"/>
      <c r="FM19" s="289"/>
      <c r="FN19" s="289"/>
      <c r="FO19" s="289"/>
      <c r="FP19" s="289"/>
      <c r="FQ19" s="289"/>
      <c r="FR19" s="289"/>
      <c r="FS19" s="289"/>
      <c r="FT19" s="289"/>
      <c r="FU19" s="289"/>
      <c r="FV19" s="289"/>
      <c r="FW19" s="289"/>
      <c r="FX19" s="289"/>
      <c r="FY19" s="289"/>
      <c r="FZ19" s="289"/>
      <c r="GA19" s="289"/>
      <c r="GB19" s="289"/>
      <c r="GC19" s="289"/>
      <c r="GD19" s="289"/>
      <c r="GE19" s="289"/>
      <c r="GF19" s="289"/>
      <c r="GG19" s="289"/>
      <c r="GH19" s="289"/>
      <c r="GI19" s="289"/>
      <c r="GJ19" s="289"/>
      <c r="GK19" s="289"/>
      <c r="GL19" s="289"/>
      <c r="GM19" s="289"/>
      <c r="GN19" s="289"/>
      <c r="GO19" s="289"/>
      <c r="GP19" s="289"/>
      <c r="GQ19" s="289"/>
      <c r="GR19" s="289"/>
      <c r="GS19" s="289"/>
      <c r="GT19" s="289"/>
      <c r="GU19" s="289"/>
      <c r="GV19" s="289"/>
      <c r="GW19" s="289"/>
      <c r="GX19" s="289"/>
      <c r="GY19" s="289"/>
      <c r="GZ19" s="289"/>
      <c r="HA19" s="289"/>
      <c r="HB19" s="289"/>
      <c r="HC19" s="289"/>
      <c r="HD19" s="289"/>
      <c r="HE19" s="289"/>
      <c r="HF19" s="289"/>
      <c r="HG19" s="289"/>
      <c r="HH19" s="289"/>
      <c r="HI19" s="289"/>
      <c r="HJ19" s="289"/>
      <c r="HK19" s="289"/>
      <c r="HL19" s="289"/>
      <c r="HM19" s="289"/>
      <c r="HN19" s="289"/>
      <c r="HO19" s="289"/>
      <c r="HP19" s="289"/>
      <c r="HQ19" s="289"/>
      <c r="HR19" s="289"/>
      <c r="HS19" s="289"/>
      <c r="HT19" s="289"/>
      <c r="HU19" s="289"/>
      <c r="HV19" s="289"/>
      <c r="HW19" s="289"/>
      <c r="HX19" s="289"/>
      <c r="HY19" s="289"/>
      <c r="HZ19" s="289"/>
      <c r="IA19" s="289"/>
      <c r="IB19" s="289"/>
      <c r="IC19" s="289"/>
      <c r="ID19" s="289"/>
      <c r="IE19" s="289"/>
      <c r="IF19" s="289"/>
      <c r="IG19" s="289"/>
      <c r="IH19" s="289"/>
      <c r="II19" s="289"/>
      <c r="IJ19" s="289"/>
      <c r="IK19" s="289"/>
      <c r="IL19" s="289"/>
      <c r="IM19" s="289"/>
      <c r="IN19" s="289"/>
      <c r="IO19" s="289"/>
      <c r="IP19" s="289"/>
      <c r="IQ19" s="289"/>
      <c r="IR19" s="289"/>
      <c r="IS19" s="289"/>
      <c r="IT19" s="289"/>
      <c r="IU19" s="289"/>
      <c r="IV19" s="289"/>
      <c r="IW19" s="289"/>
      <c r="IX19" s="289"/>
      <c r="IY19" s="289"/>
      <c r="IZ19" s="289"/>
      <c r="JA19" s="289"/>
      <c r="JB19" s="289"/>
      <c r="JC19" s="289"/>
      <c r="JD19" s="289"/>
      <c r="JE19" s="289"/>
      <c r="JF19" s="289"/>
      <c r="JG19" s="289"/>
      <c r="JH19" s="289"/>
      <c r="JI19" s="289"/>
      <c r="JJ19" s="289"/>
      <c r="JK19" s="289"/>
      <c r="JL19" s="289"/>
      <c r="JM19" s="289"/>
      <c r="JN19" s="289"/>
      <c r="JO19" s="289"/>
      <c r="JP19" s="289"/>
      <c r="JQ19" s="289"/>
      <c r="JR19" s="289"/>
      <c r="JS19" s="289"/>
      <c r="JT19" s="289"/>
      <c r="JU19" s="289"/>
      <c r="JV19" s="289"/>
      <c r="JW19" s="289"/>
      <c r="JX19" s="289"/>
      <c r="JY19" s="289"/>
      <c r="JZ19" s="289"/>
      <c r="KA19" s="289"/>
      <c r="KB19" s="289"/>
      <c r="KC19" s="289"/>
      <c r="KD19" s="289"/>
      <c r="KE19" s="289"/>
      <c r="KF19" s="289"/>
      <c r="KG19" s="289"/>
      <c r="KH19" s="289"/>
      <c r="KI19" s="289"/>
      <c r="KJ19" s="289"/>
      <c r="KK19" s="289"/>
      <c r="KL19" s="289"/>
      <c r="KM19" s="289"/>
      <c r="KN19" s="289"/>
      <c r="KO19" s="289"/>
      <c r="KP19" s="289"/>
      <c r="KQ19" s="289"/>
      <c r="KR19" s="289"/>
      <c r="KS19" s="289"/>
      <c r="KT19" s="289"/>
      <c r="KU19" s="289"/>
      <c r="KV19" s="289"/>
      <c r="KW19" s="289"/>
      <c r="KX19" s="289"/>
      <c r="KY19" s="289"/>
      <c r="KZ19" s="289"/>
      <c r="LA19" s="289"/>
      <c r="LB19" s="289"/>
      <c r="LC19" s="289"/>
      <c r="LD19" s="289"/>
      <c r="LE19" s="289"/>
      <c r="LF19" s="289"/>
      <c r="LG19" s="289"/>
      <c r="LH19" s="289"/>
      <c r="LI19" s="289"/>
      <c r="LJ19" s="289"/>
      <c r="LK19" s="289"/>
      <c r="LL19" s="289"/>
      <c r="LM19" s="289"/>
      <c r="LN19" s="289"/>
      <c r="LO19" s="289"/>
      <c r="LP19" s="289"/>
      <c r="LQ19" s="289"/>
      <c r="LR19" s="289"/>
      <c r="LS19" s="289"/>
      <c r="LT19" s="289"/>
      <c r="LU19" s="289"/>
      <c r="LV19" s="289"/>
      <c r="LW19" s="289"/>
      <c r="LX19" s="289"/>
      <c r="LY19" s="289"/>
      <c r="LZ19" s="289"/>
      <c r="MA19" s="289"/>
      <c r="MB19" s="289"/>
      <c r="MC19" s="289"/>
      <c r="MD19" s="289"/>
      <c r="ME19" s="289"/>
      <c r="MF19" s="289"/>
      <c r="MG19" s="289"/>
      <c r="MH19" s="289"/>
      <c r="MI19" s="289"/>
      <c r="MJ19" s="289"/>
      <c r="MK19" s="289"/>
      <c r="ML19" s="289"/>
      <c r="MM19" s="289"/>
      <c r="MN19" s="289"/>
      <c r="MO19" s="289"/>
      <c r="MP19" s="289"/>
      <c r="MQ19" s="289"/>
      <c r="MR19" s="289"/>
      <c r="MS19" s="289"/>
      <c r="MT19" s="289"/>
      <c r="MU19" s="289"/>
      <c r="MV19" s="289"/>
      <c r="MW19" s="289"/>
      <c r="MX19" s="289"/>
      <c r="MY19" s="289"/>
      <c r="MZ19" s="289"/>
      <c r="NA19" s="289"/>
      <c r="NB19" s="289"/>
      <c r="NC19" s="289"/>
      <c r="ND19" s="289"/>
      <c r="NE19" s="289"/>
      <c r="NF19" s="289"/>
      <c r="NG19" s="289"/>
      <c r="NH19" s="289"/>
      <c r="NI19" s="289"/>
      <c r="NJ19" s="289"/>
      <c r="NK19" s="289"/>
      <c r="NL19" s="289"/>
      <c r="NM19" s="289"/>
      <c r="NN19" s="289"/>
      <c r="NO19" s="289"/>
      <c r="NP19" s="289"/>
      <c r="NQ19" s="289"/>
      <c r="NR19" s="289"/>
      <c r="NS19" s="289"/>
      <c r="NT19" s="289"/>
      <c r="NU19" s="289"/>
      <c r="NV19" s="289"/>
      <c r="NW19" s="289"/>
      <c r="NX19" s="289"/>
      <c r="NY19" s="289"/>
      <c r="NZ19" s="289"/>
      <c r="OA19" s="289"/>
      <c r="OB19" s="289"/>
      <c r="OC19" s="289"/>
      <c r="OD19" s="289"/>
      <c r="OE19" s="289"/>
      <c r="OF19" s="289"/>
      <c r="OG19" s="289"/>
      <c r="OH19" s="289"/>
      <c r="OI19" s="289"/>
      <c r="OJ19" s="289"/>
      <c r="OK19" s="289"/>
      <c r="OL19" s="289"/>
      <c r="OM19" s="289"/>
      <c r="ON19" s="289"/>
      <c r="OO19" s="289"/>
      <c r="OP19" s="289"/>
      <c r="OQ19" s="289"/>
      <c r="OR19" s="289"/>
      <c r="OS19" s="289"/>
      <c r="OT19" s="289"/>
      <c r="OU19" s="289"/>
      <c r="OV19" s="289"/>
      <c r="OW19" s="289"/>
      <c r="OX19" s="289"/>
      <c r="OY19" s="289"/>
      <c r="OZ19" s="289"/>
      <c r="PA19" s="289"/>
      <c r="PB19" s="289"/>
      <c r="PC19" s="289"/>
      <c r="PD19" s="289"/>
      <c r="PE19" s="289"/>
      <c r="PF19" s="289"/>
      <c r="PG19" s="289"/>
      <c r="PH19" s="289"/>
      <c r="PI19" s="289"/>
      <c r="PJ19" s="289"/>
      <c r="PK19" s="289"/>
      <c r="PL19" s="289"/>
      <c r="PM19" s="289"/>
      <c r="PN19" s="289"/>
      <c r="PO19" s="289"/>
      <c r="PP19" s="289"/>
      <c r="PQ19" s="289"/>
      <c r="PR19" s="289"/>
      <c r="PS19" s="289"/>
      <c r="PT19" s="289"/>
      <c r="PU19" s="289"/>
      <c r="PV19" s="289"/>
      <c r="PW19" s="289"/>
      <c r="PX19" s="289"/>
      <c r="PY19" s="289"/>
      <c r="PZ19" s="289"/>
      <c r="QA19" s="289"/>
      <c r="QB19" s="289"/>
      <c r="QC19" s="289"/>
      <c r="QD19" s="289"/>
      <c r="QE19" s="289"/>
      <c r="QF19" s="289"/>
      <c r="QG19" s="289"/>
      <c r="QH19" s="289"/>
      <c r="QI19" s="289"/>
      <c r="QJ19" s="289"/>
      <c r="QK19" s="289"/>
      <c r="QL19" s="289"/>
      <c r="QM19" s="289"/>
      <c r="QN19" s="289"/>
      <c r="QO19" s="289"/>
      <c r="QP19" s="289"/>
      <c r="QQ19" s="289"/>
      <c r="QR19" s="289"/>
      <c r="QS19" s="289"/>
      <c r="QT19" s="289"/>
      <c r="QU19" s="289"/>
      <c r="QV19" s="289"/>
      <c r="QW19" s="289"/>
      <c r="QX19" s="289"/>
      <c r="QY19" s="289"/>
      <c r="QZ19" s="289"/>
      <c r="RA19" s="289"/>
      <c r="RB19" s="289"/>
      <c r="RC19" s="289"/>
      <c r="RD19" s="289"/>
      <c r="RE19" s="289"/>
      <c r="RF19" s="289"/>
      <c r="RG19" s="289"/>
      <c r="RH19" s="289"/>
      <c r="RI19" s="289"/>
      <c r="RJ19" s="289"/>
      <c r="RK19" s="289"/>
      <c r="RL19" s="289"/>
      <c r="RM19" s="289"/>
      <c r="RN19" s="289"/>
      <c r="RO19" s="289"/>
      <c r="RP19" s="289"/>
      <c r="RQ19" s="289"/>
      <c r="RR19" s="289"/>
      <c r="RS19" s="289"/>
      <c r="RT19" s="289"/>
      <c r="RU19" s="289"/>
      <c r="RV19" s="289"/>
      <c r="RW19" s="289"/>
      <c r="RX19" s="289"/>
      <c r="RY19" s="289"/>
      <c r="RZ19" s="289"/>
      <c r="SA19" s="289"/>
      <c r="SB19" s="289"/>
      <c r="SC19" s="289"/>
      <c r="SD19" s="289"/>
      <c r="SE19" s="289"/>
      <c r="SF19" s="289"/>
      <c r="SG19" s="289"/>
      <c r="SH19" s="289"/>
      <c r="SI19" s="289"/>
      <c r="SJ19" s="289"/>
      <c r="SK19" s="289"/>
      <c r="SL19" s="289"/>
      <c r="SM19" s="289"/>
      <c r="SN19" s="289"/>
      <c r="SO19" s="289"/>
      <c r="SP19" s="289"/>
      <c r="SQ19" s="289"/>
      <c r="SR19" s="289"/>
      <c r="SS19" s="289"/>
      <c r="ST19" s="289"/>
      <c r="SU19" s="289"/>
      <c r="SV19" s="289"/>
      <c r="SW19" s="289"/>
      <c r="SX19" s="289"/>
      <c r="SY19" s="289"/>
      <c r="SZ19" s="289"/>
      <c r="TA19" s="289"/>
      <c r="TB19" s="289"/>
      <c r="TC19" s="289"/>
      <c r="TD19" s="289"/>
      <c r="TE19" s="289"/>
      <c r="TF19" s="289"/>
      <c r="TG19" s="289"/>
      <c r="TH19" s="289"/>
      <c r="TI19" s="289"/>
      <c r="TJ19" s="289"/>
      <c r="TK19" s="289"/>
      <c r="TL19" s="289"/>
      <c r="TM19" s="289"/>
      <c r="TN19" s="289"/>
      <c r="TO19" s="289"/>
      <c r="TP19" s="289"/>
      <c r="TQ19" s="289"/>
      <c r="TR19" s="289"/>
      <c r="TS19" s="289"/>
      <c r="TT19" s="289"/>
      <c r="TU19" s="289"/>
      <c r="TV19" s="289"/>
      <c r="TW19" s="289"/>
      <c r="TX19" s="289"/>
      <c r="TY19" s="289"/>
      <c r="TZ19" s="289"/>
      <c r="UA19" s="289"/>
      <c r="UB19" s="289"/>
      <c r="UC19" s="289"/>
      <c r="UD19" s="289"/>
      <c r="UE19" s="289"/>
      <c r="UF19" s="289"/>
      <c r="UG19" s="289"/>
      <c r="UH19" s="289"/>
      <c r="UI19" s="289"/>
      <c r="UJ19" s="289"/>
      <c r="UK19" s="289"/>
      <c r="UL19" s="289"/>
      <c r="UM19" s="289"/>
      <c r="UN19" s="289"/>
      <c r="UO19" s="289"/>
      <c r="UP19" s="289"/>
      <c r="UQ19" s="289"/>
      <c r="UR19" s="289"/>
      <c r="US19" s="289"/>
      <c r="UT19" s="289"/>
      <c r="UU19" s="289"/>
      <c r="UV19" s="289"/>
      <c r="UW19" s="289"/>
      <c r="UX19" s="289"/>
      <c r="UY19" s="289"/>
      <c r="UZ19" s="289"/>
      <c r="VA19" s="289"/>
      <c r="VB19" s="289"/>
      <c r="VC19" s="289"/>
      <c r="VD19" s="289"/>
      <c r="VE19" s="289"/>
      <c r="VF19" s="289"/>
      <c r="VG19" s="289"/>
      <c r="VH19" s="289"/>
      <c r="VI19" s="289"/>
      <c r="VJ19" s="289"/>
      <c r="VK19" s="289"/>
      <c r="VL19" s="289"/>
      <c r="VM19" s="289"/>
      <c r="VN19" s="289"/>
      <c r="VO19" s="289"/>
      <c r="VP19" s="289"/>
      <c r="VQ19" s="289"/>
      <c r="VR19" s="289"/>
      <c r="VS19" s="289"/>
      <c r="VT19" s="289"/>
      <c r="VU19" s="289"/>
      <c r="VV19" s="289"/>
      <c r="VW19" s="289"/>
      <c r="VX19" s="289"/>
      <c r="VY19" s="289"/>
      <c r="VZ19" s="289"/>
      <c r="WA19" s="289"/>
      <c r="WB19" s="289"/>
      <c r="WC19" s="289"/>
      <c r="WD19" s="289"/>
      <c r="WE19" s="289"/>
      <c r="WF19" s="289"/>
      <c r="WG19" s="289"/>
      <c r="WH19" s="289"/>
      <c r="WI19" s="289"/>
      <c r="WJ19" s="289"/>
      <c r="WK19" s="289"/>
      <c r="WL19" s="289"/>
      <c r="WM19" s="289"/>
      <c r="WN19" s="289"/>
      <c r="WO19" s="289"/>
      <c r="WP19" s="289"/>
      <c r="WQ19" s="289"/>
      <c r="WR19" s="289"/>
      <c r="WS19" s="289"/>
      <c r="WT19" s="289"/>
      <c r="WU19" s="289"/>
      <c r="WV19" s="289"/>
      <c r="WW19" s="289"/>
      <c r="WX19" s="289"/>
      <c r="WY19" s="289"/>
      <c r="WZ19" s="289"/>
      <c r="XA19" s="289"/>
      <c r="XB19" s="289"/>
      <c r="XC19" s="289"/>
      <c r="XD19" s="289"/>
      <c r="XE19" s="289"/>
      <c r="XF19" s="289"/>
      <c r="XG19" s="289"/>
      <c r="XH19" s="289"/>
      <c r="XI19" s="289"/>
      <c r="XJ19" s="289"/>
      <c r="XK19" s="289"/>
      <c r="XL19" s="289"/>
      <c r="XM19" s="289"/>
      <c r="XN19" s="289"/>
      <c r="XO19" s="289"/>
      <c r="XP19" s="289"/>
      <c r="XQ19" s="289"/>
      <c r="XR19" s="289"/>
      <c r="XS19" s="289"/>
      <c r="XT19" s="289"/>
      <c r="XU19" s="289"/>
      <c r="XV19" s="289"/>
      <c r="XW19" s="289"/>
      <c r="XX19" s="289"/>
      <c r="XY19" s="289"/>
      <c r="XZ19" s="289"/>
      <c r="YA19" s="289"/>
      <c r="YB19" s="289"/>
      <c r="YC19" s="289"/>
      <c r="YD19" s="289"/>
      <c r="YE19" s="289"/>
      <c r="YF19" s="289"/>
      <c r="YG19" s="289"/>
      <c r="YH19" s="289"/>
      <c r="YI19" s="289"/>
      <c r="YJ19" s="289"/>
      <c r="YK19" s="289"/>
      <c r="YL19" s="289"/>
      <c r="YM19" s="289"/>
      <c r="YN19" s="289"/>
      <c r="YO19" s="289"/>
      <c r="YP19" s="289"/>
      <c r="YQ19" s="289"/>
      <c r="YR19" s="289"/>
      <c r="YS19" s="289"/>
      <c r="YT19" s="289"/>
      <c r="YU19" s="289"/>
      <c r="YV19" s="289"/>
      <c r="YW19" s="289"/>
      <c r="YX19" s="289"/>
      <c r="YY19" s="289"/>
      <c r="YZ19" s="289"/>
      <c r="ZA19" s="289"/>
      <c r="ZB19" s="289"/>
      <c r="ZC19" s="289"/>
      <c r="ZD19" s="289"/>
      <c r="ZE19" s="289"/>
      <c r="ZF19" s="289"/>
      <c r="ZG19" s="289"/>
      <c r="ZH19" s="289"/>
      <c r="ZI19" s="289"/>
      <c r="ZJ19" s="289"/>
      <c r="ZK19" s="289"/>
      <c r="ZL19" s="289"/>
      <c r="ZM19" s="289"/>
      <c r="ZN19" s="289"/>
      <c r="ZO19" s="289"/>
      <c r="ZP19" s="289"/>
      <c r="ZQ19" s="289"/>
      <c r="ZR19" s="289"/>
      <c r="ZS19" s="289"/>
      <c r="ZT19" s="289"/>
      <c r="ZU19" s="289"/>
      <c r="ZV19" s="289"/>
      <c r="ZW19" s="289"/>
      <c r="ZX19" s="289"/>
      <c r="ZY19" s="289"/>
      <c r="ZZ19" s="289"/>
      <c r="AAA19" s="289"/>
      <c r="AAB19" s="289"/>
      <c r="AAC19" s="289"/>
      <c r="AAD19" s="289"/>
      <c r="AAE19" s="289"/>
      <c r="AAF19" s="289"/>
      <c r="AAG19" s="289"/>
      <c r="AAH19" s="289"/>
      <c r="AAI19" s="289"/>
      <c r="AAJ19" s="289"/>
      <c r="AAK19" s="289"/>
      <c r="AAL19" s="289"/>
      <c r="AAM19" s="289"/>
      <c r="AAN19" s="289"/>
      <c r="AAO19" s="289"/>
      <c r="AAP19" s="289"/>
      <c r="AAQ19" s="289"/>
      <c r="AAR19" s="289"/>
      <c r="AAS19" s="289"/>
      <c r="AAT19" s="289"/>
      <c r="AAU19" s="289"/>
      <c r="AAV19" s="289"/>
      <c r="AAW19" s="289"/>
      <c r="AAX19" s="289"/>
      <c r="AAY19" s="289"/>
      <c r="AAZ19" s="289"/>
      <c r="ABA19" s="289"/>
      <c r="ABB19" s="289"/>
      <c r="ABC19" s="289"/>
      <c r="ABD19" s="289"/>
      <c r="ABE19" s="289"/>
      <c r="ABF19" s="289"/>
      <c r="ABG19" s="289"/>
      <c r="ABH19" s="289"/>
      <c r="ABI19" s="289"/>
      <c r="ABJ19" s="289"/>
      <c r="ABK19" s="289"/>
      <c r="ABL19" s="289"/>
      <c r="ABM19" s="289"/>
      <c r="ABN19" s="289"/>
      <c r="ABO19" s="289"/>
      <c r="ABP19" s="289"/>
      <c r="ABQ19" s="289"/>
      <c r="ABR19" s="289"/>
      <c r="ABS19" s="289"/>
      <c r="ABT19" s="289"/>
      <c r="ABU19" s="289"/>
      <c r="ABV19" s="289"/>
      <c r="ABW19" s="289"/>
      <c r="ABX19" s="289"/>
      <c r="ABY19" s="289"/>
      <c r="ABZ19" s="289"/>
      <c r="ACA19" s="289"/>
      <c r="ACB19" s="289"/>
      <c r="ACC19" s="289"/>
      <c r="ACD19" s="289"/>
      <c r="ACE19" s="289"/>
      <c r="ACF19" s="289"/>
      <c r="ACG19" s="289"/>
      <c r="ACH19" s="289"/>
      <c r="ACI19" s="289"/>
      <c r="ACJ19" s="289"/>
      <c r="ACK19" s="289"/>
      <c r="ACL19" s="289"/>
      <c r="ACM19" s="289"/>
      <c r="ACN19" s="289"/>
      <c r="ACO19" s="289"/>
      <c r="ACP19" s="289"/>
      <c r="ACQ19" s="289"/>
      <c r="ACR19" s="289"/>
      <c r="ACS19" s="289"/>
      <c r="ACT19" s="289"/>
      <c r="ACU19" s="289"/>
      <c r="ACV19" s="289"/>
      <c r="ACW19" s="289"/>
      <c r="ACX19" s="289"/>
      <c r="ACY19" s="289"/>
      <c r="ACZ19" s="289"/>
      <c r="ADA19" s="289"/>
      <c r="ADB19" s="289"/>
      <c r="ADC19" s="289"/>
      <c r="ADD19" s="289"/>
      <c r="ADE19" s="289"/>
      <c r="ADF19" s="289"/>
      <c r="ADG19" s="289"/>
      <c r="ADH19" s="289"/>
      <c r="ADI19" s="289"/>
      <c r="ADJ19" s="289"/>
      <c r="ADK19" s="289"/>
      <c r="ADL19" s="289"/>
      <c r="ADM19" s="289"/>
      <c r="ADN19" s="289"/>
      <c r="ADO19" s="289"/>
      <c r="ADP19" s="289"/>
      <c r="ADQ19" s="289"/>
      <c r="ADR19" s="289"/>
      <c r="ADS19" s="289"/>
      <c r="ADT19" s="289"/>
      <c r="ADU19" s="289"/>
      <c r="ADV19" s="289"/>
      <c r="ADW19" s="289"/>
      <c r="ADX19" s="289"/>
      <c r="ADY19" s="289"/>
      <c r="ADZ19" s="289"/>
      <c r="AEA19" s="289"/>
      <c r="AEB19" s="289"/>
      <c r="AEC19" s="289"/>
      <c r="AED19" s="289"/>
      <c r="AEE19" s="289"/>
      <c r="AEF19" s="289"/>
      <c r="AEG19" s="289"/>
      <c r="AEH19" s="289"/>
      <c r="AEI19" s="289"/>
      <c r="AEJ19" s="289"/>
      <c r="AEK19" s="289"/>
      <c r="AEL19" s="289"/>
      <c r="AEM19" s="289"/>
      <c r="AEN19" s="289"/>
      <c r="AEO19" s="289"/>
      <c r="AEP19" s="289"/>
      <c r="AEQ19" s="289"/>
      <c r="AER19" s="289"/>
      <c r="AES19" s="289"/>
      <c r="AET19" s="289"/>
      <c r="AEU19" s="289"/>
      <c r="AEV19" s="289"/>
      <c r="AEW19" s="289"/>
      <c r="AEX19" s="289"/>
      <c r="AEY19" s="289"/>
      <c r="AEZ19" s="289"/>
      <c r="AFA19" s="289"/>
      <c r="AFB19" s="289"/>
      <c r="AFC19" s="289"/>
      <c r="AFD19" s="289"/>
      <c r="AFE19" s="289"/>
      <c r="AFF19" s="289"/>
      <c r="AFG19" s="289"/>
      <c r="AFH19" s="289"/>
      <c r="AFI19" s="289"/>
      <c r="AFJ19" s="289"/>
      <c r="AFK19" s="289"/>
      <c r="AFL19" s="289"/>
      <c r="AFM19" s="289"/>
      <c r="AFN19" s="289"/>
      <c r="AFO19" s="289"/>
      <c r="AFP19" s="289"/>
      <c r="AFQ19" s="289"/>
      <c r="AFR19" s="289"/>
      <c r="AFS19" s="289"/>
      <c r="AFT19" s="289"/>
      <c r="AFU19" s="289"/>
      <c r="AFV19" s="289"/>
      <c r="AFW19" s="289"/>
      <c r="AFX19" s="289"/>
      <c r="AFY19" s="289"/>
      <c r="AFZ19" s="289"/>
      <c r="AGA19" s="289"/>
      <c r="AGB19" s="289"/>
      <c r="AGC19" s="289"/>
      <c r="AGD19" s="289"/>
      <c r="AGE19" s="289"/>
      <c r="AGF19" s="289"/>
      <c r="AGG19" s="289"/>
      <c r="AGH19" s="289"/>
      <c r="AGI19" s="289"/>
      <c r="AGJ19" s="289"/>
      <c r="AGK19" s="289"/>
      <c r="AGL19" s="289"/>
      <c r="AGM19" s="289"/>
      <c r="AGN19" s="289"/>
      <c r="AGO19" s="289"/>
      <c r="AGP19" s="289"/>
      <c r="AGQ19" s="289"/>
      <c r="AGR19" s="289"/>
      <c r="AGS19" s="289"/>
      <c r="AGT19" s="289"/>
      <c r="AGU19" s="289"/>
      <c r="AGV19" s="289"/>
      <c r="AGW19" s="289"/>
      <c r="AGX19" s="289"/>
      <c r="AGY19" s="289"/>
      <c r="AGZ19" s="289"/>
      <c r="AHA19" s="289"/>
      <c r="AHB19" s="289"/>
      <c r="AHC19" s="289"/>
      <c r="AHD19" s="289"/>
      <c r="AHE19" s="289"/>
      <c r="AHF19" s="289"/>
      <c r="AHG19" s="289"/>
      <c r="AHH19" s="289"/>
      <c r="AHI19" s="289"/>
      <c r="AHJ19" s="289"/>
      <c r="AHK19" s="289"/>
      <c r="AHL19" s="289"/>
      <c r="AHM19" s="289"/>
      <c r="AHN19" s="289"/>
      <c r="AHO19" s="289"/>
      <c r="AHP19" s="289"/>
      <c r="AHQ19" s="289"/>
      <c r="AHR19" s="289"/>
      <c r="AHS19" s="289"/>
      <c r="AHT19" s="289"/>
      <c r="AHU19" s="289"/>
      <c r="AHV19" s="289"/>
      <c r="AHW19" s="289"/>
      <c r="AHX19" s="289"/>
      <c r="AHY19" s="289"/>
      <c r="AHZ19" s="289"/>
      <c r="AIA19" s="289"/>
      <c r="AIB19" s="289"/>
      <c r="AIC19" s="289"/>
      <c r="AID19" s="289"/>
      <c r="AIE19" s="289"/>
      <c r="AIF19" s="289"/>
      <c r="AIG19" s="289"/>
      <c r="AIH19" s="289"/>
      <c r="AII19" s="289"/>
      <c r="AIJ19" s="289"/>
      <c r="AIK19" s="289"/>
      <c r="AIL19" s="289"/>
      <c r="AIM19" s="289"/>
      <c r="AIN19" s="289"/>
      <c r="AIO19" s="289"/>
      <c r="AIP19" s="289"/>
      <c r="AIQ19" s="289"/>
      <c r="AIR19" s="289"/>
      <c r="AIS19" s="289"/>
      <c r="AIT19" s="289"/>
      <c r="AIU19" s="289"/>
      <c r="AIV19" s="289"/>
      <c r="AIW19" s="289"/>
      <c r="AIX19" s="289"/>
      <c r="AIY19" s="289"/>
      <c r="AIZ19" s="289"/>
      <c r="AJA19" s="289"/>
      <c r="AJB19" s="289"/>
      <c r="AJC19" s="289"/>
      <c r="AJD19" s="289"/>
      <c r="AJE19" s="289"/>
      <c r="AJF19" s="289"/>
      <c r="AJG19" s="289"/>
      <c r="AJH19" s="289"/>
      <c r="AJI19" s="289"/>
      <c r="AJJ19" s="289"/>
      <c r="AJK19" s="289"/>
      <c r="AJL19" s="289"/>
      <c r="AJM19" s="289"/>
      <c r="AJN19" s="289"/>
      <c r="AJO19" s="289"/>
      <c r="AJP19" s="289"/>
      <c r="AJQ19" s="289"/>
      <c r="AJR19" s="289"/>
      <c r="AJS19" s="289"/>
      <c r="AJT19" s="289"/>
      <c r="AJU19" s="289"/>
      <c r="AJV19" s="289"/>
      <c r="AJW19" s="289"/>
      <c r="AJX19" s="289"/>
      <c r="AJY19" s="289"/>
      <c r="AJZ19" s="289"/>
      <c r="AKA19" s="289"/>
      <c r="AKB19" s="289"/>
      <c r="AKC19" s="289"/>
      <c r="AKD19" s="289"/>
      <c r="AKE19" s="289"/>
      <c r="AKF19" s="289"/>
      <c r="AKG19" s="289"/>
      <c r="AKH19" s="289"/>
      <c r="AKI19" s="289"/>
      <c r="AKJ19" s="289"/>
      <c r="AKK19" s="289"/>
      <c r="AKL19" s="289"/>
      <c r="AKM19" s="289"/>
      <c r="AKN19" s="289"/>
      <c r="AKO19" s="289"/>
      <c r="AKP19" s="289"/>
      <c r="AKQ19" s="289"/>
      <c r="AKR19" s="289"/>
      <c r="AKS19" s="289"/>
      <c r="AKT19" s="289"/>
      <c r="AKU19" s="289"/>
      <c r="AKV19" s="289"/>
      <c r="AKW19" s="289"/>
      <c r="AKX19" s="289"/>
      <c r="AKY19" s="289"/>
      <c r="AKZ19" s="289"/>
      <c r="ALA19" s="289"/>
      <c r="ALB19" s="289"/>
      <c r="ALC19" s="289"/>
      <c r="ALD19" s="289"/>
      <c r="ALE19" s="289"/>
      <c r="ALF19" s="289"/>
      <c r="ALG19" s="289"/>
      <c r="ALH19" s="289"/>
      <c r="ALI19" s="289"/>
      <c r="ALJ19" s="289"/>
      <c r="ALK19" s="289"/>
      <c r="ALL19" s="289"/>
      <c r="ALM19" s="289"/>
      <c r="ALN19" s="289"/>
      <c r="ALO19" s="289"/>
      <c r="ALP19" s="289"/>
      <c r="ALQ19" s="289"/>
      <c r="ALR19" s="289"/>
      <c r="ALS19" s="289"/>
      <c r="ALT19" s="289"/>
      <c r="ALU19" s="289"/>
      <c r="ALV19" s="289"/>
      <c r="ALW19" s="289"/>
      <c r="ALX19" s="289"/>
      <c r="ALY19" s="289"/>
      <c r="ALZ19" s="289"/>
      <c r="AMA19" s="289"/>
      <c r="AMB19" s="289"/>
      <c r="AMC19" s="289"/>
      <c r="AMD19" s="289"/>
      <c r="AME19" s="289"/>
      <c r="AMF19" s="289"/>
      <c r="AMG19" s="289"/>
      <c r="AMH19" s="289"/>
      <c r="AMI19" s="289"/>
      <c r="AMJ19" s="289"/>
      <c r="AMK19" s="289"/>
      <c r="AML19" s="289"/>
      <c r="AMM19" s="289"/>
      <c r="AMN19" s="289"/>
      <c r="AMO19" s="289"/>
      <c r="AMP19" s="289"/>
      <c r="AMQ19" s="289"/>
      <c r="AMR19" s="289"/>
      <c r="AMS19" s="289"/>
      <c r="AMT19" s="289"/>
      <c r="AMU19" s="289"/>
      <c r="AMV19" s="289"/>
      <c r="AMW19" s="289"/>
      <c r="AMX19" s="289"/>
      <c r="AMY19" s="289"/>
      <c r="AMZ19" s="289"/>
      <c r="ANA19" s="289"/>
      <c r="ANB19" s="289"/>
      <c r="ANC19" s="289"/>
      <c r="AND19" s="289"/>
      <c r="ANE19" s="289"/>
      <c r="ANF19" s="289"/>
      <c r="ANG19" s="289"/>
      <c r="ANH19" s="289"/>
      <c r="ANI19" s="289"/>
      <c r="ANJ19" s="289"/>
      <c r="ANK19" s="289"/>
      <c r="ANL19" s="289"/>
      <c r="ANM19" s="289"/>
      <c r="ANN19" s="289"/>
      <c r="ANO19" s="289"/>
      <c r="ANP19" s="289"/>
      <c r="ANQ19" s="289"/>
      <c r="ANR19" s="289"/>
      <c r="ANS19" s="289"/>
      <c r="ANT19" s="289"/>
      <c r="ANU19" s="289"/>
      <c r="ANV19" s="289"/>
      <c r="ANW19" s="289"/>
      <c r="ANX19" s="289"/>
      <c r="ANY19" s="289"/>
      <c r="ANZ19" s="289"/>
      <c r="AOA19" s="289"/>
      <c r="AOB19" s="289"/>
      <c r="AOC19" s="289"/>
      <c r="AOD19" s="289"/>
      <c r="AOE19" s="289"/>
      <c r="AOF19" s="289"/>
      <c r="AOG19" s="289"/>
      <c r="AOH19" s="289"/>
      <c r="AOI19" s="289"/>
      <c r="AOJ19" s="289"/>
      <c r="AOK19" s="289"/>
      <c r="AOL19" s="289"/>
      <c r="AOM19" s="289"/>
      <c r="AON19" s="289"/>
      <c r="AOO19" s="289"/>
      <c r="AOP19" s="289"/>
      <c r="AOQ19" s="289"/>
      <c r="AOR19" s="289"/>
      <c r="AOS19" s="289"/>
      <c r="AOT19" s="289"/>
      <c r="AOU19" s="289"/>
      <c r="AOV19" s="289"/>
      <c r="AOW19" s="289"/>
      <c r="AOX19" s="289"/>
      <c r="AOY19" s="289"/>
      <c r="AOZ19" s="289"/>
      <c r="APA19" s="289"/>
      <c r="APB19" s="289"/>
      <c r="APC19" s="289"/>
      <c r="APD19" s="289"/>
      <c r="APE19" s="289"/>
      <c r="APF19" s="289"/>
      <c r="APG19" s="289"/>
      <c r="APH19" s="289"/>
      <c r="API19" s="289"/>
      <c r="APJ19" s="289"/>
      <c r="APK19" s="289"/>
      <c r="APL19" s="289"/>
      <c r="APM19" s="289"/>
      <c r="APN19" s="289"/>
      <c r="APO19" s="289"/>
      <c r="APP19" s="289"/>
      <c r="APQ19" s="289"/>
      <c r="APR19" s="289"/>
      <c r="APS19" s="289"/>
      <c r="APT19" s="289"/>
      <c r="APU19" s="289"/>
      <c r="APV19" s="289"/>
      <c r="APW19" s="289"/>
      <c r="APX19" s="289"/>
      <c r="APY19" s="289"/>
      <c r="APZ19" s="289"/>
      <c r="AQA19" s="289"/>
      <c r="AQB19" s="289"/>
      <c r="AQC19" s="289"/>
      <c r="AQD19" s="289"/>
      <c r="AQE19" s="289"/>
      <c r="AQF19" s="289"/>
      <c r="AQG19" s="289"/>
      <c r="AQH19" s="289"/>
      <c r="AQI19" s="289"/>
      <c r="AQJ19" s="289"/>
      <c r="AQK19" s="289"/>
      <c r="AQL19" s="289"/>
      <c r="AQM19" s="289"/>
      <c r="AQN19" s="289"/>
      <c r="AQO19" s="289"/>
      <c r="AQP19" s="289"/>
      <c r="AQQ19" s="289"/>
      <c r="AQR19" s="289"/>
      <c r="AQS19" s="289"/>
      <c r="AQT19" s="289"/>
      <c r="AQU19" s="289"/>
      <c r="AQV19" s="289"/>
      <c r="AQW19" s="289"/>
      <c r="AQX19" s="289"/>
      <c r="AQY19" s="289"/>
      <c r="AQZ19" s="289"/>
      <c r="ARA19" s="289"/>
      <c r="ARB19" s="289"/>
      <c r="ARC19" s="289"/>
      <c r="ARD19" s="289"/>
      <c r="ARE19" s="289"/>
      <c r="ARF19" s="289"/>
      <c r="ARG19" s="289"/>
      <c r="ARH19" s="289"/>
      <c r="ARI19" s="289"/>
      <c r="ARJ19" s="289"/>
      <c r="ARK19" s="289"/>
      <c r="ARL19" s="289"/>
      <c r="ARM19" s="289"/>
      <c r="ARN19" s="289"/>
      <c r="ARO19" s="289"/>
      <c r="ARP19" s="289"/>
      <c r="ARQ19" s="289"/>
      <c r="ARR19" s="289"/>
      <c r="ARS19" s="289"/>
      <c r="ART19" s="289"/>
      <c r="ARU19" s="289"/>
      <c r="ARV19" s="289"/>
      <c r="ARW19" s="289"/>
      <c r="ARX19" s="289"/>
      <c r="ARY19" s="289"/>
      <c r="ARZ19" s="289"/>
      <c r="ASA19" s="289"/>
      <c r="ASB19" s="289"/>
      <c r="ASC19" s="289"/>
      <c r="ASD19" s="289"/>
      <c r="ASE19" s="289"/>
      <c r="ASF19" s="289"/>
      <c r="ASG19" s="289"/>
      <c r="ASH19" s="289"/>
      <c r="ASI19" s="289"/>
      <c r="ASJ19" s="289"/>
      <c r="ASK19" s="289"/>
      <c r="ASL19" s="289"/>
      <c r="ASM19" s="289"/>
      <c r="ASN19" s="289"/>
      <c r="ASO19" s="289"/>
      <c r="ASP19" s="289"/>
      <c r="ASQ19" s="289"/>
      <c r="ASR19" s="289"/>
      <c r="ASS19" s="289"/>
      <c r="AST19" s="289"/>
      <c r="ASU19" s="289"/>
      <c r="ASV19" s="289"/>
      <c r="ASW19" s="289"/>
      <c r="ASX19" s="289"/>
      <c r="ASY19" s="289"/>
      <c r="ASZ19" s="289"/>
      <c r="ATA19" s="289"/>
      <c r="ATB19" s="289"/>
      <c r="ATC19" s="289"/>
      <c r="ATD19" s="289"/>
      <c r="ATE19" s="289"/>
      <c r="ATF19" s="289"/>
      <c r="ATG19" s="289"/>
      <c r="ATH19" s="289"/>
      <c r="ATI19" s="289"/>
      <c r="ATJ19" s="289"/>
      <c r="ATK19" s="289"/>
      <c r="ATL19" s="289"/>
      <c r="ATM19" s="289"/>
      <c r="ATN19" s="289"/>
      <c r="ATO19" s="289"/>
      <c r="ATP19" s="289"/>
      <c r="ATQ19" s="289"/>
      <c r="ATR19" s="289"/>
      <c r="ATS19" s="289"/>
      <c r="ATT19" s="289"/>
      <c r="ATU19" s="289"/>
      <c r="ATV19" s="289"/>
      <c r="ATW19" s="289"/>
      <c r="ATX19" s="289"/>
      <c r="ATY19" s="289"/>
      <c r="ATZ19" s="289"/>
      <c r="AUA19" s="289"/>
      <c r="AUB19" s="289"/>
      <c r="AUC19" s="289"/>
      <c r="AUD19" s="289"/>
      <c r="AUE19" s="289"/>
      <c r="AUF19" s="289"/>
      <c r="AUG19" s="289"/>
      <c r="AUH19" s="289"/>
      <c r="AUI19" s="289"/>
      <c r="AUJ19" s="289"/>
      <c r="AUK19" s="289"/>
      <c r="AUL19" s="289"/>
      <c r="AUM19" s="289"/>
      <c r="AUN19" s="289"/>
      <c r="AUO19" s="289"/>
      <c r="AUP19" s="289"/>
      <c r="AUQ19" s="289"/>
      <c r="AUR19" s="289"/>
      <c r="AUS19" s="289"/>
      <c r="AUT19" s="289"/>
      <c r="AUU19" s="289"/>
      <c r="AUV19" s="289"/>
      <c r="AUW19" s="289"/>
      <c r="AUX19" s="289"/>
      <c r="AUY19" s="289"/>
      <c r="AUZ19" s="289"/>
      <c r="AVA19" s="289"/>
      <c r="AVB19" s="289"/>
      <c r="AVC19" s="289"/>
      <c r="AVD19" s="289"/>
      <c r="AVE19" s="289"/>
      <c r="AVF19" s="289"/>
      <c r="AVG19" s="289"/>
      <c r="AVH19" s="289"/>
      <c r="AVI19" s="289"/>
      <c r="AVJ19" s="289"/>
      <c r="AVK19" s="289"/>
      <c r="AVL19" s="289"/>
      <c r="AVM19" s="289"/>
      <c r="AVN19" s="289"/>
      <c r="AVO19" s="289"/>
      <c r="AVP19" s="289"/>
      <c r="AVQ19" s="289"/>
      <c r="AVR19" s="289"/>
      <c r="AVS19" s="289"/>
      <c r="AVT19" s="289"/>
      <c r="AVU19" s="289"/>
      <c r="AVV19" s="289"/>
      <c r="AVW19" s="289"/>
      <c r="AVX19" s="289"/>
      <c r="AVY19" s="289"/>
      <c r="AVZ19" s="289"/>
      <c r="AWA19" s="289"/>
      <c r="AWB19" s="289"/>
      <c r="AWC19" s="289"/>
      <c r="AWD19" s="289"/>
      <c r="AWE19" s="289"/>
      <c r="AWF19" s="289"/>
      <c r="AWG19" s="289"/>
      <c r="AWH19" s="289"/>
      <c r="AWI19" s="289"/>
      <c r="AWJ19" s="289"/>
      <c r="AWK19" s="289"/>
      <c r="AWL19" s="289"/>
      <c r="AWM19" s="289"/>
      <c r="AWN19" s="289"/>
      <c r="AWO19" s="289"/>
      <c r="AWP19" s="289"/>
      <c r="AWQ19" s="289"/>
      <c r="AWR19" s="289"/>
      <c r="AWS19" s="289"/>
      <c r="AWT19" s="289"/>
      <c r="AWU19" s="289"/>
      <c r="AWV19" s="289"/>
      <c r="AWW19" s="289"/>
      <c r="AWX19" s="289"/>
      <c r="AWY19" s="289"/>
      <c r="AWZ19" s="289"/>
      <c r="AXA19" s="289"/>
      <c r="AXB19" s="289"/>
      <c r="AXC19" s="289"/>
      <c r="AXD19" s="289"/>
      <c r="AXE19" s="289"/>
      <c r="AXF19" s="289"/>
      <c r="AXG19" s="289"/>
      <c r="AXH19" s="289"/>
      <c r="AXI19" s="289"/>
      <c r="AXJ19" s="289"/>
      <c r="AXK19" s="289"/>
      <c r="AXL19" s="289"/>
      <c r="AXM19" s="289"/>
      <c r="AXN19" s="289"/>
      <c r="AXO19" s="289"/>
      <c r="AXP19" s="289"/>
      <c r="AXQ19" s="289"/>
      <c r="AXR19" s="289"/>
      <c r="AXS19" s="289"/>
      <c r="AXT19" s="289"/>
      <c r="AXU19" s="289"/>
      <c r="AXV19" s="289"/>
      <c r="AXW19" s="289"/>
      <c r="AXX19" s="289"/>
      <c r="AXY19" s="289"/>
      <c r="AXZ19" s="289"/>
      <c r="AYA19" s="289"/>
      <c r="AYB19" s="289"/>
      <c r="AYC19" s="289"/>
      <c r="AYD19" s="289"/>
      <c r="AYE19" s="289"/>
      <c r="AYF19" s="289"/>
      <c r="AYG19" s="289"/>
      <c r="AYH19" s="289"/>
      <c r="AYI19" s="289"/>
      <c r="AYJ19" s="289"/>
      <c r="AYK19" s="289"/>
      <c r="AYL19" s="289"/>
      <c r="AYM19" s="289"/>
      <c r="AYN19" s="289"/>
      <c r="AYO19" s="289"/>
      <c r="AYP19" s="289"/>
      <c r="AYQ19" s="289"/>
      <c r="AYR19" s="289"/>
      <c r="AYS19" s="289"/>
      <c r="AYT19" s="289"/>
      <c r="AYU19" s="289"/>
      <c r="AYV19" s="289"/>
      <c r="AYW19" s="289"/>
      <c r="AYX19" s="289"/>
      <c r="AYY19" s="289"/>
      <c r="AYZ19" s="289"/>
      <c r="AZA19" s="289"/>
      <c r="AZB19" s="289"/>
      <c r="AZC19" s="289"/>
      <c r="AZD19" s="289"/>
      <c r="AZE19" s="289"/>
      <c r="AZF19" s="289"/>
      <c r="AZG19" s="289"/>
      <c r="AZH19" s="289"/>
      <c r="AZI19" s="289"/>
      <c r="AZJ19" s="289"/>
      <c r="AZK19" s="289"/>
      <c r="AZL19" s="289"/>
      <c r="AZM19" s="289"/>
      <c r="AZN19" s="289"/>
      <c r="AZO19" s="289"/>
      <c r="AZP19" s="289"/>
      <c r="AZQ19" s="289"/>
      <c r="AZR19" s="289"/>
      <c r="AZS19" s="289"/>
      <c r="AZT19" s="289"/>
      <c r="AZU19" s="289"/>
      <c r="AZV19" s="289"/>
      <c r="AZW19" s="289"/>
      <c r="AZX19" s="289"/>
      <c r="AZY19" s="289"/>
      <c r="AZZ19" s="289"/>
      <c r="BAA19" s="289"/>
      <c r="BAB19" s="289"/>
      <c r="BAC19" s="289"/>
      <c r="BAD19" s="289"/>
      <c r="BAE19" s="289"/>
      <c r="BAF19" s="289"/>
      <c r="BAG19" s="289"/>
      <c r="BAH19" s="289"/>
      <c r="BAI19" s="289"/>
      <c r="BAJ19" s="289"/>
      <c r="BAK19" s="289"/>
      <c r="BAL19" s="289"/>
      <c r="BAM19" s="289"/>
      <c r="BAN19" s="289"/>
      <c r="BAO19" s="289"/>
      <c r="BAP19" s="289"/>
      <c r="BAQ19" s="289"/>
      <c r="BAR19" s="289"/>
      <c r="BAS19" s="289"/>
      <c r="BAT19" s="289"/>
      <c r="BAU19" s="289"/>
      <c r="BAV19" s="289"/>
      <c r="BAW19" s="289"/>
      <c r="BAX19" s="289"/>
      <c r="BAY19" s="289"/>
      <c r="BAZ19" s="289"/>
      <c r="BBA19" s="289"/>
      <c r="BBB19" s="289"/>
      <c r="BBC19" s="289"/>
      <c r="BBD19" s="289"/>
      <c r="BBE19" s="289"/>
      <c r="BBF19" s="289"/>
      <c r="BBG19" s="289"/>
      <c r="BBH19" s="289"/>
      <c r="BBI19" s="289"/>
      <c r="BBJ19" s="289"/>
      <c r="BBK19" s="289"/>
      <c r="BBL19" s="289"/>
      <c r="BBM19" s="289"/>
      <c r="BBN19" s="289"/>
      <c r="BBO19" s="289"/>
      <c r="BBP19" s="289"/>
      <c r="BBQ19" s="289"/>
      <c r="BBR19" s="289"/>
      <c r="BBS19" s="289"/>
      <c r="BBT19" s="289"/>
      <c r="BBU19" s="289"/>
      <c r="BBV19" s="289"/>
      <c r="BBW19" s="289"/>
      <c r="BBX19" s="289"/>
      <c r="BBY19" s="289"/>
      <c r="BBZ19" s="289"/>
      <c r="BCA19" s="289"/>
      <c r="BCB19" s="289"/>
      <c r="BCC19" s="289"/>
      <c r="BCD19" s="289"/>
      <c r="BCE19" s="289"/>
      <c r="BCF19" s="289"/>
      <c r="BCG19" s="289"/>
      <c r="BCH19" s="289"/>
      <c r="BCI19" s="289"/>
      <c r="BCJ19" s="289"/>
      <c r="BCK19" s="289"/>
      <c r="BCL19" s="289"/>
      <c r="BCM19" s="289"/>
      <c r="BCN19" s="289"/>
      <c r="BCO19" s="289"/>
      <c r="BCP19" s="289"/>
      <c r="BCQ19" s="289"/>
      <c r="BCR19" s="289"/>
      <c r="BCS19" s="289"/>
      <c r="BCT19" s="289"/>
      <c r="BCU19" s="289"/>
      <c r="BCV19" s="289"/>
      <c r="BCW19" s="289"/>
      <c r="BCX19" s="289"/>
      <c r="BCY19" s="289"/>
      <c r="BCZ19" s="289"/>
      <c r="BDA19" s="289"/>
      <c r="BDB19" s="289"/>
      <c r="BDC19" s="289"/>
      <c r="BDD19" s="289"/>
      <c r="BDE19" s="289"/>
      <c r="BDF19" s="289"/>
      <c r="BDG19" s="289"/>
      <c r="BDH19" s="289"/>
      <c r="BDI19" s="289"/>
      <c r="BDJ19" s="289"/>
      <c r="BDK19" s="289"/>
      <c r="BDL19" s="289"/>
      <c r="BDM19" s="289"/>
      <c r="BDN19" s="289"/>
      <c r="BDO19" s="289"/>
      <c r="BDP19" s="289"/>
      <c r="BDQ19" s="289"/>
      <c r="BDR19" s="289"/>
      <c r="BDS19" s="289"/>
      <c r="BDT19" s="289"/>
      <c r="BDU19" s="289"/>
      <c r="BDV19" s="289"/>
      <c r="BDW19" s="289"/>
      <c r="BDX19" s="289"/>
      <c r="BDY19" s="289"/>
      <c r="BDZ19" s="289"/>
      <c r="BEA19" s="289"/>
      <c r="BEB19" s="289"/>
      <c r="BEC19" s="289"/>
      <c r="BED19" s="289"/>
      <c r="BEE19" s="289"/>
      <c r="BEF19" s="289"/>
      <c r="BEG19" s="289"/>
      <c r="BEH19" s="289"/>
      <c r="BEI19" s="289"/>
      <c r="BEJ19" s="289"/>
      <c r="BEK19" s="289"/>
      <c r="BEL19" s="289"/>
      <c r="BEM19" s="289"/>
      <c r="BEN19" s="289"/>
      <c r="BEO19" s="289"/>
      <c r="BEP19" s="289"/>
      <c r="BEQ19" s="289"/>
      <c r="BER19" s="289"/>
      <c r="BES19" s="289"/>
      <c r="BET19" s="289"/>
      <c r="BEU19" s="289"/>
      <c r="BEV19" s="289"/>
      <c r="BEW19" s="289"/>
      <c r="BEX19" s="289"/>
      <c r="BEY19" s="289"/>
      <c r="BEZ19" s="289"/>
      <c r="BFA19" s="289"/>
      <c r="BFB19" s="289"/>
      <c r="BFC19" s="289"/>
      <c r="BFD19" s="289"/>
      <c r="BFE19" s="289"/>
      <c r="BFF19" s="289"/>
      <c r="BFG19" s="289"/>
      <c r="BFH19" s="289"/>
      <c r="BFI19" s="289"/>
      <c r="BFJ19" s="289"/>
      <c r="BFK19" s="289"/>
      <c r="BFL19" s="289"/>
      <c r="BFM19" s="289"/>
      <c r="BFN19" s="289"/>
      <c r="BFO19" s="289"/>
      <c r="BFP19" s="289"/>
      <c r="BFQ19" s="289"/>
      <c r="BFR19" s="289"/>
      <c r="BFS19" s="289"/>
      <c r="BFT19" s="289"/>
      <c r="BFU19" s="289"/>
      <c r="BFV19" s="289"/>
      <c r="BFW19" s="289"/>
      <c r="BFX19" s="289"/>
      <c r="BFY19" s="289"/>
      <c r="BFZ19" s="289"/>
      <c r="BGA19" s="289"/>
      <c r="BGB19" s="289"/>
      <c r="BGC19" s="289"/>
      <c r="BGD19" s="289"/>
      <c r="BGE19" s="289"/>
      <c r="BGF19" s="289"/>
      <c r="BGG19" s="289"/>
      <c r="BGH19" s="289"/>
      <c r="BGI19" s="289"/>
      <c r="BGJ19" s="289"/>
      <c r="BGK19" s="289"/>
      <c r="BGL19" s="289"/>
      <c r="BGM19" s="289"/>
      <c r="BGN19" s="289"/>
      <c r="BGO19" s="289"/>
      <c r="BGP19" s="289"/>
      <c r="BGQ19" s="289"/>
      <c r="BGR19" s="289"/>
      <c r="BGS19" s="289"/>
      <c r="BGT19" s="289"/>
      <c r="BGU19" s="289"/>
      <c r="BGV19" s="289"/>
      <c r="BGW19" s="289"/>
      <c r="BGX19" s="289"/>
      <c r="BGY19" s="289"/>
      <c r="BGZ19" s="289"/>
      <c r="BHA19" s="289"/>
      <c r="BHB19" s="289"/>
      <c r="BHC19" s="289"/>
      <c r="BHD19" s="289"/>
      <c r="BHE19" s="289"/>
      <c r="BHF19" s="289"/>
      <c r="BHG19" s="289"/>
      <c r="BHH19" s="289"/>
      <c r="BHI19" s="289"/>
      <c r="BHJ19" s="289"/>
      <c r="BHK19" s="289"/>
      <c r="BHL19" s="289"/>
      <c r="BHM19" s="289"/>
      <c r="BHN19" s="289"/>
      <c r="BHO19" s="289"/>
      <c r="BHP19" s="289"/>
      <c r="BHQ19" s="289"/>
      <c r="BHR19" s="289"/>
      <c r="BHS19" s="289"/>
      <c r="BHT19" s="289"/>
      <c r="BHU19" s="289"/>
      <c r="BHV19" s="289"/>
      <c r="BHW19" s="289"/>
      <c r="BHX19" s="289"/>
      <c r="BHY19" s="289"/>
      <c r="BHZ19" s="289"/>
      <c r="BIA19" s="289"/>
      <c r="BIB19" s="289"/>
      <c r="BIC19" s="289"/>
      <c r="BID19" s="289"/>
      <c r="BIE19" s="289"/>
      <c r="BIF19" s="289"/>
      <c r="BIG19" s="289"/>
      <c r="BIH19" s="289"/>
      <c r="BII19" s="289"/>
      <c r="BIJ19" s="289"/>
      <c r="BIK19" s="289"/>
      <c r="BIL19" s="289"/>
      <c r="BIM19" s="289"/>
      <c r="BIN19" s="289"/>
      <c r="BIO19" s="289"/>
      <c r="BIP19" s="289"/>
      <c r="BIQ19" s="289"/>
      <c r="BIR19" s="289"/>
      <c r="BIS19" s="289"/>
      <c r="BIT19" s="289"/>
      <c r="BIU19" s="289"/>
      <c r="BIV19" s="289"/>
      <c r="BIW19" s="289"/>
      <c r="BIX19" s="289"/>
      <c r="BIY19" s="289"/>
      <c r="BIZ19" s="289"/>
      <c r="BJA19" s="289"/>
      <c r="BJB19" s="289"/>
      <c r="BJC19" s="289"/>
      <c r="BJD19" s="289"/>
      <c r="BJE19" s="289"/>
      <c r="BJF19" s="289"/>
      <c r="BJG19" s="289"/>
      <c r="BJH19" s="289"/>
      <c r="BJI19" s="289"/>
      <c r="BJJ19" s="289"/>
      <c r="BJK19" s="289"/>
      <c r="BJL19" s="289"/>
      <c r="BJM19" s="289"/>
      <c r="BJN19" s="289"/>
      <c r="BJO19" s="289"/>
      <c r="BJP19" s="289"/>
      <c r="BJQ19" s="289"/>
      <c r="BJR19" s="289"/>
      <c r="BJS19" s="289"/>
      <c r="BJT19" s="289"/>
      <c r="BJU19" s="289"/>
      <c r="BJV19" s="289"/>
      <c r="BJW19" s="289"/>
      <c r="BJX19" s="289"/>
      <c r="BJY19" s="289"/>
      <c r="BJZ19" s="289"/>
      <c r="BKA19" s="289"/>
      <c r="BKB19" s="289"/>
      <c r="BKC19" s="289"/>
      <c r="BKD19" s="289"/>
      <c r="BKE19" s="289"/>
      <c r="BKF19" s="289"/>
      <c r="BKG19" s="289"/>
      <c r="BKH19" s="289"/>
      <c r="BKI19" s="289"/>
      <c r="BKJ19" s="289"/>
      <c r="BKK19" s="289"/>
      <c r="BKL19" s="289"/>
      <c r="BKM19" s="289"/>
      <c r="BKN19" s="289"/>
      <c r="BKO19" s="289"/>
      <c r="BKP19" s="289"/>
      <c r="BKQ19" s="289"/>
      <c r="BKR19" s="289"/>
      <c r="BKS19" s="289"/>
      <c r="BKT19" s="289"/>
      <c r="BKU19" s="289"/>
      <c r="BKV19" s="289"/>
      <c r="BKW19" s="289"/>
      <c r="BKX19" s="289"/>
      <c r="BKY19" s="289"/>
      <c r="BKZ19" s="289"/>
      <c r="BLA19" s="289"/>
      <c r="BLB19" s="289"/>
      <c r="BLC19" s="289"/>
      <c r="BLD19" s="289"/>
      <c r="BLE19" s="289"/>
      <c r="BLF19" s="289"/>
      <c r="BLG19" s="289"/>
      <c r="BLH19" s="289"/>
      <c r="BLI19" s="289"/>
      <c r="BLJ19" s="289"/>
      <c r="BLK19" s="289"/>
      <c r="BLL19" s="289"/>
      <c r="BLM19" s="289"/>
      <c r="BLN19" s="289"/>
      <c r="BLO19" s="289"/>
      <c r="BLP19" s="289"/>
      <c r="BLQ19" s="289"/>
      <c r="BLR19" s="289"/>
      <c r="BLS19" s="289"/>
      <c r="BLT19" s="289"/>
      <c r="BLU19" s="289"/>
      <c r="BLV19" s="289"/>
      <c r="BLW19" s="289"/>
      <c r="BLX19" s="289"/>
      <c r="BLY19" s="289"/>
      <c r="BLZ19" s="289"/>
      <c r="BMA19" s="289"/>
      <c r="BMB19" s="289"/>
      <c r="BMC19" s="289"/>
      <c r="BMD19" s="289"/>
      <c r="BME19" s="289"/>
      <c r="BMF19" s="289"/>
      <c r="BMG19" s="289"/>
      <c r="BMH19" s="289"/>
      <c r="BMI19" s="289"/>
      <c r="BMJ19" s="289"/>
      <c r="BMK19" s="289"/>
      <c r="BML19" s="289"/>
      <c r="BMM19" s="289"/>
      <c r="BMN19" s="289"/>
      <c r="BMO19" s="289"/>
      <c r="BMP19" s="289"/>
      <c r="BMQ19" s="289"/>
      <c r="BMR19" s="289"/>
      <c r="BMS19" s="289"/>
      <c r="BMT19" s="289"/>
      <c r="BMU19" s="289"/>
      <c r="BMV19" s="289"/>
      <c r="BMW19" s="289"/>
      <c r="BMX19" s="289"/>
      <c r="BMY19" s="289"/>
      <c r="BMZ19" s="289"/>
      <c r="BNA19" s="289"/>
      <c r="BNB19" s="289"/>
      <c r="BNC19" s="289"/>
      <c r="BND19" s="289"/>
      <c r="BNE19" s="289"/>
      <c r="BNF19" s="289"/>
      <c r="BNG19" s="289"/>
      <c r="BNH19" s="289"/>
      <c r="BNI19" s="289"/>
      <c r="BNJ19" s="289"/>
      <c r="BNK19" s="289"/>
      <c r="BNL19" s="289"/>
      <c r="BNM19" s="289"/>
      <c r="BNN19" s="289"/>
      <c r="BNO19" s="289"/>
      <c r="BNP19" s="289"/>
      <c r="BNQ19" s="289"/>
      <c r="BNR19" s="289"/>
      <c r="BNS19" s="289"/>
      <c r="BNT19" s="289"/>
      <c r="BNU19" s="289"/>
      <c r="BNV19" s="289"/>
      <c r="BNW19" s="289"/>
      <c r="BNX19" s="289"/>
      <c r="BNY19" s="289"/>
      <c r="BNZ19" s="289"/>
      <c r="BOA19" s="289"/>
      <c r="BOB19" s="289"/>
      <c r="BOC19" s="289"/>
      <c r="BOD19" s="289"/>
      <c r="BOE19" s="289"/>
      <c r="BOF19" s="289"/>
      <c r="BOG19" s="289"/>
      <c r="BOH19" s="289"/>
      <c r="BOI19" s="289"/>
      <c r="BOJ19" s="289"/>
      <c r="BOK19" s="289"/>
      <c r="BOL19" s="289"/>
      <c r="BOM19" s="289"/>
      <c r="BON19" s="289"/>
      <c r="BOO19" s="289"/>
      <c r="BOP19" s="289"/>
      <c r="BOQ19" s="289"/>
      <c r="BOR19" s="289"/>
      <c r="BOS19" s="289"/>
      <c r="BOT19" s="289"/>
      <c r="BOU19" s="289"/>
      <c r="BOV19" s="289"/>
      <c r="BOW19" s="289"/>
      <c r="BOX19" s="289"/>
      <c r="BOY19" s="289"/>
      <c r="BOZ19" s="289"/>
      <c r="BPA19" s="289"/>
      <c r="BPB19" s="289"/>
      <c r="BPC19" s="289"/>
      <c r="BPD19" s="289"/>
      <c r="BPE19" s="289"/>
      <c r="BPF19" s="289"/>
      <c r="BPG19" s="289"/>
      <c r="BPH19" s="289"/>
      <c r="BPI19" s="289"/>
      <c r="BPJ19" s="289"/>
      <c r="BPK19" s="289"/>
      <c r="BPL19" s="289"/>
      <c r="BPM19" s="289"/>
      <c r="BPN19" s="289"/>
      <c r="BPO19" s="289"/>
      <c r="BPP19" s="289"/>
      <c r="BPQ19" s="289"/>
      <c r="BPR19" s="289"/>
      <c r="BPS19" s="289"/>
      <c r="BPT19" s="289"/>
      <c r="BPU19" s="289"/>
      <c r="BPV19" s="289"/>
      <c r="BPW19" s="289"/>
      <c r="BPX19" s="289"/>
      <c r="BPY19" s="289"/>
      <c r="BPZ19" s="289"/>
      <c r="BQA19" s="289"/>
      <c r="BQB19" s="289"/>
      <c r="BQC19" s="289"/>
      <c r="BQD19" s="289"/>
      <c r="BQE19" s="289"/>
      <c r="BQF19" s="289"/>
      <c r="BQG19" s="289"/>
      <c r="BQH19" s="289"/>
      <c r="BQI19" s="289"/>
      <c r="BQJ19" s="289"/>
      <c r="BQK19" s="289"/>
      <c r="BQL19" s="289"/>
      <c r="BQM19" s="289"/>
      <c r="BQN19" s="289"/>
      <c r="BQO19" s="289"/>
      <c r="BQP19" s="289"/>
      <c r="BQQ19" s="289"/>
      <c r="BQR19" s="289"/>
      <c r="BQS19" s="289"/>
      <c r="BQT19" s="289"/>
      <c r="BQU19" s="289"/>
      <c r="BQV19" s="289"/>
      <c r="BQW19" s="289"/>
      <c r="BQX19" s="289"/>
      <c r="BQY19" s="289"/>
      <c r="BQZ19" s="289"/>
      <c r="BRA19" s="289"/>
      <c r="BRB19" s="289"/>
      <c r="BRC19" s="289"/>
      <c r="BRD19" s="289"/>
      <c r="BRE19" s="289"/>
      <c r="BRF19" s="289"/>
      <c r="BRG19" s="289"/>
      <c r="BRH19" s="289"/>
      <c r="BRI19" s="289"/>
      <c r="BRJ19" s="289"/>
      <c r="BRK19" s="289"/>
      <c r="BRL19" s="289"/>
      <c r="BRM19" s="289"/>
      <c r="BRN19" s="289"/>
      <c r="BRO19" s="289"/>
      <c r="BRP19" s="289"/>
      <c r="BRQ19" s="289"/>
      <c r="BRR19" s="289"/>
      <c r="BRS19" s="289"/>
      <c r="BRT19" s="289"/>
      <c r="BRU19" s="289"/>
      <c r="BRV19" s="289"/>
      <c r="BRW19" s="289"/>
      <c r="BRX19" s="289"/>
      <c r="BRY19" s="289"/>
      <c r="BRZ19" s="289"/>
      <c r="BSA19" s="289"/>
      <c r="BSB19" s="289"/>
      <c r="BSC19" s="289"/>
      <c r="BSD19" s="289"/>
      <c r="BSE19" s="289"/>
      <c r="BSF19" s="289"/>
      <c r="BSG19" s="289"/>
      <c r="BSH19" s="289"/>
      <c r="BSI19" s="289"/>
      <c r="BSJ19" s="289"/>
      <c r="BSK19" s="289"/>
      <c r="BSL19" s="289"/>
      <c r="BSM19" s="289"/>
      <c r="BSN19" s="289"/>
      <c r="BSO19" s="289"/>
      <c r="BSP19" s="289"/>
      <c r="BSQ19" s="289"/>
      <c r="BSR19" s="289"/>
      <c r="BSS19" s="289"/>
      <c r="BST19" s="289"/>
      <c r="BSU19" s="289"/>
      <c r="BSV19" s="289"/>
      <c r="BSW19" s="289"/>
      <c r="BSX19" s="289"/>
      <c r="BSY19" s="289"/>
      <c r="BSZ19" s="289"/>
      <c r="BTA19" s="289"/>
      <c r="BTB19" s="289"/>
      <c r="BTC19" s="289"/>
      <c r="BTD19" s="289"/>
      <c r="BTE19" s="289"/>
      <c r="BTF19" s="289"/>
      <c r="BTG19" s="289"/>
      <c r="BTH19" s="289"/>
      <c r="BTI19" s="289"/>
      <c r="BTJ19" s="289"/>
      <c r="BTK19" s="289"/>
      <c r="BTL19" s="289"/>
      <c r="BTM19" s="289"/>
      <c r="BTN19" s="289"/>
      <c r="BTO19" s="289"/>
      <c r="BTP19" s="289"/>
      <c r="BTQ19" s="289"/>
      <c r="BTR19" s="289"/>
      <c r="BTS19" s="289"/>
      <c r="BTT19" s="289"/>
      <c r="BTU19" s="289"/>
      <c r="BTV19" s="289"/>
      <c r="BTW19" s="289"/>
      <c r="BTX19" s="289"/>
      <c r="BTY19" s="289"/>
      <c r="BTZ19" s="289"/>
      <c r="BUA19" s="289"/>
      <c r="BUB19" s="289"/>
      <c r="BUC19" s="289"/>
      <c r="BUD19" s="289"/>
      <c r="BUE19" s="289"/>
      <c r="BUF19" s="289"/>
      <c r="BUG19" s="289"/>
      <c r="BUH19" s="289"/>
      <c r="BUI19" s="289"/>
      <c r="BUJ19" s="289"/>
      <c r="BUK19" s="289"/>
      <c r="BUL19" s="289"/>
      <c r="BUM19" s="289"/>
      <c r="BUN19" s="289"/>
      <c r="BUO19" s="289"/>
      <c r="BUP19" s="289"/>
      <c r="BUQ19" s="289"/>
      <c r="BUR19" s="289"/>
      <c r="BUS19" s="289"/>
      <c r="BUT19" s="289"/>
      <c r="BUU19" s="289"/>
      <c r="BUV19" s="289"/>
      <c r="BUW19" s="289"/>
      <c r="BUX19" s="289"/>
      <c r="BUY19" s="289"/>
      <c r="BUZ19" s="289"/>
      <c r="BVA19" s="289"/>
      <c r="BVB19" s="289"/>
      <c r="BVC19" s="289"/>
      <c r="BVD19" s="289"/>
      <c r="BVE19" s="289"/>
      <c r="BVF19" s="289"/>
      <c r="BVG19" s="289"/>
      <c r="BVH19" s="289"/>
      <c r="BVI19" s="289"/>
      <c r="BVJ19" s="289"/>
      <c r="BVK19" s="289"/>
      <c r="BVL19" s="289"/>
      <c r="BVM19" s="289"/>
      <c r="BVN19" s="289"/>
      <c r="BVO19" s="289"/>
      <c r="BVP19" s="289"/>
      <c r="BVQ19" s="289"/>
      <c r="BVR19" s="289"/>
      <c r="BVS19" s="289"/>
      <c r="BVT19" s="289"/>
      <c r="BVU19" s="289"/>
      <c r="BVV19" s="289"/>
      <c r="BVW19" s="289"/>
      <c r="BVX19" s="289"/>
      <c r="BVY19" s="289"/>
      <c r="BVZ19" s="289"/>
      <c r="BWA19" s="289"/>
      <c r="BWB19" s="289"/>
      <c r="BWC19" s="289"/>
      <c r="BWD19" s="289"/>
      <c r="BWE19" s="289"/>
      <c r="BWF19" s="289"/>
      <c r="BWG19" s="289"/>
      <c r="BWH19" s="289"/>
      <c r="BWI19" s="289"/>
      <c r="BWJ19" s="289"/>
      <c r="BWK19" s="289"/>
      <c r="BWL19" s="289"/>
      <c r="BWM19" s="289"/>
      <c r="BWN19" s="289"/>
      <c r="BWO19" s="289"/>
      <c r="BWP19" s="289"/>
      <c r="BWQ19" s="289"/>
      <c r="BWR19" s="289"/>
      <c r="BWS19" s="289"/>
      <c r="BWT19" s="289"/>
      <c r="BWU19" s="289"/>
      <c r="BWV19" s="289"/>
      <c r="BWW19" s="289"/>
      <c r="BWX19" s="289"/>
      <c r="BWY19" s="289"/>
      <c r="BWZ19" s="289"/>
      <c r="BXA19" s="289"/>
      <c r="BXB19" s="289"/>
      <c r="BXC19" s="289"/>
      <c r="BXD19" s="289"/>
      <c r="BXE19" s="289"/>
      <c r="BXF19" s="289"/>
      <c r="BXG19" s="289"/>
      <c r="BXH19" s="289"/>
      <c r="BXI19" s="289"/>
      <c r="BXJ19" s="289"/>
      <c r="BXK19" s="289"/>
      <c r="BXL19" s="289"/>
      <c r="BXM19" s="289"/>
      <c r="BXN19" s="289"/>
      <c r="BXO19" s="289"/>
      <c r="BXP19" s="289"/>
      <c r="BXQ19" s="289"/>
      <c r="BXR19" s="289"/>
      <c r="BXS19" s="289"/>
      <c r="BXT19" s="289"/>
      <c r="BXU19" s="289"/>
      <c r="BXV19" s="289"/>
      <c r="BXW19" s="289"/>
      <c r="BXX19" s="289"/>
      <c r="BXY19" s="289"/>
      <c r="BXZ19" s="289"/>
      <c r="BYA19" s="289"/>
      <c r="BYB19" s="289"/>
      <c r="BYC19" s="289"/>
      <c r="BYD19" s="289"/>
      <c r="BYE19" s="289"/>
      <c r="BYF19" s="289"/>
      <c r="BYG19" s="289"/>
      <c r="BYH19" s="289"/>
      <c r="BYI19" s="289"/>
      <c r="BYJ19" s="289"/>
      <c r="BYK19" s="289"/>
      <c r="BYL19" s="289"/>
      <c r="BYM19" s="289"/>
      <c r="BYN19" s="289"/>
      <c r="BYO19" s="289"/>
      <c r="BYP19" s="289"/>
      <c r="BYQ19" s="289"/>
      <c r="BYR19" s="289"/>
      <c r="BYS19" s="289"/>
      <c r="BYT19" s="289"/>
      <c r="BYU19" s="289"/>
      <c r="BYV19" s="289"/>
      <c r="BYW19" s="289"/>
      <c r="BYX19" s="289"/>
      <c r="BYY19" s="289"/>
      <c r="BYZ19" s="289"/>
      <c r="BZA19" s="289"/>
      <c r="BZB19" s="289"/>
      <c r="BZC19" s="289"/>
      <c r="BZD19" s="289"/>
      <c r="BZE19" s="289"/>
      <c r="BZF19" s="289"/>
      <c r="BZG19" s="289"/>
      <c r="BZH19" s="289"/>
      <c r="BZI19" s="289"/>
      <c r="BZJ19" s="289"/>
      <c r="BZK19" s="289"/>
      <c r="BZL19" s="289"/>
      <c r="BZM19" s="289"/>
      <c r="BZN19" s="289"/>
      <c r="BZO19" s="289"/>
      <c r="BZP19" s="289"/>
      <c r="BZQ19" s="289"/>
      <c r="BZR19" s="289"/>
      <c r="BZS19" s="289"/>
      <c r="BZT19" s="289"/>
      <c r="BZU19" s="289"/>
      <c r="BZV19" s="289"/>
      <c r="BZW19" s="289"/>
      <c r="BZX19" s="289"/>
      <c r="BZY19" s="289"/>
      <c r="BZZ19" s="289"/>
      <c r="CAA19" s="289"/>
      <c r="CAB19" s="289"/>
      <c r="CAC19" s="289"/>
      <c r="CAD19" s="289"/>
      <c r="CAE19" s="289"/>
      <c r="CAF19" s="289"/>
      <c r="CAG19" s="289"/>
      <c r="CAH19" s="289"/>
      <c r="CAI19" s="289"/>
      <c r="CAJ19" s="289"/>
      <c r="CAK19" s="289"/>
      <c r="CAL19" s="289"/>
      <c r="CAM19" s="289"/>
      <c r="CAN19" s="289"/>
      <c r="CAO19" s="289"/>
      <c r="CAP19" s="289"/>
      <c r="CAQ19" s="289"/>
      <c r="CAR19" s="289"/>
      <c r="CAS19" s="289"/>
      <c r="CAT19" s="289"/>
      <c r="CAU19" s="289"/>
      <c r="CAV19" s="289"/>
      <c r="CAW19" s="289"/>
      <c r="CAX19" s="289"/>
      <c r="CAY19" s="289"/>
      <c r="CAZ19" s="289"/>
      <c r="CBA19" s="289"/>
      <c r="CBB19" s="289"/>
      <c r="CBC19" s="289"/>
      <c r="CBD19" s="289"/>
      <c r="CBE19" s="289"/>
      <c r="CBF19" s="289"/>
      <c r="CBG19" s="289"/>
      <c r="CBH19" s="289"/>
      <c r="CBI19" s="289"/>
      <c r="CBJ19" s="289"/>
      <c r="CBK19" s="289"/>
      <c r="CBL19" s="289"/>
      <c r="CBM19" s="289"/>
      <c r="CBN19" s="289"/>
      <c r="CBO19" s="289"/>
      <c r="CBP19" s="289"/>
      <c r="CBQ19" s="289"/>
      <c r="CBR19" s="289"/>
      <c r="CBS19" s="289"/>
      <c r="CBT19" s="289"/>
      <c r="CBU19" s="289"/>
      <c r="CBV19" s="289"/>
      <c r="CBW19" s="289"/>
      <c r="CBX19" s="289"/>
      <c r="CBY19" s="289"/>
      <c r="CBZ19" s="289"/>
      <c r="CCA19" s="289"/>
      <c r="CCB19" s="289"/>
      <c r="CCC19" s="289"/>
      <c r="CCD19" s="289"/>
      <c r="CCE19" s="289"/>
      <c r="CCF19" s="289"/>
      <c r="CCG19" s="289"/>
      <c r="CCH19" s="289"/>
      <c r="CCI19" s="289"/>
      <c r="CCJ19" s="289"/>
      <c r="CCK19" s="289"/>
      <c r="CCL19" s="289"/>
      <c r="CCM19" s="289"/>
      <c r="CCN19" s="289"/>
      <c r="CCO19" s="289"/>
      <c r="CCP19" s="289"/>
      <c r="CCQ19" s="289"/>
      <c r="CCR19" s="289"/>
      <c r="CCS19" s="289"/>
      <c r="CCT19" s="289"/>
      <c r="CCU19" s="289"/>
      <c r="CCV19" s="289"/>
      <c r="CCW19" s="289"/>
      <c r="CCX19" s="289"/>
      <c r="CCY19" s="289"/>
      <c r="CCZ19" s="289"/>
      <c r="CDA19" s="289"/>
      <c r="CDB19" s="289"/>
      <c r="CDC19" s="289"/>
      <c r="CDD19" s="289"/>
      <c r="CDE19" s="289"/>
      <c r="CDF19" s="289"/>
      <c r="CDG19" s="289"/>
      <c r="CDH19" s="289"/>
      <c r="CDI19" s="289"/>
      <c r="CDJ19" s="289"/>
      <c r="CDK19" s="289"/>
      <c r="CDL19" s="289"/>
      <c r="CDM19" s="289"/>
      <c r="CDN19" s="289"/>
      <c r="CDO19" s="289"/>
      <c r="CDP19" s="289"/>
      <c r="CDQ19" s="289"/>
      <c r="CDR19" s="289"/>
      <c r="CDS19" s="289"/>
      <c r="CDT19" s="289"/>
      <c r="CDU19" s="289"/>
      <c r="CDV19" s="289"/>
      <c r="CDW19" s="289"/>
      <c r="CDX19" s="289"/>
      <c r="CDY19" s="289"/>
      <c r="CDZ19" s="289"/>
      <c r="CEA19" s="289"/>
      <c r="CEB19" s="289"/>
      <c r="CEC19" s="289"/>
      <c r="CED19" s="289"/>
      <c r="CEE19" s="289"/>
      <c r="CEF19" s="289"/>
      <c r="CEG19" s="289"/>
      <c r="CEH19" s="289"/>
      <c r="CEI19" s="289"/>
      <c r="CEJ19" s="289"/>
      <c r="CEK19" s="289"/>
      <c r="CEL19" s="289"/>
      <c r="CEM19" s="289"/>
      <c r="CEN19" s="289"/>
      <c r="CEO19" s="289"/>
      <c r="CEP19" s="289"/>
      <c r="CEQ19" s="289"/>
      <c r="CER19" s="289"/>
      <c r="CES19" s="289"/>
      <c r="CET19" s="289"/>
      <c r="CEU19" s="289"/>
      <c r="CEV19" s="289"/>
      <c r="CEW19" s="289"/>
      <c r="CEX19" s="289"/>
      <c r="CEY19" s="289"/>
      <c r="CEZ19" s="289"/>
      <c r="CFA19" s="289"/>
      <c r="CFB19" s="289"/>
      <c r="CFC19" s="289"/>
      <c r="CFD19" s="289"/>
      <c r="CFE19" s="289"/>
      <c r="CFF19" s="289"/>
      <c r="CFG19" s="289"/>
      <c r="CFH19" s="289"/>
      <c r="CFI19" s="289"/>
      <c r="CFJ19" s="289"/>
      <c r="CFK19" s="289"/>
      <c r="CFL19" s="289"/>
      <c r="CFM19" s="289"/>
      <c r="CFN19" s="289"/>
      <c r="CFO19" s="289"/>
      <c r="CFP19" s="289"/>
      <c r="CFQ19" s="289"/>
      <c r="CFR19" s="289"/>
      <c r="CFS19" s="289"/>
      <c r="CFT19" s="289"/>
      <c r="CFU19" s="289"/>
      <c r="CFV19" s="289"/>
      <c r="CFW19" s="289"/>
      <c r="CFX19" s="289"/>
      <c r="CFY19" s="289"/>
      <c r="CFZ19" s="289"/>
      <c r="CGA19" s="289"/>
      <c r="CGB19" s="289"/>
      <c r="CGC19" s="289"/>
      <c r="CGD19" s="289"/>
      <c r="CGE19" s="289"/>
      <c r="CGF19" s="289"/>
      <c r="CGG19" s="289"/>
      <c r="CGH19" s="289"/>
      <c r="CGI19" s="289"/>
      <c r="CGJ19" s="289"/>
      <c r="CGK19" s="289"/>
      <c r="CGL19" s="289"/>
      <c r="CGM19" s="289"/>
      <c r="CGN19" s="289"/>
      <c r="CGO19" s="289"/>
      <c r="CGP19" s="289"/>
      <c r="CGQ19" s="289"/>
      <c r="CGR19" s="289"/>
      <c r="CGS19" s="289"/>
      <c r="CGT19" s="289"/>
      <c r="CGU19" s="289"/>
      <c r="CGV19" s="289"/>
      <c r="CGW19" s="289"/>
      <c r="CGX19" s="289"/>
      <c r="CGY19" s="289"/>
      <c r="CGZ19" s="289"/>
      <c r="CHA19" s="289"/>
      <c r="CHB19" s="289"/>
      <c r="CHC19" s="289"/>
      <c r="CHD19" s="289"/>
      <c r="CHE19" s="289"/>
      <c r="CHF19" s="289"/>
      <c r="CHG19" s="289"/>
      <c r="CHH19" s="289"/>
      <c r="CHI19" s="289"/>
      <c r="CHJ19" s="289"/>
      <c r="CHK19" s="289"/>
      <c r="CHL19" s="289"/>
      <c r="CHM19" s="289"/>
      <c r="CHN19" s="289"/>
      <c r="CHO19" s="289"/>
      <c r="CHP19" s="289"/>
      <c r="CHQ19" s="289"/>
      <c r="CHR19" s="289"/>
      <c r="CHS19" s="289"/>
      <c r="CHT19" s="289"/>
      <c r="CHU19" s="289"/>
      <c r="CHV19" s="289"/>
      <c r="CHW19" s="289"/>
      <c r="CHX19" s="289"/>
      <c r="CHY19" s="289"/>
      <c r="CHZ19" s="289"/>
      <c r="CIA19" s="289"/>
      <c r="CIB19" s="289"/>
      <c r="CIC19" s="289"/>
      <c r="CID19" s="289"/>
      <c r="CIE19" s="289"/>
      <c r="CIF19" s="289"/>
      <c r="CIG19" s="289"/>
      <c r="CIH19" s="289"/>
      <c r="CII19" s="289"/>
      <c r="CIJ19" s="289"/>
      <c r="CIK19" s="289"/>
      <c r="CIL19" s="289"/>
      <c r="CIM19" s="289"/>
      <c r="CIN19" s="289"/>
      <c r="CIO19" s="289"/>
      <c r="CIP19" s="289"/>
      <c r="CIQ19" s="289"/>
      <c r="CIR19" s="289"/>
      <c r="CIS19" s="289"/>
      <c r="CIT19" s="289"/>
      <c r="CIU19" s="289"/>
      <c r="CIV19" s="289"/>
      <c r="CIW19" s="289"/>
      <c r="CIX19" s="289"/>
      <c r="CIY19" s="289"/>
      <c r="CIZ19" s="289"/>
      <c r="CJA19" s="289"/>
      <c r="CJB19" s="289"/>
      <c r="CJC19" s="289"/>
      <c r="CJD19" s="289"/>
      <c r="CJE19" s="289"/>
      <c r="CJF19" s="289"/>
      <c r="CJG19" s="289"/>
      <c r="CJH19" s="289"/>
      <c r="CJI19" s="289"/>
      <c r="CJJ19" s="289"/>
      <c r="CJK19" s="289"/>
      <c r="CJL19" s="289"/>
      <c r="CJM19" s="289"/>
      <c r="CJN19" s="289"/>
      <c r="CJO19" s="289"/>
      <c r="CJP19" s="289"/>
      <c r="CJQ19" s="289"/>
      <c r="CJR19" s="289"/>
      <c r="CJS19" s="289"/>
      <c r="CJT19" s="289"/>
      <c r="CJU19" s="289"/>
      <c r="CJV19" s="289"/>
      <c r="CJW19" s="289"/>
      <c r="CJX19" s="289"/>
      <c r="CJY19" s="289"/>
      <c r="CJZ19" s="289"/>
      <c r="CKA19" s="289"/>
      <c r="CKB19" s="289"/>
      <c r="CKC19" s="289"/>
      <c r="CKD19" s="289"/>
      <c r="CKE19" s="289"/>
      <c r="CKF19" s="289"/>
      <c r="CKG19" s="289"/>
      <c r="CKH19" s="289"/>
      <c r="CKI19" s="289"/>
      <c r="CKJ19" s="289"/>
      <c r="CKK19" s="289"/>
      <c r="CKL19" s="289"/>
      <c r="CKM19" s="289"/>
      <c r="CKN19" s="289"/>
      <c r="CKO19" s="289"/>
      <c r="CKP19" s="289"/>
      <c r="CKQ19" s="289"/>
      <c r="CKR19" s="289"/>
      <c r="CKS19" s="289"/>
      <c r="CKT19" s="289"/>
      <c r="CKU19" s="289"/>
      <c r="CKV19" s="289"/>
      <c r="CKW19" s="289"/>
      <c r="CKX19" s="289"/>
      <c r="CKY19" s="289"/>
      <c r="CKZ19" s="289"/>
      <c r="CLA19" s="289"/>
      <c r="CLB19" s="289"/>
      <c r="CLC19" s="289"/>
      <c r="CLD19" s="289"/>
      <c r="CLE19" s="289"/>
      <c r="CLF19" s="289"/>
      <c r="CLG19" s="289"/>
      <c r="CLH19" s="289"/>
      <c r="CLI19" s="289"/>
      <c r="CLJ19" s="289"/>
      <c r="CLK19" s="289"/>
      <c r="CLL19" s="289"/>
      <c r="CLM19" s="289"/>
      <c r="CLN19" s="289"/>
      <c r="CLO19" s="289"/>
      <c r="CLP19" s="289"/>
      <c r="CLQ19" s="289"/>
      <c r="CLR19" s="289"/>
      <c r="CLS19" s="289"/>
      <c r="CLT19" s="289"/>
      <c r="CLU19" s="289"/>
      <c r="CLV19" s="289"/>
      <c r="CLW19" s="289"/>
      <c r="CLX19" s="289"/>
      <c r="CLY19" s="289"/>
      <c r="CLZ19" s="289"/>
      <c r="CMA19" s="289"/>
      <c r="CMB19" s="289"/>
      <c r="CMC19" s="289"/>
      <c r="CMD19" s="289"/>
      <c r="CME19" s="289"/>
      <c r="CMF19" s="289"/>
      <c r="CMG19" s="289"/>
      <c r="CMH19" s="289"/>
      <c r="CMI19" s="289"/>
      <c r="CMJ19" s="289"/>
      <c r="CMK19" s="289"/>
      <c r="CML19" s="289"/>
      <c r="CMM19" s="289"/>
      <c r="CMN19" s="289"/>
      <c r="CMO19" s="289"/>
      <c r="CMP19" s="289"/>
      <c r="CMQ19" s="289"/>
      <c r="CMR19" s="289"/>
      <c r="CMS19" s="289"/>
      <c r="CMT19" s="289"/>
      <c r="CMU19" s="289"/>
      <c r="CMV19" s="289"/>
      <c r="CMW19" s="289"/>
      <c r="CMX19" s="289"/>
      <c r="CMY19" s="289"/>
      <c r="CMZ19" s="289"/>
      <c r="CNA19" s="289"/>
      <c r="CNB19" s="289"/>
      <c r="CNC19" s="289"/>
      <c r="CND19" s="289"/>
      <c r="CNE19" s="289"/>
      <c r="CNF19" s="289"/>
      <c r="CNG19" s="289"/>
      <c r="CNH19" s="289"/>
      <c r="CNI19" s="289"/>
      <c r="CNJ19" s="289"/>
      <c r="CNK19" s="289"/>
      <c r="CNL19" s="289"/>
      <c r="CNM19" s="289"/>
      <c r="CNN19" s="289"/>
      <c r="CNO19" s="289"/>
      <c r="CNP19" s="289"/>
      <c r="CNQ19" s="289"/>
      <c r="CNR19" s="289"/>
      <c r="CNS19" s="289"/>
      <c r="CNT19" s="289"/>
      <c r="CNU19" s="289"/>
      <c r="CNV19" s="289"/>
      <c r="CNW19" s="289"/>
      <c r="CNX19" s="289"/>
      <c r="CNY19" s="289"/>
      <c r="CNZ19" s="289"/>
      <c r="COA19" s="289"/>
      <c r="COB19" s="289"/>
      <c r="COC19" s="289"/>
      <c r="COD19" s="289"/>
      <c r="COE19" s="289"/>
      <c r="COF19" s="289"/>
      <c r="COG19" s="289"/>
      <c r="COH19" s="289"/>
      <c r="COI19" s="289"/>
      <c r="COJ19" s="289"/>
      <c r="COK19" s="289"/>
      <c r="COL19" s="289"/>
      <c r="COM19" s="289"/>
      <c r="CON19" s="289"/>
      <c r="COO19" s="289"/>
      <c r="COP19" s="289"/>
      <c r="COQ19" s="289"/>
      <c r="COR19" s="289"/>
      <c r="COS19" s="289"/>
      <c r="COT19" s="289"/>
      <c r="COU19" s="289"/>
      <c r="COV19" s="289"/>
      <c r="COW19" s="289"/>
      <c r="COX19" s="289"/>
      <c r="COY19" s="289"/>
      <c r="COZ19" s="289"/>
      <c r="CPA19" s="289"/>
      <c r="CPB19" s="289"/>
      <c r="CPC19" s="289"/>
      <c r="CPD19" s="289"/>
      <c r="CPE19" s="289"/>
      <c r="CPF19" s="289"/>
      <c r="CPG19" s="289"/>
      <c r="CPH19" s="289"/>
      <c r="CPI19" s="289"/>
      <c r="CPJ19" s="289"/>
      <c r="CPK19" s="289"/>
      <c r="CPL19" s="289"/>
      <c r="CPM19" s="289"/>
      <c r="CPN19" s="289"/>
      <c r="CPO19" s="289"/>
      <c r="CPP19" s="289"/>
      <c r="CPQ19" s="289"/>
      <c r="CPR19" s="289"/>
      <c r="CPS19" s="289"/>
      <c r="CPT19" s="289"/>
      <c r="CPU19" s="289"/>
      <c r="CPV19" s="289"/>
      <c r="CPW19" s="289"/>
      <c r="CPX19" s="289"/>
      <c r="CPY19" s="289"/>
      <c r="CPZ19" s="289"/>
      <c r="CQA19" s="289"/>
      <c r="CQB19" s="289"/>
      <c r="CQC19" s="289"/>
      <c r="CQD19" s="289"/>
      <c r="CQE19" s="289"/>
      <c r="CQF19" s="289"/>
      <c r="CQG19" s="289"/>
      <c r="CQH19" s="289"/>
      <c r="CQI19" s="289"/>
      <c r="CQJ19" s="289"/>
      <c r="CQK19" s="289"/>
      <c r="CQL19" s="289"/>
      <c r="CQM19" s="289"/>
      <c r="CQN19" s="289"/>
      <c r="CQO19" s="289"/>
      <c r="CQP19" s="289"/>
      <c r="CQQ19" s="289"/>
      <c r="CQR19" s="289"/>
      <c r="CQS19" s="289"/>
      <c r="CQT19" s="289"/>
      <c r="CQU19" s="289"/>
      <c r="CQV19" s="289"/>
      <c r="CQW19" s="289"/>
      <c r="CQX19" s="289"/>
      <c r="CQY19" s="289"/>
      <c r="CQZ19" s="289"/>
      <c r="CRA19" s="289"/>
      <c r="CRB19" s="289"/>
      <c r="CRC19" s="289"/>
      <c r="CRD19" s="289"/>
      <c r="CRE19" s="289"/>
      <c r="CRF19" s="289"/>
      <c r="CRG19" s="289"/>
      <c r="CRH19" s="289"/>
      <c r="CRI19" s="289"/>
      <c r="CRJ19" s="289"/>
      <c r="CRK19" s="289"/>
      <c r="CRL19" s="289"/>
      <c r="CRM19" s="289"/>
      <c r="CRN19" s="289"/>
      <c r="CRO19" s="289"/>
      <c r="CRP19" s="289"/>
      <c r="CRQ19" s="289"/>
      <c r="CRR19" s="289"/>
      <c r="CRS19" s="289"/>
      <c r="CRT19" s="289"/>
      <c r="CRU19" s="289"/>
      <c r="CRV19" s="289"/>
      <c r="CRW19" s="289"/>
      <c r="CRX19" s="289"/>
      <c r="CRY19" s="289"/>
      <c r="CRZ19" s="289"/>
      <c r="CSA19" s="289"/>
      <c r="CSB19" s="289"/>
      <c r="CSC19" s="289"/>
      <c r="CSD19" s="289"/>
      <c r="CSE19" s="289"/>
      <c r="CSF19" s="289"/>
      <c r="CSG19" s="289"/>
      <c r="CSH19" s="289"/>
      <c r="CSI19" s="289"/>
      <c r="CSJ19" s="289"/>
      <c r="CSK19" s="289"/>
      <c r="CSL19" s="289"/>
      <c r="CSM19" s="289"/>
      <c r="CSN19" s="289"/>
      <c r="CSO19" s="289"/>
      <c r="CSP19" s="289"/>
      <c r="CSQ19" s="289"/>
      <c r="CSR19" s="289"/>
      <c r="CSS19" s="289"/>
      <c r="CST19" s="289"/>
      <c r="CSU19" s="289"/>
      <c r="CSV19" s="289"/>
      <c r="CSW19" s="289"/>
      <c r="CSX19" s="289"/>
      <c r="CSY19" s="289"/>
      <c r="CSZ19" s="289"/>
      <c r="CTA19" s="289"/>
      <c r="CTB19" s="289"/>
      <c r="CTC19" s="289"/>
      <c r="CTD19" s="289"/>
      <c r="CTE19" s="289"/>
      <c r="CTF19" s="289"/>
      <c r="CTG19" s="289"/>
      <c r="CTH19" s="289"/>
      <c r="CTI19" s="289"/>
      <c r="CTJ19" s="289"/>
      <c r="CTK19" s="289"/>
      <c r="CTL19" s="289"/>
      <c r="CTM19" s="289"/>
      <c r="CTN19" s="289"/>
      <c r="CTO19" s="289"/>
      <c r="CTP19" s="289"/>
      <c r="CTQ19" s="289"/>
      <c r="CTR19" s="289"/>
      <c r="CTS19" s="289"/>
      <c r="CTT19" s="289"/>
      <c r="CTU19" s="289"/>
      <c r="CTV19" s="289"/>
      <c r="CTW19" s="289"/>
      <c r="CTX19" s="289"/>
      <c r="CTY19" s="289"/>
      <c r="CTZ19" s="289"/>
      <c r="CUA19" s="289"/>
      <c r="CUB19" s="289"/>
      <c r="CUC19" s="289"/>
      <c r="CUD19" s="289"/>
      <c r="CUE19" s="289"/>
      <c r="CUF19" s="289"/>
      <c r="CUG19" s="289"/>
      <c r="CUH19" s="289"/>
      <c r="CUI19" s="289"/>
      <c r="CUJ19" s="289"/>
      <c r="CUK19" s="289"/>
      <c r="CUL19" s="289"/>
      <c r="CUM19" s="289"/>
      <c r="CUN19" s="289"/>
      <c r="CUO19" s="289"/>
      <c r="CUP19" s="289"/>
      <c r="CUQ19" s="289"/>
      <c r="CUR19" s="289"/>
      <c r="CUS19" s="289"/>
      <c r="CUT19" s="289"/>
      <c r="CUU19" s="289"/>
      <c r="CUV19" s="289"/>
      <c r="CUW19" s="289"/>
      <c r="CUX19" s="289"/>
      <c r="CUY19" s="289"/>
      <c r="CUZ19" s="289"/>
      <c r="CVA19" s="289"/>
      <c r="CVB19" s="289"/>
      <c r="CVC19" s="289"/>
      <c r="CVD19" s="289"/>
      <c r="CVE19" s="289"/>
      <c r="CVF19" s="289"/>
      <c r="CVG19" s="289"/>
      <c r="CVH19" s="289"/>
      <c r="CVI19" s="289"/>
      <c r="CVJ19" s="289"/>
      <c r="CVK19" s="289"/>
      <c r="CVL19" s="289"/>
      <c r="CVM19" s="289"/>
      <c r="CVN19" s="289"/>
      <c r="CVO19" s="289"/>
      <c r="CVP19" s="289"/>
      <c r="CVQ19" s="289"/>
      <c r="CVR19" s="289"/>
      <c r="CVS19" s="289"/>
      <c r="CVT19" s="289"/>
      <c r="CVU19" s="289"/>
      <c r="CVV19" s="289"/>
      <c r="CVW19" s="289"/>
      <c r="CVX19" s="289"/>
      <c r="CVY19" s="289"/>
      <c r="CVZ19" s="289"/>
      <c r="CWA19" s="289"/>
      <c r="CWB19" s="289"/>
      <c r="CWC19" s="289"/>
      <c r="CWD19" s="289"/>
      <c r="CWE19" s="289"/>
      <c r="CWF19" s="289"/>
      <c r="CWG19" s="289"/>
      <c r="CWH19" s="289"/>
      <c r="CWI19" s="289"/>
      <c r="CWJ19" s="289"/>
      <c r="CWK19" s="289"/>
      <c r="CWL19" s="289"/>
      <c r="CWM19" s="289"/>
      <c r="CWN19" s="289"/>
      <c r="CWO19" s="289"/>
      <c r="CWP19" s="289"/>
      <c r="CWQ19" s="289"/>
      <c r="CWR19" s="289"/>
      <c r="CWS19" s="289"/>
      <c r="CWT19" s="289"/>
      <c r="CWU19" s="289"/>
      <c r="CWV19" s="289"/>
      <c r="CWW19" s="289"/>
      <c r="CWX19" s="289"/>
      <c r="CWY19" s="289"/>
      <c r="CWZ19" s="289"/>
      <c r="CXA19" s="289"/>
      <c r="CXB19" s="289"/>
      <c r="CXC19" s="289"/>
      <c r="CXD19" s="289"/>
      <c r="CXE19" s="289"/>
      <c r="CXF19" s="289"/>
      <c r="CXG19" s="289"/>
      <c r="CXH19" s="289"/>
      <c r="CXI19" s="289"/>
      <c r="CXJ19" s="289"/>
      <c r="CXK19" s="289"/>
      <c r="CXL19" s="289"/>
      <c r="CXM19" s="289"/>
      <c r="CXN19" s="289"/>
      <c r="CXO19" s="289"/>
      <c r="CXP19" s="289"/>
      <c r="CXQ19" s="289"/>
      <c r="CXR19" s="289"/>
      <c r="CXS19" s="289"/>
      <c r="CXT19" s="289"/>
      <c r="CXU19" s="289"/>
      <c r="CXV19" s="289"/>
      <c r="CXW19" s="289"/>
      <c r="CXX19" s="289"/>
      <c r="CXY19" s="289"/>
      <c r="CXZ19" s="289"/>
      <c r="CYA19" s="289"/>
      <c r="CYB19" s="289"/>
      <c r="CYC19" s="289"/>
      <c r="CYD19" s="289"/>
      <c r="CYE19" s="289"/>
      <c r="CYF19" s="289"/>
      <c r="CYG19" s="289"/>
      <c r="CYH19" s="289"/>
      <c r="CYI19" s="289"/>
      <c r="CYJ19" s="289"/>
      <c r="CYK19" s="289"/>
      <c r="CYL19" s="289"/>
      <c r="CYM19" s="289"/>
      <c r="CYN19" s="289"/>
      <c r="CYO19" s="289"/>
      <c r="CYP19" s="289"/>
      <c r="CYQ19" s="289"/>
      <c r="CYR19" s="289"/>
      <c r="CYS19" s="289"/>
      <c r="CYT19" s="289"/>
      <c r="CYU19" s="289"/>
      <c r="CYV19" s="289"/>
      <c r="CYW19" s="289"/>
      <c r="CYX19" s="289"/>
      <c r="CYY19" s="289"/>
      <c r="CYZ19" s="289"/>
      <c r="CZA19" s="289"/>
      <c r="CZB19" s="289"/>
      <c r="CZC19" s="289"/>
      <c r="CZD19" s="289"/>
      <c r="CZE19" s="289"/>
      <c r="CZF19" s="289"/>
      <c r="CZG19" s="289"/>
      <c r="CZH19" s="289"/>
      <c r="CZI19" s="289"/>
      <c r="CZJ19" s="289"/>
      <c r="CZK19" s="289"/>
      <c r="CZL19" s="289"/>
      <c r="CZM19" s="289"/>
      <c r="CZN19" s="289"/>
      <c r="CZO19" s="289"/>
      <c r="CZP19" s="289"/>
      <c r="CZQ19" s="289"/>
      <c r="CZR19" s="289"/>
      <c r="CZS19" s="289"/>
      <c r="CZT19" s="289"/>
      <c r="CZU19" s="289"/>
      <c r="CZV19" s="289"/>
      <c r="CZW19" s="289"/>
      <c r="CZX19" s="289"/>
      <c r="CZY19" s="289"/>
      <c r="CZZ19" s="289"/>
      <c r="DAA19" s="289"/>
      <c r="DAB19" s="289"/>
      <c r="DAC19" s="289"/>
      <c r="DAD19" s="289"/>
      <c r="DAE19" s="289"/>
      <c r="DAF19" s="289"/>
      <c r="DAG19" s="289"/>
      <c r="DAH19" s="289"/>
      <c r="DAI19" s="289"/>
      <c r="DAJ19" s="289"/>
      <c r="DAK19" s="289"/>
      <c r="DAL19" s="289"/>
      <c r="DAM19" s="289"/>
      <c r="DAN19" s="289"/>
      <c r="DAO19" s="289"/>
      <c r="DAP19" s="289"/>
      <c r="DAQ19" s="289"/>
      <c r="DAR19" s="289"/>
      <c r="DAS19" s="289"/>
      <c r="DAT19" s="289"/>
      <c r="DAU19" s="289"/>
      <c r="DAV19" s="289"/>
      <c r="DAW19" s="289"/>
      <c r="DAX19" s="289"/>
      <c r="DAY19" s="289"/>
      <c r="DAZ19" s="289"/>
      <c r="DBA19" s="289"/>
      <c r="DBB19" s="289"/>
      <c r="DBC19" s="289"/>
      <c r="DBD19" s="289"/>
      <c r="DBE19" s="289"/>
      <c r="DBF19" s="289"/>
      <c r="DBG19" s="289"/>
      <c r="DBH19" s="289"/>
      <c r="DBI19" s="289"/>
      <c r="DBJ19" s="289"/>
      <c r="DBK19" s="289"/>
      <c r="DBL19" s="289"/>
      <c r="DBM19" s="289"/>
      <c r="DBN19" s="289"/>
      <c r="DBO19" s="289"/>
      <c r="DBP19" s="289"/>
      <c r="DBQ19" s="289"/>
      <c r="DBR19" s="289"/>
      <c r="DBS19" s="289"/>
      <c r="DBT19" s="289"/>
      <c r="DBU19" s="289"/>
      <c r="DBV19" s="289"/>
      <c r="DBW19" s="289"/>
      <c r="DBX19" s="289"/>
      <c r="DBY19" s="289"/>
      <c r="DBZ19" s="289"/>
      <c r="DCA19" s="289"/>
      <c r="DCB19" s="289"/>
      <c r="DCC19" s="289"/>
      <c r="DCD19" s="289"/>
      <c r="DCE19" s="289"/>
      <c r="DCF19" s="289"/>
      <c r="DCG19" s="289"/>
      <c r="DCH19" s="289"/>
      <c r="DCI19" s="289"/>
      <c r="DCJ19" s="289"/>
      <c r="DCK19" s="289"/>
      <c r="DCL19" s="289"/>
      <c r="DCM19" s="289"/>
      <c r="DCN19" s="289"/>
      <c r="DCO19" s="289"/>
      <c r="DCP19" s="289"/>
      <c r="DCQ19" s="289"/>
      <c r="DCR19" s="289"/>
      <c r="DCS19" s="289"/>
      <c r="DCT19" s="289"/>
      <c r="DCU19" s="289"/>
      <c r="DCV19" s="289"/>
      <c r="DCW19" s="289"/>
      <c r="DCX19" s="289"/>
      <c r="DCY19" s="289"/>
      <c r="DCZ19" s="289"/>
      <c r="DDA19" s="289"/>
      <c r="DDB19" s="289"/>
      <c r="DDC19" s="289"/>
      <c r="DDD19" s="289"/>
      <c r="DDE19" s="289"/>
      <c r="DDF19" s="289"/>
      <c r="DDG19" s="289"/>
      <c r="DDH19" s="289"/>
      <c r="DDI19" s="289"/>
      <c r="DDJ19" s="289"/>
      <c r="DDK19" s="289"/>
      <c r="DDL19" s="289"/>
      <c r="DDM19" s="289"/>
      <c r="DDN19" s="289"/>
      <c r="DDO19" s="289"/>
      <c r="DDP19" s="289"/>
      <c r="DDQ19" s="289"/>
      <c r="DDR19" s="289"/>
      <c r="DDS19" s="289"/>
      <c r="DDT19" s="289"/>
      <c r="DDU19" s="289"/>
      <c r="DDV19" s="289"/>
      <c r="DDW19" s="289"/>
      <c r="DDX19" s="289"/>
      <c r="DDY19" s="289"/>
      <c r="DDZ19" s="289"/>
      <c r="DEA19" s="289"/>
      <c r="DEB19" s="289"/>
      <c r="DEC19" s="289"/>
      <c r="DED19" s="289"/>
      <c r="DEE19" s="289"/>
      <c r="DEF19" s="289"/>
      <c r="DEG19" s="289"/>
      <c r="DEH19" s="289"/>
      <c r="DEI19" s="289"/>
      <c r="DEJ19" s="289"/>
      <c r="DEK19" s="289"/>
      <c r="DEL19" s="289"/>
      <c r="DEM19" s="289"/>
      <c r="DEN19" s="289"/>
      <c r="DEO19" s="289"/>
      <c r="DEP19" s="289"/>
      <c r="DEQ19" s="289"/>
      <c r="DER19" s="289"/>
      <c r="DES19" s="289"/>
      <c r="DET19" s="289"/>
      <c r="DEU19" s="289"/>
      <c r="DEV19" s="289"/>
      <c r="DEW19" s="289"/>
      <c r="DEX19" s="289"/>
      <c r="DEY19" s="289"/>
      <c r="DEZ19" s="289"/>
      <c r="DFA19" s="289"/>
      <c r="DFB19" s="289"/>
      <c r="DFC19" s="289"/>
      <c r="DFD19" s="289"/>
      <c r="DFE19" s="289"/>
      <c r="DFF19" s="289"/>
      <c r="DFG19" s="289"/>
      <c r="DFH19" s="289"/>
      <c r="DFI19" s="289"/>
      <c r="DFJ19" s="289"/>
      <c r="DFK19" s="289"/>
      <c r="DFL19" s="289"/>
      <c r="DFM19" s="289"/>
      <c r="DFN19" s="289"/>
      <c r="DFO19" s="289"/>
      <c r="DFP19" s="289"/>
      <c r="DFQ19" s="289"/>
      <c r="DFR19" s="289"/>
      <c r="DFS19" s="289"/>
      <c r="DFT19" s="289"/>
      <c r="DFU19" s="289"/>
      <c r="DFV19" s="289"/>
      <c r="DFW19" s="289"/>
      <c r="DFX19" s="289"/>
      <c r="DFY19" s="289"/>
      <c r="DFZ19" s="289"/>
      <c r="DGA19" s="289"/>
      <c r="DGB19" s="289"/>
      <c r="DGC19" s="289"/>
      <c r="DGD19" s="289"/>
      <c r="DGE19" s="289"/>
      <c r="DGF19" s="289"/>
      <c r="DGG19" s="289"/>
      <c r="DGH19" s="289"/>
      <c r="DGI19" s="289"/>
      <c r="DGJ19" s="289"/>
      <c r="DGK19" s="289"/>
      <c r="DGL19" s="289"/>
      <c r="DGM19" s="289"/>
      <c r="DGN19" s="289"/>
      <c r="DGO19" s="289"/>
      <c r="DGP19" s="289"/>
      <c r="DGQ19" s="289"/>
      <c r="DGR19" s="289"/>
      <c r="DGS19" s="289"/>
      <c r="DGT19" s="289"/>
      <c r="DGU19" s="289"/>
      <c r="DGV19" s="289"/>
      <c r="DGW19" s="289"/>
      <c r="DGX19" s="289"/>
      <c r="DGY19" s="289"/>
      <c r="DGZ19" s="289"/>
      <c r="DHA19" s="289"/>
      <c r="DHB19" s="289"/>
      <c r="DHC19" s="289"/>
      <c r="DHD19" s="289"/>
      <c r="DHE19" s="289"/>
      <c r="DHF19" s="289"/>
      <c r="DHG19" s="289"/>
      <c r="DHH19" s="289"/>
      <c r="DHI19" s="289"/>
      <c r="DHJ19" s="289"/>
      <c r="DHK19" s="289"/>
      <c r="DHL19" s="289"/>
      <c r="DHM19" s="289"/>
      <c r="DHN19" s="289"/>
      <c r="DHO19" s="289"/>
      <c r="DHP19" s="289"/>
      <c r="DHQ19" s="289"/>
      <c r="DHR19" s="289"/>
      <c r="DHS19" s="289"/>
      <c r="DHT19" s="289"/>
      <c r="DHU19" s="289"/>
      <c r="DHV19" s="289"/>
      <c r="DHW19" s="289"/>
      <c r="DHX19" s="289"/>
      <c r="DHY19" s="289"/>
      <c r="DHZ19" s="289"/>
      <c r="DIA19" s="289"/>
      <c r="DIB19" s="289"/>
      <c r="DIC19" s="289"/>
      <c r="DID19" s="289"/>
      <c r="DIE19" s="289"/>
      <c r="DIF19" s="289"/>
      <c r="DIG19" s="289"/>
      <c r="DIH19" s="289"/>
      <c r="DII19" s="289"/>
      <c r="DIJ19" s="289"/>
      <c r="DIK19" s="289"/>
      <c r="DIL19" s="289"/>
      <c r="DIM19" s="289"/>
      <c r="DIN19" s="289"/>
      <c r="DIO19" s="289"/>
      <c r="DIP19" s="289"/>
      <c r="DIQ19" s="289"/>
      <c r="DIR19" s="289"/>
      <c r="DIS19" s="289"/>
      <c r="DIT19" s="289"/>
      <c r="DIU19" s="289"/>
      <c r="DIV19" s="289"/>
      <c r="DIW19" s="289"/>
      <c r="DIX19" s="289"/>
      <c r="DIY19" s="289"/>
      <c r="DIZ19" s="289"/>
      <c r="DJA19" s="289"/>
      <c r="DJB19" s="289"/>
      <c r="DJC19" s="289"/>
      <c r="DJD19" s="289"/>
      <c r="DJE19" s="289"/>
      <c r="DJF19" s="289"/>
      <c r="DJG19" s="289"/>
      <c r="DJH19" s="289"/>
      <c r="DJI19" s="289"/>
      <c r="DJJ19" s="289"/>
      <c r="DJK19" s="289"/>
      <c r="DJL19" s="289"/>
      <c r="DJM19" s="289"/>
      <c r="DJN19" s="289"/>
      <c r="DJO19" s="289"/>
      <c r="DJP19" s="289"/>
      <c r="DJQ19" s="289"/>
      <c r="DJR19" s="289"/>
      <c r="DJS19" s="289"/>
      <c r="DJT19" s="289"/>
      <c r="DJU19" s="289"/>
      <c r="DJV19" s="289"/>
      <c r="DJW19" s="289"/>
      <c r="DJX19" s="289"/>
      <c r="DJY19" s="289"/>
      <c r="DJZ19" s="289"/>
      <c r="DKA19" s="289"/>
      <c r="DKB19" s="289"/>
      <c r="DKC19" s="289"/>
      <c r="DKD19" s="289"/>
      <c r="DKE19" s="289"/>
      <c r="DKF19" s="289"/>
      <c r="DKG19" s="289"/>
      <c r="DKH19" s="289"/>
      <c r="DKI19" s="289"/>
      <c r="DKJ19" s="289"/>
      <c r="DKK19" s="289"/>
      <c r="DKL19" s="289"/>
      <c r="DKM19" s="289"/>
      <c r="DKN19" s="289"/>
      <c r="DKO19" s="289"/>
      <c r="DKP19" s="289"/>
      <c r="DKQ19" s="289"/>
      <c r="DKR19" s="289"/>
      <c r="DKS19" s="289"/>
      <c r="DKT19" s="289"/>
      <c r="DKU19" s="289"/>
      <c r="DKV19" s="289"/>
      <c r="DKW19" s="289"/>
      <c r="DKX19" s="289"/>
      <c r="DKY19" s="289"/>
      <c r="DKZ19" s="289"/>
      <c r="DLA19" s="289"/>
      <c r="DLB19" s="289"/>
      <c r="DLC19" s="289"/>
      <c r="DLD19" s="289"/>
      <c r="DLE19" s="289"/>
      <c r="DLF19" s="289"/>
      <c r="DLG19" s="289"/>
      <c r="DLH19" s="289"/>
      <c r="DLI19" s="289"/>
      <c r="DLJ19" s="289"/>
      <c r="DLK19" s="289"/>
      <c r="DLL19" s="289"/>
      <c r="DLM19" s="289"/>
      <c r="DLN19" s="289"/>
      <c r="DLO19" s="289"/>
      <c r="DLP19" s="289"/>
      <c r="DLQ19" s="289"/>
      <c r="DLR19" s="289"/>
      <c r="DLS19" s="289"/>
      <c r="DLT19" s="289"/>
      <c r="DLU19" s="289"/>
      <c r="DLV19" s="289"/>
      <c r="DLW19" s="289"/>
      <c r="DLX19" s="289"/>
      <c r="DLY19" s="289"/>
      <c r="DLZ19" s="289"/>
      <c r="DMA19" s="289"/>
      <c r="DMB19" s="289"/>
      <c r="DMC19" s="289"/>
      <c r="DMD19" s="289"/>
      <c r="DME19" s="289"/>
      <c r="DMF19" s="289"/>
      <c r="DMG19" s="289"/>
      <c r="DMH19" s="289"/>
      <c r="DMI19" s="289"/>
      <c r="DMJ19" s="289"/>
      <c r="DMK19" s="289"/>
      <c r="DML19" s="289"/>
      <c r="DMM19" s="289"/>
      <c r="DMN19" s="289"/>
      <c r="DMO19" s="289"/>
      <c r="DMP19" s="289"/>
      <c r="DMQ19" s="289"/>
      <c r="DMR19" s="289"/>
      <c r="DMS19" s="289"/>
      <c r="DMT19" s="289"/>
      <c r="DMU19" s="289"/>
      <c r="DMV19" s="289"/>
      <c r="DMW19" s="289"/>
      <c r="DMX19" s="289"/>
      <c r="DMY19" s="289"/>
      <c r="DMZ19" s="289"/>
      <c r="DNA19" s="289"/>
      <c r="DNB19" s="289"/>
      <c r="DNC19" s="289"/>
      <c r="DND19" s="289"/>
      <c r="DNE19" s="289"/>
      <c r="DNF19" s="289"/>
      <c r="DNG19" s="289"/>
      <c r="DNH19" s="289"/>
      <c r="DNI19" s="289"/>
      <c r="DNJ19" s="289"/>
      <c r="DNK19" s="289"/>
      <c r="DNL19" s="289"/>
      <c r="DNM19" s="289"/>
      <c r="DNN19" s="289"/>
      <c r="DNO19" s="289"/>
      <c r="DNP19" s="289"/>
      <c r="DNQ19" s="289"/>
      <c r="DNR19" s="289"/>
      <c r="DNS19" s="289"/>
      <c r="DNT19" s="289"/>
      <c r="DNU19" s="289"/>
      <c r="DNV19" s="289"/>
      <c r="DNW19" s="289"/>
      <c r="DNX19" s="289"/>
      <c r="DNY19" s="289"/>
      <c r="DNZ19" s="289"/>
      <c r="DOA19" s="289"/>
      <c r="DOB19" s="289"/>
      <c r="DOC19" s="289"/>
      <c r="DOD19" s="289"/>
      <c r="DOE19" s="289"/>
      <c r="DOF19" s="289"/>
      <c r="DOG19" s="289"/>
      <c r="DOH19" s="289"/>
      <c r="DOI19" s="289"/>
      <c r="DOJ19" s="289"/>
      <c r="DOK19" s="289"/>
      <c r="DOL19" s="289"/>
      <c r="DOM19" s="289"/>
      <c r="DON19" s="289"/>
      <c r="DOO19" s="289"/>
      <c r="DOP19" s="289"/>
      <c r="DOQ19" s="289"/>
      <c r="DOR19" s="289"/>
      <c r="DOS19" s="289"/>
      <c r="DOT19" s="289"/>
      <c r="DOU19" s="289"/>
      <c r="DOV19" s="289"/>
      <c r="DOW19" s="289"/>
      <c r="DOX19" s="289"/>
      <c r="DOY19" s="289"/>
      <c r="DOZ19" s="289"/>
      <c r="DPA19" s="289"/>
      <c r="DPB19" s="289"/>
      <c r="DPC19" s="289"/>
      <c r="DPD19" s="289"/>
      <c r="DPE19" s="289"/>
      <c r="DPF19" s="289"/>
      <c r="DPG19" s="289"/>
      <c r="DPH19" s="289"/>
      <c r="DPI19" s="289"/>
      <c r="DPJ19" s="289"/>
      <c r="DPK19" s="289"/>
      <c r="DPL19" s="289"/>
      <c r="DPM19" s="289"/>
      <c r="DPN19" s="289"/>
      <c r="DPO19" s="289"/>
      <c r="DPP19" s="289"/>
      <c r="DPQ19" s="289"/>
      <c r="DPR19" s="289"/>
      <c r="DPS19" s="289"/>
      <c r="DPT19" s="289"/>
      <c r="DPU19" s="289"/>
      <c r="DPV19" s="289"/>
      <c r="DPW19" s="289"/>
      <c r="DPX19" s="289"/>
      <c r="DPY19" s="289"/>
      <c r="DPZ19" s="289"/>
      <c r="DQA19" s="289"/>
      <c r="DQB19" s="289"/>
      <c r="DQC19" s="289"/>
      <c r="DQD19" s="289"/>
      <c r="DQE19" s="289"/>
      <c r="DQF19" s="289"/>
      <c r="DQG19" s="289"/>
      <c r="DQH19" s="289"/>
      <c r="DQI19" s="289"/>
      <c r="DQJ19" s="289"/>
      <c r="DQK19" s="289"/>
      <c r="DQL19" s="289"/>
      <c r="DQM19" s="289"/>
      <c r="DQN19" s="289"/>
      <c r="DQO19" s="289"/>
      <c r="DQP19" s="289"/>
      <c r="DQQ19" s="289"/>
      <c r="DQR19" s="289"/>
      <c r="DQS19" s="289"/>
      <c r="DQT19" s="289"/>
      <c r="DQU19" s="289"/>
      <c r="DQV19" s="289"/>
      <c r="DQW19" s="289"/>
      <c r="DQX19" s="289"/>
      <c r="DQY19" s="289"/>
      <c r="DQZ19" s="289"/>
      <c r="DRA19" s="289"/>
      <c r="DRB19" s="289"/>
      <c r="DRC19" s="289"/>
      <c r="DRD19" s="289"/>
      <c r="DRE19" s="289"/>
      <c r="DRF19" s="289"/>
      <c r="DRG19" s="289"/>
      <c r="DRH19" s="289"/>
      <c r="DRI19" s="289"/>
      <c r="DRJ19" s="289"/>
      <c r="DRK19" s="289"/>
      <c r="DRL19" s="289"/>
      <c r="DRM19" s="289"/>
      <c r="DRN19" s="289"/>
      <c r="DRO19" s="289"/>
      <c r="DRP19" s="289"/>
      <c r="DRQ19" s="289"/>
      <c r="DRR19" s="289"/>
      <c r="DRS19" s="289"/>
      <c r="DRT19" s="289"/>
      <c r="DRU19" s="289"/>
      <c r="DRV19" s="289"/>
      <c r="DRW19" s="289"/>
      <c r="DRX19" s="289"/>
      <c r="DRY19" s="289"/>
      <c r="DRZ19" s="289"/>
      <c r="DSA19" s="289"/>
      <c r="DSB19" s="289"/>
      <c r="DSC19" s="289"/>
      <c r="DSD19" s="289"/>
      <c r="DSE19" s="289"/>
      <c r="DSF19" s="289"/>
      <c r="DSG19" s="289"/>
      <c r="DSH19" s="289"/>
      <c r="DSI19" s="289"/>
      <c r="DSJ19" s="289"/>
      <c r="DSK19" s="289"/>
      <c r="DSL19" s="289"/>
      <c r="DSM19" s="289"/>
      <c r="DSN19" s="289"/>
      <c r="DSO19" s="289"/>
      <c r="DSP19" s="289"/>
      <c r="DSQ19" s="289"/>
      <c r="DSR19" s="289"/>
      <c r="DSS19" s="289"/>
      <c r="DST19" s="289"/>
      <c r="DSU19" s="289"/>
      <c r="DSV19" s="289"/>
      <c r="DSW19" s="289"/>
      <c r="DSX19" s="289"/>
      <c r="DSY19" s="289"/>
      <c r="DSZ19" s="289"/>
      <c r="DTA19" s="289"/>
      <c r="DTB19" s="289"/>
      <c r="DTC19" s="289"/>
      <c r="DTD19" s="289"/>
      <c r="DTE19" s="289"/>
      <c r="DTF19" s="289"/>
      <c r="DTG19" s="289"/>
      <c r="DTH19" s="289"/>
      <c r="DTI19" s="289"/>
      <c r="DTJ19" s="289"/>
      <c r="DTK19" s="289"/>
      <c r="DTL19" s="289"/>
      <c r="DTM19" s="289"/>
      <c r="DTN19" s="289"/>
      <c r="DTO19" s="289"/>
      <c r="DTP19" s="289"/>
      <c r="DTQ19" s="289"/>
      <c r="DTR19" s="289"/>
      <c r="DTS19" s="289"/>
      <c r="DTT19" s="289"/>
      <c r="DTU19" s="289"/>
      <c r="DTV19" s="289"/>
      <c r="DTW19" s="289"/>
      <c r="DTX19" s="289"/>
      <c r="DTY19" s="289"/>
      <c r="DTZ19" s="289"/>
      <c r="DUA19" s="289"/>
      <c r="DUB19" s="289"/>
      <c r="DUC19" s="289"/>
      <c r="DUD19" s="289"/>
      <c r="DUE19" s="289"/>
      <c r="DUF19" s="289"/>
      <c r="DUG19" s="289"/>
      <c r="DUH19" s="289"/>
      <c r="DUI19" s="289"/>
      <c r="DUJ19" s="289"/>
      <c r="DUK19" s="289"/>
      <c r="DUL19" s="289"/>
      <c r="DUM19" s="289"/>
      <c r="DUN19" s="289"/>
      <c r="DUO19" s="289"/>
      <c r="DUP19" s="289"/>
      <c r="DUQ19" s="289"/>
      <c r="DUR19" s="289"/>
      <c r="DUS19" s="289"/>
      <c r="DUT19" s="289"/>
      <c r="DUU19" s="289"/>
      <c r="DUV19" s="289"/>
      <c r="DUW19" s="289"/>
      <c r="DUX19" s="289"/>
      <c r="DUY19" s="289"/>
      <c r="DUZ19" s="289"/>
      <c r="DVA19" s="289"/>
      <c r="DVB19" s="289"/>
      <c r="DVC19" s="289"/>
      <c r="DVD19" s="289"/>
      <c r="DVE19" s="289"/>
      <c r="DVF19" s="289"/>
      <c r="DVG19" s="289"/>
      <c r="DVH19" s="289"/>
      <c r="DVI19" s="289"/>
      <c r="DVJ19" s="289"/>
      <c r="DVK19" s="289"/>
      <c r="DVL19" s="289"/>
      <c r="DVM19" s="289"/>
      <c r="DVN19" s="289"/>
      <c r="DVO19" s="289"/>
      <c r="DVP19" s="289"/>
      <c r="DVQ19" s="289"/>
      <c r="DVR19" s="289"/>
      <c r="DVS19" s="289"/>
      <c r="DVT19" s="289"/>
      <c r="DVU19" s="289"/>
      <c r="DVV19" s="289"/>
      <c r="DVW19" s="289"/>
      <c r="DVX19" s="289"/>
      <c r="DVY19" s="289"/>
      <c r="DVZ19" s="289"/>
      <c r="DWA19" s="289"/>
      <c r="DWB19" s="289"/>
      <c r="DWC19" s="289"/>
      <c r="DWD19" s="289"/>
      <c r="DWE19" s="289"/>
      <c r="DWF19" s="289"/>
      <c r="DWG19" s="289"/>
      <c r="DWH19" s="289"/>
      <c r="DWI19" s="289"/>
      <c r="DWJ19" s="289"/>
      <c r="DWK19" s="289"/>
      <c r="DWL19" s="289"/>
      <c r="DWM19" s="289"/>
      <c r="DWN19" s="289"/>
      <c r="DWO19" s="289"/>
      <c r="DWP19" s="289"/>
      <c r="DWQ19" s="289"/>
      <c r="DWR19" s="289"/>
      <c r="DWS19" s="289"/>
      <c r="DWT19" s="289"/>
      <c r="DWU19" s="289"/>
      <c r="DWV19" s="289"/>
      <c r="DWW19" s="289"/>
      <c r="DWX19" s="289"/>
      <c r="DWY19" s="289"/>
      <c r="DWZ19" s="289"/>
      <c r="DXA19" s="289"/>
      <c r="DXB19" s="289"/>
      <c r="DXC19" s="289"/>
      <c r="DXD19" s="289"/>
      <c r="DXE19" s="289"/>
      <c r="DXF19" s="289"/>
      <c r="DXG19" s="289"/>
      <c r="DXH19" s="289"/>
      <c r="DXI19" s="289"/>
      <c r="DXJ19" s="289"/>
      <c r="DXK19" s="289"/>
      <c r="DXL19" s="289"/>
      <c r="DXM19" s="289"/>
      <c r="DXN19" s="289"/>
      <c r="DXO19" s="289"/>
      <c r="DXP19" s="289"/>
      <c r="DXQ19" s="289"/>
      <c r="DXR19" s="289"/>
      <c r="DXS19" s="289"/>
      <c r="DXT19" s="289"/>
      <c r="DXU19" s="289"/>
      <c r="DXV19" s="289"/>
      <c r="DXW19" s="289"/>
      <c r="DXX19" s="289"/>
      <c r="DXY19" s="289"/>
      <c r="DXZ19" s="289"/>
      <c r="DYA19" s="289"/>
      <c r="DYB19" s="289"/>
      <c r="DYC19" s="289"/>
      <c r="DYD19" s="289"/>
      <c r="DYE19" s="289"/>
      <c r="DYF19" s="289"/>
      <c r="DYG19" s="289"/>
      <c r="DYH19" s="289"/>
      <c r="DYI19" s="289"/>
      <c r="DYJ19" s="289"/>
      <c r="DYK19" s="289"/>
      <c r="DYL19" s="289"/>
      <c r="DYM19" s="289"/>
      <c r="DYN19" s="289"/>
      <c r="DYO19" s="289"/>
      <c r="DYP19" s="289"/>
      <c r="DYQ19" s="289"/>
      <c r="DYR19" s="289"/>
      <c r="DYS19" s="289"/>
      <c r="DYT19" s="289"/>
      <c r="DYU19" s="289"/>
      <c r="DYV19" s="289"/>
      <c r="DYW19" s="289"/>
      <c r="DYX19" s="289"/>
      <c r="DYY19" s="289"/>
      <c r="DYZ19" s="289"/>
      <c r="DZA19" s="289"/>
      <c r="DZB19" s="289"/>
      <c r="DZC19" s="289"/>
      <c r="DZD19" s="289"/>
      <c r="DZE19" s="289"/>
      <c r="DZF19" s="289"/>
      <c r="DZG19" s="289"/>
      <c r="DZH19" s="289"/>
      <c r="DZI19" s="289"/>
      <c r="DZJ19" s="289"/>
      <c r="DZK19" s="289"/>
      <c r="DZL19" s="289"/>
      <c r="DZM19" s="289"/>
      <c r="DZN19" s="289"/>
      <c r="DZO19" s="289"/>
      <c r="DZP19" s="289"/>
      <c r="DZQ19" s="289"/>
      <c r="DZR19" s="289"/>
      <c r="DZS19" s="289"/>
      <c r="DZT19" s="289"/>
      <c r="DZU19" s="289"/>
      <c r="DZV19" s="289"/>
      <c r="DZW19" s="289"/>
      <c r="DZX19" s="289"/>
      <c r="DZY19" s="289"/>
      <c r="DZZ19" s="289"/>
      <c r="EAA19" s="289"/>
      <c r="EAB19" s="289"/>
      <c r="EAC19" s="289"/>
      <c r="EAD19" s="289"/>
      <c r="EAE19" s="289"/>
      <c r="EAF19" s="289"/>
      <c r="EAG19" s="289"/>
      <c r="EAH19" s="289"/>
      <c r="EAI19" s="289"/>
      <c r="EAJ19" s="289"/>
      <c r="EAK19" s="289"/>
      <c r="EAL19" s="289"/>
      <c r="EAM19" s="289"/>
      <c r="EAN19" s="289"/>
      <c r="EAO19" s="289"/>
      <c r="EAP19" s="289"/>
      <c r="EAQ19" s="289"/>
      <c r="EAR19" s="289"/>
      <c r="EAS19" s="289"/>
      <c r="EAT19" s="289"/>
      <c r="EAU19" s="289"/>
      <c r="EAV19" s="289"/>
      <c r="EAW19" s="289"/>
      <c r="EAX19" s="289"/>
      <c r="EAY19" s="289"/>
      <c r="EAZ19" s="289"/>
      <c r="EBA19" s="289"/>
      <c r="EBB19" s="289"/>
      <c r="EBC19" s="289"/>
      <c r="EBD19" s="289"/>
      <c r="EBE19" s="289"/>
      <c r="EBF19" s="289"/>
      <c r="EBG19" s="289"/>
      <c r="EBH19" s="289"/>
      <c r="EBI19" s="289"/>
      <c r="EBJ19" s="289"/>
      <c r="EBK19" s="289"/>
      <c r="EBL19" s="289"/>
      <c r="EBM19" s="289"/>
      <c r="EBN19" s="289"/>
      <c r="EBO19" s="289"/>
      <c r="EBP19" s="289"/>
      <c r="EBQ19" s="289"/>
      <c r="EBR19" s="289"/>
      <c r="EBS19" s="289"/>
      <c r="EBT19" s="289"/>
      <c r="EBU19" s="289"/>
      <c r="EBV19" s="289"/>
      <c r="EBW19" s="289"/>
      <c r="EBX19" s="289"/>
      <c r="EBY19" s="289"/>
      <c r="EBZ19" s="289"/>
      <c r="ECA19" s="289"/>
      <c r="ECB19" s="289"/>
      <c r="ECC19" s="289"/>
      <c r="ECD19" s="289"/>
      <c r="ECE19" s="289"/>
      <c r="ECF19" s="289"/>
      <c r="ECG19" s="289"/>
      <c r="ECH19" s="289"/>
      <c r="ECI19" s="289"/>
      <c r="ECJ19" s="289"/>
      <c r="ECK19" s="289"/>
      <c r="ECL19" s="289"/>
      <c r="ECM19" s="289"/>
      <c r="ECN19" s="289"/>
      <c r="ECO19" s="289"/>
      <c r="ECP19" s="289"/>
      <c r="ECQ19" s="289"/>
      <c r="ECR19" s="289"/>
      <c r="ECS19" s="289"/>
      <c r="ECT19" s="289"/>
      <c r="ECU19" s="289"/>
      <c r="ECV19" s="289"/>
      <c r="ECW19" s="289"/>
      <c r="ECX19" s="289"/>
      <c r="ECY19" s="289"/>
      <c r="ECZ19" s="289"/>
      <c r="EDA19" s="289"/>
      <c r="EDB19" s="289"/>
      <c r="EDC19" s="289"/>
      <c r="EDD19" s="289"/>
      <c r="EDE19" s="289"/>
      <c r="EDF19" s="289"/>
      <c r="EDG19" s="289"/>
      <c r="EDH19" s="289"/>
      <c r="EDI19" s="289"/>
      <c r="EDJ19" s="289"/>
      <c r="EDK19" s="289"/>
      <c r="EDL19" s="289"/>
      <c r="EDM19" s="289"/>
      <c r="EDN19" s="289"/>
      <c r="EDO19" s="289"/>
      <c r="EDP19" s="289"/>
      <c r="EDQ19" s="289"/>
      <c r="EDR19" s="289"/>
      <c r="EDS19" s="289"/>
      <c r="EDT19" s="289"/>
      <c r="EDU19" s="289"/>
      <c r="EDV19" s="289"/>
      <c r="EDW19" s="289"/>
      <c r="EDX19" s="289"/>
      <c r="EDY19" s="289"/>
      <c r="EDZ19" s="289"/>
      <c r="EEA19" s="289"/>
      <c r="EEB19" s="289"/>
      <c r="EEC19" s="289"/>
      <c r="EED19" s="289"/>
      <c r="EEE19" s="289"/>
      <c r="EEF19" s="289"/>
      <c r="EEG19" s="289"/>
      <c r="EEH19" s="289"/>
      <c r="EEI19" s="289"/>
      <c r="EEJ19" s="289"/>
      <c r="EEK19" s="289"/>
      <c r="EEL19" s="289"/>
      <c r="EEM19" s="289"/>
      <c r="EEN19" s="289"/>
      <c r="EEO19" s="289"/>
      <c r="EEP19" s="289"/>
      <c r="EEQ19" s="289"/>
      <c r="EER19" s="289"/>
      <c r="EES19" s="289"/>
      <c r="EET19" s="289"/>
      <c r="EEU19" s="289"/>
      <c r="EEV19" s="289"/>
      <c r="EEW19" s="289"/>
      <c r="EEX19" s="289"/>
      <c r="EEY19" s="289"/>
      <c r="EEZ19" s="289"/>
      <c r="EFA19" s="289"/>
      <c r="EFB19" s="289"/>
      <c r="EFC19" s="289"/>
      <c r="EFD19" s="289"/>
      <c r="EFE19" s="289"/>
      <c r="EFF19" s="289"/>
      <c r="EFG19" s="289"/>
      <c r="EFH19" s="289"/>
      <c r="EFI19" s="289"/>
      <c r="EFJ19" s="289"/>
      <c r="EFK19" s="289"/>
      <c r="EFL19" s="289"/>
      <c r="EFM19" s="289"/>
      <c r="EFN19" s="289"/>
      <c r="EFO19" s="289"/>
      <c r="EFP19" s="289"/>
      <c r="EFQ19" s="289"/>
      <c r="EFR19" s="289"/>
      <c r="EFS19" s="289"/>
      <c r="EFT19" s="289"/>
      <c r="EFU19" s="289"/>
      <c r="EFV19" s="289"/>
      <c r="EFW19" s="289"/>
      <c r="EFX19" s="289"/>
      <c r="EFY19" s="289"/>
      <c r="EFZ19" s="289"/>
      <c r="EGA19" s="289"/>
      <c r="EGB19" s="289"/>
      <c r="EGC19" s="289"/>
      <c r="EGD19" s="289"/>
      <c r="EGE19" s="289"/>
      <c r="EGF19" s="289"/>
      <c r="EGG19" s="289"/>
      <c r="EGH19" s="289"/>
      <c r="EGI19" s="289"/>
      <c r="EGJ19" s="289"/>
      <c r="EGK19" s="289"/>
      <c r="EGL19" s="289"/>
      <c r="EGM19" s="289"/>
      <c r="EGN19" s="289"/>
      <c r="EGO19" s="289"/>
      <c r="EGP19" s="289"/>
      <c r="EGQ19" s="289"/>
      <c r="EGR19" s="289"/>
      <c r="EGS19" s="289"/>
      <c r="EGT19" s="289"/>
      <c r="EGU19" s="289"/>
      <c r="EGV19" s="289"/>
      <c r="EGW19" s="289"/>
      <c r="EGX19" s="289"/>
      <c r="EGY19" s="289"/>
      <c r="EGZ19" s="289"/>
      <c r="EHA19" s="289"/>
      <c r="EHB19" s="289"/>
      <c r="EHC19" s="289"/>
      <c r="EHD19" s="289"/>
      <c r="EHE19" s="289"/>
      <c r="EHF19" s="289"/>
      <c r="EHG19" s="289"/>
      <c r="EHH19" s="289"/>
      <c r="EHI19" s="289"/>
      <c r="EHJ19" s="289"/>
      <c r="EHK19" s="289"/>
      <c r="EHL19" s="289"/>
      <c r="EHM19" s="289"/>
      <c r="EHN19" s="289"/>
      <c r="EHO19" s="289"/>
      <c r="EHP19" s="289"/>
      <c r="EHQ19" s="289"/>
      <c r="EHR19" s="289"/>
      <c r="EHS19" s="289"/>
      <c r="EHT19" s="289"/>
      <c r="EHU19" s="289"/>
      <c r="EHV19" s="289"/>
      <c r="EHW19" s="289"/>
      <c r="EHX19" s="289"/>
      <c r="EHY19" s="289"/>
      <c r="EHZ19" s="289"/>
      <c r="EIA19" s="289"/>
      <c r="EIB19" s="289"/>
      <c r="EIC19" s="289"/>
      <c r="EID19" s="289"/>
      <c r="EIE19" s="289"/>
      <c r="EIF19" s="289"/>
      <c r="EIG19" s="289"/>
      <c r="EIH19" s="289"/>
      <c r="EII19" s="289"/>
      <c r="EIJ19" s="289"/>
      <c r="EIK19" s="289"/>
      <c r="EIL19" s="289"/>
      <c r="EIM19" s="289"/>
      <c r="EIN19" s="289"/>
      <c r="EIO19" s="289"/>
      <c r="EIP19" s="289"/>
      <c r="EIQ19" s="289"/>
      <c r="EIR19" s="289"/>
      <c r="EIS19" s="289"/>
      <c r="EIT19" s="289"/>
      <c r="EIU19" s="289"/>
      <c r="EIV19" s="289"/>
      <c r="EIW19" s="289"/>
      <c r="EIX19" s="289"/>
      <c r="EIY19" s="289"/>
      <c r="EIZ19" s="289"/>
      <c r="EJA19" s="289"/>
      <c r="EJB19" s="289"/>
      <c r="EJC19" s="289"/>
      <c r="EJD19" s="289"/>
      <c r="EJE19" s="289"/>
      <c r="EJF19" s="289"/>
      <c r="EJG19" s="289"/>
      <c r="EJH19" s="289"/>
      <c r="EJI19" s="289"/>
      <c r="EJJ19" s="289"/>
      <c r="EJK19" s="289"/>
      <c r="EJL19" s="289"/>
      <c r="EJM19" s="289"/>
      <c r="EJN19" s="289"/>
      <c r="EJO19" s="289"/>
      <c r="EJP19" s="289"/>
      <c r="EJQ19" s="289"/>
      <c r="EJR19" s="289"/>
      <c r="EJS19" s="289"/>
      <c r="EJT19" s="289"/>
      <c r="EJU19" s="289"/>
      <c r="EJV19" s="289"/>
      <c r="EJW19" s="289"/>
      <c r="EJX19" s="289"/>
      <c r="EJY19" s="289"/>
      <c r="EJZ19" s="289"/>
      <c r="EKA19" s="289"/>
      <c r="EKB19" s="289"/>
      <c r="EKC19" s="289"/>
      <c r="EKD19" s="289"/>
      <c r="EKE19" s="289"/>
      <c r="EKF19" s="289"/>
      <c r="EKG19" s="289"/>
      <c r="EKH19" s="289"/>
      <c r="EKI19" s="289"/>
      <c r="EKJ19" s="289"/>
      <c r="EKK19" s="289"/>
      <c r="EKL19" s="289"/>
      <c r="EKM19" s="289"/>
      <c r="EKN19" s="289"/>
      <c r="EKO19" s="289"/>
      <c r="EKP19" s="289"/>
      <c r="EKQ19" s="289"/>
      <c r="EKR19" s="289"/>
      <c r="EKS19" s="289"/>
      <c r="EKT19" s="289"/>
      <c r="EKU19" s="289"/>
      <c r="EKV19" s="289"/>
      <c r="EKW19" s="289"/>
      <c r="EKX19" s="289"/>
      <c r="EKY19" s="289"/>
      <c r="EKZ19" s="289"/>
      <c r="ELA19" s="289"/>
      <c r="ELB19" s="289"/>
      <c r="ELC19" s="289"/>
      <c r="ELD19" s="289"/>
      <c r="ELE19" s="289"/>
      <c r="ELF19" s="289"/>
      <c r="ELG19" s="289"/>
      <c r="ELH19" s="289"/>
      <c r="ELI19" s="289"/>
      <c r="ELJ19" s="289"/>
      <c r="ELK19" s="289"/>
      <c r="ELL19" s="289"/>
      <c r="ELM19" s="289"/>
      <c r="ELN19" s="289"/>
      <c r="ELO19" s="289"/>
      <c r="ELP19" s="289"/>
      <c r="ELQ19" s="289"/>
      <c r="ELR19" s="289"/>
      <c r="ELS19" s="289"/>
      <c r="ELT19" s="289"/>
      <c r="ELU19" s="289"/>
      <c r="ELV19" s="289"/>
      <c r="ELW19" s="289"/>
      <c r="ELX19" s="289"/>
      <c r="ELY19" s="289"/>
      <c r="ELZ19" s="289"/>
      <c r="EMA19" s="289"/>
      <c r="EMB19" s="289"/>
      <c r="EMC19" s="289"/>
      <c r="EMD19" s="289"/>
      <c r="EME19" s="289"/>
      <c r="EMF19" s="289"/>
      <c r="EMG19" s="289"/>
      <c r="EMH19" s="289"/>
      <c r="EMI19" s="289"/>
      <c r="EMJ19" s="289"/>
      <c r="EMK19" s="289"/>
      <c r="EML19" s="289"/>
      <c r="EMM19" s="289"/>
      <c r="EMN19" s="289"/>
      <c r="EMO19" s="289"/>
      <c r="EMP19" s="289"/>
      <c r="EMQ19" s="289"/>
      <c r="EMR19" s="289"/>
      <c r="EMS19" s="289"/>
      <c r="EMT19" s="289"/>
      <c r="EMU19" s="289"/>
      <c r="EMV19" s="289"/>
      <c r="EMW19" s="289"/>
      <c r="EMX19" s="289"/>
      <c r="EMY19" s="289"/>
      <c r="EMZ19" s="289"/>
      <c r="ENA19" s="289"/>
      <c r="ENB19" s="289"/>
      <c r="ENC19" s="289"/>
      <c r="END19" s="289"/>
      <c r="ENE19" s="289"/>
      <c r="ENF19" s="289"/>
      <c r="ENG19" s="289"/>
      <c r="ENH19" s="289"/>
      <c r="ENI19" s="289"/>
      <c r="ENJ19" s="289"/>
      <c r="ENK19" s="289"/>
      <c r="ENL19" s="289"/>
      <c r="ENM19" s="289"/>
      <c r="ENN19" s="289"/>
      <c r="ENO19" s="289"/>
      <c r="ENP19" s="289"/>
      <c r="ENQ19" s="289"/>
      <c r="ENR19" s="289"/>
      <c r="ENS19" s="289"/>
      <c r="ENT19" s="289"/>
      <c r="ENU19" s="289"/>
      <c r="ENV19" s="289"/>
      <c r="ENW19" s="289"/>
      <c r="ENX19" s="289"/>
      <c r="ENY19" s="289"/>
      <c r="ENZ19" s="289"/>
      <c r="EOA19" s="289"/>
      <c r="EOB19" s="289"/>
      <c r="EOC19" s="289"/>
      <c r="EOD19" s="289"/>
      <c r="EOE19" s="289"/>
      <c r="EOF19" s="289"/>
      <c r="EOG19" s="289"/>
      <c r="EOH19" s="289"/>
      <c r="EOI19" s="289"/>
      <c r="EOJ19" s="289"/>
      <c r="EOK19" s="289"/>
      <c r="EOL19" s="289"/>
      <c r="EOM19" s="289"/>
      <c r="EON19" s="289"/>
      <c r="EOO19" s="289"/>
      <c r="EOP19" s="289"/>
      <c r="EOQ19" s="289"/>
      <c r="EOR19" s="289"/>
      <c r="EOS19" s="289"/>
      <c r="EOT19" s="289"/>
      <c r="EOU19" s="289"/>
      <c r="EOV19" s="289"/>
      <c r="EOW19" s="289"/>
      <c r="EOX19" s="289"/>
      <c r="EOY19" s="289"/>
      <c r="EOZ19" s="289"/>
      <c r="EPA19" s="289"/>
      <c r="EPB19" s="289"/>
      <c r="EPC19" s="289"/>
      <c r="EPD19" s="289"/>
      <c r="EPE19" s="289"/>
      <c r="EPF19" s="289"/>
      <c r="EPG19" s="289"/>
      <c r="EPH19" s="289"/>
      <c r="EPI19" s="289"/>
      <c r="EPJ19" s="289"/>
      <c r="EPK19" s="289"/>
      <c r="EPL19" s="289"/>
      <c r="EPM19" s="289"/>
      <c r="EPN19" s="289"/>
      <c r="EPO19" s="289"/>
      <c r="EPP19" s="289"/>
      <c r="EPQ19" s="289"/>
      <c r="EPR19" s="289"/>
      <c r="EPS19" s="289"/>
      <c r="EPT19" s="289"/>
      <c r="EPU19" s="289"/>
      <c r="EPV19" s="289"/>
      <c r="EPW19" s="289"/>
      <c r="EPX19" s="289"/>
      <c r="EPY19" s="289"/>
      <c r="EPZ19" s="289"/>
      <c r="EQA19" s="289"/>
      <c r="EQB19" s="289"/>
      <c r="EQC19" s="289"/>
      <c r="EQD19" s="289"/>
      <c r="EQE19" s="289"/>
      <c r="EQF19" s="289"/>
      <c r="EQG19" s="289"/>
      <c r="EQH19" s="289"/>
      <c r="EQI19" s="289"/>
      <c r="EQJ19" s="289"/>
      <c r="EQK19" s="289"/>
      <c r="EQL19" s="289"/>
      <c r="EQM19" s="289"/>
      <c r="EQN19" s="289"/>
      <c r="EQO19" s="289"/>
      <c r="EQP19" s="289"/>
      <c r="EQQ19" s="289"/>
      <c r="EQR19" s="289"/>
      <c r="EQS19" s="289"/>
      <c r="EQT19" s="289"/>
      <c r="EQU19" s="289"/>
      <c r="EQV19" s="289"/>
      <c r="EQW19" s="289"/>
      <c r="EQX19" s="289"/>
      <c r="EQY19" s="289"/>
      <c r="EQZ19" s="289"/>
      <c r="ERA19" s="289"/>
      <c r="ERB19" s="289"/>
      <c r="ERC19" s="289"/>
      <c r="ERD19" s="289"/>
      <c r="ERE19" s="289"/>
      <c r="ERF19" s="289"/>
      <c r="ERG19" s="289"/>
      <c r="ERH19" s="289"/>
      <c r="ERI19" s="289"/>
      <c r="ERJ19" s="289"/>
      <c r="ERK19" s="289"/>
      <c r="ERL19" s="289"/>
      <c r="ERM19" s="289"/>
      <c r="ERN19" s="289"/>
      <c r="ERO19" s="289"/>
      <c r="ERP19" s="289"/>
      <c r="ERQ19" s="289"/>
      <c r="ERR19" s="289"/>
      <c r="ERS19" s="289"/>
      <c r="ERT19" s="289"/>
      <c r="ERU19" s="289"/>
      <c r="ERV19" s="289"/>
      <c r="ERW19" s="289"/>
      <c r="ERX19" s="289"/>
      <c r="ERY19" s="289"/>
      <c r="ERZ19" s="289"/>
      <c r="ESA19" s="289"/>
      <c r="ESB19" s="289"/>
      <c r="ESC19" s="289"/>
      <c r="ESD19" s="289"/>
      <c r="ESE19" s="289"/>
      <c r="ESF19" s="289"/>
      <c r="ESG19" s="289"/>
      <c r="ESH19" s="289"/>
      <c r="ESI19" s="289"/>
      <c r="ESJ19" s="289"/>
      <c r="ESK19" s="289"/>
      <c r="ESL19" s="289"/>
      <c r="ESM19" s="289"/>
      <c r="ESN19" s="289"/>
      <c r="ESO19" s="289"/>
      <c r="ESP19" s="289"/>
      <c r="ESQ19" s="289"/>
      <c r="ESR19" s="289"/>
      <c r="ESS19" s="289"/>
      <c r="EST19" s="289"/>
      <c r="ESU19" s="289"/>
      <c r="ESV19" s="289"/>
      <c r="ESW19" s="289"/>
      <c r="ESX19" s="289"/>
      <c r="ESY19" s="289"/>
      <c r="ESZ19" s="289"/>
      <c r="ETA19" s="289"/>
      <c r="ETB19" s="289"/>
      <c r="ETC19" s="289"/>
      <c r="ETD19" s="289"/>
      <c r="ETE19" s="289"/>
      <c r="ETF19" s="289"/>
      <c r="ETG19" s="289"/>
      <c r="ETH19" s="289"/>
      <c r="ETI19" s="289"/>
      <c r="ETJ19" s="289"/>
      <c r="ETK19" s="289"/>
      <c r="ETL19" s="289"/>
      <c r="ETM19" s="289"/>
      <c r="ETN19" s="289"/>
      <c r="ETO19" s="289"/>
      <c r="ETP19" s="289"/>
      <c r="ETQ19" s="289"/>
      <c r="ETR19" s="289"/>
      <c r="ETS19" s="289"/>
      <c r="ETT19" s="289"/>
      <c r="ETU19" s="289"/>
      <c r="ETV19" s="289"/>
      <c r="ETW19" s="289"/>
      <c r="ETX19" s="289"/>
      <c r="ETY19" s="289"/>
      <c r="ETZ19" s="289"/>
      <c r="EUA19" s="289"/>
      <c r="EUB19" s="289"/>
      <c r="EUC19" s="289"/>
      <c r="EUD19" s="289"/>
      <c r="EUE19" s="289"/>
      <c r="EUF19" s="289"/>
      <c r="EUG19" s="289"/>
      <c r="EUH19" s="289"/>
      <c r="EUI19" s="289"/>
      <c r="EUJ19" s="289"/>
      <c r="EUK19" s="289"/>
      <c r="EUL19" s="289"/>
      <c r="EUM19" s="289"/>
      <c r="EUN19" s="289"/>
      <c r="EUO19" s="289"/>
      <c r="EUP19" s="289"/>
      <c r="EUQ19" s="289"/>
      <c r="EUR19" s="289"/>
      <c r="EUS19" s="289"/>
      <c r="EUT19" s="289"/>
      <c r="EUU19" s="289"/>
      <c r="EUV19" s="289"/>
      <c r="EUW19" s="289"/>
      <c r="EUX19" s="289"/>
      <c r="EUY19" s="289"/>
      <c r="EUZ19" s="289"/>
      <c r="EVA19" s="289"/>
      <c r="EVB19" s="289"/>
      <c r="EVC19" s="289"/>
      <c r="EVD19" s="289"/>
      <c r="EVE19" s="289"/>
      <c r="EVF19" s="289"/>
      <c r="EVG19" s="289"/>
      <c r="EVH19" s="289"/>
      <c r="EVI19" s="289"/>
      <c r="EVJ19" s="289"/>
      <c r="EVK19" s="289"/>
      <c r="EVL19" s="289"/>
      <c r="EVM19" s="289"/>
      <c r="EVN19" s="289"/>
      <c r="EVO19" s="289"/>
      <c r="EVP19" s="289"/>
      <c r="EVQ19" s="289"/>
      <c r="EVR19" s="289"/>
      <c r="EVS19" s="289"/>
      <c r="EVT19" s="289"/>
      <c r="EVU19" s="289"/>
      <c r="EVV19" s="289"/>
      <c r="EVW19" s="289"/>
      <c r="EVX19" s="289"/>
      <c r="EVY19" s="289"/>
      <c r="EVZ19" s="289"/>
      <c r="EWA19" s="289"/>
      <c r="EWB19" s="289"/>
      <c r="EWC19" s="289"/>
      <c r="EWD19" s="289"/>
      <c r="EWE19" s="289"/>
      <c r="EWF19" s="289"/>
      <c r="EWG19" s="289"/>
      <c r="EWH19" s="289"/>
      <c r="EWI19" s="289"/>
      <c r="EWJ19" s="289"/>
      <c r="EWK19" s="289"/>
      <c r="EWL19" s="289"/>
      <c r="EWM19" s="289"/>
      <c r="EWN19" s="289"/>
      <c r="EWO19" s="289"/>
      <c r="EWP19" s="289"/>
      <c r="EWQ19" s="289"/>
      <c r="EWR19" s="289"/>
      <c r="EWS19" s="289"/>
      <c r="EWT19" s="289"/>
      <c r="EWU19" s="289"/>
      <c r="EWV19" s="289"/>
      <c r="EWW19" s="289"/>
      <c r="EWX19" s="289"/>
      <c r="EWY19" s="289"/>
      <c r="EWZ19" s="289"/>
      <c r="EXA19" s="289"/>
      <c r="EXB19" s="289"/>
      <c r="EXC19" s="289"/>
      <c r="EXD19" s="289"/>
      <c r="EXE19" s="289"/>
      <c r="EXF19" s="289"/>
      <c r="EXG19" s="289"/>
      <c r="EXH19" s="289"/>
      <c r="EXI19" s="289"/>
      <c r="EXJ19" s="289"/>
      <c r="EXK19" s="289"/>
      <c r="EXL19" s="289"/>
      <c r="EXM19" s="289"/>
      <c r="EXN19" s="289"/>
      <c r="EXO19" s="289"/>
      <c r="EXP19" s="289"/>
      <c r="EXQ19" s="289"/>
      <c r="EXR19" s="289"/>
      <c r="EXS19" s="289"/>
      <c r="EXT19" s="289"/>
      <c r="EXU19" s="289"/>
      <c r="EXV19" s="289"/>
      <c r="EXW19" s="289"/>
      <c r="EXX19" s="289"/>
      <c r="EXY19" s="289"/>
      <c r="EXZ19" s="289"/>
      <c r="EYA19" s="289"/>
      <c r="EYB19" s="289"/>
      <c r="EYC19" s="289"/>
      <c r="EYD19" s="289"/>
      <c r="EYE19" s="289"/>
      <c r="EYF19" s="289"/>
      <c r="EYG19" s="289"/>
      <c r="EYH19" s="289"/>
      <c r="EYI19" s="289"/>
      <c r="EYJ19" s="289"/>
      <c r="EYK19" s="289"/>
      <c r="EYL19" s="289"/>
      <c r="EYM19" s="289"/>
      <c r="EYN19" s="289"/>
      <c r="EYO19" s="289"/>
      <c r="EYP19" s="289"/>
      <c r="EYQ19" s="289"/>
      <c r="EYR19" s="289"/>
      <c r="EYS19" s="289"/>
      <c r="EYT19" s="289"/>
      <c r="EYU19" s="289"/>
      <c r="EYV19" s="289"/>
      <c r="EYW19" s="289"/>
      <c r="EYX19" s="289"/>
      <c r="EYY19" s="289"/>
      <c r="EYZ19" s="289"/>
      <c r="EZA19" s="289"/>
      <c r="EZB19" s="289"/>
      <c r="EZC19" s="289"/>
      <c r="EZD19" s="289"/>
      <c r="EZE19" s="289"/>
      <c r="EZF19" s="289"/>
      <c r="EZG19" s="289"/>
      <c r="EZH19" s="289"/>
      <c r="EZI19" s="289"/>
      <c r="EZJ19" s="289"/>
      <c r="EZK19" s="289"/>
      <c r="EZL19" s="289"/>
      <c r="EZM19" s="289"/>
      <c r="EZN19" s="289"/>
      <c r="EZO19" s="289"/>
      <c r="EZP19" s="289"/>
      <c r="EZQ19" s="289"/>
      <c r="EZR19" s="289"/>
      <c r="EZS19" s="289"/>
      <c r="EZT19" s="289"/>
      <c r="EZU19" s="289"/>
      <c r="EZV19" s="289"/>
      <c r="EZW19" s="289"/>
      <c r="EZX19" s="289"/>
      <c r="EZY19" s="289"/>
      <c r="EZZ19" s="289"/>
      <c r="FAA19" s="289"/>
      <c r="FAB19" s="289"/>
      <c r="FAC19" s="289"/>
      <c r="FAD19" s="289"/>
      <c r="FAE19" s="289"/>
      <c r="FAF19" s="289"/>
      <c r="FAG19" s="289"/>
      <c r="FAH19" s="289"/>
      <c r="FAI19" s="289"/>
      <c r="FAJ19" s="289"/>
      <c r="FAK19" s="289"/>
      <c r="FAL19" s="289"/>
      <c r="FAM19" s="289"/>
      <c r="FAN19" s="289"/>
      <c r="FAO19" s="289"/>
      <c r="FAP19" s="289"/>
      <c r="FAQ19" s="289"/>
      <c r="FAR19" s="289"/>
      <c r="FAS19" s="289"/>
      <c r="FAT19" s="289"/>
      <c r="FAU19" s="289"/>
      <c r="FAV19" s="289"/>
      <c r="FAW19" s="289"/>
      <c r="FAX19" s="289"/>
      <c r="FAY19" s="289"/>
      <c r="FAZ19" s="289"/>
      <c r="FBA19" s="289"/>
      <c r="FBB19" s="289"/>
      <c r="FBC19" s="289"/>
      <c r="FBD19" s="289"/>
      <c r="FBE19" s="289"/>
      <c r="FBF19" s="289"/>
      <c r="FBG19" s="289"/>
      <c r="FBH19" s="289"/>
      <c r="FBI19" s="289"/>
      <c r="FBJ19" s="289"/>
      <c r="FBK19" s="289"/>
      <c r="FBL19" s="289"/>
      <c r="FBM19" s="289"/>
      <c r="FBN19" s="289"/>
      <c r="FBO19" s="289"/>
      <c r="FBP19" s="289"/>
      <c r="FBQ19" s="289"/>
      <c r="FBR19" s="289"/>
      <c r="FBS19" s="289"/>
      <c r="FBT19" s="289"/>
      <c r="FBU19" s="289"/>
      <c r="FBV19" s="289"/>
      <c r="FBW19" s="289"/>
      <c r="FBX19" s="289"/>
      <c r="FBY19" s="289"/>
      <c r="FBZ19" s="289"/>
      <c r="FCA19" s="289"/>
      <c r="FCB19" s="289"/>
      <c r="FCC19" s="289"/>
      <c r="FCD19" s="289"/>
      <c r="FCE19" s="289"/>
      <c r="FCF19" s="289"/>
      <c r="FCG19" s="289"/>
      <c r="FCH19" s="289"/>
      <c r="FCI19" s="289"/>
      <c r="FCJ19" s="289"/>
      <c r="FCK19" s="289"/>
      <c r="FCL19" s="289"/>
      <c r="FCM19" s="289"/>
      <c r="FCN19" s="289"/>
      <c r="FCO19" s="289"/>
      <c r="FCP19" s="289"/>
      <c r="FCQ19" s="289"/>
      <c r="FCR19" s="289"/>
      <c r="FCS19" s="289"/>
      <c r="FCT19" s="289"/>
      <c r="FCU19" s="289"/>
      <c r="FCV19" s="289"/>
      <c r="FCW19" s="289"/>
      <c r="FCX19" s="289"/>
      <c r="FCY19" s="289"/>
      <c r="FCZ19" s="289"/>
      <c r="FDA19" s="289"/>
      <c r="FDB19" s="289"/>
      <c r="FDC19" s="289"/>
      <c r="FDD19" s="289"/>
      <c r="FDE19" s="289"/>
      <c r="FDF19" s="289"/>
      <c r="FDG19" s="289"/>
      <c r="FDH19" s="289"/>
      <c r="FDI19" s="289"/>
      <c r="FDJ19" s="289"/>
      <c r="FDK19" s="289"/>
      <c r="FDL19" s="289"/>
      <c r="FDM19" s="289"/>
      <c r="FDN19" s="289"/>
      <c r="FDO19" s="289"/>
      <c r="FDP19" s="289"/>
      <c r="FDQ19" s="289"/>
      <c r="FDR19" s="289"/>
      <c r="FDS19" s="289"/>
      <c r="FDT19" s="289"/>
      <c r="FDU19" s="289"/>
      <c r="FDV19" s="289"/>
      <c r="FDW19" s="289"/>
      <c r="FDX19" s="289"/>
      <c r="FDY19" s="289"/>
      <c r="FDZ19" s="289"/>
      <c r="FEA19" s="289"/>
      <c r="FEB19" s="289"/>
      <c r="FEC19" s="289"/>
      <c r="FED19" s="289"/>
      <c r="FEE19" s="289"/>
      <c r="FEF19" s="289"/>
      <c r="FEG19" s="289"/>
      <c r="FEH19" s="289"/>
      <c r="FEI19" s="289"/>
      <c r="FEJ19" s="289"/>
      <c r="FEK19" s="289"/>
      <c r="FEL19" s="289"/>
      <c r="FEM19" s="289"/>
      <c r="FEN19" s="289"/>
      <c r="FEO19" s="289"/>
      <c r="FEP19" s="289"/>
      <c r="FEQ19" s="289"/>
      <c r="FER19" s="289"/>
      <c r="FES19" s="289"/>
      <c r="FET19" s="289"/>
      <c r="FEU19" s="289"/>
      <c r="FEV19" s="289"/>
      <c r="FEW19" s="289"/>
      <c r="FEX19" s="289"/>
      <c r="FEY19" s="289"/>
      <c r="FEZ19" s="289"/>
      <c r="FFA19" s="289"/>
      <c r="FFB19" s="289"/>
      <c r="FFC19" s="289"/>
      <c r="FFD19" s="289"/>
      <c r="FFE19" s="289"/>
      <c r="FFF19" s="289"/>
      <c r="FFG19" s="289"/>
      <c r="FFH19" s="289"/>
      <c r="FFI19" s="289"/>
      <c r="FFJ19" s="289"/>
      <c r="FFK19" s="289"/>
      <c r="FFL19" s="289"/>
      <c r="FFM19" s="289"/>
      <c r="FFN19" s="289"/>
      <c r="FFO19" s="289"/>
      <c r="FFP19" s="289"/>
      <c r="FFQ19" s="289"/>
      <c r="FFR19" s="289"/>
      <c r="FFS19" s="289"/>
      <c r="FFT19" s="289"/>
      <c r="FFU19" s="289"/>
      <c r="FFV19" s="289"/>
      <c r="FFW19" s="289"/>
      <c r="FFX19" s="289"/>
      <c r="FFY19" s="289"/>
      <c r="FFZ19" s="289"/>
      <c r="FGA19" s="289"/>
      <c r="FGB19" s="289"/>
      <c r="FGC19" s="289"/>
      <c r="FGD19" s="289"/>
      <c r="FGE19" s="289"/>
      <c r="FGF19" s="289"/>
      <c r="FGG19" s="289"/>
      <c r="FGH19" s="289"/>
      <c r="FGI19" s="289"/>
      <c r="FGJ19" s="289"/>
      <c r="FGK19" s="289"/>
      <c r="FGL19" s="289"/>
      <c r="FGM19" s="289"/>
      <c r="FGN19" s="289"/>
      <c r="FGO19" s="289"/>
      <c r="FGP19" s="289"/>
      <c r="FGQ19" s="289"/>
      <c r="FGR19" s="289"/>
      <c r="FGS19" s="289"/>
      <c r="FGT19" s="289"/>
      <c r="FGU19" s="289"/>
      <c r="FGV19" s="289"/>
      <c r="FGW19" s="289"/>
      <c r="FGX19" s="289"/>
      <c r="FGY19" s="289"/>
      <c r="FGZ19" s="289"/>
      <c r="FHA19" s="289"/>
      <c r="FHB19" s="289"/>
      <c r="FHC19" s="289"/>
      <c r="FHD19" s="289"/>
      <c r="FHE19" s="289"/>
      <c r="FHF19" s="289"/>
      <c r="FHG19" s="289"/>
      <c r="FHH19" s="289"/>
      <c r="FHI19" s="289"/>
      <c r="FHJ19" s="289"/>
      <c r="FHK19" s="289"/>
      <c r="FHL19" s="289"/>
      <c r="FHM19" s="289"/>
      <c r="FHN19" s="289"/>
      <c r="FHO19" s="289"/>
      <c r="FHP19" s="289"/>
      <c r="FHQ19" s="289"/>
      <c r="FHR19" s="289"/>
      <c r="FHS19" s="289"/>
      <c r="FHT19" s="289"/>
      <c r="FHU19" s="289"/>
      <c r="FHV19" s="289"/>
      <c r="FHW19" s="289"/>
      <c r="FHX19" s="289"/>
      <c r="FHY19" s="289"/>
      <c r="FHZ19" s="289"/>
      <c r="FIA19" s="289"/>
      <c r="FIB19" s="289"/>
      <c r="FIC19" s="289"/>
      <c r="FID19" s="289"/>
      <c r="FIE19" s="289"/>
      <c r="FIF19" s="289"/>
      <c r="FIG19" s="289"/>
      <c r="FIH19" s="289"/>
      <c r="FII19" s="289"/>
      <c r="FIJ19" s="289"/>
      <c r="FIK19" s="289"/>
      <c r="FIL19" s="289"/>
      <c r="FIM19" s="289"/>
      <c r="FIN19" s="289"/>
      <c r="FIO19" s="289"/>
      <c r="FIP19" s="289"/>
      <c r="FIQ19" s="289"/>
      <c r="FIR19" s="289"/>
      <c r="FIS19" s="289"/>
      <c r="FIT19" s="289"/>
      <c r="FIU19" s="289"/>
      <c r="FIV19" s="289"/>
      <c r="FIW19" s="289"/>
      <c r="FIX19" s="289"/>
      <c r="FIY19" s="289"/>
      <c r="FIZ19" s="289"/>
      <c r="FJA19" s="289"/>
      <c r="FJB19" s="289"/>
      <c r="FJC19" s="289"/>
      <c r="FJD19" s="289"/>
      <c r="FJE19" s="289"/>
      <c r="FJF19" s="289"/>
      <c r="FJG19" s="289"/>
      <c r="FJH19" s="289"/>
      <c r="FJI19" s="289"/>
      <c r="FJJ19" s="289"/>
      <c r="FJK19" s="289"/>
      <c r="FJL19" s="289"/>
      <c r="FJM19" s="289"/>
      <c r="FJN19" s="289"/>
      <c r="FJO19" s="289"/>
      <c r="FJP19" s="289"/>
      <c r="FJQ19" s="289"/>
      <c r="FJR19" s="289"/>
      <c r="FJS19" s="289"/>
      <c r="FJT19" s="289"/>
      <c r="FJU19" s="289"/>
      <c r="FJV19" s="289"/>
      <c r="FJW19" s="289"/>
      <c r="FJX19" s="289"/>
      <c r="FJY19" s="289"/>
      <c r="FJZ19" s="289"/>
      <c r="FKA19" s="289"/>
      <c r="FKB19" s="289"/>
      <c r="FKC19" s="289"/>
      <c r="FKD19" s="289"/>
      <c r="FKE19" s="289"/>
      <c r="FKF19" s="289"/>
      <c r="FKG19" s="289"/>
      <c r="FKH19" s="289"/>
      <c r="FKI19" s="289"/>
      <c r="FKJ19" s="289"/>
      <c r="FKK19" s="289"/>
      <c r="FKL19" s="289"/>
      <c r="FKM19" s="289"/>
      <c r="FKN19" s="289"/>
      <c r="FKO19" s="289"/>
      <c r="FKP19" s="289"/>
      <c r="FKQ19" s="289"/>
      <c r="FKR19" s="289"/>
      <c r="FKS19" s="289"/>
      <c r="FKT19" s="289"/>
      <c r="FKU19" s="289"/>
      <c r="FKV19" s="289"/>
      <c r="FKW19" s="289"/>
      <c r="FKX19" s="289"/>
      <c r="FKY19" s="289"/>
      <c r="FKZ19" s="289"/>
      <c r="FLA19" s="289"/>
      <c r="FLB19" s="289"/>
      <c r="FLC19" s="289"/>
      <c r="FLD19" s="289"/>
      <c r="FLE19" s="289"/>
      <c r="FLF19" s="289"/>
      <c r="FLG19" s="289"/>
      <c r="FLH19" s="289"/>
      <c r="FLI19" s="289"/>
      <c r="FLJ19" s="289"/>
      <c r="FLK19" s="289"/>
      <c r="FLL19" s="289"/>
      <c r="FLM19" s="289"/>
      <c r="FLN19" s="289"/>
      <c r="FLO19" s="289"/>
      <c r="FLP19" s="289"/>
      <c r="FLQ19" s="289"/>
      <c r="FLR19" s="289"/>
      <c r="FLS19" s="289"/>
      <c r="FLT19" s="289"/>
      <c r="FLU19" s="289"/>
      <c r="FLV19" s="289"/>
      <c r="FLW19" s="289"/>
      <c r="FLX19" s="289"/>
      <c r="FLY19" s="289"/>
      <c r="FLZ19" s="289"/>
      <c r="FMA19" s="289"/>
      <c r="FMB19" s="289"/>
      <c r="FMC19" s="289"/>
      <c r="FMD19" s="289"/>
      <c r="FME19" s="289"/>
      <c r="FMF19" s="289"/>
      <c r="FMG19" s="289"/>
      <c r="FMH19" s="289"/>
      <c r="FMI19" s="289"/>
      <c r="FMJ19" s="289"/>
      <c r="FMK19" s="289"/>
      <c r="FML19" s="289"/>
      <c r="FMM19" s="289"/>
      <c r="FMN19" s="289"/>
      <c r="FMO19" s="289"/>
      <c r="FMP19" s="289"/>
      <c r="FMQ19" s="289"/>
      <c r="FMR19" s="289"/>
      <c r="FMS19" s="289"/>
      <c r="FMT19" s="289"/>
      <c r="FMU19" s="289"/>
      <c r="FMV19" s="289"/>
      <c r="FMW19" s="289"/>
      <c r="FMX19" s="289"/>
      <c r="FMY19" s="289"/>
      <c r="FMZ19" s="289"/>
      <c r="FNA19" s="289"/>
      <c r="FNB19" s="289"/>
      <c r="FNC19" s="289"/>
      <c r="FND19" s="289"/>
      <c r="FNE19" s="289"/>
      <c r="FNF19" s="289"/>
      <c r="FNG19" s="289"/>
      <c r="FNH19" s="289"/>
      <c r="FNI19" s="289"/>
      <c r="FNJ19" s="289"/>
      <c r="FNK19" s="289"/>
      <c r="FNL19" s="289"/>
      <c r="FNM19" s="289"/>
      <c r="FNN19" s="289"/>
      <c r="FNO19" s="289"/>
      <c r="FNP19" s="289"/>
      <c r="FNQ19" s="289"/>
      <c r="FNR19" s="289"/>
      <c r="FNS19" s="289"/>
      <c r="FNT19" s="289"/>
      <c r="FNU19" s="289"/>
      <c r="FNV19" s="289"/>
      <c r="FNW19" s="289"/>
      <c r="FNX19" s="289"/>
      <c r="FNY19" s="289"/>
      <c r="FNZ19" s="289"/>
      <c r="FOA19" s="289"/>
      <c r="FOB19" s="289"/>
      <c r="FOC19" s="289"/>
      <c r="FOD19" s="289"/>
      <c r="FOE19" s="289"/>
      <c r="FOF19" s="289"/>
      <c r="FOG19" s="289"/>
      <c r="FOH19" s="289"/>
      <c r="FOI19" s="289"/>
      <c r="FOJ19" s="289"/>
      <c r="FOK19" s="289"/>
      <c r="FOL19" s="289"/>
      <c r="FOM19" s="289"/>
      <c r="FON19" s="289"/>
      <c r="FOO19" s="289"/>
      <c r="FOP19" s="289"/>
      <c r="FOQ19" s="289"/>
      <c r="FOR19" s="289"/>
      <c r="FOS19" s="289"/>
      <c r="FOT19" s="289"/>
      <c r="FOU19" s="289"/>
      <c r="FOV19" s="289"/>
      <c r="FOW19" s="289"/>
      <c r="FOX19" s="289"/>
      <c r="FOY19" s="289"/>
      <c r="FOZ19" s="289"/>
      <c r="FPA19" s="289"/>
      <c r="FPB19" s="289"/>
      <c r="FPC19" s="289"/>
      <c r="FPD19" s="289"/>
      <c r="FPE19" s="289"/>
      <c r="FPF19" s="289"/>
      <c r="FPG19" s="289"/>
      <c r="FPH19" s="289"/>
      <c r="FPI19" s="289"/>
      <c r="FPJ19" s="289"/>
      <c r="FPK19" s="289"/>
      <c r="FPL19" s="289"/>
      <c r="FPM19" s="289"/>
      <c r="FPN19" s="289"/>
      <c r="FPO19" s="289"/>
      <c r="FPP19" s="289"/>
      <c r="FPQ19" s="289"/>
      <c r="FPR19" s="289"/>
      <c r="FPS19" s="289"/>
      <c r="FPT19" s="289"/>
      <c r="FPU19" s="289"/>
      <c r="FPV19" s="289"/>
      <c r="FPW19" s="289"/>
      <c r="FPX19" s="289"/>
      <c r="FPY19" s="289"/>
      <c r="FPZ19" s="289"/>
      <c r="FQA19" s="289"/>
      <c r="FQB19" s="289"/>
      <c r="FQC19" s="289"/>
      <c r="FQD19" s="289"/>
      <c r="FQE19" s="289"/>
      <c r="FQF19" s="289"/>
      <c r="FQG19" s="289"/>
      <c r="FQH19" s="289"/>
      <c r="FQI19" s="289"/>
      <c r="FQJ19" s="289"/>
      <c r="FQK19" s="289"/>
      <c r="FQL19" s="289"/>
      <c r="FQM19" s="289"/>
      <c r="FQN19" s="289"/>
      <c r="FQO19" s="289"/>
      <c r="FQP19" s="289"/>
      <c r="FQQ19" s="289"/>
      <c r="FQR19" s="289"/>
      <c r="FQS19" s="289"/>
      <c r="FQT19" s="289"/>
      <c r="FQU19" s="289"/>
      <c r="FQV19" s="289"/>
      <c r="FQW19" s="289"/>
      <c r="FQX19" s="289"/>
      <c r="FQY19" s="289"/>
      <c r="FQZ19" s="289"/>
      <c r="FRA19" s="289"/>
      <c r="FRB19" s="289"/>
      <c r="FRC19" s="289"/>
      <c r="FRD19" s="289"/>
      <c r="FRE19" s="289"/>
      <c r="FRF19" s="289"/>
      <c r="FRG19" s="289"/>
      <c r="FRH19" s="289"/>
      <c r="FRI19" s="289"/>
      <c r="FRJ19" s="289"/>
      <c r="FRK19" s="289"/>
      <c r="FRL19" s="289"/>
      <c r="FRM19" s="289"/>
      <c r="FRN19" s="289"/>
      <c r="FRO19" s="289"/>
      <c r="FRP19" s="289"/>
      <c r="FRQ19" s="289"/>
      <c r="FRR19" s="289"/>
      <c r="FRS19" s="289"/>
      <c r="FRT19" s="289"/>
      <c r="FRU19" s="289"/>
      <c r="FRV19" s="289"/>
      <c r="FRW19" s="289"/>
      <c r="FRX19" s="289"/>
      <c r="FRY19" s="289"/>
      <c r="FRZ19" s="289"/>
      <c r="FSA19" s="289"/>
      <c r="FSB19" s="289"/>
      <c r="FSC19" s="289"/>
      <c r="FSD19" s="289"/>
      <c r="FSE19" s="289"/>
      <c r="FSF19" s="289"/>
      <c r="FSG19" s="289"/>
      <c r="FSH19" s="289"/>
      <c r="FSI19" s="289"/>
      <c r="FSJ19" s="289"/>
      <c r="FSK19" s="289"/>
      <c r="FSL19" s="289"/>
      <c r="FSM19" s="289"/>
      <c r="FSN19" s="289"/>
      <c r="FSO19" s="289"/>
      <c r="FSP19" s="289"/>
      <c r="FSQ19" s="289"/>
      <c r="FSR19" s="289"/>
      <c r="FSS19" s="289"/>
      <c r="FST19" s="289"/>
      <c r="FSU19" s="289"/>
      <c r="FSV19" s="289"/>
      <c r="FSW19" s="289"/>
      <c r="FSX19" s="289"/>
      <c r="FSY19" s="289"/>
      <c r="FSZ19" s="289"/>
      <c r="FTA19" s="289"/>
      <c r="FTB19" s="289"/>
      <c r="FTC19" s="289"/>
      <c r="FTD19" s="289"/>
      <c r="FTE19" s="289"/>
      <c r="FTF19" s="289"/>
      <c r="FTG19" s="289"/>
      <c r="FTH19" s="289"/>
      <c r="FTI19" s="289"/>
      <c r="FTJ19" s="289"/>
      <c r="FTK19" s="289"/>
      <c r="FTL19" s="289"/>
      <c r="FTM19" s="289"/>
      <c r="FTN19" s="289"/>
      <c r="FTO19" s="289"/>
      <c r="FTP19" s="289"/>
      <c r="FTQ19" s="289"/>
      <c r="FTR19" s="289"/>
      <c r="FTS19" s="289"/>
      <c r="FTT19" s="289"/>
      <c r="FTU19" s="289"/>
      <c r="FTV19" s="289"/>
      <c r="FTW19" s="289"/>
      <c r="FTX19" s="289"/>
      <c r="FTY19" s="289"/>
      <c r="FTZ19" s="289"/>
      <c r="FUA19" s="289"/>
      <c r="FUB19" s="289"/>
      <c r="FUC19" s="289"/>
      <c r="FUD19" s="289"/>
      <c r="FUE19" s="289"/>
      <c r="FUF19" s="289"/>
      <c r="FUG19" s="289"/>
      <c r="FUH19" s="289"/>
      <c r="FUI19" s="289"/>
      <c r="FUJ19" s="289"/>
      <c r="FUK19" s="289"/>
      <c r="FUL19" s="289"/>
      <c r="FUM19" s="289"/>
      <c r="FUN19" s="289"/>
      <c r="FUO19" s="289"/>
      <c r="FUP19" s="289"/>
      <c r="FUQ19" s="289"/>
      <c r="FUR19" s="289"/>
      <c r="FUS19" s="289"/>
      <c r="FUT19" s="289"/>
      <c r="FUU19" s="289"/>
      <c r="FUV19" s="289"/>
      <c r="FUW19" s="289"/>
      <c r="FUX19" s="289"/>
      <c r="FUY19" s="289"/>
      <c r="FUZ19" s="289"/>
      <c r="FVA19" s="289"/>
      <c r="FVB19" s="289"/>
      <c r="FVC19" s="289"/>
      <c r="FVD19" s="289"/>
      <c r="FVE19" s="289"/>
      <c r="FVF19" s="289"/>
      <c r="FVG19" s="289"/>
      <c r="FVH19" s="289"/>
      <c r="FVI19" s="289"/>
      <c r="FVJ19" s="289"/>
      <c r="FVK19" s="289"/>
      <c r="FVL19" s="289"/>
      <c r="FVM19" s="289"/>
      <c r="FVN19" s="289"/>
      <c r="FVO19" s="289"/>
      <c r="FVP19" s="289"/>
      <c r="FVQ19" s="289"/>
      <c r="FVR19" s="289"/>
      <c r="FVS19" s="289"/>
      <c r="FVT19" s="289"/>
      <c r="FVU19" s="289"/>
      <c r="FVV19" s="289"/>
      <c r="FVW19" s="289"/>
      <c r="FVX19" s="289"/>
      <c r="FVY19" s="289"/>
      <c r="FVZ19" s="289"/>
      <c r="FWA19" s="289"/>
      <c r="FWB19" s="289"/>
      <c r="FWC19" s="289"/>
      <c r="FWD19" s="289"/>
      <c r="FWE19" s="289"/>
      <c r="FWF19" s="289"/>
      <c r="FWG19" s="289"/>
      <c r="FWH19" s="289"/>
      <c r="FWI19" s="289"/>
      <c r="FWJ19" s="289"/>
      <c r="FWK19" s="289"/>
      <c r="FWL19" s="289"/>
      <c r="FWM19" s="289"/>
      <c r="FWN19" s="289"/>
      <c r="FWO19" s="289"/>
      <c r="FWP19" s="289"/>
      <c r="FWQ19" s="289"/>
      <c r="FWR19" s="289"/>
      <c r="FWS19" s="289"/>
      <c r="FWT19" s="289"/>
      <c r="FWU19" s="289"/>
      <c r="FWV19" s="289"/>
      <c r="FWW19" s="289"/>
      <c r="FWX19" s="289"/>
      <c r="FWY19" s="289"/>
      <c r="FWZ19" s="289"/>
      <c r="FXA19" s="289"/>
      <c r="FXB19" s="289"/>
      <c r="FXC19" s="289"/>
      <c r="FXD19" s="289"/>
      <c r="FXE19" s="289"/>
      <c r="FXF19" s="289"/>
      <c r="FXG19" s="289"/>
      <c r="FXH19" s="289"/>
      <c r="FXI19" s="289"/>
      <c r="FXJ19" s="289"/>
      <c r="FXK19" s="289"/>
      <c r="FXL19" s="289"/>
      <c r="FXM19" s="289"/>
      <c r="FXN19" s="289"/>
      <c r="FXO19" s="289"/>
      <c r="FXP19" s="289"/>
      <c r="FXQ19" s="289"/>
      <c r="FXR19" s="289"/>
      <c r="FXS19" s="289"/>
      <c r="FXT19" s="289"/>
      <c r="FXU19" s="289"/>
      <c r="FXV19" s="289"/>
      <c r="FXW19" s="289"/>
      <c r="FXX19" s="289"/>
      <c r="FXY19" s="289"/>
      <c r="FXZ19" s="289"/>
      <c r="FYA19" s="289"/>
      <c r="FYB19" s="289"/>
      <c r="FYC19" s="289"/>
      <c r="FYD19" s="289"/>
      <c r="FYE19" s="289"/>
      <c r="FYF19" s="289"/>
      <c r="FYG19" s="289"/>
      <c r="FYH19" s="289"/>
      <c r="FYI19" s="289"/>
      <c r="FYJ19" s="289"/>
      <c r="FYK19" s="289"/>
      <c r="FYL19" s="289"/>
      <c r="FYM19" s="289"/>
      <c r="FYN19" s="289"/>
      <c r="FYO19" s="289"/>
      <c r="FYP19" s="289"/>
      <c r="FYQ19" s="289"/>
      <c r="FYR19" s="289"/>
      <c r="FYS19" s="289"/>
      <c r="FYT19" s="289"/>
      <c r="FYU19" s="289"/>
      <c r="FYV19" s="289"/>
      <c r="FYW19" s="289"/>
      <c r="FYX19" s="289"/>
      <c r="FYY19" s="289"/>
      <c r="FYZ19" s="289"/>
      <c r="FZA19" s="289"/>
      <c r="FZB19" s="289"/>
      <c r="FZC19" s="289"/>
      <c r="FZD19" s="289"/>
      <c r="FZE19" s="289"/>
      <c r="FZF19" s="289"/>
      <c r="FZG19" s="289"/>
      <c r="FZH19" s="289"/>
      <c r="FZI19" s="289"/>
      <c r="FZJ19" s="289"/>
      <c r="FZK19" s="289"/>
      <c r="FZL19" s="289"/>
      <c r="FZM19" s="289"/>
      <c r="FZN19" s="289"/>
      <c r="FZO19" s="289"/>
      <c r="FZP19" s="289"/>
      <c r="FZQ19" s="289"/>
      <c r="FZR19" s="289"/>
      <c r="FZS19" s="289"/>
      <c r="FZT19" s="289"/>
      <c r="FZU19" s="289"/>
      <c r="FZV19" s="289"/>
      <c r="FZW19" s="289"/>
      <c r="FZX19" s="289"/>
      <c r="FZY19" s="289"/>
      <c r="FZZ19" s="289"/>
      <c r="GAA19" s="289"/>
      <c r="GAB19" s="289"/>
      <c r="GAC19" s="289"/>
      <c r="GAD19" s="289"/>
      <c r="GAE19" s="289"/>
      <c r="GAF19" s="289"/>
      <c r="GAG19" s="289"/>
      <c r="GAH19" s="289"/>
      <c r="GAI19" s="289"/>
      <c r="GAJ19" s="289"/>
      <c r="GAK19" s="289"/>
      <c r="GAL19" s="289"/>
      <c r="GAM19" s="289"/>
      <c r="GAN19" s="289"/>
      <c r="GAO19" s="289"/>
      <c r="GAP19" s="289"/>
      <c r="GAQ19" s="289"/>
      <c r="GAR19" s="289"/>
      <c r="GAS19" s="289"/>
      <c r="GAT19" s="289"/>
      <c r="GAU19" s="289"/>
      <c r="GAV19" s="289"/>
      <c r="GAW19" s="289"/>
      <c r="GAX19" s="289"/>
      <c r="GAY19" s="289"/>
      <c r="GAZ19" s="289"/>
      <c r="GBA19" s="289"/>
      <c r="GBB19" s="289"/>
      <c r="GBC19" s="289"/>
      <c r="GBD19" s="289"/>
      <c r="GBE19" s="289"/>
      <c r="GBF19" s="289"/>
      <c r="GBG19" s="289"/>
      <c r="GBH19" s="289"/>
      <c r="GBI19" s="289"/>
      <c r="GBJ19" s="289"/>
      <c r="GBK19" s="289"/>
      <c r="GBL19" s="289"/>
      <c r="GBM19" s="289"/>
      <c r="GBN19" s="289"/>
      <c r="GBO19" s="289"/>
      <c r="GBP19" s="289"/>
      <c r="GBQ19" s="289"/>
      <c r="GBR19" s="289"/>
      <c r="GBS19" s="289"/>
      <c r="GBT19" s="289"/>
      <c r="GBU19" s="289"/>
      <c r="GBV19" s="289"/>
      <c r="GBW19" s="289"/>
      <c r="GBX19" s="289"/>
      <c r="GBY19" s="289"/>
      <c r="GBZ19" s="289"/>
      <c r="GCA19" s="289"/>
      <c r="GCB19" s="289"/>
      <c r="GCC19" s="289"/>
      <c r="GCD19" s="289"/>
      <c r="GCE19" s="289"/>
      <c r="GCF19" s="289"/>
      <c r="GCG19" s="289"/>
      <c r="GCH19" s="289"/>
      <c r="GCI19" s="289"/>
      <c r="GCJ19" s="289"/>
      <c r="GCK19" s="289"/>
      <c r="GCL19" s="289"/>
      <c r="GCM19" s="289"/>
      <c r="GCN19" s="289"/>
      <c r="GCO19" s="289"/>
      <c r="GCP19" s="289"/>
      <c r="GCQ19" s="289"/>
      <c r="GCR19" s="289"/>
      <c r="GCS19" s="289"/>
      <c r="GCT19" s="289"/>
      <c r="GCU19" s="289"/>
      <c r="GCV19" s="289"/>
      <c r="GCW19" s="289"/>
      <c r="GCX19" s="289"/>
      <c r="GCY19" s="289"/>
      <c r="GCZ19" s="289"/>
      <c r="GDA19" s="289"/>
      <c r="GDB19" s="289"/>
      <c r="GDC19" s="289"/>
      <c r="GDD19" s="289"/>
      <c r="GDE19" s="289"/>
      <c r="GDF19" s="289"/>
      <c r="GDG19" s="289"/>
      <c r="GDH19" s="289"/>
      <c r="GDI19" s="289"/>
      <c r="GDJ19" s="289"/>
      <c r="GDK19" s="289"/>
      <c r="GDL19" s="289"/>
      <c r="GDM19" s="289"/>
      <c r="GDN19" s="289"/>
      <c r="GDO19" s="289"/>
      <c r="GDP19" s="289"/>
      <c r="GDQ19" s="289"/>
      <c r="GDR19" s="289"/>
      <c r="GDS19" s="289"/>
      <c r="GDT19" s="289"/>
      <c r="GDU19" s="289"/>
      <c r="GDV19" s="289"/>
      <c r="GDW19" s="289"/>
      <c r="GDX19" s="289"/>
      <c r="GDY19" s="289"/>
      <c r="GDZ19" s="289"/>
      <c r="GEA19" s="289"/>
      <c r="GEB19" s="289"/>
      <c r="GEC19" s="289"/>
      <c r="GED19" s="289"/>
      <c r="GEE19" s="289"/>
      <c r="GEF19" s="289"/>
      <c r="GEG19" s="289"/>
      <c r="GEH19" s="289"/>
      <c r="GEI19" s="289"/>
      <c r="GEJ19" s="289"/>
      <c r="GEK19" s="289"/>
      <c r="GEL19" s="289"/>
      <c r="GEM19" s="289"/>
      <c r="GEN19" s="289"/>
      <c r="GEO19" s="289"/>
      <c r="GEP19" s="289"/>
      <c r="GEQ19" s="289"/>
      <c r="GER19" s="289"/>
      <c r="GES19" s="289"/>
      <c r="GET19" s="289"/>
      <c r="GEU19" s="289"/>
      <c r="GEV19" s="289"/>
      <c r="GEW19" s="289"/>
      <c r="GEX19" s="289"/>
      <c r="GEY19" s="289"/>
      <c r="GEZ19" s="289"/>
      <c r="GFA19" s="289"/>
      <c r="GFB19" s="289"/>
      <c r="GFC19" s="289"/>
      <c r="GFD19" s="289"/>
      <c r="GFE19" s="289"/>
      <c r="GFF19" s="289"/>
      <c r="GFG19" s="289"/>
      <c r="GFH19" s="289"/>
      <c r="GFI19" s="289"/>
      <c r="GFJ19" s="289"/>
      <c r="GFK19" s="289"/>
      <c r="GFL19" s="289"/>
      <c r="GFM19" s="289"/>
      <c r="GFN19" s="289"/>
      <c r="GFO19" s="289"/>
      <c r="GFP19" s="289"/>
      <c r="GFQ19" s="289"/>
      <c r="GFR19" s="289"/>
      <c r="GFS19" s="289"/>
      <c r="GFT19" s="289"/>
      <c r="GFU19" s="289"/>
      <c r="GFV19" s="289"/>
      <c r="GFW19" s="289"/>
      <c r="GFX19" s="289"/>
      <c r="GFY19" s="289"/>
      <c r="GFZ19" s="289"/>
      <c r="GGA19" s="289"/>
      <c r="GGB19" s="289"/>
      <c r="GGC19" s="289"/>
      <c r="GGD19" s="289"/>
      <c r="GGE19" s="289"/>
      <c r="GGF19" s="289"/>
      <c r="GGG19" s="289"/>
      <c r="GGH19" s="289"/>
      <c r="GGI19" s="289"/>
      <c r="GGJ19" s="289"/>
      <c r="GGK19" s="289"/>
      <c r="GGL19" s="289"/>
      <c r="GGM19" s="289"/>
      <c r="GGN19" s="289"/>
      <c r="GGO19" s="289"/>
      <c r="GGP19" s="289"/>
      <c r="GGQ19" s="289"/>
      <c r="GGR19" s="289"/>
      <c r="GGS19" s="289"/>
      <c r="GGT19" s="289"/>
      <c r="GGU19" s="289"/>
      <c r="GGV19" s="289"/>
      <c r="GGW19" s="289"/>
      <c r="GGX19" s="289"/>
      <c r="GGY19" s="289"/>
      <c r="GGZ19" s="289"/>
      <c r="GHA19" s="289"/>
      <c r="GHB19" s="289"/>
      <c r="GHC19" s="289"/>
      <c r="GHD19" s="289"/>
      <c r="GHE19" s="289"/>
      <c r="GHF19" s="289"/>
      <c r="GHG19" s="289"/>
      <c r="GHH19" s="289"/>
      <c r="GHI19" s="289"/>
      <c r="GHJ19" s="289"/>
      <c r="GHK19" s="289"/>
      <c r="GHL19" s="289"/>
      <c r="GHM19" s="289"/>
      <c r="GHN19" s="289"/>
      <c r="GHO19" s="289"/>
      <c r="GHP19" s="289"/>
      <c r="GHQ19" s="289"/>
      <c r="GHR19" s="289"/>
      <c r="GHS19" s="289"/>
      <c r="GHT19" s="289"/>
      <c r="GHU19" s="289"/>
      <c r="GHV19" s="289"/>
      <c r="GHW19" s="289"/>
      <c r="GHX19" s="289"/>
      <c r="GHY19" s="289"/>
      <c r="GHZ19" s="289"/>
      <c r="GIA19" s="289"/>
      <c r="GIB19" s="289"/>
      <c r="GIC19" s="289"/>
      <c r="GID19" s="289"/>
      <c r="GIE19" s="289"/>
      <c r="GIF19" s="289"/>
      <c r="GIG19" s="289"/>
      <c r="GIH19" s="289"/>
      <c r="GII19" s="289"/>
      <c r="GIJ19" s="289"/>
      <c r="GIK19" s="289"/>
      <c r="GIL19" s="289"/>
      <c r="GIM19" s="289"/>
      <c r="GIN19" s="289"/>
      <c r="GIO19" s="289"/>
      <c r="GIP19" s="289"/>
      <c r="GIQ19" s="289"/>
      <c r="GIR19" s="289"/>
      <c r="GIS19" s="289"/>
      <c r="GIT19" s="289"/>
      <c r="GIU19" s="289"/>
      <c r="GIV19" s="289"/>
      <c r="GIW19" s="289"/>
      <c r="GIX19" s="289"/>
      <c r="GIY19" s="289"/>
      <c r="GIZ19" s="289"/>
      <c r="GJA19" s="289"/>
      <c r="GJB19" s="289"/>
      <c r="GJC19" s="289"/>
      <c r="GJD19" s="289"/>
      <c r="GJE19" s="289"/>
      <c r="GJF19" s="289"/>
      <c r="GJG19" s="289"/>
      <c r="GJH19" s="289"/>
      <c r="GJI19" s="289"/>
      <c r="GJJ19" s="289"/>
      <c r="GJK19" s="289"/>
      <c r="GJL19" s="289"/>
      <c r="GJM19" s="289"/>
      <c r="GJN19" s="289"/>
      <c r="GJO19" s="289"/>
      <c r="GJP19" s="289"/>
      <c r="GJQ19" s="289"/>
      <c r="GJR19" s="289"/>
      <c r="GJS19" s="289"/>
      <c r="GJT19" s="289"/>
      <c r="GJU19" s="289"/>
      <c r="GJV19" s="289"/>
      <c r="GJW19" s="289"/>
      <c r="GJX19" s="289"/>
      <c r="GJY19" s="289"/>
      <c r="GJZ19" s="289"/>
      <c r="GKA19" s="289"/>
      <c r="GKB19" s="289"/>
      <c r="GKC19" s="289"/>
      <c r="GKD19" s="289"/>
      <c r="GKE19" s="289"/>
      <c r="GKF19" s="289"/>
      <c r="GKG19" s="289"/>
      <c r="GKH19" s="289"/>
      <c r="GKI19" s="289"/>
      <c r="GKJ19" s="289"/>
      <c r="GKK19" s="289"/>
      <c r="GKL19" s="289"/>
      <c r="GKM19" s="289"/>
      <c r="GKN19" s="289"/>
      <c r="GKO19" s="289"/>
      <c r="GKP19" s="289"/>
      <c r="GKQ19" s="289"/>
      <c r="GKR19" s="289"/>
      <c r="GKS19" s="289"/>
      <c r="GKT19" s="289"/>
      <c r="GKU19" s="289"/>
      <c r="GKV19" s="289"/>
      <c r="GKW19" s="289"/>
      <c r="GKX19" s="289"/>
      <c r="GKY19" s="289"/>
      <c r="GKZ19" s="289"/>
      <c r="GLA19" s="289"/>
      <c r="GLB19" s="289"/>
      <c r="GLC19" s="289"/>
      <c r="GLD19" s="289"/>
      <c r="GLE19" s="289"/>
      <c r="GLF19" s="289"/>
      <c r="GLG19" s="289"/>
      <c r="GLH19" s="289"/>
      <c r="GLI19" s="289"/>
      <c r="GLJ19" s="289"/>
      <c r="GLK19" s="289"/>
      <c r="GLL19" s="289"/>
      <c r="GLM19" s="289"/>
      <c r="GLN19" s="289"/>
      <c r="GLO19" s="289"/>
      <c r="GLP19" s="289"/>
      <c r="GLQ19" s="289"/>
      <c r="GLR19" s="289"/>
      <c r="GLS19" s="289"/>
      <c r="GLT19" s="289"/>
      <c r="GLU19" s="289"/>
      <c r="GLV19" s="289"/>
      <c r="GLW19" s="289"/>
      <c r="GLX19" s="289"/>
      <c r="GLY19" s="289"/>
      <c r="GLZ19" s="289"/>
      <c r="GMA19" s="289"/>
      <c r="GMB19" s="289"/>
      <c r="GMC19" s="289"/>
      <c r="GMD19" s="289"/>
      <c r="GME19" s="289"/>
      <c r="GMF19" s="289"/>
      <c r="GMG19" s="289"/>
      <c r="GMH19" s="289"/>
      <c r="GMI19" s="289"/>
      <c r="GMJ19" s="289"/>
      <c r="GMK19" s="289"/>
      <c r="GML19" s="289"/>
      <c r="GMM19" s="289"/>
      <c r="GMN19" s="289"/>
      <c r="GMO19" s="289"/>
      <c r="GMP19" s="289"/>
      <c r="GMQ19" s="289"/>
      <c r="GMR19" s="289"/>
      <c r="GMS19" s="289"/>
      <c r="GMT19" s="289"/>
      <c r="GMU19" s="289"/>
      <c r="GMV19" s="289"/>
      <c r="GMW19" s="289"/>
      <c r="GMX19" s="289"/>
      <c r="GMY19" s="289"/>
      <c r="GMZ19" s="289"/>
      <c r="GNA19" s="289"/>
      <c r="GNB19" s="289"/>
      <c r="GNC19" s="289"/>
      <c r="GND19" s="289"/>
      <c r="GNE19" s="289"/>
      <c r="GNF19" s="289"/>
      <c r="GNG19" s="289"/>
      <c r="GNH19" s="289"/>
      <c r="GNI19" s="289"/>
      <c r="GNJ19" s="289"/>
      <c r="GNK19" s="289"/>
      <c r="GNL19" s="289"/>
      <c r="GNM19" s="289"/>
      <c r="GNN19" s="289"/>
      <c r="GNO19" s="289"/>
      <c r="GNP19" s="289"/>
      <c r="GNQ19" s="289"/>
      <c r="GNR19" s="289"/>
      <c r="GNS19" s="289"/>
      <c r="GNT19" s="289"/>
      <c r="GNU19" s="289"/>
      <c r="GNV19" s="289"/>
      <c r="GNW19" s="289"/>
      <c r="GNX19" s="289"/>
      <c r="GNY19" s="289"/>
      <c r="GNZ19" s="289"/>
      <c r="GOA19" s="289"/>
      <c r="GOB19" s="289"/>
      <c r="GOC19" s="289"/>
      <c r="GOD19" s="289"/>
      <c r="GOE19" s="289"/>
      <c r="GOF19" s="289"/>
      <c r="GOG19" s="289"/>
      <c r="GOH19" s="289"/>
      <c r="GOI19" s="289"/>
      <c r="GOJ19" s="289"/>
      <c r="GOK19" s="289"/>
      <c r="GOL19" s="289"/>
      <c r="GOM19" s="289"/>
      <c r="GON19" s="289"/>
      <c r="GOO19" s="289"/>
      <c r="GOP19" s="289"/>
      <c r="GOQ19" s="289"/>
      <c r="GOR19" s="289"/>
      <c r="GOS19" s="289"/>
      <c r="GOT19" s="289"/>
      <c r="GOU19" s="289"/>
      <c r="GOV19" s="289"/>
      <c r="GOW19" s="289"/>
      <c r="GOX19" s="289"/>
      <c r="GOY19" s="289"/>
      <c r="GOZ19" s="289"/>
      <c r="GPA19" s="289"/>
      <c r="GPB19" s="289"/>
      <c r="GPC19" s="289"/>
      <c r="GPD19" s="289"/>
      <c r="GPE19" s="289"/>
      <c r="GPF19" s="289"/>
      <c r="GPG19" s="289"/>
      <c r="GPH19" s="289"/>
      <c r="GPI19" s="289"/>
      <c r="GPJ19" s="289"/>
      <c r="GPK19" s="289"/>
      <c r="GPL19" s="289"/>
      <c r="GPM19" s="289"/>
      <c r="GPN19" s="289"/>
      <c r="GPO19" s="289"/>
      <c r="GPP19" s="289"/>
      <c r="GPQ19" s="289"/>
      <c r="GPR19" s="289"/>
      <c r="GPS19" s="289"/>
      <c r="GPT19" s="289"/>
      <c r="GPU19" s="289"/>
      <c r="GPV19" s="289"/>
      <c r="GPW19" s="289"/>
      <c r="GPX19" s="289"/>
      <c r="GPY19" s="289"/>
      <c r="GPZ19" s="289"/>
      <c r="GQA19" s="289"/>
      <c r="GQB19" s="289"/>
      <c r="GQC19" s="289"/>
      <c r="GQD19" s="289"/>
      <c r="GQE19" s="289"/>
      <c r="GQF19" s="289"/>
      <c r="GQG19" s="289"/>
      <c r="GQH19" s="289"/>
      <c r="GQI19" s="289"/>
      <c r="GQJ19" s="289"/>
      <c r="GQK19" s="289"/>
      <c r="GQL19" s="289"/>
      <c r="GQM19" s="289"/>
      <c r="GQN19" s="289"/>
      <c r="GQO19" s="289"/>
      <c r="GQP19" s="289"/>
      <c r="GQQ19" s="289"/>
      <c r="GQR19" s="289"/>
      <c r="GQS19" s="289"/>
      <c r="GQT19" s="289"/>
      <c r="GQU19" s="289"/>
      <c r="GQV19" s="289"/>
      <c r="GQW19" s="289"/>
      <c r="GQX19" s="289"/>
      <c r="GQY19" s="289"/>
      <c r="GQZ19" s="289"/>
      <c r="GRA19" s="289"/>
      <c r="GRB19" s="289"/>
      <c r="GRC19" s="289"/>
      <c r="GRD19" s="289"/>
      <c r="GRE19" s="289"/>
      <c r="GRF19" s="289"/>
      <c r="GRG19" s="289"/>
      <c r="GRH19" s="289"/>
      <c r="GRI19" s="289"/>
      <c r="GRJ19" s="289"/>
      <c r="GRK19" s="289"/>
      <c r="GRL19" s="289"/>
      <c r="GRM19" s="289"/>
      <c r="GRN19" s="289"/>
      <c r="GRO19" s="289"/>
      <c r="GRP19" s="289"/>
      <c r="GRQ19" s="289"/>
      <c r="GRR19" s="289"/>
      <c r="GRS19" s="289"/>
      <c r="GRT19" s="289"/>
      <c r="GRU19" s="289"/>
      <c r="GRV19" s="289"/>
      <c r="GRW19" s="289"/>
      <c r="GRX19" s="289"/>
      <c r="GRY19" s="289"/>
      <c r="GRZ19" s="289"/>
      <c r="GSA19" s="289"/>
      <c r="GSB19" s="289"/>
      <c r="GSC19" s="289"/>
      <c r="GSD19" s="289"/>
      <c r="GSE19" s="289"/>
      <c r="GSF19" s="289"/>
      <c r="GSG19" s="289"/>
      <c r="GSH19" s="289"/>
      <c r="GSI19" s="289"/>
      <c r="GSJ19" s="289"/>
      <c r="GSK19" s="289"/>
      <c r="GSL19" s="289"/>
      <c r="GSM19" s="289"/>
      <c r="GSN19" s="289"/>
      <c r="GSO19" s="289"/>
      <c r="GSP19" s="289"/>
      <c r="GSQ19" s="289"/>
      <c r="GSR19" s="289"/>
      <c r="GSS19" s="289"/>
      <c r="GST19" s="289"/>
      <c r="GSU19" s="289"/>
      <c r="GSV19" s="289"/>
      <c r="GSW19" s="289"/>
      <c r="GSX19" s="289"/>
      <c r="GSY19" s="289"/>
      <c r="GSZ19" s="289"/>
      <c r="GTA19" s="289"/>
      <c r="GTB19" s="289"/>
      <c r="GTC19" s="289"/>
      <c r="GTD19" s="289"/>
      <c r="GTE19" s="289"/>
      <c r="GTF19" s="289"/>
      <c r="GTG19" s="289"/>
      <c r="GTH19" s="289"/>
      <c r="GTI19" s="289"/>
      <c r="GTJ19" s="289"/>
      <c r="GTK19" s="289"/>
      <c r="GTL19" s="289"/>
      <c r="GTM19" s="289"/>
      <c r="GTN19" s="289"/>
      <c r="GTO19" s="289"/>
      <c r="GTP19" s="289"/>
      <c r="GTQ19" s="289"/>
      <c r="GTR19" s="289"/>
      <c r="GTS19" s="289"/>
      <c r="GTT19" s="289"/>
      <c r="GTU19" s="289"/>
      <c r="GTV19" s="289"/>
      <c r="GTW19" s="289"/>
      <c r="GTX19" s="289"/>
      <c r="GTY19" s="289"/>
      <c r="GTZ19" s="289"/>
      <c r="GUA19" s="289"/>
      <c r="GUB19" s="289"/>
      <c r="GUC19" s="289"/>
      <c r="GUD19" s="289"/>
      <c r="GUE19" s="289"/>
      <c r="GUF19" s="289"/>
      <c r="GUG19" s="289"/>
      <c r="GUH19" s="289"/>
      <c r="GUI19" s="289"/>
      <c r="GUJ19" s="289"/>
      <c r="GUK19" s="289"/>
      <c r="GUL19" s="289"/>
      <c r="GUM19" s="289"/>
      <c r="GUN19" s="289"/>
      <c r="GUO19" s="289"/>
      <c r="GUP19" s="289"/>
      <c r="GUQ19" s="289"/>
      <c r="GUR19" s="289"/>
      <c r="GUS19" s="289"/>
      <c r="GUT19" s="289"/>
      <c r="GUU19" s="289"/>
      <c r="GUV19" s="289"/>
      <c r="GUW19" s="289"/>
      <c r="GUX19" s="289"/>
      <c r="GUY19" s="289"/>
      <c r="GUZ19" s="289"/>
      <c r="GVA19" s="289"/>
      <c r="GVB19" s="289"/>
      <c r="GVC19" s="289"/>
      <c r="GVD19" s="289"/>
      <c r="GVE19" s="289"/>
      <c r="GVF19" s="289"/>
      <c r="GVG19" s="289"/>
      <c r="GVH19" s="289"/>
      <c r="GVI19" s="289"/>
      <c r="GVJ19" s="289"/>
      <c r="GVK19" s="289"/>
      <c r="GVL19" s="289"/>
      <c r="GVM19" s="289"/>
      <c r="GVN19" s="289"/>
      <c r="GVO19" s="289"/>
      <c r="GVP19" s="289"/>
      <c r="GVQ19" s="289"/>
      <c r="GVR19" s="289"/>
      <c r="GVS19" s="289"/>
      <c r="GVT19" s="289"/>
      <c r="GVU19" s="289"/>
      <c r="GVV19" s="289"/>
      <c r="GVW19" s="289"/>
      <c r="GVX19" s="289"/>
      <c r="GVY19" s="289"/>
      <c r="GVZ19" s="289"/>
      <c r="GWA19" s="289"/>
      <c r="GWB19" s="289"/>
      <c r="GWC19" s="289"/>
      <c r="GWD19" s="289"/>
      <c r="GWE19" s="289"/>
      <c r="GWF19" s="289"/>
      <c r="GWG19" s="289"/>
      <c r="GWH19" s="289"/>
      <c r="GWI19" s="289"/>
      <c r="GWJ19" s="289"/>
      <c r="GWK19" s="289"/>
      <c r="GWL19" s="289"/>
      <c r="GWM19" s="289"/>
      <c r="GWN19" s="289"/>
      <c r="GWO19" s="289"/>
      <c r="GWP19" s="289"/>
      <c r="GWQ19" s="289"/>
      <c r="GWR19" s="289"/>
      <c r="GWS19" s="289"/>
      <c r="GWT19" s="289"/>
      <c r="GWU19" s="289"/>
      <c r="GWV19" s="289"/>
      <c r="GWW19" s="289"/>
      <c r="GWX19" s="289"/>
      <c r="GWY19" s="289"/>
      <c r="GWZ19" s="289"/>
      <c r="GXA19" s="289"/>
      <c r="GXB19" s="289"/>
      <c r="GXC19" s="289"/>
      <c r="GXD19" s="289"/>
      <c r="GXE19" s="289"/>
      <c r="GXF19" s="289"/>
      <c r="GXG19" s="289"/>
      <c r="GXH19" s="289"/>
      <c r="GXI19" s="289"/>
      <c r="GXJ19" s="289"/>
      <c r="GXK19" s="289"/>
      <c r="GXL19" s="289"/>
      <c r="GXM19" s="289"/>
      <c r="GXN19" s="289"/>
      <c r="GXO19" s="289"/>
      <c r="GXP19" s="289"/>
      <c r="GXQ19" s="289"/>
      <c r="GXR19" s="289"/>
      <c r="GXS19" s="289"/>
      <c r="GXT19" s="289"/>
      <c r="GXU19" s="289"/>
      <c r="GXV19" s="289"/>
      <c r="GXW19" s="289"/>
      <c r="GXX19" s="289"/>
      <c r="GXY19" s="289"/>
      <c r="GXZ19" s="289"/>
      <c r="GYA19" s="289"/>
      <c r="GYB19" s="289"/>
      <c r="GYC19" s="289"/>
      <c r="GYD19" s="289"/>
      <c r="GYE19" s="289"/>
      <c r="GYF19" s="289"/>
      <c r="GYG19" s="289"/>
      <c r="GYH19" s="289"/>
      <c r="GYI19" s="289"/>
      <c r="GYJ19" s="289"/>
      <c r="GYK19" s="289"/>
      <c r="GYL19" s="289"/>
      <c r="GYM19" s="289"/>
      <c r="GYN19" s="289"/>
      <c r="GYO19" s="289"/>
      <c r="GYP19" s="289"/>
      <c r="GYQ19" s="289"/>
      <c r="GYR19" s="289"/>
      <c r="GYS19" s="289"/>
      <c r="GYT19" s="289"/>
      <c r="GYU19" s="289"/>
      <c r="GYV19" s="289"/>
      <c r="GYW19" s="289"/>
      <c r="GYX19" s="289"/>
      <c r="GYY19" s="289"/>
      <c r="GYZ19" s="289"/>
      <c r="GZA19" s="289"/>
      <c r="GZB19" s="289"/>
      <c r="GZC19" s="289"/>
      <c r="GZD19" s="289"/>
      <c r="GZE19" s="289"/>
      <c r="GZF19" s="289"/>
      <c r="GZG19" s="289"/>
      <c r="GZH19" s="289"/>
      <c r="GZI19" s="289"/>
      <c r="GZJ19" s="289"/>
      <c r="GZK19" s="289"/>
      <c r="GZL19" s="289"/>
      <c r="GZM19" s="289"/>
      <c r="GZN19" s="289"/>
      <c r="GZO19" s="289"/>
      <c r="GZP19" s="289"/>
      <c r="GZQ19" s="289"/>
      <c r="GZR19" s="289"/>
      <c r="GZS19" s="289"/>
      <c r="GZT19" s="289"/>
      <c r="GZU19" s="289"/>
      <c r="GZV19" s="289"/>
      <c r="GZW19" s="289"/>
      <c r="GZX19" s="289"/>
      <c r="GZY19" s="289"/>
      <c r="GZZ19" s="289"/>
      <c r="HAA19" s="289"/>
      <c r="HAB19" s="289"/>
      <c r="HAC19" s="289"/>
      <c r="HAD19" s="289"/>
      <c r="HAE19" s="289"/>
      <c r="HAF19" s="289"/>
      <c r="HAG19" s="289"/>
      <c r="HAH19" s="289"/>
      <c r="HAI19" s="289"/>
      <c r="HAJ19" s="289"/>
      <c r="HAK19" s="289"/>
      <c r="HAL19" s="289"/>
      <c r="HAM19" s="289"/>
      <c r="HAN19" s="289"/>
      <c r="HAO19" s="289"/>
      <c r="HAP19" s="289"/>
      <c r="HAQ19" s="289"/>
      <c r="HAR19" s="289"/>
      <c r="HAS19" s="289"/>
      <c r="HAT19" s="289"/>
      <c r="HAU19" s="289"/>
      <c r="HAV19" s="289"/>
      <c r="HAW19" s="289"/>
      <c r="HAX19" s="289"/>
      <c r="HAY19" s="289"/>
      <c r="HAZ19" s="289"/>
      <c r="HBA19" s="289"/>
      <c r="HBB19" s="289"/>
      <c r="HBC19" s="289"/>
      <c r="HBD19" s="289"/>
      <c r="HBE19" s="289"/>
      <c r="HBF19" s="289"/>
      <c r="HBG19" s="289"/>
      <c r="HBH19" s="289"/>
      <c r="HBI19" s="289"/>
      <c r="HBJ19" s="289"/>
      <c r="HBK19" s="289"/>
      <c r="HBL19" s="289"/>
      <c r="HBM19" s="289"/>
      <c r="HBN19" s="289"/>
      <c r="HBO19" s="289"/>
      <c r="HBP19" s="289"/>
      <c r="HBQ19" s="289"/>
      <c r="HBR19" s="289"/>
      <c r="HBS19" s="289"/>
      <c r="HBT19" s="289"/>
      <c r="HBU19" s="289"/>
      <c r="HBV19" s="289"/>
      <c r="HBW19" s="289"/>
      <c r="HBX19" s="289"/>
      <c r="HBY19" s="289"/>
      <c r="HBZ19" s="289"/>
      <c r="HCA19" s="289"/>
      <c r="HCB19" s="289"/>
      <c r="HCC19" s="289"/>
      <c r="HCD19" s="289"/>
      <c r="HCE19" s="289"/>
      <c r="HCF19" s="289"/>
      <c r="HCG19" s="289"/>
      <c r="HCH19" s="289"/>
      <c r="HCI19" s="289"/>
      <c r="HCJ19" s="289"/>
      <c r="HCK19" s="289"/>
      <c r="HCL19" s="289"/>
      <c r="HCM19" s="289"/>
      <c r="HCN19" s="289"/>
      <c r="HCO19" s="289"/>
      <c r="HCP19" s="289"/>
      <c r="HCQ19" s="289"/>
      <c r="HCR19" s="289"/>
      <c r="HCS19" s="289"/>
      <c r="HCT19" s="289"/>
      <c r="HCU19" s="289"/>
      <c r="HCV19" s="289"/>
      <c r="HCW19" s="289"/>
      <c r="HCX19" s="289"/>
      <c r="HCY19" s="289"/>
      <c r="HCZ19" s="289"/>
      <c r="HDA19" s="289"/>
      <c r="HDB19" s="289"/>
      <c r="HDC19" s="289"/>
      <c r="HDD19" s="289"/>
      <c r="HDE19" s="289"/>
      <c r="HDF19" s="289"/>
      <c r="HDG19" s="289"/>
      <c r="HDH19" s="289"/>
      <c r="HDI19" s="289"/>
      <c r="HDJ19" s="289"/>
      <c r="HDK19" s="289"/>
      <c r="HDL19" s="289"/>
      <c r="HDM19" s="289"/>
      <c r="HDN19" s="289"/>
      <c r="HDO19" s="289"/>
      <c r="HDP19" s="289"/>
      <c r="HDQ19" s="289"/>
      <c r="HDR19" s="289"/>
      <c r="HDS19" s="289"/>
      <c r="HDT19" s="289"/>
      <c r="HDU19" s="289"/>
      <c r="HDV19" s="289"/>
      <c r="HDW19" s="289"/>
      <c r="HDX19" s="289"/>
      <c r="HDY19" s="289"/>
      <c r="HDZ19" s="289"/>
      <c r="HEA19" s="289"/>
      <c r="HEB19" s="289"/>
      <c r="HEC19" s="289"/>
      <c r="HED19" s="289"/>
      <c r="HEE19" s="289"/>
      <c r="HEF19" s="289"/>
      <c r="HEG19" s="289"/>
      <c r="HEH19" s="289"/>
      <c r="HEI19" s="289"/>
      <c r="HEJ19" s="289"/>
      <c r="HEK19" s="289"/>
      <c r="HEL19" s="289"/>
      <c r="HEM19" s="289"/>
      <c r="HEN19" s="289"/>
      <c r="HEO19" s="289"/>
      <c r="HEP19" s="289"/>
      <c r="HEQ19" s="289"/>
      <c r="HER19" s="289"/>
      <c r="HES19" s="289"/>
      <c r="HET19" s="289"/>
      <c r="HEU19" s="289"/>
      <c r="HEV19" s="289"/>
      <c r="HEW19" s="289"/>
      <c r="HEX19" s="289"/>
      <c r="HEY19" s="289"/>
      <c r="HEZ19" s="289"/>
      <c r="HFA19" s="289"/>
      <c r="HFB19" s="289"/>
      <c r="HFC19" s="289"/>
      <c r="HFD19" s="289"/>
      <c r="HFE19" s="289"/>
      <c r="HFF19" s="289"/>
      <c r="HFG19" s="289"/>
      <c r="HFH19" s="289"/>
      <c r="HFI19" s="289"/>
      <c r="HFJ19" s="289"/>
      <c r="HFK19" s="289"/>
      <c r="HFL19" s="289"/>
      <c r="HFM19" s="289"/>
      <c r="HFN19" s="289"/>
      <c r="HFO19" s="289"/>
      <c r="HFP19" s="289"/>
      <c r="HFQ19" s="289"/>
      <c r="HFR19" s="289"/>
      <c r="HFS19" s="289"/>
      <c r="HFT19" s="289"/>
      <c r="HFU19" s="289"/>
      <c r="HFV19" s="289"/>
      <c r="HFW19" s="289"/>
      <c r="HFX19" s="289"/>
      <c r="HFY19" s="289"/>
      <c r="HFZ19" s="289"/>
      <c r="HGA19" s="289"/>
      <c r="HGB19" s="289"/>
      <c r="HGC19" s="289"/>
      <c r="HGD19" s="289"/>
      <c r="HGE19" s="289"/>
      <c r="HGF19" s="289"/>
      <c r="HGG19" s="289"/>
      <c r="HGH19" s="289"/>
      <c r="HGI19" s="289"/>
      <c r="HGJ19" s="289"/>
      <c r="HGK19" s="289"/>
      <c r="HGL19" s="289"/>
      <c r="HGM19" s="289"/>
      <c r="HGN19" s="289"/>
      <c r="HGO19" s="289"/>
      <c r="HGP19" s="289"/>
      <c r="HGQ19" s="289"/>
      <c r="HGR19" s="289"/>
      <c r="HGS19" s="289"/>
      <c r="HGT19" s="289"/>
      <c r="HGU19" s="289"/>
      <c r="HGV19" s="289"/>
      <c r="HGW19" s="289"/>
      <c r="HGX19" s="289"/>
      <c r="HGY19" s="289"/>
      <c r="HGZ19" s="289"/>
      <c r="HHA19" s="289"/>
      <c r="HHB19" s="289"/>
      <c r="HHC19" s="289"/>
      <c r="HHD19" s="289"/>
      <c r="HHE19" s="289"/>
      <c r="HHF19" s="289"/>
      <c r="HHG19" s="289"/>
      <c r="HHH19" s="289"/>
      <c r="HHI19" s="289"/>
      <c r="HHJ19" s="289"/>
      <c r="HHK19" s="289"/>
      <c r="HHL19" s="289"/>
      <c r="HHM19" s="289"/>
      <c r="HHN19" s="289"/>
      <c r="HHO19" s="289"/>
      <c r="HHP19" s="289"/>
      <c r="HHQ19" s="289"/>
      <c r="HHR19" s="289"/>
      <c r="HHS19" s="289"/>
      <c r="HHT19" s="289"/>
      <c r="HHU19" s="289"/>
      <c r="HHV19" s="289"/>
      <c r="HHW19" s="289"/>
      <c r="HHX19" s="289"/>
      <c r="HHY19" s="289"/>
      <c r="HHZ19" s="289"/>
      <c r="HIA19" s="289"/>
      <c r="HIB19" s="289"/>
      <c r="HIC19" s="289"/>
      <c r="HID19" s="289"/>
      <c r="HIE19" s="289"/>
      <c r="HIF19" s="289"/>
      <c r="HIG19" s="289"/>
      <c r="HIH19" s="289"/>
      <c r="HII19" s="289"/>
      <c r="HIJ19" s="289"/>
      <c r="HIK19" s="289"/>
      <c r="HIL19" s="289"/>
      <c r="HIM19" s="289"/>
      <c r="HIN19" s="289"/>
      <c r="HIO19" s="289"/>
      <c r="HIP19" s="289"/>
      <c r="HIQ19" s="289"/>
      <c r="HIR19" s="289"/>
      <c r="HIS19" s="289"/>
      <c r="HIT19" s="289"/>
      <c r="HIU19" s="289"/>
      <c r="HIV19" s="289"/>
      <c r="HIW19" s="289"/>
      <c r="HIX19" s="289"/>
      <c r="HIY19" s="289"/>
      <c r="HIZ19" s="289"/>
      <c r="HJA19" s="289"/>
      <c r="HJB19" s="289"/>
      <c r="HJC19" s="289"/>
      <c r="HJD19" s="289"/>
      <c r="HJE19" s="289"/>
      <c r="HJF19" s="289"/>
      <c r="HJG19" s="289"/>
      <c r="HJH19" s="289"/>
      <c r="HJI19" s="289"/>
      <c r="HJJ19" s="289"/>
      <c r="HJK19" s="289"/>
      <c r="HJL19" s="289"/>
      <c r="HJM19" s="289"/>
      <c r="HJN19" s="289"/>
      <c r="HJO19" s="289"/>
      <c r="HJP19" s="289"/>
      <c r="HJQ19" s="289"/>
      <c r="HJR19" s="289"/>
      <c r="HJS19" s="289"/>
      <c r="HJT19" s="289"/>
      <c r="HJU19" s="289"/>
      <c r="HJV19" s="289"/>
      <c r="HJW19" s="289"/>
      <c r="HJX19" s="289"/>
      <c r="HJY19" s="289"/>
      <c r="HJZ19" s="289"/>
      <c r="HKA19" s="289"/>
      <c r="HKB19" s="289"/>
      <c r="HKC19" s="289"/>
      <c r="HKD19" s="289"/>
      <c r="HKE19" s="289"/>
      <c r="HKF19" s="289"/>
      <c r="HKG19" s="289"/>
      <c r="HKH19" s="289"/>
      <c r="HKI19" s="289"/>
      <c r="HKJ19" s="289"/>
      <c r="HKK19" s="289"/>
      <c r="HKL19" s="289"/>
      <c r="HKM19" s="289"/>
      <c r="HKN19" s="289"/>
      <c r="HKO19" s="289"/>
      <c r="HKP19" s="289"/>
      <c r="HKQ19" s="289"/>
      <c r="HKR19" s="289"/>
      <c r="HKS19" s="289"/>
      <c r="HKT19" s="289"/>
      <c r="HKU19" s="289"/>
      <c r="HKV19" s="289"/>
      <c r="HKW19" s="289"/>
      <c r="HKX19" s="289"/>
      <c r="HKY19" s="289"/>
      <c r="HKZ19" s="289"/>
      <c r="HLA19" s="289"/>
      <c r="HLB19" s="289"/>
      <c r="HLC19" s="289"/>
      <c r="HLD19" s="289"/>
      <c r="HLE19" s="289"/>
      <c r="HLF19" s="289"/>
      <c r="HLG19" s="289"/>
      <c r="HLH19" s="289"/>
      <c r="HLI19" s="289"/>
      <c r="HLJ19" s="289"/>
      <c r="HLK19" s="289"/>
      <c r="HLL19" s="289"/>
      <c r="HLM19" s="289"/>
      <c r="HLN19" s="289"/>
      <c r="HLO19" s="289"/>
      <c r="HLP19" s="289"/>
      <c r="HLQ19" s="289"/>
      <c r="HLR19" s="289"/>
      <c r="HLS19" s="289"/>
      <c r="HLT19" s="289"/>
      <c r="HLU19" s="289"/>
      <c r="HLV19" s="289"/>
      <c r="HLW19" s="289"/>
      <c r="HLX19" s="289"/>
      <c r="HLY19" s="289"/>
      <c r="HLZ19" s="289"/>
      <c r="HMA19" s="289"/>
      <c r="HMB19" s="289"/>
      <c r="HMC19" s="289"/>
      <c r="HMD19" s="289"/>
      <c r="HME19" s="289"/>
      <c r="HMF19" s="289"/>
      <c r="HMG19" s="289"/>
      <c r="HMH19" s="289"/>
      <c r="HMI19" s="289"/>
      <c r="HMJ19" s="289"/>
      <c r="HMK19" s="289"/>
      <c r="HML19" s="289"/>
      <c r="HMM19" s="289"/>
      <c r="HMN19" s="289"/>
      <c r="HMO19" s="289"/>
      <c r="HMP19" s="289"/>
      <c r="HMQ19" s="289"/>
      <c r="HMR19" s="289"/>
      <c r="HMS19" s="289"/>
      <c r="HMT19" s="289"/>
      <c r="HMU19" s="289"/>
      <c r="HMV19" s="289"/>
      <c r="HMW19" s="289"/>
      <c r="HMX19" s="289"/>
      <c r="HMY19" s="289"/>
      <c r="HMZ19" s="289"/>
      <c r="HNA19" s="289"/>
      <c r="HNB19" s="289"/>
      <c r="HNC19" s="289"/>
      <c r="HND19" s="289"/>
      <c r="HNE19" s="289"/>
      <c r="HNF19" s="289"/>
      <c r="HNG19" s="289"/>
      <c r="HNH19" s="289"/>
      <c r="HNI19" s="289"/>
      <c r="HNJ19" s="289"/>
      <c r="HNK19" s="289"/>
      <c r="HNL19" s="289"/>
      <c r="HNM19" s="289"/>
      <c r="HNN19" s="289"/>
      <c r="HNO19" s="289"/>
      <c r="HNP19" s="289"/>
      <c r="HNQ19" s="289"/>
      <c r="HNR19" s="289"/>
      <c r="HNS19" s="289"/>
      <c r="HNT19" s="289"/>
      <c r="HNU19" s="289"/>
      <c r="HNV19" s="289"/>
      <c r="HNW19" s="289"/>
      <c r="HNX19" s="289"/>
      <c r="HNY19" s="289"/>
      <c r="HNZ19" s="289"/>
      <c r="HOA19" s="289"/>
      <c r="HOB19" s="289"/>
      <c r="HOC19" s="289"/>
      <c r="HOD19" s="289"/>
      <c r="HOE19" s="289"/>
      <c r="HOF19" s="289"/>
      <c r="HOG19" s="289"/>
      <c r="HOH19" s="289"/>
      <c r="HOI19" s="289"/>
      <c r="HOJ19" s="289"/>
      <c r="HOK19" s="289"/>
      <c r="HOL19" s="289"/>
      <c r="HOM19" s="289"/>
      <c r="HON19" s="289"/>
      <c r="HOO19" s="289"/>
      <c r="HOP19" s="289"/>
      <c r="HOQ19" s="289"/>
      <c r="HOR19" s="289"/>
      <c r="HOS19" s="289"/>
      <c r="HOT19" s="289"/>
      <c r="HOU19" s="289"/>
      <c r="HOV19" s="289"/>
      <c r="HOW19" s="289"/>
      <c r="HOX19" s="289"/>
      <c r="HOY19" s="289"/>
      <c r="HOZ19" s="289"/>
      <c r="HPA19" s="289"/>
      <c r="HPB19" s="289"/>
      <c r="HPC19" s="289"/>
      <c r="HPD19" s="289"/>
      <c r="HPE19" s="289"/>
      <c r="HPF19" s="289"/>
      <c r="HPG19" s="289"/>
      <c r="HPH19" s="289"/>
      <c r="HPI19" s="289"/>
      <c r="HPJ19" s="289"/>
      <c r="HPK19" s="289"/>
      <c r="HPL19" s="289"/>
      <c r="HPM19" s="289"/>
      <c r="HPN19" s="289"/>
      <c r="HPO19" s="289"/>
      <c r="HPP19" s="289"/>
      <c r="HPQ19" s="289"/>
      <c r="HPR19" s="289"/>
      <c r="HPS19" s="289"/>
      <c r="HPT19" s="289"/>
      <c r="HPU19" s="289"/>
      <c r="HPV19" s="289"/>
      <c r="HPW19" s="289"/>
      <c r="HPX19" s="289"/>
      <c r="HPY19" s="289"/>
      <c r="HPZ19" s="289"/>
      <c r="HQA19" s="289"/>
      <c r="HQB19" s="289"/>
      <c r="HQC19" s="289"/>
      <c r="HQD19" s="289"/>
      <c r="HQE19" s="289"/>
      <c r="HQF19" s="289"/>
      <c r="HQG19" s="289"/>
      <c r="HQH19" s="289"/>
      <c r="HQI19" s="289"/>
      <c r="HQJ19" s="289"/>
      <c r="HQK19" s="289"/>
      <c r="HQL19" s="289"/>
      <c r="HQM19" s="289"/>
      <c r="HQN19" s="289"/>
      <c r="HQO19" s="289"/>
      <c r="HQP19" s="289"/>
      <c r="HQQ19" s="289"/>
      <c r="HQR19" s="289"/>
      <c r="HQS19" s="289"/>
      <c r="HQT19" s="289"/>
      <c r="HQU19" s="289"/>
      <c r="HQV19" s="289"/>
      <c r="HQW19" s="289"/>
      <c r="HQX19" s="289"/>
      <c r="HQY19" s="289"/>
      <c r="HQZ19" s="289"/>
      <c r="HRA19" s="289"/>
      <c r="HRB19" s="289"/>
      <c r="HRC19" s="289"/>
      <c r="HRD19" s="289"/>
      <c r="HRE19" s="289"/>
      <c r="HRF19" s="289"/>
      <c r="HRG19" s="289"/>
      <c r="HRH19" s="289"/>
      <c r="HRI19" s="289"/>
      <c r="HRJ19" s="289"/>
      <c r="HRK19" s="289"/>
      <c r="HRL19" s="289"/>
      <c r="HRM19" s="289"/>
      <c r="HRN19" s="289"/>
      <c r="HRO19" s="289"/>
      <c r="HRP19" s="289"/>
      <c r="HRQ19" s="289"/>
      <c r="HRR19" s="289"/>
      <c r="HRS19" s="289"/>
      <c r="HRT19" s="289"/>
      <c r="HRU19" s="289"/>
      <c r="HRV19" s="289"/>
      <c r="HRW19" s="289"/>
      <c r="HRX19" s="289"/>
      <c r="HRY19" s="289"/>
      <c r="HRZ19" s="289"/>
      <c r="HSA19" s="289"/>
      <c r="HSB19" s="289"/>
      <c r="HSC19" s="289"/>
      <c r="HSD19" s="289"/>
      <c r="HSE19" s="289"/>
      <c r="HSF19" s="289"/>
      <c r="HSG19" s="289"/>
      <c r="HSH19" s="289"/>
      <c r="HSI19" s="289"/>
      <c r="HSJ19" s="289"/>
      <c r="HSK19" s="289"/>
      <c r="HSL19" s="289"/>
      <c r="HSM19" s="289"/>
      <c r="HSN19" s="289"/>
      <c r="HSO19" s="289"/>
      <c r="HSP19" s="289"/>
      <c r="HSQ19" s="289"/>
      <c r="HSR19" s="289"/>
      <c r="HSS19" s="289"/>
      <c r="HST19" s="289"/>
      <c r="HSU19" s="289"/>
      <c r="HSV19" s="289"/>
      <c r="HSW19" s="289"/>
      <c r="HSX19" s="289"/>
      <c r="HSY19" s="289"/>
      <c r="HSZ19" s="289"/>
      <c r="HTA19" s="289"/>
      <c r="HTB19" s="289"/>
      <c r="HTC19" s="289"/>
      <c r="HTD19" s="289"/>
      <c r="HTE19" s="289"/>
      <c r="HTF19" s="289"/>
      <c r="HTG19" s="289"/>
      <c r="HTH19" s="289"/>
      <c r="HTI19" s="289"/>
      <c r="HTJ19" s="289"/>
      <c r="HTK19" s="289"/>
      <c r="HTL19" s="289"/>
      <c r="HTM19" s="289"/>
      <c r="HTN19" s="289"/>
      <c r="HTO19" s="289"/>
      <c r="HTP19" s="289"/>
      <c r="HTQ19" s="289"/>
      <c r="HTR19" s="289"/>
      <c r="HTS19" s="289"/>
      <c r="HTT19" s="289"/>
      <c r="HTU19" s="289"/>
      <c r="HTV19" s="289"/>
      <c r="HTW19" s="289"/>
      <c r="HTX19" s="289"/>
      <c r="HTY19" s="289"/>
      <c r="HTZ19" s="289"/>
      <c r="HUA19" s="289"/>
      <c r="HUB19" s="289"/>
      <c r="HUC19" s="289"/>
      <c r="HUD19" s="289"/>
      <c r="HUE19" s="289"/>
      <c r="HUF19" s="289"/>
      <c r="HUG19" s="289"/>
      <c r="HUH19" s="289"/>
      <c r="HUI19" s="289"/>
      <c r="HUJ19" s="289"/>
      <c r="HUK19" s="289"/>
      <c r="HUL19" s="289"/>
      <c r="HUM19" s="289"/>
      <c r="HUN19" s="289"/>
      <c r="HUO19" s="289"/>
      <c r="HUP19" s="289"/>
      <c r="HUQ19" s="289"/>
      <c r="HUR19" s="289"/>
      <c r="HUS19" s="289"/>
      <c r="HUT19" s="289"/>
      <c r="HUU19" s="289"/>
      <c r="HUV19" s="289"/>
      <c r="HUW19" s="289"/>
      <c r="HUX19" s="289"/>
      <c r="HUY19" s="289"/>
      <c r="HUZ19" s="289"/>
      <c r="HVA19" s="289"/>
      <c r="HVB19" s="289"/>
      <c r="HVC19" s="289"/>
      <c r="HVD19" s="289"/>
      <c r="HVE19" s="289"/>
      <c r="HVF19" s="289"/>
      <c r="HVG19" s="289"/>
      <c r="HVH19" s="289"/>
      <c r="HVI19" s="289"/>
      <c r="HVJ19" s="289"/>
      <c r="HVK19" s="289"/>
      <c r="HVL19" s="289"/>
      <c r="HVM19" s="289"/>
      <c r="HVN19" s="289"/>
      <c r="HVO19" s="289"/>
      <c r="HVP19" s="289"/>
      <c r="HVQ19" s="289"/>
      <c r="HVR19" s="289"/>
      <c r="HVS19" s="289"/>
      <c r="HVT19" s="289"/>
      <c r="HVU19" s="289"/>
      <c r="HVV19" s="289"/>
      <c r="HVW19" s="289"/>
      <c r="HVX19" s="289"/>
      <c r="HVY19" s="289"/>
      <c r="HVZ19" s="289"/>
      <c r="HWA19" s="289"/>
      <c r="HWB19" s="289"/>
      <c r="HWC19" s="289"/>
      <c r="HWD19" s="289"/>
      <c r="HWE19" s="289"/>
      <c r="HWF19" s="289"/>
      <c r="HWG19" s="289"/>
      <c r="HWH19" s="289"/>
      <c r="HWI19" s="289"/>
      <c r="HWJ19" s="289"/>
      <c r="HWK19" s="289"/>
      <c r="HWL19" s="289"/>
      <c r="HWM19" s="289"/>
      <c r="HWN19" s="289"/>
      <c r="HWO19" s="289"/>
      <c r="HWP19" s="289"/>
      <c r="HWQ19" s="289"/>
      <c r="HWR19" s="289"/>
      <c r="HWS19" s="289"/>
      <c r="HWT19" s="289"/>
      <c r="HWU19" s="289"/>
      <c r="HWV19" s="289"/>
      <c r="HWW19" s="289"/>
      <c r="HWX19" s="289"/>
      <c r="HWY19" s="289"/>
      <c r="HWZ19" s="289"/>
      <c r="HXA19" s="289"/>
      <c r="HXB19" s="289"/>
      <c r="HXC19" s="289"/>
      <c r="HXD19" s="289"/>
      <c r="HXE19" s="289"/>
      <c r="HXF19" s="289"/>
      <c r="HXG19" s="289"/>
      <c r="HXH19" s="289"/>
      <c r="HXI19" s="289"/>
      <c r="HXJ19" s="289"/>
      <c r="HXK19" s="289"/>
      <c r="HXL19" s="289"/>
      <c r="HXM19" s="289"/>
      <c r="HXN19" s="289"/>
      <c r="HXO19" s="289"/>
      <c r="HXP19" s="289"/>
      <c r="HXQ19" s="289"/>
      <c r="HXR19" s="289"/>
      <c r="HXS19" s="289"/>
      <c r="HXT19" s="289"/>
      <c r="HXU19" s="289"/>
      <c r="HXV19" s="289"/>
      <c r="HXW19" s="289"/>
      <c r="HXX19" s="289"/>
      <c r="HXY19" s="289"/>
      <c r="HXZ19" s="289"/>
      <c r="HYA19" s="289"/>
      <c r="HYB19" s="289"/>
      <c r="HYC19" s="289"/>
      <c r="HYD19" s="289"/>
      <c r="HYE19" s="289"/>
      <c r="HYF19" s="289"/>
      <c r="HYG19" s="289"/>
      <c r="HYH19" s="289"/>
      <c r="HYI19" s="289"/>
      <c r="HYJ19" s="289"/>
      <c r="HYK19" s="289"/>
      <c r="HYL19" s="289"/>
      <c r="HYM19" s="289"/>
      <c r="HYN19" s="289"/>
      <c r="HYO19" s="289"/>
      <c r="HYP19" s="289"/>
      <c r="HYQ19" s="289"/>
      <c r="HYR19" s="289"/>
      <c r="HYS19" s="289"/>
      <c r="HYT19" s="289"/>
      <c r="HYU19" s="289"/>
      <c r="HYV19" s="289"/>
      <c r="HYW19" s="289"/>
      <c r="HYX19" s="289"/>
      <c r="HYY19" s="289"/>
      <c r="HYZ19" s="289"/>
      <c r="HZA19" s="289"/>
      <c r="HZB19" s="289"/>
      <c r="HZC19" s="289"/>
      <c r="HZD19" s="289"/>
      <c r="HZE19" s="289"/>
      <c r="HZF19" s="289"/>
      <c r="HZG19" s="289"/>
      <c r="HZH19" s="289"/>
      <c r="HZI19" s="289"/>
      <c r="HZJ19" s="289"/>
      <c r="HZK19" s="289"/>
      <c r="HZL19" s="289"/>
      <c r="HZM19" s="289"/>
      <c r="HZN19" s="289"/>
      <c r="HZO19" s="289"/>
      <c r="HZP19" s="289"/>
      <c r="HZQ19" s="289"/>
      <c r="HZR19" s="289"/>
      <c r="HZS19" s="289"/>
      <c r="HZT19" s="289"/>
      <c r="HZU19" s="289"/>
      <c r="HZV19" s="289"/>
      <c r="HZW19" s="289"/>
      <c r="HZX19" s="289"/>
      <c r="HZY19" s="289"/>
      <c r="HZZ19" s="289"/>
      <c r="IAA19" s="289"/>
      <c r="IAB19" s="289"/>
      <c r="IAC19" s="289"/>
      <c r="IAD19" s="289"/>
      <c r="IAE19" s="289"/>
      <c r="IAF19" s="289"/>
      <c r="IAG19" s="289"/>
      <c r="IAH19" s="289"/>
      <c r="IAI19" s="289"/>
      <c r="IAJ19" s="289"/>
      <c r="IAK19" s="289"/>
      <c r="IAL19" s="289"/>
      <c r="IAM19" s="289"/>
      <c r="IAN19" s="289"/>
      <c r="IAO19" s="289"/>
      <c r="IAP19" s="289"/>
      <c r="IAQ19" s="289"/>
      <c r="IAR19" s="289"/>
      <c r="IAS19" s="289"/>
      <c r="IAT19" s="289"/>
      <c r="IAU19" s="289"/>
      <c r="IAV19" s="289"/>
      <c r="IAW19" s="289"/>
      <c r="IAX19" s="289"/>
      <c r="IAY19" s="289"/>
      <c r="IAZ19" s="289"/>
      <c r="IBA19" s="289"/>
      <c r="IBB19" s="289"/>
      <c r="IBC19" s="289"/>
      <c r="IBD19" s="289"/>
      <c r="IBE19" s="289"/>
      <c r="IBF19" s="289"/>
      <c r="IBG19" s="289"/>
      <c r="IBH19" s="289"/>
      <c r="IBI19" s="289"/>
      <c r="IBJ19" s="289"/>
      <c r="IBK19" s="289"/>
      <c r="IBL19" s="289"/>
      <c r="IBM19" s="289"/>
      <c r="IBN19" s="289"/>
      <c r="IBO19" s="289"/>
      <c r="IBP19" s="289"/>
      <c r="IBQ19" s="289"/>
      <c r="IBR19" s="289"/>
      <c r="IBS19" s="289"/>
      <c r="IBT19" s="289"/>
      <c r="IBU19" s="289"/>
      <c r="IBV19" s="289"/>
      <c r="IBW19" s="289"/>
      <c r="IBX19" s="289"/>
      <c r="IBY19" s="289"/>
      <c r="IBZ19" s="289"/>
      <c r="ICA19" s="289"/>
      <c r="ICB19" s="289"/>
      <c r="ICC19" s="289"/>
      <c r="ICD19" s="289"/>
      <c r="ICE19" s="289"/>
      <c r="ICF19" s="289"/>
      <c r="ICG19" s="289"/>
      <c r="ICH19" s="289"/>
      <c r="ICI19" s="289"/>
      <c r="ICJ19" s="289"/>
      <c r="ICK19" s="289"/>
      <c r="ICL19" s="289"/>
      <c r="ICM19" s="289"/>
      <c r="ICN19" s="289"/>
      <c r="ICO19" s="289"/>
      <c r="ICP19" s="289"/>
      <c r="ICQ19" s="289"/>
      <c r="ICR19" s="289"/>
      <c r="ICS19" s="289"/>
      <c r="ICT19" s="289"/>
      <c r="ICU19" s="289"/>
      <c r="ICV19" s="289"/>
      <c r="ICW19" s="289"/>
      <c r="ICX19" s="289"/>
      <c r="ICY19" s="289"/>
      <c r="ICZ19" s="289"/>
      <c r="IDA19" s="289"/>
      <c r="IDB19" s="289"/>
      <c r="IDC19" s="289"/>
      <c r="IDD19" s="289"/>
      <c r="IDE19" s="289"/>
      <c r="IDF19" s="289"/>
      <c r="IDG19" s="289"/>
      <c r="IDH19" s="289"/>
      <c r="IDI19" s="289"/>
      <c r="IDJ19" s="289"/>
      <c r="IDK19" s="289"/>
      <c r="IDL19" s="289"/>
      <c r="IDM19" s="289"/>
      <c r="IDN19" s="289"/>
      <c r="IDO19" s="289"/>
      <c r="IDP19" s="289"/>
      <c r="IDQ19" s="289"/>
      <c r="IDR19" s="289"/>
      <c r="IDS19" s="289"/>
      <c r="IDT19" s="289"/>
      <c r="IDU19" s="289"/>
      <c r="IDV19" s="289"/>
      <c r="IDW19" s="289"/>
      <c r="IDX19" s="289"/>
      <c r="IDY19" s="289"/>
      <c r="IDZ19" s="289"/>
      <c r="IEA19" s="289"/>
      <c r="IEB19" s="289"/>
      <c r="IEC19" s="289"/>
      <c r="IED19" s="289"/>
      <c r="IEE19" s="289"/>
      <c r="IEF19" s="289"/>
      <c r="IEG19" s="289"/>
      <c r="IEH19" s="289"/>
      <c r="IEI19" s="289"/>
      <c r="IEJ19" s="289"/>
      <c r="IEK19" s="289"/>
      <c r="IEL19" s="289"/>
      <c r="IEM19" s="289"/>
      <c r="IEN19" s="289"/>
      <c r="IEO19" s="289"/>
      <c r="IEP19" s="289"/>
      <c r="IEQ19" s="289"/>
      <c r="IER19" s="289"/>
      <c r="IES19" s="289"/>
      <c r="IET19" s="289"/>
      <c r="IEU19" s="289"/>
      <c r="IEV19" s="289"/>
      <c r="IEW19" s="289"/>
      <c r="IEX19" s="289"/>
      <c r="IEY19" s="289"/>
      <c r="IEZ19" s="289"/>
      <c r="IFA19" s="289"/>
      <c r="IFB19" s="289"/>
      <c r="IFC19" s="289"/>
      <c r="IFD19" s="289"/>
      <c r="IFE19" s="289"/>
      <c r="IFF19" s="289"/>
      <c r="IFG19" s="289"/>
      <c r="IFH19" s="289"/>
      <c r="IFI19" s="289"/>
      <c r="IFJ19" s="289"/>
      <c r="IFK19" s="289"/>
      <c r="IFL19" s="289"/>
      <c r="IFM19" s="289"/>
      <c r="IFN19" s="289"/>
      <c r="IFO19" s="289"/>
      <c r="IFP19" s="289"/>
      <c r="IFQ19" s="289"/>
      <c r="IFR19" s="289"/>
      <c r="IFS19" s="289"/>
      <c r="IFT19" s="289"/>
      <c r="IFU19" s="289"/>
      <c r="IFV19" s="289"/>
      <c r="IFW19" s="289"/>
      <c r="IFX19" s="289"/>
      <c r="IFY19" s="289"/>
      <c r="IFZ19" s="289"/>
      <c r="IGA19" s="289"/>
      <c r="IGB19" s="289"/>
      <c r="IGC19" s="289"/>
      <c r="IGD19" s="289"/>
      <c r="IGE19" s="289"/>
      <c r="IGF19" s="289"/>
      <c r="IGG19" s="289"/>
      <c r="IGH19" s="289"/>
      <c r="IGI19" s="289"/>
      <c r="IGJ19" s="289"/>
      <c r="IGK19" s="289"/>
      <c r="IGL19" s="289"/>
      <c r="IGM19" s="289"/>
      <c r="IGN19" s="289"/>
      <c r="IGO19" s="289"/>
      <c r="IGP19" s="289"/>
      <c r="IGQ19" s="289"/>
      <c r="IGR19" s="289"/>
      <c r="IGS19" s="289"/>
      <c r="IGT19" s="289"/>
      <c r="IGU19" s="289"/>
      <c r="IGV19" s="289"/>
      <c r="IGW19" s="289"/>
      <c r="IGX19" s="289"/>
      <c r="IGY19" s="289"/>
      <c r="IGZ19" s="289"/>
      <c r="IHA19" s="289"/>
      <c r="IHB19" s="289"/>
      <c r="IHC19" s="289"/>
      <c r="IHD19" s="289"/>
      <c r="IHE19" s="289"/>
      <c r="IHF19" s="289"/>
      <c r="IHG19" s="289"/>
      <c r="IHH19" s="289"/>
      <c r="IHI19" s="289"/>
      <c r="IHJ19" s="289"/>
      <c r="IHK19" s="289"/>
      <c r="IHL19" s="289"/>
      <c r="IHM19" s="289"/>
      <c r="IHN19" s="289"/>
      <c r="IHO19" s="289"/>
      <c r="IHP19" s="289"/>
      <c r="IHQ19" s="289"/>
      <c r="IHR19" s="289"/>
      <c r="IHS19" s="289"/>
      <c r="IHT19" s="289"/>
      <c r="IHU19" s="289"/>
      <c r="IHV19" s="289"/>
      <c r="IHW19" s="289"/>
      <c r="IHX19" s="289"/>
      <c r="IHY19" s="289"/>
      <c r="IHZ19" s="289"/>
      <c r="IIA19" s="289"/>
      <c r="IIB19" s="289"/>
      <c r="IIC19" s="289"/>
      <c r="IID19" s="289"/>
      <c r="IIE19" s="289"/>
      <c r="IIF19" s="289"/>
      <c r="IIG19" s="289"/>
      <c r="IIH19" s="289"/>
      <c r="III19" s="289"/>
      <c r="IIJ19" s="289"/>
      <c r="IIK19" s="289"/>
      <c r="IIL19" s="289"/>
      <c r="IIM19" s="289"/>
      <c r="IIN19" s="289"/>
      <c r="IIO19" s="289"/>
      <c r="IIP19" s="289"/>
      <c r="IIQ19" s="289"/>
      <c r="IIR19" s="289"/>
      <c r="IIS19" s="289"/>
      <c r="IIT19" s="289"/>
      <c r="IIU19" s="289"/>
      <c r="IIV19" s="289"/>
      <c r="IIW19" s="289"/>
      <c r="IIX19" s="289"/>
      <c r="IIY19" s="289"/>
      <c r="IIZ19" s="289"/>
      <c r="IJA19" s="289"/>
      <c r="IJB19" s="289"/>
      <c r="IJC19" s="289"/>
      <c r="IJD19" s="289"/>
      <c r="IJE19" s="289"/>
      <c r="IJF19" s="289"/>
      <c r="IJG19" s="289"/>
      <c r="IJH19" s="289"/>
      <c r="IJI19" s="289"/>
      <c r="IJJ19" s="289"/>
      <c r="IJK19" s="289"/>
      <c r="IJL19" s="289"/>
      <c r="IJM19" s="289"/>
      <c r="IJN19" s="289"/>
      <c r="IJO19" s="289"/>
      <c r="IJP19" s="289"/>
      <c r="IJQ19" s="289"/>
      <c r="IJR19" s="289"/>
      <c r="IJS19" s="289"/>
      <c r="IJT19" s="289"/>
      <c r="IJU19" s="289"/>
      <c r="IJV19" s="289"/>
      <c r="IJW19" s="289"/>
      <c r="IJX19" s="289"/>
      <c r="IJY19" s="289"/>
      <c r="IJZ19" s="289"/>
      <c r="IKA19" s="289"/>
      <c r="IKB19" s="289"/>
      <c r="IKC19" s="289"/>
      <c r="IKD19" s="289"/>
      <c r="IKE19" s="289"/>
      <c r="IKF19" s="289"/>
      <c r="IKG19" s="289"/>
      <c r="IKH19" s="289"/>
      <c r="IKI19" s="289"/>
      <c r="IKJ19" s="289"/>
      <c r="IKK19" s="289"/>
      <c r="IKL19" s="289"/>
      <c r="IKM19" s="289"/>
      <c r="IKN19" s="289"/>
      <c r="IKO19" s="289"/>
      <c r="IKP19" s="289"/>
      <c r="IKQ19" s="289"/>
      <c r="IKR19" s="289"/>
      <c r="IKS19" s="289"/>
      <c r="IKT19" s="289"/>
      <c r="IKU19" s="289"/>
      <c r="IKV19" s="289"/>
      <c r="IKW19" s="289"/>
      <c r="IKX19" s="289"/>
      <c r="IKY19" s="289"/>
      <c r="IKZ19" s="289"/>
      <c r="ILA19" s="289"/>
      <c r="ILB19" s="289"/>
      <c r="ILC19" s="289"/>
      <c r="ILD19" s="289"/>
      <c r="ILE19" s="289"/>
      <c r="ILF19" s="289"/>
      <c r="ILG19" s="289"/>
      <c r="ILH19" s="289"/>
      <c r="ILI19" s="289"/>
      <c r="ILJ19" s="289"/>
      <c r="ILK19" s="289"/>
      <c r="ILL19" s="289"/>
      <c r="ILM19" s="289"/>
      <c r="ILN19" s="289"/>
      <c r="ILO19" s="289"/>
      <c r="ILP19" s="289"/>
      <c r="ILQ19" s="289"/>
      <c r="ILR19" s="289"/>
      <c r="ILS19" s="289"/>
      <c r="ILT19" s="289"/>
      <c r="ILU19" s="289"/>
      <c r="ILV19" s="289"/>
      <c r="ILW19" s="289"/>
      <c r="ILX19" s="289"/>
      <c r="ILY19" s="289"/>
      <c r="ILZ19" s="289"/>
      <c r="IMA19" s="289"/>
      <c r="IMB19" s="289"/>
      <c r="IMC19" s="289"/>
      <c r="IMD19" s="289"/>
      <c r="IME19" s="289"/>
      <c r="IMF19" s="289"/>
      <c r="IMG19" s="289"/>
      <c r="IMH19" s="289"/>
      <c r="IMI19" s="289"/>
      <c r="IMJ19" s="289"/>
      <c r="IMK19" s="289"/>
      <c r="IML19" s="289"/>
      <c r="IMM19" s="289"/>
      <c r="IMN19" s="289"/>
      <c r="IMO19" s="289"/>
      <c r="IMP19" s="289"/>
      <c r="IMQ19" s="289"/>
      <c r="IMR19" s="289"/>
      <c r="IMS19" s="289"/>
      <c r="IMT19" s="289"/>
      <c r="IMU19" s="289"/>
      <c r="IMV19" s="289"/>
      <c r="IMW19" s="289"/>
      <c r="IMX19" s="289"/>
      <c r="IMY19" s="289"/>
      <c r="IMZ19" s="289"/>
      <c r="INA19" s="289"/>
      <c r="INB19" s="289"/>
      <c r="INC19" s="289"/>
      <c r="IND19" s="289"/>
      <c r="INE19" s="289"/>
      <c r="INF19" s="289"/>
      <c r="ING19" s="289"/>
      <c r="INH19" s="289"/>
      <c r="INI19" s="289"/>
      <c r="INJ19" s="289"/>
      <c r="INK19" s="289"/>
      <c r="INL19" s="289"/>
      <c r="INM19" s="289"/>
      <c r="INN19" s="289"/>
      <c r="INO19" s="289"/>
      <c r="INP19" s="289"/>
      <c r="INQ19" s="289"/>
      <c r="INR19" s="289"/>
      <c r="INS19" s="289"/>
      <c r="INT19" s="289"/>
      <c r="INU19" s="289"/>
      <c r="INV19" s="289"/>
      <c r="INW19" s="289"/>
      <c r="INX19" s="289"/>
      <c r="INY19" s="289"/>
      <c r="INZ19" s="289"/>
      <c r="IOA19" s="289"/>
      <c r="IOB19" s="289"/>
      <c r="IOC19" s="289"/>
      <c r="IOD19" s="289"/>
      <c r="IOE19" s="289"/>
      <c r="IOF19" s="289"/>
      <c r="IOG19" s="289"/>
      <c r="IOH19" s="289"/>
      <c r="IOI19" s="289"/>
      <c r="IOJ19" s="289"/>
      <c r="IOK19" s="289"/>
      <c r="IOL19" s="289"/>
      <c r="IOM19" s="289"/>
      <c r="ION19" s="289"/>
      <c r="IOO19" s="289"/>
      <c r="IOP19" s="289"/>
      <c r="IOQ19" s="289"/>
      <c r="IOR19" s="289"/>
      <c r="IOS19" s="289"/>
      <c r="IOT19" s="289"/>
      <c r="IOU19" s="289"/>
      <c r="IOV19" s="289"/>
      <c r="IOW19" s="289"/>
      <c r="IOX19" s="289"/>
      <c r="IOY19" s="289"/>
      <c r="IOZ19" s="289"/>
      <c r="IPA19" s="289"/>
      <c r="IPB19" s="289"/>
      <c r="IPC19" s="289"/>
      <c r="IPD19" s="289"/>
      <c r="IPE19" s="289"/>
      <c r="IPF19" s="289"/>
      <c r="IPG19" s="289"/>
      <c r="IPH19" s="289"/>
      <c r="IPI19" s="289"/>
      <c r="IPJ19" s="289"/>
      <c r="IPK19" s="289"/>
      <c r="IPL19" s="289"/>
      <c r="IPM19" s="289"/>
      <c r="IPN19" s="289"/>
      <c r="IPO19" s="289"/>
      <c r="IPP19" s="289"/>
      <c r="IPQ19" s="289"/>
      <c r="IPR19" s="289"/>
      <c r="IPS19" s="289"/>
      <c r="IPT19" s="289"/>
      <c r="IPU19" s="289"/>
      <c r="IPV19" s="289"/>
      <c r="IPW19" s="289"/>
      <c r="IPX19" s="289"/>
      <c r="IPY19" s="289"/>
      <c r="IPZ19" s="289"/>
      <c r="IQA19" s="289"/>
      <c r="IQB19" s="289"/>
      <c r="IQC19" s="289"/>
      <c r="IQD19" s="289"/>
      <c r="IQE19" s="289"/>
      <c r="IQF19" s="289"/>
      <c r="IQG19" s="289"/>
      <c r="IQH19" s="289"/>
      <c r="IQI19" s="289"/>
      <c r="IQJ19" s="289"/>
      <c r="IQK19" s="289"/>
      <c r="IQL19" s="289"/>
      <c r="IQM19" s="289"/>
      <c r="IQN19" s="289"/>
      <c r="IQO19" s="289"/>
      <c r="IQP19" s="289"/>
      <c r="IQQ19" s="289"/>
      <c r="IQR19" s="289"/>
      <c r="IQS19" s="289"/>
      <c r="IQT19" s="289"/>
      <c r="IQU19" s="289"/>
      <c r="IQV19" s="289"/>
      <c r="IQW19" s="289"/>
      <c r="IQX19" s="289"/>
      <c r="IQY19" s="289"/>
      <c r="IQZ19" s="289"/>
      <c r="IRA19" s="289"/>
      <c r="IRB19" s="289"/>
      <c r="IRC19" s="289"/>
      <c r="IRD19" s="289"/>
      <c r="IRE19" s="289"/>
      <c r="IRF19" s="289"/>
      <c r="IRG19" s="289"/>
      <c r="IRH19" s="289"/>
      <c r="IRI19" s="289"/>
      <c r="IRJ19" s="289"/>
      <c r="IRK19" s="289"/>
      <c r="IRL19" s="289"/>
      <c r="IRM19" s="289"/>
      <c r="IRN19" s="289"/>
      <c r="IRO19" s="289"/>
      <c r="IRP19" s="289"/>
      <c r="IRQ19" s="289"/>
      <c r="IRR19" s="289"/>
      <c r="IRS19" s="289"/>
      <c r="IRT19" s="289"/>
      <c r="IRU19" s="289"/>
      <c r="IRV19" s="289"/>
      <c r="IRW19" s="289"/>
      <c r="IRX19" s="289"/>
      <c r="IRY19" s="289"/>
      <c r="IRZ19" s="289"/>
      <c r="ISA19" s="289"/>
      <c r="ISB19" s="289"/>
      <c r="ISC19" s="289"/>
      <c r="ISD19" s="289"/>
      <c r="ISE19" s="289"/>
      <c r="ISF19" s="289"/>
      <c r="ISG19" s="289"/>
      <c r="ISH19" s="289"/>
      <c r="ISI19" s="289"/>
      <c r="ISJ19" s="289"/>
      <c r="ISK19" s="289"/>
      <c r="ISL19" s="289"/>
      <c r="ISM19" s="289"/>
      <c r="ISN19" s="289"/>
      <c r="ISO19" s="289"/>
      <c r="ISP19" s="289"/>
      <c r="ISQ19" s="289"/>
      <c r="ISR19" s="289"/>
      <c r="ISS19" s="289"/>
      <c r="IST19" s="289"/>
      <c r="ISU19" s="289"/>
      <c r="ISV19" s="289"/>
      <c r="ISW19" s="289"/>
      <c r="ISX19" s="289"/>
      <c r="ISY19" s="289"/>
      <c r="ISZ19" s="289"/>
      <c r="ITA19" s="289"/>
      <c r="ITB19" s="289"/>
      <c r="ITC19" s="289"/>
      <c r="ITD19" s="289"/>
      <c r="ITE19" s="289"/>
      <c r="ITF19" s="289"/>
      <c r="ITG19" s="289"/>
      <c r="ITH19" s="289"/>
      <c r="ITI19" s="289"/>
      <c r="ITJ19" s="289"/>
      <c r="ITK19" s="289"/>
      <c r="ITL19" s="289"/>
      <c r="ITM19" s="289"/>
      <c r="ITN19" s="289"/>
      <c r="ITO19" s="289"/>
      <c r="ITP19" s="289"/>
      <c r="ITQ19" s="289"/>
      <c r="ITR19" s="289"/>
      <c r="ITS19" s="289"/>
      <c r="ITT19" s="289"/>
      <c r="ITU19" s="289"/>
      <c r="ITV19" s="289"/>
      <c r="ITW19" s="289"/>
      <c r="ITX19" s="289"/>
      <c r="ITY19" s="289"/>
      <c r="ITZ19" s="289"/>
      <c r="IUA19" s="289"/>
      <c r="IUB19" s="289"/>
      <c r="IUC19" s="289"/>
      <c r="IUD19" s="289"/>
      <c r="IUE19" s="289"/>
      <c r="IUF19" s="289"/>
      <c r="IUG19" s="289"/>
      <c r="IUH19" s="289"/>
      <c r="IUI19" s="289"/>
      <c r="IUJ19" s="289"/>
      <c r="IUK19" s="289"/>
      <c r="IUL19" s="289"/>
      <c r="IUM19" s="289"/>
      <c r="IUN19" s="289"/>
      <c r="IUO19" s="289"/>
      <c r="IUP19" s="289"/>
      <c r="IUQ19" s="289"/>
      <c r="IUR19" s="289"/>
      <c r="IUS19" s="289"/>
      <c r="IUT19" s="289"/>
      <c r="IUU19" s="289"/>
      <c r="IUV19" s="289"/>
      <c r="IUW19" s="289"/>
      <c r="IUX19" s="289"/>
      <c r="IUY19" s="289"/>
      <c r="IUZ19" s="289"/>
      <c r="IVA19" s="289"/>
      <c r="IVB19" s="289"/>
      <c r="IVC19" s="289"/>
      <c r="IVD19" s="289"/>
      <c r="IVE19" s="289"/>
      <c r="IVF19" s="289"/>
      <c r="IVG19" s="289"/>
      <c r="IVH19" s="289"/>
      <c r="IVI19" s="289"/>
      <c r="IVJ19" s="289"/>
      <c r="IVK19" s="289"/>
      <c r="IVL19" s="289"/>
      <c r="IVM19" s="289"/>
      <c r="IVN19" s="289"/>
      <c r="IVO19" s="289"/>
      <c r="IVP19" s="289"/>
      <c r="IVQ19" s="289"/>
      <c r="IVR19" s="289"/>
      <c r="IVS19" s="289"/>
      <c r="IVT19" s="289"/>
      <c r="IVU19" s="289"/>
      <c r="IVV19" s="289"/>
      <c r="IVW19" s="289"/>
      <c r="IVX19" s="289"/>
      <c r="IVY19" s="289"/>
      <c r="IVZ19" s="289"/>
      <c r="IWA19" s="289"/>
      <c r="IWB19" s="289"/>
      <c r="IWC19" s="289"/>
      <c r="IWD19" s="289"/>
      <c r="IWE19" s="289"/>
      <c r="IWF19" s="289"/>
      <c r="IWG19" s="289"/>
      <c r="IWH19" s="289"/>
      <c r="IWI19" s="289"/>
      <c r="IWJ19" s="289"/>
      <c r="IWK19" s="289"/>
      <c r="IWL19" s="289"/>
      <c r="IWM19" s="289"/>
      <c r="IWN19" s="289"/>
      <c r="IWO19" s="289"/>
      <c r="IWP19" s="289"/>
      <c r="IWQ19" s="289"/>
      <c r="IWR19" s="289"/>
      <c r="IWS19" s="289"/>
      <c r="IWT19" s="289"/>
      <c r="IWU19" s="289"/>
      <c r="IWV19" s="289"/>
      <c r="IWW19" s="289"/>
      <c r="IWX19" s="289"/>
      <c r="IWY19" s="289"/>
      <c r="IWZ19" s="289"/>
      <c r="IXA19" s="289"/>
      <c r="IXB19" s="289"/>
      <c r="IXC19" s="289"/>
      <c r="IXD19" s="289"/>
      <c r="IXE19" s="289"/>
      <c r="IXF19" s="289"/>
      <c r="IXG19" s="289"/>
      <c r="IXH19" s="289"/>
      <c r="IXI19" s="289"/>
      <c r="IXJ19" s="289"/>
      <c r="IXK19" s="289"/>
      <c r="IXL19" s="289"/>
      <c r="IXM19" s="289"/>
      <c r="IXN19" s="289"/>
      <c r="IXO19" s="289"/>
      <c r="IXP19" s="289"/>
      <c r="IXQ19" s="289"/>
      <c r="IXR19" s="289"/>
      <c r="IXS19" s="289"/>
      <c r="IXT19" s="289"/>
      <c r="IXU19" s="289"/>
      <c r="IXV19" s="289"/>
      <c r="IXW19" s="289"/>
      <c r="IXX19" s="289"/>
      <c r="IXY19" s="289"/>
      <c r="IXZ19" s="289"/>
      <c r="IYA19" s="289"/>
      <c r="IYB19" s="289"/>
      <c r="IYC19" s="289"/>
      <c r="IYD19" s="289"/>
      <c r="IYE19" s="289"/>
      <c r="IYF19" s="289"/>
      <c r="IYG19" s="289"/>
      <c r="IYH19" s="289"/>
      <c r="IYI19" s="289"/>
      <c r="IYJ19" s="289"/>
      <c r="IYK19" s="289"/>
      <c r="IYL19" s="289"/>
      <c r="IYM19" s="289"/>
      <c r="IYN19" s="289"/>
      <c r="IYO19" s="289"/>
      <c r="IYP19" s="289"/>
      <c r="IYQ19" s="289"/>
      <c r="IYR19" s="289"/>
      <c r="IYS19" s="289"/>
      <c r="IYT19" s="289"/>
      <c r="IYU19" s="289"/>
      <c r="IYV19" s="289"/>
      <c r="IYW19" s="289"/>
      <c r="IYX19" s="289"/>
      <c r="IYY19" s="289"/>
      <c r="IYZ19" s="289"/>
      <c r="IZA19" s="289"/>
      <c r="IZB19" s="289"/>
      <c r="IZC19" s="289"/>
      <c r="IZD19" s="289"/>
      <c r="IZE19" s="289"/>
      <c r="IZF19" s="289"/>
      <c r="IZG19" s="289"/>
      <c r="IZH19" s="289"/>
      <c r="IZI19" s="289"/>
      <c r="IZJ19" s="289"/>
      <c r="IZK19" s="289"/>
      <c r="IZL19" s="289"/>
      <c r="IZM19" s="289"/>
      <c r="IZN19" s="289"/>
      <c r="IZO19" s="289"/>
      <c r="IZP19" s="289"/>
      <c r="IZQ19" s="289"/>
      <c r="IZR19" s="289"/>
      <c r="IZS19" s="289"/>
      <c r="IZT19" s="289"/>
      <c r="IZU19" s="289"/>
      <c r="IZV19" s="289"/>
      <c r="IZW19" s="289"/>
      <c r="IZX19" s="289"/>
      <c r="IZY19" s="289"/>
      <c r="IZZ19" s="289"/>
      <c r="JAA19" s="289"/>
      <c r="JAB19" s="289"/>
      <c r="JAC19" s="289"/>
      <c r="JAD19" s="289"/>
      <c r="JAE19" s="289"/>
      <c r="JAF19" s="289"/>
      <c r="JAG19" s="289"/>
      <c r="JAH19" s="289"/>
      <c r="JAI19" s="289"/>
      <c r="JAJ19" s="289"/>
      <c r="JAK19" s="289"/>
      <c r="JAL19" s="289"/>
      <c r="JAM19" s="289"/>
      <c r="JAN19" s="289"/>
      <c r="JAO19" s="289"/>
      <c r="JAP19" s="289"/>
      <c r="JAQ19" s="289"/>
      <c r="JAR19" s="289"/>
      <c r="JAS19" s="289"/>
      <c r="JAT19" s="289"/>
      <c r="JAU19" s="289"/>
      <c r="JAV19" s="289"/>
      <c r="JAW19" s="289"/>
      <c r="JAX19" s="289"/>
      <c r="JAY19" s="289"/>
      <c r="JAZ19" s="289"/>
      <c r="JBA19" s="289"/>
      <c r="JBB19" s="289"/>
      <c r="JBC19" s="289"/>
      <c r="JBD19" s="289"/>
      <c r="JBE19" s="289"/>
      <c r="JBF19" s="289"/>
      <c r="JBG19" s="289"/>
      <c r="JBH19" s="289"/>
      <c r="JBI19" s="289"/>
      <c r="JBJ19" s="289"/>
      <c r="JBK19" s="289"/>
      <c r="JBL19" s="289"/>
      <c r="JBM19" s="289"/>
      <c r="JBN19" s="289"/>
      <c r="JBO19" s="289"/>
      <c r="JBP19" s="289"/>
      <c r="JBQ19" s="289"/>
      <c r="JBR19" s="289"/>
      <c r="JBS19" s="289"/>
      <c r="JBT19" s="289"/>
      <c r="JBU19" s="289"/>
      <c r="JBV19" s="289"/>
      <c r="JBW19" s="289"/>
      <c r="JBX19" s="289"/>
      <c r="JBY19" s="289"/>
      <c r="JBZ19" s="289"/>
      <c r="JCA19" s="289"/>
      <c r="JCB19" s="289"/>
      <c r="JCC19" s="289"/>
      <c r="JCD19" s="289"/>
      <c r="JCE19" s="289"/>
      <c r="JCF19" s="289"/>
      <c r="JCG19" s="289"/>
      <c r="JCH19" s="289"/>
      <c r="JCI19" s="289"/>
      <c r="JCJ19" s="289"/>
      <c r="JCK19" s="289"/>
      <c r="JCL19" s="289"/>
      <c r="JCM19" s="289"/>
      <c r="JCN19" s="289"/>
      <c r="JCO19" s="289"/>
      <c r="JCP19" s="289"/>
      <c r="JCQ19" s="289"/>
      <c r="JCR19" s="289"/>
      <c r="JCS19" s="289"/>
      <c r="JCT19" s="289"/>
      <c r="JCU19" s="289"/>
      <c r="JCV19" s="289"/>
      <c r="JCW19" s="289"/>
      <c r="JCX19" s="289"/>
      <c r="JCY19" s="289"/>
      <c r="JCZ19" s="289"/>
      <c r="JDA19" s="289"/>
      <c r="JDB19" s="289"/>
      <c r="JDC19" s="289"/>
      <c r="JDD19" s="289"/>
      <c r="JDE19" s="289"/>
      <c r="JDF19" s="289"/>
      <c r="JDG19" s="289"/>
      <c r="JDH19" s="289"/>
      <c r="JDI19" s="289"/>
      <c r="JDJ19" s="289"/>
      <c r="JDK19" s="289"/>
      <c r="JDL19" s="289"/>
      <c r="JDM19" s="289"/>
      <c r="JDN19" s="289"/>
      <c r="JDO19" s="289"/>
      <c r="JDP19" s="289"/>
      <c r="JDQ19" s="289"/>
      <c r="JDR19" s="289"/>
      <c r="JDS19" s="289"/>
      <c r="JDT19" s="289"/>
      <c r="JDU19" s="289"/>
      <c r="JDV19" s="289"/>
      <c r="JDW19" s="289"/>
      <c r="JDX19" s="289"/>
      <c r="JDY19" s="289"/>
      <c r="JDZ19" s="289"/>
      <c r="JEA19" s="289"/>
      <c r="JEB19" s="289"/>
      <c r="JEC19" s="289"/>
      <c r="JED19" s="289"/>
      <c r="JEE19" s="289"/>
      <c r="JEF19" s="289"/>
      <c r="JEG19" s="289"/>
      <c r="JEH19" s="289"/>
      <c r="JEI19" s="289"/>
      <c r="JEJ19" s="289"/>
      <c r="JEK19" s="289"/>
      <c r="JEL19" s="289"/>
      <c r="JEM19" s="289"/>
      <c r="JEN19" s="289"/>
      <c r="JEO19" s="289"/>
      <c r="JEP19" s="289"/>
      <c r="JEQ19" s="289"/>
      <c r="JER19" s="289"/>
      <c r="JES19" s="289"/>
      <c r="JET19" s="289"/>
      <c r="JEU19" s="289"/>
      <c r="JEV19" s="289"/>
      <c r="JEW19" s="289"/>
      <c r="JEX19" s="289"/>
      <c r="JEY19" s="289"/>
      <c r="JEZ19" s="289"/>
      <c r="JFA19" s="289"/>
      <c r="JFB19" s="289"/>
      <c r="JFC19" s="289"/>
      <c r="JFD19" s="289"/>
      <c r="JFE19" s="289"/>
      <c r="JFF19" s="289"/>
      <c r="JFG19" s="289"/>
      <c r="JFH19" s="289"/>
      <c r="JFI19" s="289"/>
      <c r="JFJ19" s="289"/>
      <c r="JFK19" s="289"/>
      <c r="JFL19" s="289"/>
      <c r="JFM19" s="289"/>
      <c r="JFN19" s="289"/>
      <c r="JFO19" s="289"/>
      <c r="JFP19" s="289"/>
      <c r="JFQ19" s="289"/>
      <c r="JFR19" s="289"/>
      <c r="JFS19" s="289"/>
      <c r="JFT19" s="289"/>
      <c r="JFU19" s="289"/>
      <c r="JFV19" s="289"/>
      <c r="JFW19" s="289"/>
      <c r="JFX19" s="289"/>
      <c r="JFY19" s="289"/>
      <c r="JFZ19" s="289"/>
      <c r="JGA19" s="289"/>
      <c r="JGB19" s="289"/>
      <c r="JGC19" s="289"/>
      <c r="JGD19" s="289"/>
      <c r="JGE19" s="289"/>
      <c r="JGF19" s="289"/>
      <c r="JGG19" s="289"/>
      <c r="JGH19" s="289"/>
      <c r="JGI19" s="289"/>
      <c r="JGJ19" s="289"/>
      <c r="JGK19" s="289"/>
      <c r="JGL19" s="289"/>
      <c r="JGM19" s="289"/>
      <c r="JGN19" s="289"/>
      <c r="JGO19" s="289"/>
      <c r="JGP19" s="289"/>
      <c r="JGQ19" s="289"/>
      <c r="JGR19" s="289"/>
      <c r="JGS19" s="289"/>
      <c r="JGT19" s="289"/>
      <c r="JGU19" s="289"/>
      <c r="JGV19" s="289"/>
      <c r="JGW19" s="289"/>
      <c r="JGX19" s="289"/>
      <c r="JGY19" s="289"/>
      <c r="JGZ19" s="289"/>
      <c r="JHA19" s="289"/>
      <c r="JHB19" s="289"/>
      <c r="JHC19" s="289"/>
      <c r="JHD19" s="289"/>
      <c r="JHE19" s="289"/>
      <c r="JHF19" s="289"/>
      <c r="JHG19" s="289"/>
      <c r="JHH19" s="289"/>
      <c r="JHI19" s="289"/>
      <c r="JHJ19" s="289"/>
      <c r="JHK19" s="289"/>
      <c r="JHL19" s="289"/>
      <c r="JHM19" s="289"/>
      <c r="JHN19" s="289"/>
      <c r="JHO19" s="289"/>
      <c r="JHP19" s="289"/>
      <c r="JHQ19" s="289"/>
      <c r="JHR19" s="289"/>
      <c r="JHS19" s="289"/>
      <c r="JHT19" s="289"/>
      <c r="JHU19" s="289"/>
      <c r="JHV19" s="289"/>
      <c r="JHW19" s="289"/>
      <c r="JHX19" s="289"/>
      <c r="JHY19" s="289"/>
      <c r="JHZ19" s="289"/>
      <c r="JIA19" s="289"/>
      <c r="JIB19" s="289"/>
      <c r="JIC19" s="289"/>
      <c r="JID19" s="289"/>
      <c r="JIE19" s="289"/>
      <c r="JIF19" s="289"/>
      <c r="JIG19" s="289"/>
      <c r="JIH19" s="289"/>
      <c r="JII19" s="289"/>
      <c r="JIJ19" s="289"/>
      <c r="JIK19" s="289"/>
      <c r="JIL19" s="289"/>
      <c r="JIM19" s="289"/>
      <c r="JIN19" s="289"/>
      <c r="JIO19" s="289"/>
      <c r="JIP19" s="289"/>
      <c r="JIQ19" s="289"/>
      <c r="JIR19" s="289"/>
      <c r="JIS19" s="289"/>
      <c r="JIT19" s="289"/>
      <c r="JIU19" s="289"/>
      <c r="JIV19" s="289"/>
      <c r="JIW19" s="289"/>
      <c r="JIX19" s="289"/>
      <c r="JIY19" s="289"/>
      <c r="JIZ19" s="289"/>
      <c r="JJA19" s="289"/>
      <c r="JJB19" s="289"/>
      <c r="JJC19" s="289"/>
      <c r="JJD19" s="289"/>
      <c r="JJE19" s="289"/>
      <c r="JJF19" s="289"/>
      <c r="JJG19" s="289"/>
      <c r="JJH19" s="289"/>
      <c r="JJI19" s="289"/>
      <c r="JJJ19" s="289"/>
      <c r="JJK19" s="289"/>
      <c r="JJL19" s="289"/>
      <c r="JJM19" s="289"/>
      <c r="JJN19" s="289"/>
      <c r="JJO19" s="289"/>
      <c r="JJP19" s="289"/>
      <c r="JJQ19" s="289"/>
      <c r="JJR19" s="289"/>
      <c r="JJS19" s="289"/>
      <c r="JJT19" s="289"/>
      <c r="JJU19" s="289"/>
      <c r="JJV19" s="289"/>
      <c r="JJW19" s="289"/>
      <c r="JJX19" s="289"/>
      <c r="JJY19" s="289"/>
      <c r="JJZ19" s="289"/>
      <c r="JKA19" s="289"/>
      <c r="JKB19" s="289"/>
      <c r="JKC19" s="289"/>
      <c r="JKD19" s="289"/>
      <c r="JKE19" s="289"/>
      <c r="JKF19" s="289"/>
      <c r="JKG19" s="289"/>
      <c r="JKH19" s="289"/>
      <c r="JKI19" s="289"/>
      <c r="JKJ19" s="289"/>
      <c r="JKK19" s="289"/>
      <c r="JKL19" s="289"/>
      <c r="JKM19" s="289"/>
      <c r="JKN19" s="289"/>
      <c r="JKO19" s="289"/>
      <c r="JKP19" s="289"/>
      <c r="JKQ19" s="289"/>
      <c r="JKR19" s="289"/>
      <c r="JKS19" s="289"/>
      <c r="JKT19" s="289"/>
      <c r="JKU19" s="289"/>
      <c r="JKV19" s="289"/>
      <c r="JKW19" s="289"/>
      <c r="JKX19" s="289"/>
      <c r="JKY19" s="289"/>
      <c r="JKZ19" s="289"/>
      <c r="JLA19" s="289"/>
      <c r="JLB19" s="289"/>
      <c r="JLC19" s="289"/>
      <c r="JLD19" s="289"/>
      <c r="JLE19" s="289"/>
      <c r="JLF19" s="289"/>
      <c r="JLG19" s="289"/>
      <c r="JLH19" s="289"/>
      <c r="JLI19" s="289"/>
      <c r="JLJ19" s="289"/>
      <c r="JLK19" s="289"/>
      <c r="JLL19" s="289"/>
      <c r="JLM19" s="289"/>
      <c r="JLN19" s="289"/>
      <c r="JLO19" s="289"/>
      <c r="JLP19" s="289"/>
      <c r="JLQ19" s="289"/>
      <c r="JLR19" s="289"/>
      <c r="JLS19" s="289"/>
      <c r="JLT19" s="289"/>
      <c r="JLU19" s="289"/>
      <c r="JLV19" s="289"/>
      <c r="JLW19" s="289"/>
      <c r="JLX19" s="289"/>
      <c r="JLY19" s="289"/>
      <c r="JLZ19" s="289"/>
      <c r="JMA19" s="289"/>
      <c r="JMB19" s="289"/>
      <c r="JMC19" s="289"/>
      <c r="JMD19" s="289"/>
      <c r="JME19" s="289"/>
      <c r="JMF19" s="289"/>
      <c r="JMG19" s="289"/>
      <c r="JMH19" s="289"/>
      <c r="JMI19" s="289"/>
      <c r="JMJ19" s="289"/>
      <c r="JMK19" s="289"/>
      <c r="JML19" s="289"/>
      <c r="JMM19" s="289"/>
      <c r="JMN19" s="289"/>
      <c r="JMO19" s="289"/>
      <c r="JMP19" s="289"/>
      <c r="JMQ19" s="289"/>
      <c r="JMR19" s="289"/>
      <c r="JMS19" s="289"/>
      <c r="JMT19" s="289"/>
      <c r="JMU19" s="289"/>
      <c r="JMV19" s="289"/>
      <c r="JMW19" s="289"/>
      <c r="JMX19" s="289"/>
      <c r="JMY19" s="289"/>
      <c r="JMZ19" s="289"/>
      <c r="JNA19" s="289"/>
      <c r="JNB19" s="289"/>
      <c r="JNC19" s="289"/>
      <c r="JND19" s="289"/>
      <c r="JNE19" s="289"/>
      <c r="JNF19" s="289"/>
      <c r="JNG19" s="289"/>
      <c r="JNH19" s="289"/>
      <c r="JNI19" s="289"/>
      <c r="JNJ19" s="289"/>
      <c r="JNK19" s="289"/>
      <c r="JNL19" s="289"/>
      <c r="JNM19" s="289"/>
      <c r="JNN19" s="289"/>
      <c r="JNO19" s="289"/>
      <c r="JNP19" s="289"/>
      <c r="JNQ19" s="289"/>
      <c r="JNR19" s="289"/>
      <c r="JNS19" s="289"/>
      <c r="JNT19" s="289"/>
      <c r="JNU19" s="289"/>
      <c r="JNV19" s="289"/>
      <c r="JNW19" s="289"/>
      <c r="JNX19" s="289"/>
      <c r="JNY19" s="289"/>
      <c r="JNZ19" s="289"/>
      <c r="JOA19" s="289"/>
      <c r="JOB19" s="289"/>
      <c r="JOC19" s="289"/>
      <c r="JOD19" s="289"/>
      <c r="JOE19" s="289"/>
      <c r="JOF19" s="289"/>
      <c r="JOG19" s="289"/>
      <c r="JOH19" s="289"/>
      <c r="JOI19" s="289"/>
      <c r="JOJ19" s="289"/>
      <c r="JOK19" s="289"/>
      <c r="JOL19" s="289"/>
      <c r="JOM19" s="289"/>
      <c r="JON19" s="289"/>
      <c r="JOO19" s="289"/>
      <c r="JOP19" s="289"/>
      <c r="JOQ19" s="289"/>
      <c r="JOR19" s="289"/>
      <c r="JOS19" s="289"/>
      <c r="JOT19" s="289"/>
      <c r="JOU19" s="289"/>
      <c r="JOV19" s="289"/>
      <c r="JOW19" s="289"/>
      <c r="JOX19" s="289"/>
      <c r="JOY19" s="289"/>
      <c r="JOZ19" s="289"/>
      <c r="JPA19" s="289"/>
      <c r="JPB19" s="289"/>
      <c r="JPC19" s="289"/>
      <c r="JPD19" s="289"/>
      <c r="JPE19" s="289"/>
      <c r="JPF19" s="289"/>
      <c r="JPG19" s="289"/>
      <c r="JPH19" s="289"/>
      <c r="JPI19" s="289"/>
      <c r="JPJ19" s="289"/>
      <c r="JPK19" s="289"/>
      <c r="JPL19" s="289"/>
      <c r="JPM19" s="289"/>
      <c r="JPN19" s="289"/>
      <c r="JPO19" s="289"/>
      <c r="JPP19" s="289"/>
      <c r="JPQ19" s="289"/>
      <c r="JPR19" s="289"/>
      <c r="JPS19" s="289"/>
      <c r="JPT19" s="289"/>
      <c r="JPU19" s="289"/>
      <c r="JPV19" s="289"/>
      <c r="JPW19" s="289"/>
      <c r="JPX19" s="289"/>
      <c r="JPY19" s="289"/>
      <c r="JPZ19" s="289"/>
      <c r="JQA19" s="289"/>
      <c r="JQB19" s="289"/>
      <c r="JQC19" s="289"/>
      <c r="JQD19" s="289"/>
      <c r="JQE19" s="289"/>
      <c r="JQF19" s="289"/>
      <c r="JQG19" s="289"/>
      <c r="JQH19" s="289"/>
      <c r="JQI19" s="289"/>
      <c r="JQJ19" s="289"/>
      <c r="JQK19" s="289"/>
      <c r="JQL19" s="289"/>
      <c r="JQM19" s="289"/>
      <c r="JQN19" s="289"/>
      <c r="JQO19" s="289"/>
      <c r="JQP19" s="289"/>
      <c r="JQQ19" s="289"/>
      <c r="JQR19" s="289"/>
      <c r="JQS19" s="289"/>
      <c r="JQT19" s="289"/>
      <c r="JQU19" s="289"/>
      <c r="JQV19" s="289"/>
      <c r="JQW19" s="289"/>
      <c r="JQX19" s="289"/>
      <c r="JQY19" s="289"/>
      <c r="JQZ19" s="289"/>
      <c r="JRA19" s="289"/>
      <c r="JRB19" s="289"/>
      <c r="JRC19" s="289"/>
      <c r="JRD19" s="289"/>
      <c r="JRE19" s="289"/>
      <c r="JRF19" s="289"/>
      <c r="JRG19" s="289"/>
      <c r="JRH19" s="289"/>
      <c r="JRI19" s="289"/>
      <c r="JRJ19" s="289"/>
      <c r="JRK19" s="289"/>
      <c r="JRL19" s="289"/>
      <c r="JRM19" s="289"/>
      <c r="JRN19" s="289"/>
      <c r="JRO19" s="289"/>
      <c r="JRP19" s="289"/>
      <c r="JRQ19" s="289"/>
      <c r="JRR19" s="289"/>
      <c r="JRS19" s="289"/>
      <c r="JRT19" s="289"/>
      <c r="JRU19" s="289"/>
      <c r="JRV19" s="289"/>
      <c r="JRW19" s="289"/>
      <c r="JRX19" s="289"/>
      <c r="JRY19" s="289"/>
      <c r="JRZ19" s="289"/>
      <c r="JSA19" s="289"/>
      <c r="JSB19" s="289"/>
      <c r="JSC19" s="289"/>
      <c r="JSD19" s="289"/>
      <c r="JSE19" s="289"/>
      <c r="JSF19" s="289"/>
      <c r="JSG19" s="289"/>
      <c r="JSH19" s="289"/>
      <c r="JSI19" s="289"/>
      <c r="JSJ19" s="289"/>
      <c r="JSK19" s="289"/>
      <c r="JSL19" s="289"/>
      <c r="JSM19" s="289"/>
      <c r="JSN19" s="289"/>
      <c r="JSO19" s="289"/>
      <c r="JSP19" s="289"/>
      <c r="JSQ19" s="289"/>
      <c r="JSR19" s="289"/>
      <c r="JSS19" s="289"/>
      <c r="JST19" s="289"/>
      <c r="JSU19" s="289"/>
      <c r="JSV19" s="289"/>
      <c r="JSW19" s="289"/>
      <c r="JSX19" s="289"/>
      <c r="JSY19" s="289"/>
      <c r="JSZ19" s="289"/>
      <c r="JTA19" s="289"/>
      <c r="JTB19" s="289"/>
      <c r="JTC19" s="289"/>
      <c r="JTD19" s="289"/>
      <c r="JTE19" s="289"/>
      <c r="JTF19" s="289"/>
      <c r="JTG19" s="289"/>
      <c r="JTH19" s="289"/>
      <c r="JTI19" s="289"/>
      <c r="JTJ19" s="289"/>
      <c r="JTK19" s="289"/>
      <c r="JTL19" s="289"/>
      <c r="JTM19" s="289"/>
      <c r="JTN19" s="289"/>
      <c r="JTO19" s="289"/>
      <c r="JTP19" s="289"/>
      <c r="JTQ19" s="289"/>
      <c r="JTR19" s="289"/>
      <c r="JTS19" s="289"/>
      <c r="JTT19" s="289"/>
      <c r="JTU19" s="289"/>
      <c r="JTV19" s="289"/>
      <c r="JTW19" s="289"/>
      <c r="JTX19" s="289"/>
      <c r="JTY19" s="289"/>
      <c r="JTZ19" s="289"/>
      <c r="JUA19" s="289"/>
      <c r="JUB19" s="289"/>
      <c r="JUC19" s="289"/>
      <c r="JUD19" s="289"/>
      <c r="JUE19" s="289"/>
      <c r="JUF19" s="289"/>
      <c r="JUG19" s="289"/>
      <c r="JUH19" s="289"/>
      <c r="JUI19" s="289"/>
      <c r="JUJ19" s="289"/>
      <c r="JUK19" s="289"/>
      <c r="JUL19" s="289"/>
      <c r="JUM19" s="289"/>
      <c r="JUN19" s="289"/>
      <c r="JUO19" s="289"/>
      <c r="JUP19" s="289"/>
      <c r="JUQ19" s="289"/>
      <c r="JUR19" s="289"/>
      <c r="JUS19" s="289"/>
      <c r="JUT19" s="289"/>
      <c r="JUU19" s="289"/>
      <c r="JUV19" s="289"/>
      <c r="JUW19" s="289"/>
      <c r="JUX19" s="289"/>
      <c r="JUY19" s="289"/>
      <c r="JUZ19" s="289"/>
      <c r="JVA19" s="289"/>
      <c r="JVB19" s="289"/>
      <c r="JVC19" s="289"/>
      <c r="JVD19" s="289"/>
      <c r="JVE19" s="289"/>
      <c r="JVF19" s="289"/>
      <c r="JVG19" s="289"/>
      <c r="JVH19" s="289"/>
      <c r="JVI19" s="289"/>
      <c r="JVJ19" s="289"/>
      <c r="JVK19" s="289"/>
      <c r="JVL19" s="289"/>
      <c r="JVM19" s="289"/>
      <c r="JVN19" s="289"/>
      <c r="JVO19" s="289"/>
      <c r="JVP19" s="289"/>
      <c r="JVQ19" s="289"/>
      <c r="JVR19" s="289"/>
      <c r="JVS19" s="289"/>
      <c r="JVT19" s="289"/>
      <c r="JVU19" s="289"/>
      <c r="JVV19" s="289"/>
      <c r="JVW19" s="289"/>
      <c r="JVX19" s="289"/>
      <c r="JVY19" s="289"/>
      <c r="JVZ19" s="289"/>
      <c r="JWA19" s="289"/>
      <c r="JWB19" s="289"/>
      <c r="JWC19" s="289"/>
      <c r="JWD19" s="289"/>
      <c r="JWE19" s="289"/>
      <c r="JWF19" s="289"/>
      <c r="JWG19" s="289"/>
      <c r="JWH19" s="289"/>
      <c r="JWI19" s="289"/>
      <c r="JWJ19" s="289"/>
      <c r="JWK19" s="289"/>
      <c r="JWL19" s="289"/>
      <c r="JWM19" s="289"/>
      <c r="JWN19" s="289"/>
      <c r="JWO19" s="289"/>
      <c r="JWP19" s="289"/>
      <c r="JWQ19" s="289"/>
      <c r="JWR19" s="289"/>
      <c r="JWS19" s="289"/>
      <c r="JWT19" s="289"/>
      <c r="JWU19" s="289"/>
      <c r="JWV19" s="289"/>
      <c r="JWW19" s="289"/>
      <c r="JWX19" s="289"/>
      <c r="JWY19" s="289"/>
      <c r="JWZ19" s="289"/>
      <c r="JXA19" s="289"/>
      <c r="JXB19" s="289"/>
      <c r="JXC19" s="289"/>
      <c r="JXD19" s="289"/>
      <c r="JXE19" s="289"/>
      <c r="JXF19" s="289"/>
      <c r="JXG19" s="289"/>
      <c r="JXH19" s="289"/>
      <c r="JXI19" s="289"/>
      <c r="JXJ19" s="289"/>
      <c r="JXK19" s="289"/>
      <c r="JXL19" s="289"/>
      <c r="JXM19" s="289"/>
      <c r="JXN19" s="289"/>
      <c r="JXO19" s="289"/>
      <c r="JXP19" s="289"/>
      <c r="JXQ19" s="289"/>
      <c r="JXR19" s="289"/>
      <c r="JXS19" s="289"/>
      <c r="JXT19" s="289"/>
      <c r="JXU19" s="289"/>
      <c r="JXV19" s="289"/>
      <c r="JXW19" s="289"/>
      <c r="JXX19" s="289"/>
      <c r="JXY19" s="289"/>
      <c r="JXZ19" s="289"/>
      <c r="JYA19" s="289"/>
      <c r="JYB19" s="289"/>
      <c r="JYC19" s="289"/>
      <c r="JYD19" s="289"/>
      <c r="JYE19" s="289"/>
      <c r="JYF19" s="289"/>
      <c r="JYG19" s="289"/>
      <c r="JYH19" s="289"/>
      <c r="JYI19" s="289"/>
      <c r="JYJ19" s="289"/>
      <c r="JYK19" s="289"/>
      <c r="JYL19" s="289"/>
      <c r="JYM19" s="289"/>
      <c r="JYN19" s="289"/>
      <c r="JYO19" s="289"/>
      <c r="JYP19" s="289"/>
      <c r="JYQ19" s="289"/>
      <c r="JYR19" s="289"/>
      <c r="JYS19" s="289"/>
      <c r="JYT19" s="289"/>
      <c r="JYU19" s="289"/>
      <c r="JYV19" s="289"/>
      <c r="JYW19" s="289"/>
      <c r="JYX19" s="289"/>
      <c r="JYY19" s="289"/>
      <c r="JYZ19" s="289"/>
      <c r="JZA19" s="289"/>
      <c r="JZB19" s="289"/>
      <c r="JZC19" s="289"/>
      <c r="JZD19" s="289"/>
      <c r="JZE19" s="289"/>
      <c r="JZF19" s="289"/>
      <c r="JZG19" s="289"/>
      <c r="JZH19" s="289"/>
      <c r="JZI19" s="289"/>
      <c r="JZJ19" s="289"/>
      <c r="JZK19" s="289"/>
      <c r="JZL19" s="289"/>
      <c r="JZM19" s="289"/>
      <c r="JZN19" s="289"/>
      <c r="JZO19" s="289"/>
      <c r="JZP19" s="289"/>
      <c r="JZQ19" s="289"/>
      <c r="JZR19" s="289"/>
      <c r="JZS19" s="289"/>
      <c r="JZT19" s="289"/>
      <c r="JZU19" s="289"/>
      <c r="JZV19" s="289"/>
      <c r="JZW19" s="289"/>
      <c r="JZX19" s="289"/>
      <c r="JZY19" s="289"/>
      <c r="JZZ19" s="289"/>
      <c r="KAA19" s="289"/>
      <c r="KAB19" s="289"/>
      <c r="KAC19" s="289"/>
      <c r="KAD19" s="289"/>
      <c r="KAE19" s="289"/>
      <c r="KAF19" s="289"/>
      <c r="KAG19" s="289"/>
      <c r="KAH19" s="289"/>
      <c r="KAI19" s="289"/>
      <c r="KAJ19" s="289"/>
      <c r="KAK19" s="289"/>
      <c r="KAL19" s="289"/>
      <c r="KAM19" s="289"/>
      <c r="KAN19" s="289"/>
      <c r="KAO19" s="289"/>
      <c r="KAP19" s="289"/>
      <c r="KAQ19" s="289"/>
      <c r="KAR19" s="289"/>
      <c r="KAS19" s="289"/>
      <c r="KAT19" s="289"/>
      <c r="KAU19" s="289"/>
      <c r="KAV19" s="289"/>
      <c r="KAW19" s="289"/>
      <c r="KAX19" s="289"/>
      <c r="KAY19" s="289"/>
      <c r="KAZ19" s="289"/>
      <c r="KBA19" s="289"/>
      <c r="KBB19" s="289"/>
      <c r="KBC19" s="289"/>
      <c r="KBD19" s="289"/>
      <c r="KBE19" s="289"/>
      <c r="KBF19" s="289"/>
      <c r="KBG19" s="289"/>
      <c r="KBH19" s="289"/>
      <c r="KBI19" s="289"/>
      <c r="KBJ19" s="289"/>
      <c r="KBK19" s="289"/>
      <c r="KBL19" s="289"/>
      <c r="KBM19" s="289"/>
      <c r="KBN19" s="289"/>
      <c r="KBO19" s="289"/>
      <c r="KBP19" s="289"/>
      <c r="KBQ19" s="289"/>
      <c r="KBR19" s="289"/>
      <c r="KBS19" s="289"/>
      <c r="KBT19" s="289"/>
      <c r="KBU19" s="289"/>
      <c r="KBV19" s="289"/>
      <c r="KBW19" s="289"/>
      <c r="KBX19" s="289"/>
      <c r="KBY19" s="289"/>
      <c r="KBZ19" s="289"/>
      <c r="KCA19" s="289"/>
      <c r="KCB19" s="289"/>
      <c r="KCC19" s="289"/>
      <c r="KCD19" s="289"/>
      <c r="KCE19" s="289"/>
      <c r="KCF19" s="289"/>
      <c r="KCG19" s="289"/>
      <c r="KCH19" s="289"/>
      <c r="KCI19" s="289"/>
      <c r="KCJ19" s="289"/>
      <c r="KCK19" s="289"/>
      <c r="KCL19" s="289"/>
      <c r="KCM19" s="289"/>
      <c r="KCN19" s="289"/>
      <c r="KCO19" s="289"/>
      <c r="KCP19" s="289"/>
      <c r="KCQ19" s="289"/>
      <c r="KCR19" s="289"/>
      <c r="KCS19" s="289"/>
      <c r="KCT19" s="289"/>
      <c r="KCU19" s="289"/>
      <c r="KCV19" s="289"/>
      <c r="KCW19" s="289"/>
      <c r="KCX19" s="289"/>
      <c r="KCY19" s="289"/>
      <c r="KCZ19" s="289"/>
      <c r="KDA19" s="289"/>
      <c r="KDB19" s="289"/>
      <c r="KDC19" s="289"/>
      <c r="KDD19" s="289"/>
      <c r="KDE19" s="289"/>
      <c r="KDF19" s="289"/>
      <c r="KDG19" s="289"/>
      <c r="KDH19" s="289"/>
      <c r="KDI19" s="289"/>
      <c r="KDJ19" s="289"/>
      <c r="KDK19" s="289"/>
      <c r="KDL19" s="289"/>
      <c r="KDM19" s="289"/>
      <c r="KDN19" s="289"/>
      <c r="KDO19" s="289"/>
      <c r="KDP19" s="289"/>
      <c r="KDQ19" s="289"/>
      <c r="KDR19" s="289"/>
      <c r="KDS19" s="289"/>
      <c r="KDT19" s="289"/>
      <c r="KDU19" s="289"/>
      <c r="KDV19" s="289"/>
      <c r="KDW19" s="289"/>
      <c r="KDX19" s="289"/>
      <c r="KDY19" s="289"/>
      <c r="KDZ19" s="289"/>
      <c r="KEA19" s="289"/>
      <c r="KEB19" s="289"/>
      <c r="KEC19" s="289"/>
      <c r="KED19" s="289"/>
      <c r="KEE19" s="289"/>
      <c r="KEF19" s="289"/>
      <c r="KEG19" s="289"/>
      <c r="KEH19" s="289"/>
      <c r="KEI19" s="289"/>
      <c r="KEJ19" s="289"/>
      <c r="KEK19" s="289"/>
      <c r="KEL19" s="289"/>
      <c r="KEM19" s="289"/>
      <c r="KEN19" s="289"/>
      <c r="KEO19" s="289"/>
      <c r="KEP19" s="289"/>
      <c r="KEQ19" s="289"/>
      <c r="KER19" s="289"/>
      <c r="KES19" s="289"/>
      <c r="KET19" s="289"/>
      <c r="KEU19" s="289"/>
      <c r="KEV19" s="289"/>
      <c r="KEW19" s="289"/>
      <c r="KEX19" s="289"/>
      <c r="KEY19" s="289"/>
      <c r="KEZ19" s="289"/>
      <c r="KFA19" s="289"/>
      <c r="KFB19" s="289"/>
      <c r="KFC19" s="289"/>
      <c r="KFD19" s="289"/>
      <c r="KFE19" s="289"/>
      <c r="KFF19" s="289"/>
      <c r="KFG19" s="289"/>
      <c r="KFH19" s="289"/>
      <c r="KFI19" s="289"/>
      <c r="KFJ19" s="289"/>
      <c r="KFK19" s="289"/>
      <c r="KFL19" s="289"/>
      <c r="KFM19" s="289"/>
      <c r="KFN19" s="289"/>
      <c r="KFO19" s="289"/>
      <c r="KFP19" s="289"/>
      <c r="KFQ19" s="289"/>
      <c r="KFR19" s="289"/>
      <c r="KFS19" s="289"/>
      <c r="KFT19" s="289"/>
      <c r="KFU19" s="289"/>
      <c r="KFV19" s="289"/>
      <c r="KFW19" s="289"/>
      <c r="KFX19" s="289"/>
      <c r="KFY19" s="289"/>
      <c r="KFZ19" s="289"/>
      <c r="KGA19" s="289"/>
      <c r="KGB19" s="289"/>
      <c r="KGC19" s="289"/>
      <c r="KGD19" s="289"/>
      <c r="KGE19" s="289"/>
      <c r="KGF19" s="289"/>
      <c r="KGG19" s="289"/>
      <c r="KGH19" s="289"/>
      <c r="KGI19" s="289"/>
      <c r="KGJ19" s="289"/>
      <c r="KGK19" s="289"/>
      <c r="KGL19" s="289"/>
      <c r="KGM19" s="289"/>
      <c r="KGN19" s="289"/>
      <c r="KGO19" s="289"/>
      <c r="KGP19" s="289"/>
      <c r="KGQ19" s="289"/>
      <c r="KGR19" s="289"/>
      <c r="KGS19" s="289"/>
      <c r="KGT19" s="289"/>
      <c r="KGU19" s="289"/>
      <c r="KGV19" s="289"/>
      <c r="KGW19" s="289"/>
      <c r="KGX19" s="289"/>
      <c r="KGY19" s="289"/>
      <c r="KGZ19" s="289"/>
      <c r="KHA19" s="289"/>
      <c r="KHB19" s="289"/>
      <c r="KHC19" s="289"/>
      <c r="KHD19" s="289"/>
      <c r="KHE19" s="289"/>
      <c r="KHF19" s="289"/>
      <c r="KHG19" s="289"/>
      <c r="KHH19" s="289"/>
      <c r="KHI19" s="289"/>
      <c r="KHJ19" s="289"/>
      <c r="KHK19" s="289"/>
      <c r="KHL19" s="289"/>
      <c r="KHM19" s="289"/>
      <c r="KHN19" s="289"/>
      <c r="KHO19" s="289"/>
      <c r="KHP19" s="289"/>
      <c r="KHQ19" s="289"/>
      <c r="KHR19" s="289"/>
      <c r="KHS19" s="289"/>
      <c r="KHT19" s="289"/>
      <c r="KHU19" s="289"/>
      <c r="KHV19" s="289"/>
      <c r="KHW19" s="289"/>
      <c r="KHX19" s="289"/>
      <c r="KHY19" s="289"/>
      <c r="KHZ19" s="289"/>
      <c r="KIA19" s="289"/>
      <c r="KIB19" s="289"/>
      <c r="KIC19" s="289"/>
      <c r="KID19" s="289"/>
      <c r="KIE19" s="289"/>
      <c r="KIF19" s="289"/>
      <c r="KIG19" s="289"/>
      <c r="KIH19" s="289"/>
      <c r="KII19" s="289"/>
      <c r="KIJ19" s="289"/>
      <c r="KIK19" s="289"/>
      <c r="KIL19" s="289"/>
      <c r="KIM19" s="289"/>
      <c r="KIN19" s="289"/>
      <c r="KIO19" s="289"/>
      <c r="KIP19" s="289"/>
      <c r="KIQ19" s="289"/>
      <c r="KIR19" s="289"/>
      <c r="KIS19" s="289"/>
      <c r="KIT19" s="289"/>
      <c r="KIU19" s="289"/>
      <c r="KIV19" s="289"/>
      <c r="KIW19" s="289"/>
      <c r="KIX19" s="289"/>
      <c r="KIY19" s="289"/>
      <c r="KIZ19" s="289"/>
      <c r="KJA19" s="289"/>
      <c r="KJB19" s="289"/>
      <c r="KJC19" s="289"/>
      <c r="KJD19" s="289"/>
      <c r="KJE19" s="289"/>
      <c r="KJF19" s="289"/>
      <c r="KJG19" s="289"/>
      <c r="KJH19" s="289"/>
      <c r="KJI19" s="289"/>
      <c r="KJJ19" s="289"/>
      <c r="KJK19" s="289"/>
      <c r="KJL19" s="289"/>
      <c r="KJM19" s="289"/>
      <c r="KJN19" s="289"/>
      <c r="KJO19" s="289"/>
      <c r="KJP19" s="289"/>
      <c r="KJQ19" s="289"/>
      <c r="KJR19" s="289"/>
      <c r="KJS19" s="289"/>
      <c r="KJT19" s="289"/>
      <c r="KJU19" s="289"/>
      <c r="KJV19" s="289"/>
      <c r="KJW19" s="289"/>
      <c r="KJX19" s="289"/>
      <c r="KJY19" s="289"/>
      <c r="KJZ19" s="289"/>
      <c r="KKA19" s="289"/>
      <c r="KKB19" s="289"/>
      <c r="KKC19" s="289"/>
      <c r="KKD19" s="289"/>
      <c r="KKE19" s="289"/>
      <c r="KKF19" s="289"/>
      <c r="KKG19" s="289"/>
      <c r="KKH19" s="289"/>
      <c r="KKI19" s="289"/>
      <c r="KKJ19" s="289"/>
      <c r="KKK19" s="289"/>
      <c r="KKL19" s="289"/>
      <c r="KKM19" s="289"/>
      <c r="KKN19" s="289"/>
      <c r="KKO19" s="289"/>
      <c r="KKP19" s="289"/>
      <c r="KKQ19" s="289"/>
      <c r="KKR19" s="289"/>
      <c r="KKS19" s="289"/>
      <c r="KKT19" s="289"/>
      <c r="KKU19" s="289"/>
      <c r="KKV19" s="289"/>
      <c r="KKW19" s="289"/>
      <c r="KKX19" s="289"/>
      <c r="KKY19" s="289"/>
      <c r="KKZ19" s="289"/>
      <c r="KLA19" s="289"/>
      <c r="KLB19" s="289"/>
      <c r="KLC19" s="289"/>
      <c r="KLD19" s="289"/>
      <c r="KLE19" s="289"/>
      <c r="KLF19" s="289"/>
      <c r="KLG19" s="289"/>
      <c r="KLH19" s="289"/>
      <c r="KLI19" s="289"/>
      <c r="KLJ19" s="289"/>
      <c r="KLK19" s="289"/>
      <c r="KLL19" s="289"/>
      <c r="KLM19" s="289"/>
      <c r="KLN19" s="289"/>
      <c r="KLO19" s="289"/>
      <c r="KLP19" s="289"/>
      <c r="KLQ19" s="289"/>
      <c r="KLR19" s="289"/>
      <c r="KLS19" s="289"/>
      <c r="KLT19" s="289"/>
      <c r="KLU19" s="289"/>
      <c r="KLV19" s="289"/>
      <c r="KLW19" s="289"/>
      <c r="KLX19" s="289"/>
      <c r="KLY19" s="289"/>
      <c r="KLZ19" s="289"/>
      <c r="KMA19" s="289"/>
      <c r="KMB19" s="289"/>
      <c r="KMC19" s="289"/>
      <c r="KMD19" s="289"/>
      <c r="KME19" s="289"/>
      <c r="KMF19" s="289"/>
      <c r="KMG19" s="289"/>
      <c r="KMH19" s="289"/>
      <c r="KMI19" s="289"/>
      <c r="KMJ19" s="289"/>
      <c r="KMK19" s="289"/>
      <c r="KML19" s="289"/>
      <c r="KMM19" s="289"/>
      <c r="KMN19" s="289"/>
      <c r="KMO19" s="289"/>
      <c r="KMP19" s="289"/>
      <c r="KMQ19" s="289"/>
      <c r="KMR19" s="289"/>
      <c r="KMS19" s="289"/>
      <c r="KMT19" s="289"/>
      <c r="KMU19" s="289"/>
      <c r="KMV19" s="289"/>
      <c r="KMW19" s="289"/>
      <c r="KMX19" s="289"/>
      <c r="KMY19" s="289"/>
      <c r="KMZ19" s="289"/>
      <c r="KNA19" s="289"/>
      <c r="KNB19" s="289"/>
      <c r="KNC19" s="289"/>
      <c r="KND19" s="289"/>
      <c r="KNE19" s="289"/>
      <c r="KNF19" s="289"/>
      <c r="KNG19" s="289"/>
      <c r="KNH19" s="289"/>
      <c r="KNI19" s="289"/>
      <c r="KNJ19" s="289"/>
      <c r="KNK19" s="289"/>
      <c r="KNL19" s="289"/>
      <c r="KNM19" s="289"/>
      <c r="KNN19" s="289"/>
      <c r="KNO19" s="289"/>
      <c r="KNP19" s="289"/>
      <c r="KNQ19" s="289"/>
      <c r="KNR19" s="289"/>
      <c r="KNS19" s="289"/>
      <c r="KNT19" s="289"/>
      <c r="KNU19" s="289"/>
      <c r="KNV19" s="289"/>
      <c r="KNW19" s="289"/>
      <c r="KNX19" s="289"/>
      <c r="KNY19" s="289"/>
      <c r="KNZ19" s="289"/>
      <c r="KOA19" s="289"/>
      <c r="KOB19" s="289"/>
      <c r="KOC19" s="289"/>
      <c r="KOD19" s="289"/>
      <c r="KOE19" s="289"/>
      <c r="KOF19" s="289"/>
      <c r="KOG19" s="289"/>
      <c r="KOH19" s="289"/>
      <c r="KOI19" s="289"/>
      <c r="KOJ19" s="289"/>
      <c r="KOK19" s="289"/>
      <c r="KOL19" s="289"/>
      <c r="KOM19" s="289"/>
      <c r="KON19" s="289"/>
      <c r="KOO19" s="289"/>
      <c r="KOP19" s="289"/>
      <c r="KOQ19" s="289"/>
      <c r="KOR19" s="289"/>
      <c r="KOS19" s="289"/>
      <c r="KOT19" s="289"/>
      <c r="KOU19" s="289"/>
      <c r="KOV19" s="289"/>
      <c r="KOW19" s="289"/>
      <c r="KOX19" s="289"/>
      <c r="KOY19" s="289"/>
      <c r="KOZ19" s="289"/>
      <c r="KPA19" s="289"/>
      <c r="KPB19" s="289"/>
      <c r="KPC19" s="289"/>
      <c r="KPD19" s="289"/>
      <c r="KPE19" s="289"/>
      <c r="KPF19" s="289"/>
      <c r="KPG19" s="289"/>
      <c r="KPH19" s="289"/>
      <c r="KPI19" s="289"/>
      <c r="KPJ19" s="289"/>
      <c r="KPK19" s="289"/>
      <c r="KPL19" s="289"/>
      <c r="KPM19" s="289"/>
      <c r="KPN19" s="289"/>
      <c r="KPO19" s="289"/>
      <c r="KPP19" s="289"/>
      <c r="KPQ19" s="289"/>
      <c r="KPR19" s="289"/>
      <c r="KPS19" s="289"/>
      <c r="KPT19" s="289"/>
      <c r="KPU19" s="289"/>
      <c r="KPV19" s="289"/>
      <c r="KPW19" s="289"/>
      <c r="KPX19" s="289"/>
      <c r="KPY19" s="289"/>
      <c r="KPZ19" s="289"/>
      <c r="KQA19" s="289"/>
      <c r="KQB19" s="289"/>
      <c r="KQC19" s="289"/>
      <c r="KQD19" s="289"/>
      <c r="KQE19" s="289"/>
      <c r="KQF19" s="289"/>
      <c r="KQG19" s="289"/>
      <c r="KQH19" s="289"/>
      <c r="KQI19" s="289"/>
      <c r="KQJ19" s="289"/>
      <c r="KQK19" s="289"/>
      <c r="KQL19" s="289"/>
      <c r="KQM19" s="289"/>
      <c r="KQN19" s="289"/>
      <c r="KQO19" s="289"/>
      <c r="KQP19" s="289"/>
      <c r="KQQ19" s="289"/>
      <c r="KQR19" s="289"/>
      <c r="KQS19" s="289"/>
      <c r="KQT19" s="289"/>
      <c r="KQU19" s="289"/>
      <c r="KQV19" s="289"/>
      <c r="KQW19" s="289"/>
      <c r="KQX19" s="289"/>
      <c r="KQY19" s="289"/>
      <c r="KQZ19" s="289"/>
      <c r="KRA19" s="289"/>
      <c r="KRB19" s="289"/>
      <c r="KRC19" s="289"/>
      <c r="KRD19" s="289"/>
      <c r="KRE19" s="289"/>
      <c r="KRF19" s="289"/>
      <c r="KRG19" s="289"/>
      <c r="KRH19" s="289"/>
      <c r="KRI19" s="289"/>
      <c r="KRJ19" s="289"/>
      <c r="KRK19" s="289"/>
      <c r="KRL19" s="289"/>
      <c r="KRM19" s="289"/>
      <c r="KRN19" s="289"/>
      <c r="KRO19" s="289"/>
      <c r="KRP19" s="289"/>
      <c r="KRQ19" s="289"/>
      <c r="KRR19" s="289"/>
      <c r="KRS19" s="289"/>
      <c r="KRT19" s="289"/>
      <c r="KRU19" s="289"/>
      <c r="KRV19" s="289"/>
      <c r="KRW19" s="289"/>
      <c r="KRX19" s="289"/>
      <c r="KRY19" s="289"/>
      <c r="KRZ19" s="289"/>
      <c r="KSA19" s="289"/>
      <c r="KSB19" s="289"/>
      <c r="KSC19" s="289"/>
      <c r="KSD19" s="289"/>
      <c r="KSE19" s="289"/>
      <c r="KSF19" s="289"/>
      <c r="KSG19" s="289"/>
      <c r="KSH19" s="289"/>
      <c r="KSI19" s="289"/>
      <c r="KSJ19" s="289"/>
      <c r="KSK19" s="289"/>
      <c r="KSL19" s="289"/>
      <c r="KSM19" s="289"/>
      <c r="KSN19" s="289"/>
      <c r="KSO19" s="289"/>
      <c r="KSP19" s="289"/>
      <c r="KSQ19" s="289"/>
      <c r="KSR19" s="289"/>
      <c r="KSS19" s="289"/>
      <c r="KST19" s="289"/>
      <c r="KSU19" s="289"/>
      <c r="KSV19" s="289"/>
      <c r="KSW19" s="289"/>
      <c r="KSX19" s="289"/>
      <c r="KSY19" s="289"/>
      <c r="KSZ19" s="289"/>
      <c r="KTA19" s="289"/>
      <c r="KTB19" s="289"/>
      <c r="KTC19" s="289"/>
      <c r="KTD19" s="289"/>
      <c r="KTE19" s="289"/>
      <c r="KTF19" s="289"/>
      <c r="KTG19" s="289"/>
      <c r="KTH19" s="289"/>
      <c r="KTI19" s="289"/>
      <c r="KTJ19" s="289"/>
      <c r="KTK19" s="289"/>
      <c r="KTL19" s="289"/>
      <c r="KTM19" s="289"/>
      <c r="KTN19" s="289"/>
      <c r="KTO19" s="289"/>
      <c r="KTP19" s="289"/>
      <c r="KTQ19" s="289"/>
      <c r="KTR19" s="289"/>
      <c r="KTS19" s="289"/>
      <c r="KTT19" s="289"/>
      <c r="KTU19" s="289"/>
      <c r="KTV19" s="289"/>
      <c r="KTW19" s="289"/>
      <c r="KTX19" s="289"/>
      <c r="KTY19" s="289"/>
      <c r="KTZ19" s="289"/>
      <c r="KUA19" s="289"/>
      <c r="KUB19" s="289"/>
      <c r="KUC19" s="289"/>
      <c r="KUD19" s="289"/>
      <c r="KUE19" s="289"/>
      <c r="KUF19" s="289"/>
      <c r="KUG19" s="289"/>
      <c r="KUH19" s="289"/>
      <c r="KUI19" s="289"/>
      <c r="KUJ19" s="289"/>
      <c r="KUK19" s="289"/>
      <c r="KUL19" s="289"/>
      <c r="KUM19" s="289"/>
      <c r="KUN19" s="289"/>
      <c r="KUO19" s="289"/>
      <c r="KUP19" s="289"/>
      <c r="KUQ19" s="289"/>
      <c r="KUR19" s="289"/>
      <c r="KUS19" s="289"/>
      <c r="KUT19" s="289"/>
      <c r="KUU19" s="289"/>
      <c r="KUV19" s="289"/>
      <c r="KUW19" s="289"/>
      <c r="KUX19" s="289"/>
      <c r="KUY19" s="289"/>
      <c r="KUZ19" s="289"/>
      <c r="KVA19" s="289"/>
      <c r="KVB19" s="289"/>
      <c r="KVC19" s="289"/>
      <c r="KVD19" s="289"/>
      <c r="KVE19" s="289"/>
      <c r="KVF19" s="289"/>
      <c r="KVG19" s="289"/>
      <c r="KVH19" s="289"/>
      <c r="KVI19" s="289"/>
      <c r="KVJ19" s="289"/>
      <c r="KVK19" s="289"/>
      <c r="KVL19" s="289"/>
      <c r="KVM19" s="289"/>
      <c r="KVN19" s="289"/>
      <c r="KVO19" s="289"/>
      <c r="KVP19" s="289"/>
      <c r="KVQ19" s="289"/>
      <c r="KVR19" s="289"/>
      <c r="KVS19" s="289"/>
      <c r="KVT19" s="289"/>
      <c r="KVU19" s="289"/>
      <c r="KVV19" s="289"/>
      <c r="KVW19" s="289"/>
      <c r="KVX19" s="289"/>
      <c r="KVY19" s="289"/>
      <c r="KVZ19" s="289"/>
      <c r="KWA19" s="289"/>
      <c r="KWB19" s="289"/>
      <c r="KWC19" s="289"/>
      <c r="KWD19" s="289"/>
      <c r="KWE19" s="289"/>
      <c r="KWF19" s="289"/>
      <c r="KWG19" s="289"/>
      <c r="KWH19" s="289"/>
      <c r="KWI19" s="289"/>
      <c r="KWJ19" s="289"/>
      <c r="KWK19" s="289"/>
      <c r="KWL19" s="289"/>
      <c r="KWM19" s="289"/>
      <c r="KWN19" s="289"/>
      <c r="KWO19" s="289"/>
      <c r="KWP19" s="289"/>
      <c r="KWQ19" s="289"/>
      <c r="KWR19" s="289"/>
      <c r="KWS19" s="289"/>
      <c r="KWT19" s="289"/>
      <c r="KWU19" s="289"/>
      <c r="KWV19" s="289"/>
      <c r="KWW19" s="289"/>
      <c r="KWX19" s="289"/>
      <c r="KWY19" s="289"/>
      <c r="KWZ19" s="289"/>
      <c r="KXA19" s="289"/>
      <c r="KXB19" s="289"/>
      <c r="KXC19" s="289"/>
      <c r="KXD19" s="289"/>
      <c r="KXE19" s="289"/>
      <c r="KXF19" s="289"/>
      <c r="KXG19" s="289"/>
      <c r="KXH19" s="289"/>
      <c r="KXI19" s="289"/>
      <c r="KXJ19" s="289"/>
      <c r="KXK19" s="289"/>
      <c r="KXL19" s="289"/>
      <c r="KXM19" s="289"/>
      <c r="KXN19" s="289"/>
      <c r="KXO19" s="289"/>
      <c r="KXP19" s="289"/>
      <c r="KXQ19" s="289"/>
      <c r="KXR19" s="289"/>
      <c r="KXS19" s="289"/>
      <c r="KXT19" s="289"/>
      <c r="KXU19" s="289"/>
      <c r="KXV19" s="289"/>
      <c r="KXW19" s="289"/>
      <c r="KXX19" s="289"/>
      <c r="KXY19" s="289"/>
      <c r="KXZ19" s="289"/>
      <c r="KYA19" s="289"/>
      <c r="KYB19" s="289"/>
      <c r="KYC19" s="289"/>
      <c r="KYD19" s="289"/>
      <c r="KYE19" s="289"/>
      <c r="KYF19" s="289"/>
      <c r="KYG19" s="289"/>
      <c r="KYH19" s="289"/>
      <c r="KYI19" s="289"/>
      <c r="KYJ19" s="289"/>
      <c r="KYK19" s="289"/>
      <c r="KYL19" s="289"/>
      <c r="KYM19" s="289"/>
      <c r="KYN19" s="289"/>
      <c r="KYO19" s="289"/>
      <c r="KYP19" s="289"/>
      <c r="KYQ19" s="289"/>
      <c r="KYR19" s="289"/>
      <c r="KYS19" s="289"/>
      <c r="KYT19" s="289"/>
      <c r="KYU19" s="289"/>
      <c r="KYV19" s="289"/>
      <c r="KYW19" s="289"/>
      <c r="KYX19" s="289"/>
      <c r="KYY19" s="289"/>
      <c r="KYZ19" s="289"/>
      <c r="KZA19" s="289"/>
      <c r="KZB19" s="289"/>
      <c r="KZC19" s="289"/>
      <c r="KZD19" s="289"/>
      <c r="KZE19" s="289"/>
      <c r="KZF19" s="289"/>
      <c r="KZG19" s="289"/>
      <c r="KZH19" s="289"/>
      <c r="KZI19" s="289"/>
      <c r="KZJ19" s="289"/>
      <c r="KZK19" s="289"/>
      <c r="KZL19" s="289"/>
      <c r="KZM19" s="289"/>
      <c r="KZN19" s="289"/>
      <c r="KZO19" s="289"/>
      <c r="KZP19" s="289"/>
      <c r="KZQ19" s="289"/>
      <c r="KZR19" s="289"/>
      <c r="KZS19" s="289"/>
      <c r="KZT19" s="289"/>
      <c r="KZU19" s="289"/>
      <c r="KZV19" s="289"/>
      <c r="KZW19" s="289"/>
      <c r="KZX19" s="289"/>
      <c r="KZY19" s="289"/>
      <c r="KZZ19" s="289"/>
      <c r="LAA19" s="289"/>
      <c r="LAB19" s="289"/>
      <c r="LAC19" s="289"/>
      <c r="LAD19" s="289"/>
      <c r="LAE19" s="289"/>
      <c r="LAF19" s="289"/>
      <c r="LAG19" s="289"/>
      <c r="LAH19" s="289"/>
      <c r="LAI19" s="289"/>
      <c r="LAJ19" s="289"/>
      <c r="LAK19" s="289"/>
      <c r="LAL19" s="289"/>
      <c r="LAM19" s="289"/>
      <c r="LAN19" s="289"/>
      <c r="LAO19" s="289"/>
      <c r="LAP19" s="289"/>
      <c r="LAQ19" s="289"/>
      <c r="LAR19" s="289"/>
      <c r="LAS19" s="289"/>
      <c r="LAT19" s="289"/>
      <c r="LAU19" s="289"/>
      <c r="LAV19" s="289"/>
      <c r="LAW19" s="289"/>
      <c r="LAX19" s="289"/>
      <c r="LAY19" s="289"/>
      <c r="LAZ19" s="289"/>
      <c r="LBA19" s="289"/>
      <c r="LBB19" s="289"/>
      <c r="LBC19" s="289"/>
      <c r="LBD19" s="289"/>
      <c r="LBE19" s="289"/>
      <c r="LBF19" s="289"/>
      <c r="LBG19" s="289"/>
      <c r="LBH19" s="289"/>
      <c r="LBI19" s="289"/>
      <c r="LBJ19" s="289"/>
      <c r="LBK19" s="289"/>
      <c r="LBL19" s="289"/>
      <c r="LBM19" s="289"/>
      <c r="LBN19" s="289"/>
      <c r="LBO19" s="289"/>
      <c r="LBP19" s="289"/>
      <c r="LBQ19" s="289"/>
      <c r="LBR19" s="289"/>
      <c r="LBS19" s="289"/>
      <c r="LBT19" s="289"/>
      <c r="LBU19" s="289"/>
      <c r="LBV19" s="289"/>
      <c r="LBW19" s="289"/>
      <c r="LBX19" s="289"/>
      <c r="LBY19" s="289"/>
      <c r="LBZ19" s="289"/>
      <c r="LCA19" s="289"/>
      <c r="LCB19" s="289"/>
      <c r="LCC19" s="289"/>
      <c r="LCD19" s="289"/>
      <c r="LCE19" s="289"/>
      <c r="LCF19" s="289"/>
      <c r="LCG19" s="289"/>
      <c r="LCH19" s="289"/>
      <c r="LCI19" s="289"/>
      <c r="LCJ19" s="289"/>
      <c r="LCK19" s="289"/>
      <c r="LCL19" s="289"/>
      <c r="LCM19" s="289"/>
      <c r="LCN19" s="289"/>
      <c r="LCO19" s="289"/>
      <c r="LCP19" s="289"/>
      <c r="LCQ19" s="289"/>
      <c r="LCR19" s="289"/>
      <c r="LCS19" s="289"/>
      <c r="LCT19" s="289"/>
      <c r="LCU19" s="289"/>
      <c r="LCV19" s="289"/>
      <c r="LCW19" s="289"/>
      <c r="LCX19" s="289"/>
      <c r="LCY19" s="289"/>
      <c r="LCZ19" s="289"/>
      <c r="LDA19" s="289"/>
      <c r="LDB19" s="289"/>
      <c r="LDC19" s="289"/>
      <c r="LDD19" s="289"/>
      <c r="LDE19" s="289"/>
      <c r="LDF19" s="289"/>
      <c r="LDG19" s="289"/>
      <c r="LDH19" s="289"/>
      <c r="LDI19" s="289"/>
      <c r="LDJ19" s="289"/>
      <c r="LDK19" s="289"/>
      <c r="LDL19" s="289"/>
      <c r="LDM19" s="289"/>
      <c r="LDN19" s="289"/>
      <c r="LDO19" s="289"/>
      <c r="LDP19" s="289"/>
      <c r="LDQ19" s="289"/>
      <c r="LDR19" s="289"/>
      <c r="LDS19" s="289"/>
      <c r="LDT19" s="289"/>
      <c r="LDU19" s="289"/>
      <c r="LDV19" s="289"/>
      <c r="LDW19" s="289"/>
      <c r="LDX19" s="289"/>
      <c r="LDY19" s="289"/>
      <c r="LDZ19" s="289"/>
      <c r="LEA19" s="289"/>
      <c r="LEB19" s="289"/>
      <c r="LEC19" s="289"/>
      <c r="LED19" s="289"/>
      <c r="LEE19" s="289"/>
      <c r="LEF19" s="289"/>
      <c r="LEG19" s="289"/>
      <c r="LEH19" s="289"/>
      <c r="LEI19" s="289"/>
      <c r="LEJ19" s="289"/>
      <c r="LEK19" s="289"/>
      <c r="LEL19" s="289"/>
      <c r="LEM19" s="289"/>
      <c r="LEN19" s="289"/>
      <c r="LEO19" s="289"/>
      <c r="LEP19" s="289"/>
      <c r="LEQ19" s="289"/>
      <c r="LER19" s="289"/>
      <c r="LES19" s="289"/>
      <c r="LET19" s="289"/>
      <c r="LEU19" s="289"/>
      <c r="LEV19" s="289"/>
      <c r="LEW19" s="289"/>
      <c r="LEX19" s="289"/>
      <c r="LEY19" s="289"/>
      <c r="LEZ19" s="289"/>
      <c r="LFA19" s="289"/>
      <c r="LFB19" s="289"/>
      <c r="LFC19" s="289"/>
      <c r="LFD19" s="289"/>
      <c r="LFE19" s="289"/>
      <c r="LFF19" s="289"/>
      <c r="LFG19" s="289"/>
      <c r="LFH19" s="289"/>
      <c r="LFI19" s="289"/>
      <c r="LFJ19" s="289"/>
      <c r="LFK19" s="289"/>
      <c r="LFL19" s="289"/>
      <c r="LFM19" s="289"/>
      <c r="LFN19" s="289"/>
      <c r="LFO19" s="289"/>
      <c r="LFP19" s="289"/>
      <c r="LFQ19" s="289"/>
      <c r="LFR19" s="289"/>
      <c r="LFS19" s="289"/>
      <c r="LFT19" s="289"/>
      <c r="LFU19" s="289"/>
      <c r="LFV19" s="289"/>
      <c r="LFW19" s="289"/>
      <c r="LFX19" s="289"/>
      <c r="LFY19" s="289"/>
      <c r="LFZ19" s="289"/>
      <c r="LGA19" s="289"/>
      <c r="LGB19" s="289"/>
      <c r="LGC19" s="289"/>
      <c r="LGD19" s="289"/>
      <c r="LGE19" s="289"/>
      <c r="LGF19" s="289"/>
      <c r="LGG19" s="289"/>
      <c r="LGH19" s="289"/>
      <c r="LGI19" s="289"/>
      <c r="LGJ19" s="289"/>
      <c r="LGK19" s="289"/>
      <c r="LGL19" s="289"/>
      <c r="LGM19" s="289"/>
      <c r="LGN19" s="289"/>
      <c r="LGO19" s="289"/>
      <c r="LGP19" s="289"/>
      <c r="LGQ19" s="289"/>
      <c r="LGR19" s="289"/>
      <c r="LGS19" s="289"/>
      <c r="LGT19" s="289"/>
      <c r="LGU19" s="289"/>
      <c r="LGV19" s="289"/>
      <c r="LGW19" s="289"/>
      <c r="LGX19" s="289"/>
      <c r="LGY19" s="289"/>
      <c r="LGZ19" s="289"/>
      <c r="LHA19" s="289"/>
      <c r="LHB19" s="289"/>
      <c r="LHC19" s="289"/>
      <c r="LHD19" s="289"/>
      <c r="LHE19" s="289"/>
      <c r="LHF19" s="289"/>
      <c r="LHG19" s="289"/>
      <c r="LHH19" s="289"/>
      <c r="LHI19" s="289"/>
      <c r="LHJ19" s="289"/>
      <c r="LHK19" s="289"/>
      <c r="LHL19" s="289"/>
      <c r="LHM19" s="289"/>
      <c r="LHN19" s="289"/>
      <c r="LHO19" s="289"/>
      <c r="LHP19" s="289"/>
      <c r="LHQ19" s="289"/>
      <c r="LHR19" s="289"/>
      <c r="LHS19" s="289"/>
      <c r="LHT19" s="289"/>
      <c r="LHU19" s="289"/>
      <c r="LHV19" s="289"/>
      <c r="LHW19" s="289"/>
      <c r="LHX19" s="289"/>
      <c r="LHY19" s="289"/>
      <c r="LHZ19" s="289"/>
      <c r="LIA19" s="289"/>
      <c r="LIB19" s="289"/>
      <c r="LIC19" s="289"/>
      <c r="LID19" s="289"/>
      <c r="LIE19" s="289"/>
      <c r="LIF19" s="289"/>
      <c r="LIG19" s="289"/>
      <c r="LIH19" s="289"/>
      <c r="LII19" s="289"/>
      <c r="LIJ19" s="289"/>
      <c r="LIK19" s="289"/>
      <c r="LIL19" s="289"/>
      <c r="LIM19" s="289"/>
      <c r="LIN19" s="289"/>
      <c r="LIO19" s="289"/>
      <c r="LIP19" s="289"/>
      <c r="LIQ19" s="289"/>
      <c r="LIR19" s="289"/>
      <c r="LIS19" s="289"/>
      <c r="LIT19" s="289"/>
      <c r="LIU19" s="289"/>
      <c r="LIV19" s="289"/>
      <c r="LIW19" s="289"/>
      <c r="LIX19" s="289"/>
      <c r="LIY19" s="289"/>
      <c r="LIZ19" s="289"/>
      <c r="LJA19" s="289"/>
      <c r="LJB19" s="289"/>
      <c r="LJC19" s="289"/>
      <c r="LJD19" s="289"/>
      <c r="LJE19" s="289"/>
      <c r="LJF19" s="289"/>
      <c r="LJG19" s="289"/>
      <c r="LJH19" s="289"/>
      <c r="LJI19" s="289"/>
      <c r="LJJ19" s="289"/>
      <c r="LJK19" s="289"/>
      <c r="LJL19" s="289"/>
      <c r="LJM19" s="289"/>
      <c r="LJN19" s="289"/>
      <c r="LJO19" s="289"/>
      <c r="LJP19" s="289"/>
      <c r="LJQ19" s="289"/>
      <c r="LJR19" s="289"/>
      <c r="LJS19" s="289"/>
      <c r="LJT19" s="289"/>
      <c r="LJU19" s="289"/>
      <c r="LJV19" s="289"/>
      <c r="LJW19" s="289"/>
      <c r="LJX19" s="289"/>
      <c r="LJY19" s="289"/>
      <c r="LJZ19" s="289"/>
      <c r="LKA19" s="289"/>
      <c r="LKB19" s="289"/>
      <c r="LKC19" s="289"/>
      <c r="LKD19" s="289"/>
      <c r="LKE19" s="289"/>
      <c r="LKF19" s="289"/>
      <c r="LKG19" s="289"/>
      <c r="LKH19" s="289"/>
      <c r="LKI19" s="289"/>
      <c r="LKJ19" s="289"/>
      <c r="LKK19" s="289"/>
      <c r="LKL19" s="289"/>
      <c r="LKM19" s="289"/>
      <c r="LKN19" s="289"/>
      <c r="LKO19" s="289"/>
      <c r="LKP19" s="289"/>
      <c r="LKQ19" s="289"/>
      <c r="LKR19" s="289"/>
      <c r="LKS19" s="289"/>
      <c r="LKT19" s="289"/>
      <c r="LKU19" s="289"/>
      <c r="LKV19" s="289"/>
      <c r="LKW19" s="289"/>
      <c r="LKX19" s="289"/>
      <c r="LKY19" s="289"/>
      <c r="LKZ19" s="289"/>
      <c r="LLA19" s="289"/>
      <c r="LLB19" s="289"/>
      <c r="LLC19" s="289"/>
      <c r="LLD19" s="289"/>
      <c r="LLE19" s="289"/>
      <c r="LLF19" s="289"/>
      <c r="LLG19" s="289"/>
      <c r="LLH19" s="289"/>
      <c r="LLI19" s="289"/>
      <c r="LLJ19" s="289"/>
      <c r="LLK19" s="289"/>
      <c r="LLL19" s="289"/>
      <c r="LLM19" s="289"/>
      <c r="LLN19" s="289"/>
      <c r="LLO19" s="289"/>
      <c r="LLP19" s="289"/>
      <c r="LLQ19" s="289"/>
      <c r="LLR19" s="289"/>
      <c r="LLS19" s="289"/>
      <c r="LLT19" s="289"/>
      <c r="LLU19" s="289"/>
      <c r="LLV19" s="289"/>
      <c r="LLW19" s="289"/>
      <c r="LLX19" s="289"/>
      <c r="LLY19" s="289"/>
      <c r="LLZ19" s="289"/>
      <c r="LMA19" s="289"/>
      <c r="LMB19" s="289"/>
      <c r="LMC19" s="289"/>
      <c r="LMD19" s="289"/>
      <c r="LME19" s="289"/>
      <c r="LMF19" s="289"/>
      <c r="LMG19" s="289"/>
      <c r="LMH19" s="289"/>
      <c r="LMI19" s="289"/>
      <c r="LMJ19" s="289"/>
      <c r="LMK19" s="289"/>
      <c r="LML19" s="289"/>
      <c r="LMM19" s="289"/>
      <c r="LMN19" s="289"/>
      <c r="LMO19" s="289"/>
      <c r="LMP19" s="289"/>
      <c r="LMQ19" s="289"/>
      <c r="LMR19" s="289"/>
      <c r="LMS19" s="289"/>
      <c r="LMT19" s="289"/>
      <c r="LMU19" s="289"/>
      <c r="LMV19" s="289"/>
      <c r="LMW19" s="289"/>
      <c r="LMX19" s="289"/>
      <c r="LMY19" s="289"/>
      <c r="LMZ19" s="289"/>
      <c r="LNA19" s="289"/>
      <c r="LNB19" s="289"/>
      <c r="LNC19" s="289"/>
      <c r="LND19" s="289"/>
      <c r="LNE19" s="289"/>
      <c r="LNF19" s="289"/>
      <c r="LNG19" s="289"/>
      <c r="LNH19" s="289"/>
      <c r="LNI19" s="289"/>
      <c r="LNJ19" s="289"/>
      <c r="LNK19" s="289"/>
      <c r="LNL19" s="289"/>
      <c r="LNM19" s="289"/>
      <c r="LNN19" s="289"/>
      <c r="LNO19" s="289"/>
      <c r="LNP19" s="289"/>
      <c r="LNQ19" s="289"/>
      <c r="LNR19" s="289"/>
      <c r="LNS19" s="289"/>
      <c r="LNT19" s="289"/>
      <c r="LNU19" s="289"/>
      <c r="LNV19" s="289"/>
      <c r="LNW19" s="289"/>
      <c r="LNX19" s="289"/>
      <c r="LNY19" s="289"/>
      <c r="LNZ19" s="289"/>
      <c r="LOA19" s="289"/>
      <c r="LOB19" s="289"/>
      <c r="LOC19" s="289"/>
      <c r="LOD19" s="289"/>
      <c r="LOE19" s="289"/>
      <c r="LOF19" s="289"/>
      <c r="LOG19" s="289"/>
      <c r="LOH19" s="289"/>
      <c r="LOI19" s="289"/>
      <c r="LOJ19" s="289"/>
      <c r="LOK19" s="289"/>
      <c r="LOL19" s="289"/>
      <c r="LOM19" s="289"/>
      <c r="LON19" s="289"/>
      <c r="LOO19" s="289"/>
      <c r="LOP19" s="289"/>
      <c r="LOQ19" s="289"/>
      <c r="LOR19" s="289"/>
      <c r="LOS19" s="289"/>
      <c r="LOT19" s="289"/>
      <c r="LOU19" s="289"/>
      <c r="LOV19" s="289"/>
      <c r="LOW19" s="289"/>
      <c r="LOX19" s="289"/>
      <c r="LOY19" s="289"/>
      <c r="LOZ19" s="289"/>
      <c r="LPA19" s="289"/>
      <c r="LPB19" s="289"/>
      <c r="LPC19" s="289"/>
      <c r="LPD19" s="289"/>
      <c r="LPE19" s="289"/>
      <c r="LPF19" s="289"/>
      <c r="LPG19" s="289"/>
      <c r="LPH19" s="289"/>
      <c r="LPI19" s="289"/>
      <c r="LPJ19" s="289"/>
      <c r="LPK19" s="289"/>
      <c r="LPL19" s="289"/>
      <c r="LPM19" s="289"/>
      <c r="LPN19" s="289"/>
      <c r="LPO19" s="289"/>
      <c r="LPP19" s="289"/>
      <c r="LPQ19" s="289"/>
      <c r="LPR19" s="289"/>
      <c r="LPS19" s="289"/>
      <c r="LPT19" s="289"/>
      <c r="LPU19" s="289"/>
      <c r="LPV19" s="289"/>
      <c r="LPW19" s="289"/>
      <c r="LPX19" s="289"/>
      <c r="LPY19" s="289"/>
      <c r="LPZ19" s="289"/>
      <c r="LQA19" s="289"/>
      <c r="LQB19" s="289"/>
      <c r="LQC19" s="289"/>
      <c r="LQD19" s="289"/>
      <c r="LQE19" s="289"/>
      <c r="LQF19" s="289"/>
      <c r="LQG19" s="289"/>
      <c r="LQH19" s="289"/>
      <c r="LQI19" s="289"/>
      <c r="LQJ19" s="289"/>
      <c r="LQK19" s="289"/>
      <c r="LQL19" s="289"/>
      <c r="LQM19" s="289"/>
      <c r="LQN19" s="289"/>
      <c r="LQO19" s="289"/>
      <c r="LQP19" s="289"/>
      <c r="LQQ19" s="289"/>
      <c r="LQR19" s="289"/>
      <c r="LQS19" s="289"/>
      <c r="LQT19" s="289"/>
      <c r="LQU19" s="289"/>
      <c r="LQV19" s="289"/>
      <c r="LQW19" s="289"/>
      <c r="LQX19" s="289"/>
      <c r="LQY19" s="289"/>
      <c r="LQZ19" s="289"/>
      <c r="LRA19" s="289"/>
      <c r="LRB19" s="289"/>
      <c r="LRC19" s="289"/>
      <c r="LRD19" s="289"/>
      <c r="LRE19" s="289"/>
      <c r="LRF19" s="289"/>
      <c r="LRG19" s="289"/>
      <c r="LRH19" s="289"/>
      <c r="LRI19" s="289"/>
      <c r="LRJ19" s="289"/>
      <c r="LRK19" s="289"/>
      <c r="LRL19" s="289"/>
      <c r="LRM19" s="289"/>
      <c r="LRN19" s="289"/>
      <c r="LRO19" s="289"/>
      <c r="LRP19" s="289"/>
      <c r="LRQ19" s="289"/>
      <c r="LRR19" s="289"/>
      <c r="LRS19" s="289"/>
      <c r="LRT19" s="289"/>
      <c r="LRU19" s="289"/>
      <c r="LRV19" s="289"/>
      <c r="LRW19" s="289"/>
      <c r="LRX19" s="289"/>
      <c r="LRY19" s="289"/>
      <c r="LRZ19" s="289"/>
      <c r="LSA19" s="289"/>
      <c r="LSB19" s="289"/>
      <c r="LSC19" s="289"/>
      <c r="LSD19" s="289"/>
      <c r="LSE19" s="289"/>
      <c r="LSF19" s="289"/>
      <c r="LSG19" s="289"/>
      <c r="LSH19" s="289"/>
      <c r="LSI19" s="289"/>
      <c r="LSJ19" s="289"/>
      <c r="LSK19" s="289"/>
      <c r="LSL19" s="289"/>
      <c r="LSM19" s="289"/>
      <c r="LSN19" s="289"/>
      <c r="LSO19" s="289"/>
      <c r="LSP19" s="289"/>
      <c r="LSQ19" s="289"/>
      <c r="LSR19" s="289"/>
      <c r="LSS19" s="289"/>
      <c r="LST19" s="289"/>
      <c r="LSU19" s="289"/>
      <c r="LSV19" s="289"/>
      <c r="LSW19" s="289"/>
      <c r="LSX19" s="289"/>
      <c r="LSY19" s="289"/>
      <c r="LSZ19" s="289"/>
      <c r="LTA19" s="289"/>
      <c r="LTB19" s="289"/>
      <c r="LTC19" s="289"/>
      <c r="LTD19" s="289"/>
      <c r="LTE19" s="289"/>
      <c r="LTF19" s="289"/>
      <c r="LTG19" s="289"/>
      <c r="LTH19" s="289"/>
      <c r="LTI19" s="289"/>
      <c r="LTJ19" s="289"/>
      <c r="LTK19" s="289"/>
      <c r="LTL19" s="289"/>
      <c r="LTM19" s="289"/>
      <c r="LTN19" s="289"/>
      <c r="LTO19" s="289"/>
      <c r="LTP19" s="289"/>
      <c r="LTQ19" s="289"/>
      <c r="LTR19" s="289"/>
      <c r="LTS19" s="289"/>
      <c r="LTT19" s="289"/>
      <c r="LTU19" s="289"/>
      <c r="LTV19" s="289"/>
      <c r="LTW19" s="289"/>
      <c r="LTX19" s="289"/>
      <c r="LTY19" s="289"/>
      <c r="LTZ19" s="289"/>
      <c r="LUA19" s="289"/>
      <c r="LUB19" s="289"/>
      <c r="LUC19" s="289"/>
      <c r="LUD19" s="289"/>
      <c r="LUE19" s="289"/>
      <c r="LUF19" s="289"/>
      <c r="LUG19" s="289"/>
      <c r="LUH19" s="289"/>
      <c r="LUI19" s="289"/>
      <c r="LUJ19" s="289"/>
      <c r="LUK19" s="289"/>
      <c r="LUL19" s="289"/>
      <c r="LUM19" s="289"/>
      <c r="LUN19" s="289"/>
      <c r="LUO19" s="289"/>
      <c r="LUP19" s="289"/>
      <c r="LUQ19" s="289"/>
      <c r="LUR19" s="289"/>
      <c r="LUS19" s="289"/>
      <c r="LUT19" s="289"/>
      <c r="LUU19" s="289"/>
      <c r="LUV19" s="289"/>
      <c r="LUW19" s="289"/>
      <c r="LUX19" s="289"/>
      <c r="LUY19" s="289"/>
      <c r="LUZ19" s="289"/>
      <c r="LVA19" s="289"/>
      <c r="LVB19" s="289"/>
      <c r="LVC19" s="289"/>
      <c r="LVD19" s="289"/>
      <c r="LVE19" s="289"/>
      <c r="LVF19" s="289"/>
      <c r="LVG19" s="289"/>
      <c r="LVH19" s="289"/>
      <c r="LVI19" s="289"/>
      <c r="LVJ19" s="289"/>
      <c r="LVK19" s="289"/>
      <c r="LVL19" s="289"/>
      <c r="LVM19" s="289"/>
      <c r="LVN19" s="289"/>
      <c r="LVO19" s="289"/>
      <c r="LVP19" s="289"/>
      <c r="LVQ19" s="289"/>
      <c r="LVR19" s="289"/>
      <c r="LVS19" s="289"/>
      <c r="LVT19" s="289"/>
      <c r="LVU19" s="289"/>
      <c r="LVV19" s="289"/>
      <c r="LVW19" s="289"/>
      <c r="LVX19" s="289"/>
      <c r="LVY19" s="289"/>
      <c r="LVZ19" s="289"/>
      <c r="LWA19" s="289"/>
      <c r="LWB19" s="289"/>
      <c r="LWC19" s="289"/>
      <c r="LWD19" s="289"/>
      <c r="LWE19" s="289"/>
      <c r="LWF19" s="289"/>
      <c r="LWG19" s="289"/>
      <c r="LWH19" s="289"/>
      <c r="LWI19" s="289"/>
      <c r="LWJ19" s="289"/>
      <c r="LWK19" s="289"/>
      <c r="LWL19" s="289"/>
      <c r="LWM19" s="289"/>
      <c r="LWN19" s="289"/>
      <c r="LWO19" s="289"/>
      <c r="LWP19" s="289"/>
      <c r="LWQ19" s="289"/>
      <c r="LWR19" s="289"/>
      <c r="LWS19" s="289"/>
      <c r="LWT19" s="289"/>
      <c r="LWU19" s="289"/>
      <c r="LWV19" s="289"/>
      <c r="LWW19" s="289"/>
      <c r="LWX19" s="289"/>
      <c r="LWY19" s="289"/>
      <c r="LWZ19" s="289"/>
      <c r="LXA19" s="289"/>
      <c r="LXB19" s="289"/>
      <c r="LXC19" s="289"/>
      <c r="LXD19" s="289"/>
      <c r="LXE19" s="289"/>
      <c r="LXF19" s="289"/>
      <c r="LXG19" s="289"/>
      <c r="LXH19" s="289"/>
      <c r="LXI19" s="289"/>
      <c r="LXJ19" s="289"/>
      <c r="LXK19" s="289"/>
      <c r="LXL19" s="289"/>
      <c r="LXM19" s="289"/>
      <c r="LXN19" s="289"/>
      <c r="LXO19" s="289"/>
      <c r="LXP19" s="289"/>
      <c r="LXQ19" s="289"/>
      <c r="LXR19" s="289"/>
      <c r="LXS19" s="289"/>
      <c r="LXT19" s="289"/>
      <c r="LXU19" s="289"/>
      <c r="LXV19" s="289"/>
      <c r="LXW19" s="289"/>
      <c r="LXX19" s="289"/>
      <c r="LXY19" s="289"/>
      <c r="LXZ19" s="289"/>
      <c r="LYA19" s="289"/>
      <c r="LYB19" s="289"/>
      <c r="LYC19" s="289"/>
      <c r="LYD19" s="289"/>
      <c r="LYE19" s="289"/>
      <c r="LYF19" s="289"/>
      <c r="LYG19" s="289"/>
      <c r="LYH19" s="289"/>
      <c r="LYI19" s="289"/>
      <c r="LYJ19" s="289"/>
      <c r="LYK19" s="289"/>
      <c r="LYL19" s="289"/>
      <c r="LYM19" s="289"/>
      <c r="LYN19" s="289"/>
      <c r="LYO19" s="289"/>
      <c r="LYP19" s="289"/>
      <c r="LYQ19" s="289"/>
      <c r="LYR19" s="289"/>
      <c r="LYS19" s="289"/>
      <c r="LYT19" s="289"/>
      <c r="LYU19" s="289"/>
      <c r="LYV19" s="289"/>
      <c r="LYW19" s="289"/>
      <c r="LYX19" s="289"/>
      <c r="LYY19" s="289"/>
      <c r="LYZ19" s="289"/>
      <c r="LZA19" s="289"/>
      <c r="LZB19" s="289"/>
      <c r="LZC19" s="289"/>
      <c r="LZD19" s="289"/>
      <c r="LZE19" s="289"/>
      <c r="LZF19" s="289"/>
      <c r="LZG19" s="289"/>
      <c r="LZH19" s="289"/>
      <c r="LZI19" s="289"/>
      <c r="LZJ19" s="289"/>
      <c r="LZK19" s="289"/>
      <c r="LZL19" s="289"/>
      <c r="LZM19" s="289"/>
      <c r="LZN19" s="289"/>
      <c r="LZO19" s="289"/>
      <c r="LZP19" s="289"/>
      <c r="LZQ19" s="289"/>
      <c r="LZR19" s="289"/>
      <c r="LZS19" s="289"/>
      <c r="LZT19" s="289"/>
      <c r="LZU19" s="289"/>
      <c r="LZV19" s="289"/>
      <c r="LZW19" s="289"/>
      <c r="LZX19" s="289"/>
      <c r="LZY19" s="289"/>
      <c r="LZZ19" s="289"/>
      <c r="MAA19" s="289"/>
      <c r="MAB19" s="289"/>
      <c r="MAC19" s="289"/>
      <c r="MAD19" s="289"/>
      <c r="MAE19" s="289"/>
      <c r="MAF19" s="289"/>
      <c r="MAG19" s="289"/>
      <c r="MAH19" s="289"/>
      <c r="MAI19" s="289"/>
      <c r="MAJ19" s="289"/>
      <c r="MAK19" s="289"/>
      <c r="MAL19" s="289"/>
      <c r="MAM19" s="289"/>
      <c r="MAN19" s="289"/>
      <c r="MAO19" s="289"/>
      <c r="MAP19" s="289"/>
      <c r="MAQ19" s="289"/>
      <c r="MAR19" s="289"/>
      <c r="MAS19" s="289"/>
      <c r="MAT19" s="289"/>
      <c r="MAU19" s="289"/>
      <c r="MAV19" s="289"/>
      <c r="MAW19" s="289"/>
      <c r="MAX19" s="289"/>
      <c r="MAY19" s="289"/>
      <c r="MAZ19" s="289"/>
      <c r="MBA19" s="289"/>
      <c r="MBB19" s="289"/>
      <c r="MBC19" s="289"/>
      <c r="MBD19" s="289"/>
      <c r="MBE19" s="289"/>
      <c r="MBF19" s="289"/>
      <c r="MBG19" s="289"/>
      <c r="MBH19" s="289"/>
      <c r="MBI19" s="289"/>
      <c r="MBJ19" s="289"/>
      <c r="MBK19" s="289"/>
      <c r="MBL19" s="289"/>
      <c r="MBM19" s="289"/>
      <c r="MBN19" s="289"/>
      <c r="MBO19" s="289"/>
      <c r="MBP19" s="289"/>
      <c r="MBQ19" s="289"/>
      <c r="MBR19" s="289"/>
      <c r="MBS19" s="289"/>
      <c r="MBT19" s="289"/>
      <c r="MBU19" s="289"/>
      <c r="MBV19" s="289"/>
      <c r="MBW19" s="289"/>
      <c r="MBX19" s="289"/>
      <c r="MBY19" s="289"/>
      <c r="MBZ19" s="289"/>
      <c r="MCA19" s="289"/>
      <c r="MCB19" s="289"/>
      <c r="MCC19" s="289"/>
      <c r="MCD19" s="289"/>
      <c r="MCE19" s="289"/>
      <c r="MCF19" s="289"/>
      <c r="MCG19" s="289"/>
      <c r="MCH19" s="289"/>
      <c r="MCI19" s="289"/>
      <c r="MCJ19" s="289"/>
      <c r="MCK19" s="289"/>
      <c r="MCL19" s="289"/>
      <c r="MCM19" s="289"/>
      <c r="MCN19" s="289"/>
      <c r="MCO19" s="289"/>
      <c r="MCP19" s="289"/>
      <c r="MCQ19" s="289"/>
      <c r="MCR19" s="289"/>
      <c r="MCS19" s="289"/>
      <c r="MCT19" s="289"/>
      <c r="MCU19" s="289"/>
      <c r="MCV19" s="289"/>
      <c r="MCW19" s="289"/>
      <c r="MCX19" s="289"/>
      <c r="MCY19" s="289"/>
      <c r="MCZ19" s="289"/>
      <c r="MDA19" s="289"/>
      <c r="MDB19" s="289"/>
      <c r="MDC19" s="289"/>
      <c r="MDD19" s="289"/>
      <c r="MDE19" s="289"/>
      <c r="MDF19" s="289"/>
      <c r="MDG19" s="289"/>
      <c r="MDH19" s="289"/>
      <c r="MDI19" s="289"/>
      <c r="MDJ19" s="289"/>
      <c r="MDK19" s="289"/>
      <c r="MDL19" s="289"/>
      <c r="MDM19" s="289"/>
      <c r="MDN19" s="289"/>
      <c r="MDO19" s="289"/>
      <c r="MDP19" s="289"/>
      <c r="MDQ19" s="289"/>
      <c r="MDR19" s="289"/>
      <c r="MDS19" s="289"/>
      <c r="MDT19" s="289"/>
      <c r="MDU19" s="289"/>
      <c r="MDV19" s="289"/>
      <c r="MDW19" s="289"/>
      <c r="MDX19" s="289"/>
      <c r="MDY19" s="289"/>
      <c r="MDZ19" s="289"/>
      <c r="MEA19" s="289"/>
      <c r="MEB19" s="289"/>
      <c r="MEC19" s="289"/>
      <c r="MED19" s="289"/>
      <c r="MEE19" s="289"/>
      <c r="MEF19" s="289"/>
      <c r="MEG19" s="289"/>
      <c r="MEH19" s="289"/>
      <c r="MEI19" s="289"/>
      <c r="MEJ19" s="289"/>
      <c r="MEK19" s="289"/>
      <c r="MEL19" s="289"/>
      <c r="MEM19" s="289"/>
      <c r="MEN19" s="289"/>
      <c r="MEO19" s="289"/>
      <c r="MEP19" s="289"/>
      <c r="MEQ19" s="289"/>
      <c r="MER19" s="289"/>
      <c r="MES19" s="289"/>
      <c r="MET19" s="289"/>
      <c r="MEU19" s="289"/>
      <c r="MEV19" s="289"/>
      <c r="MEW19" s="289"/>
      <c r="MEX19" s="289"/>
      <c r="MEY19" s="289"/>
      <c r="MEZ19" s="289"/>
      <c r="MFA19" s="289"/>
      <c r="MFB19" s="289"/>
      <c r="MFC19" s="289"/>
      <c r="MFD19" s="289"/>
      <c r="MFE19" s="289"/>
      <c r="MFF19" s="289"/>
      <c r="MFG19" s="289"/>
      <c r="MFH19" s="289"/>
      <c r="MFI19" s="289"/>
      <c r="MFJ19" s="289"/>
      <c r="MFK19" s="289"/>
      <c r="MFL19" s="289"/>
      <c r="MFM19" s="289"/>
      <c r="MFN19" s="289"/>
      <c r="MFO19" s="289"/>
      <c r="MFP19" s="289"/>
      <c r="MFQ19" s="289"/>
      <c r="MFR19" s="289"/>
      <c r="MFS19" s="289"/>
      <c r="MFT19" s="289"/>
      <c r="MFU19" s="289"/>
      <c r="MFV19" s="289"/>
      <c r="MFW19" s="289"/>
      <c r="MFX19" s="289"/>
      <c r="MFY19" s="289"/>
      <c r="MFZ19" s="289"/>
      <c r="MGA19" s="289"/>
      <c r="MGB19" s="289"/>
      <c r="MGC19" s="289"/>
      <c r="MGD19" s="289"/>
      <c r="MGE19" s="289"/>
      <c r="MGF19" s="289"/>
      <c r="MGG19" s="289"/>
      <c r="MGH19" s="289"/>
      <c r="MGI19" s="289"/>
      <c r="MGJ19" s="289"/>
      <c r="MGK19" s="289"/>
      <c r="MGL19" s="289"/>
      <c r="MGM19" s="289"/>
      <c r="MGN19" s="289"/>
      <c r="MGO19" s="289"/>
      <c r="MGP19" s="289"/>
      <c r="MGQ19" s="289"/>
      <c r="MGR19" s="289"/>
      <c r="MGS19" s="289"/>
      <c r="MGT19" s="289"/>
      <c r="MGU19" s="289"/>
      <c r="MGV19" s="289"/>
      <c r="MGW19" s="289"/>
      <c r="MGX19" s="289"/>
      <c r="MGY19" s="289"/>
      <c r="MGZ19" s="289"/>
      <c r="MHA19" s="289"/>
      <c r="MHB19" s="289"/>
      <c r="MHC19" s="289"/>
      <c r="MHD19" s="289"/>
      <c r="MHE19" s="289"/>
      <c r="MHF19" s="289"/>
      <c r="MHG19" s="289"/>
      <c r="MHH19" s="289"/>
      <c r="MHI19" s="289"/>
      <c r="MHJ19" s="289"/>
      <c r="MHK19" s="289"/>
      <c r="MHL19" s="289"/>
      <c r="MHM19" s="289"/>
      <c r="MHN19" s="289"/>
      <c r="MHO19" s="289"/>
      <c r="MHP19" s="289"/>
      <c r="MHQ19" s="289"/>
      <c r="MHR19" s="289"/>
      <c r="MHS19" s="289"/>
      <c r="MHT19" s="289"/>
      <c r="MHU19" s="289"/>
      <c r="MHV19" s="289"/>
      <c r="MHW19" s="289"/>
      <c r="MHX19" s="289"/>
      <c r="MHY19" s="289"/>
      <c r="MHZ19" s="289"/>
      <c r="MIA19" s="289"/>
      <c r="MIB19" s="289"/>
      <c r="MIC19" s="289"/>
      <c r="MID19" s="289"/>
      <c r="MIE19" s="289"/>
      <c r="MIF19" s="289"/>
      <c r="MIG19" s="289"/>
      <c r="MIH19" s="289"/>
      <c r="MII19" s="289"/>
      <c r="MIJ19" s="289"/>
      <c r="MIK19" s="289"/>
      <c r="MIL19" s="289"/>
      <c r="MIM19" s="289"/>
      <c r="MIN19" s="289"/>
      <c r="MIO19" s="289"/>
      <c r="MIP19" s="289"/>
      <c r="MIQ19" s="289"/>
      <c r="MIR19" s="289"/>
      <c r="MIS19" s="289"/>
      <c r="MIT19" s="289"/>
      <c r="MIU19" s="289"/>
      <c r="MIV19" s="289"/>
      <c r="MIW19" s="289"/>
      <c r="MIX19" s="289"/>
      <c r="MIY19" s="289"/>
      <c r="MIZ19" s="289"/>
      <c r="MJA19" s="289"/>
      <c r="MJB19" s="289"/>
      <c r="MJC19" s="289"/>
      <c r="MJD19" s="289"/>
      <c r="MJE19" s="289"/>
      <c r="MJF19" s="289"/>
      <c r="MJG19" s="289"/>
      <c r="MJH19" s="289"/>
      <c r="MJI19" s="289"/>
      <c r="MJJ19" s="289"/>
      <c r="MJK19" s="289"/>
      <c r="MJL19" s="289"/>
      <c r="MJM19" s="289"/>
      <c r="MJN19" s="289"/>
      <c r="MJO19" s="289"/>
      <c r="MJP19" s="289"/>
      <c r="MJQ19" s="289"/>
      <c r="MJR19" s="289"/>
      <c r="MJS19" s="289"/>
      <c r="MJT19" s="289"/>
      <c r="MJU19" s="289"/>
      <c r="MJV19" s="289"/>
      <c r="MJW19" s="289"/>
      <c r="MJX19" s="289"/>
      <c r="MJY19" s="289"/>
      <c r="MJZ19" s="289"/>
      <c r="MKA19" s="289"/>
      <c r="MKB19" s="289"/>
      <c r="MKC19" s="289"/>
      <c r="MKD19" s="289"/>
      <c r="MKE19" s="289"/>
      <c r="MKF19" s="289"/>
      <c r="MKG19" s="289"/>
      <c r="MKH19" s="289"/>
      <c r="MKI19" s="289"/>
      <c r="MKJ19" s="289"/>
      <c r="MKK19" s="289"/>
      <c r="MKL19" s="289"/>
      <c r="MKM19" s="289"/>
      <c r="MKN19" s="289"/>
      <c r="MKO19" s="289"/>
      <c r="MKP19" s="289"/>
      <c r="MKQ19" s="289"/>
      <c r="MKR19" s="289"/>
      <c r="MKS19" s="289"/>
      <c r="MKT19" s="289"/>
      <c r="MKU19" s="289"/>
      <c r="MKV19" s="289"/>
      <c r="MKW19" s="289"/>
      <c r="MKX19" s="289"/>
      <c r="MKY19" s="289"/>
      <c r="MKZ19" s="289"/>
      <c r="MLA19" s="289"/>
      <c r="MLB19" s="289"/>
      <c r="MLC19" s="289"/>
      <c r="MLD19" s="289"/>
      <c r="MLE19" s="289"/>
      <c r="MLF19" s="289"/>
      <c r="MLG19" s="289"/>
      <c r="MLH19" s="289"/>
      <c r="MLI19" s="289"/>
      <c r="MLJ19" s="289"/>
      <c r="MLK19" s="289"/>
      <c r="MLL19" s="289"/>
      <c r="MLM19" s="289"/>
      <c r="MLN19" s="289"/>
      <c r="MLO19" s="289"/>
      <c r="MLP19" s="289"/>
      <c r="MLQ19" s="289"/>
      <c r="MLR19" s="289"/>
      <c r="MLS19" s="289"/>
      <c r="MLT19" s="289"/>
      <c r="MLU19" s="289"/>
      <c r="MLV19" s="289"/>
      <c r="MLW19" s="289"/>
      <c r="MLX19" s="289"/>
      <c r="MLY19" s="289"/>
      <c r="MLZ19" s="289"/>
      <c r="MMA19" s="289"/>
      <c r="MMB19" s="289"/>
      <c r="MMC19" s="289"/>
      <c r="MMD19" s="289"/>
      <c r="MME19" s="289"/>
      <c r="MMF19" s="289"/>
      <c r="MMG19" s="289"/>
      <c r="MMH19" s="289"/>
      <c r="MMI19" s="289"/>
      <c r="MMJ19" s="289"/>
      <c r="MMK19" s="289"/>
      <c r="MML19" s="289"/>
      <c r="MMM19" s="289"/>
      <c r="MMN19" s="289"/>
      <c r="MMO19" s="289"/>
      <c r="MMP19" s="289"/>
      <c r="MMQ19" s="289"/>
      <c r="MMR19" s="289"/>
      <c r="MMS19" s="289"/>
      <c r="MMT19" s="289"/>
      <c r="MMU19" s="289"/>
      <c r="MMV19" s="289"/>
      <c r="MMW19" s="289"/>
      <c r="MMX19" s="289"/>
      <c r="MMY19" s="289"/>
      <c r="MMZ19" s="289"/>
      <c r="MNA19" s="289"/>
      <c r="MNB19" s="289"/>
      <c r="MNC19" s="289"/>
      <c r="MND19" s="289"/>
      <c r="MNE19" s="289"/>
      <c r="MNF19" s="289"/>
      <c r="MNG19" s="289"/>
      <c r="MNH19" s="289"/>
      <c r="MNI19" s="289"/>
      <c r="MNJ19" s="289"/>
      <c r="MNK19" s="289"/>
      <c r="MNL19" s="289"/>
      <c r="MNM19" s="289"/>
      <c r="MNN19" s="289"/>
      <c r="MNO19" s="289"/>
      <c r="MNP19" s="289"/>
      <c r="MNQ19" s="289"/>
      <c r="MNR19" s="289"/>
      <c r="MNS19" s="289"/>
      <c r="MNT19" s="289"/>
      <c r="MNU19" s="289"/>
      <c r="MNV19" s="289"/>
      <c r="MNW19" s="289"/>
      <c r="MNX19" s="289"/>
      <c r="MNY19" s="289"/>
      <c r="MNZ19" s="289"/>
      <c r="MOA19" s="289"/>
      <c r="MOB19" s="289"/>
      <c r="MOC19" s="289"/>
      <c r="MOD19" s="289"/>
      <c r="MOE19" s="289"/>
      <c r="MOF19" s="289"/>
      <c r="MOG19" s="289"/>
      <c r="MOH19" s="289"/>
      <c r="MOI19" s="289"/>
      <c r="MOJ19" s="289"/>
      <c r="MOK19" s="289"/>
      <c r="MOL19" s="289"/>
      <c r="MOM19" s="289"/>
      <c r="MON19" s="289"/>
      <c r="MOO19" s="289"/>
      <c r="MOP19" s="289"/>
      <c r="MOQ19" s="289"/>
      <c r="MOR19" s="289"/>
      <c r="MOS19" s="289"/>
      <c r="MOT19" s="289"/>
      <c r="MOU19" s="289"/>
      <c r="MOV19" s="289"/>
      <c r="MOW19" s="289"/>
      <c r="MOX19" s="289"/>
      <c r="MOY19" s="289"/>
      <c r="MOZ19" s="289"/>
      <c r="MPA19" s="289"/>
      <c r="MPB19" s="289"/>
      <c r="MPC19" s="289"/>
      <c r="MPD19" s="289"/>
      <c r="MPE19" s="289"/>
      <c r="MPF19" s="289"/>
      <c r="MPG19" s="289"/>
      <c r="MPH19" s="289"/>
      <c r="MPI19" s="289"/>
      <c r="MPJ19" s="289"/>
      <c r="MPK19" s="289"/>
      <c r="MPL19" s="289"/>
      <c r="MPM19" s="289"/>
      <c r="MPN19" s="289"/>
      <c r="MPO19" s="289"/>
      <c r="MPP19" s="289"/>
      <c r="MPQ19" s="289"/>
      <c r="MPR19" s="289"/>
      <c r="MPS19" s="289"/>
      <c r="MPT19" s="289"/>
      <c r="MPU19" s="289"/>
      <c r="MPV19" s="289"/>
      <c r="MPW19" s="289"/>
      <c r="MPX19" s="289"/>
      <c r="MPY19" s="289"/>
      <c r="MPZ19" s="289"/>
      <c r="MQA19" s="289"/>
      <c r="MQB19" s="289"/>
      <c r="MQC19" s="289"/>
      <c r="MQD19" s="289"/>
      <c r="MQE19" s="289"/>
      <c r="MQF19" s="289"/>
      <c r="MQG19" s="289"/>
      <c r="MQH19" s="289"/>
      <c r="MQI19" s="289"/>
      <c r="MQJ19" s="289"/>
      <c r="MQK19" s="289"/>
      <c r="MQL19" s="289"/>
      <c r="MQM19" s="289"/>
      <c r="MQN19" s="289"/>
      <c r="MQO19" s="289"/>
      <c r="MQP19" s="289"/>
      <c r="MQQ19" s="289"/>
      <c r="MQR19" s="289"/>
      <c r="MQS19" s="289"/>
      <c r="MQT19" s="289"/>
      <c r="MQU19" s="289"/>
      <c r="MQV19" s="289"/>
      <c r="MQW19" s="289"/>
      <c r="MQX19" s="289"/>
      <c r="MQY19" s="289"/>
      <c r="MQZ19" s="289"/>
      <c r="MRA19" s="289"/>
      <c r="MRB19" s="289"/>
      <c r="MRC19" s="289"/>
      <c r="MRD19" s="289"/>
      <c r="MRE19" s="289"/>
      <c r="MRF19" s="289"/>
      <c r="MRG19" s="289"/>
      <c r="MRH19" s="289"/>
      <c r="MRI19" s="289"/>
      <c r="MRJ19" s="289"/>
      <c r="MRK19" s="289"/>
      <c r="MRL19" s="289"/>
      <c r="MRM19" s="289"/>
      <c r="MRN19" s="289"/>
      <c r="MRO19" s="289"/>
      <c r="MRP19" s="289"/>
      <c r="MRQ19" s="289"/>
      <c r="MRR19" s="289"/>
      <c r="MRS19" s="289"/>
      <c r="MRT19" s="289"/>
      <c r="MRU19" s="289"/>
      <c r="MRV19" s="289"/>
      <c r="MRW19" s="289"/>
      <c r="MRX19" s="289"/>
      <c r="MRY19" s="289"/>
      <c r="MRZ19" s="289"/>
      <c r="MSA19" s="289"/>
      <c r="MSB19" s="289"/>
      <c r="MSC19" s="289"/>
      <c r="MSD19" s="289"/>
      <c r="MSE19" s="289"/>
      <c r="MSF19" s="289"/>
      <c r="MSG19" s="289"/>
      <c r="MSH19" s="289"/>
      <c r="MSI19" s="289"/>
      <c r="MSJ19" s="289"/>
      <c r="MSK19" s="289"/>
      <c r="MSL19" s="289"/>
      <c r="MSM19" s="289"/>
      <c r="MSN19" s="289"/>
      <c r="MSO19" s="289"/>
      <c r="MSP19" s="289"/>
      <c r="MSQ19" s="289"/>
      <c r="MSR19" s="289"/>
      <c r="MSS19" s="289"/>
      <c r="MST19" s="289"/>
      <c r="MSU19" s="289"/>
      <c r="MSV19" s="289"/>
      <c r="MSW19" s="289"/>
      <c r="MSX19" s="289"/>
      <c r="MSY19" s="289"/>
      <c r="MSZ19" s="289"/>
      <c r="MTA19" s="289"/>
      <c r="MTB19" s="289"/>
      <c r="MTC19" s="289"/>
      <c r="MTD19" s="289"/>
      <c r="MTE19" s="289"/>
      <c r="MTF19" s="289"/>
      <c r="MTG19" s="289"/>
      <c r="MTH19" s="289"/>
      <c r="MTI19" s="289"/>
      <c r="MTJ19" s="289"/>
      <c r="MTK19" s="289"/>
      <c r="MTL19" s="289"/>
      <c r="MTM19" s="289"/>
      <c r="MTN19" s="289"/>
      <c r="MTO19" s="289"/>
      <c r="MTP19" s="289"/>
      <c r="MTQ19" s="289"/>
      <c r="MTR19" s="289"/>
      <c r="MTS19" s="289"/>
      <c r="MTT19" s="289"/>
      <c r="MTU19" s="289"/>
      <c r="MTV19" s="289"/>
      <c r="MTW19" s="289"/>
      <c r="MTX19" s="289"/>
      <c r="MTY19" s="289"/>
      <c r="MTZ19" s="289"/>
      <c r="MUA19" s="289"/>
      <c r="MUB19" s="289"/>
      <c r="MUC19" s="289"/>
      <c r="MUD19" s="289"/>
      <c r="MUE19" s="289"/>
      <c r="MUF19" s="289"/>
      <c r="MUG19" s="289"/>
      <c r="MUH19" s="289"/>
      <c r="MUI19" s="289"/>
      <c r="MUJ19" s="289"/>
      <c r="MUK19" s="289"/>
      <c r="MUL19" s="289"/>
      <c r="MUM19" s="289"/>
      <c r="MUN19" s="289"/>
      <c r="MUO19" s="289"/>
      <c r="MUP19" s="289"/>
      <c r="MUQ19" s="289"/>
      <c r="MUR19" s="289"/>
      <c r="MUS19" s="289"/>
      <c r="MUT19" s="289"/>
      <c r="MUU19" s="289"/>
      <c r="MUV19" s="289"/>
      <c r="MUW19" s="289"/>
      <c r="MUX19" s="289"/>
      <c r="MUY19" s="289"/>
      <c r="MUZ19" s="289"/>
      <c r="MVA19" s="289"/>
      <c r="MVB19" s="289"/>
      <c r="MVC19" s="289"/>
      <c r="MVD19" s="289"/>
      <c r="MVE19" s="289"/>
      <c r="MVF19" s="289"/>
      <c r="MVG19" s="289"/>
      <c r="MVH19" s="289"/>
      <c r="MVI19" s="289"/>
      <c r="MVJ19" s="289"/>
      <c r="MVK19" s="289"/>
      <c r="MVL19" s="289"/>
      <c r="MVM19" s="289"/>
      <c r="MVN19" s="289"/>
      <c r="MVO19" s="289"/>
      <c r="MVP19" s="289"/>
      <c r="MVQ19" s="289"/>
      <c r="MVR19" s="289"/>
      <c r="MVS19" s="289"/>
      <c r="MVT19" s="289"/>
      <c r="MVU19" s="289"/>
      <c r="MVV19" s="289"/>
      <c r="MVW19" s="289"/>
      <c r="MVX19" s="289"/>
      <c r="MVY19" s="289"/>
      <c r="MVZ19" s="289"/>
      <c r="MWA19" s="289"/>
      <c r="MWB19" s="289"/>
      <c r="MWC19" s="289"/>
      <c r="MWD19" s="289"/>
      <c r="MWE19" s="289"/>
      <c r="MWF19" s="289"/>
      <c r="MWG19" s="289"/>
      <c r="MWH19" s="289"/>
      <c r="MWI19" s="289"/>
      <c r="MWJ19" s="289"/>
      <c r="MWK19" s="289"/>
      <c r="MWL19" s="289"/>
      <c r="MWM19" s="289"/>
      <c r="MWN19" s="289"/>
      <c r="MWO19" s="289"/>
      <c r="MWP19" s="289"/>
      <c r="MWQ19" s="289"/>
      <c r="MWR19" s="289"/>
      <c r="MWS19" s="289"/>
      <c r="MWT19" s="289"/>
      <c r="MWU19" s="289"/>
      <c r="MWV19" s="289"/>
      <c r="MWW19" s="289"/>
      <c r="MWX19" s="289"/>
      <c r="MWY19" s="289"/>
      <c r="MWZ19" s="289"/>
      <c r="MXA19" s="289"/>
      <c r="MXB19" s="289"/>
      <c r="MXC19" s="289"/>
      <c r="MXD19" s="289"/>
      <c r="MXE19" s="289"/>
      <c r="MXF19" s="289"/>
      <c r="MXG19" s="289"/>
      <c r="MXH19" s="289"/>
      <c r="MXI19" s="289"/>
      <c r="MXJ19" s="289"/>
      <c r="MXK19" s="289"/>
      <c r="MXL19" s="289"/>
      <c r="MXM19" s="289"/>
      <c r="MXN19" s="289"/>
      <c r="MXO19" s="289"/>
      <c r="MXP19" s="289"/>
      <c r="MXQ19" s="289"/>
      <c r="MXR19" s="289"/>
      <c r="MXS19" s="289"/>
      <c r="MXT19" s="289"/>
      <c r="MXU19" s="289"/>
      <c r="MXV19" s="289"/>
      <c r="MXW19" s="289"/>
      <c r="MXX19" s="289"/>
      <c r="MXY19" s="289"/>
      <c r="MXZ19" s="289"/>
      <c r="MYA19" s="289"/>
      <c r="MYB19" s="289"/>
      <c r="MYC19" s="289"/>
      <c r="MYD19" s="289"/>
      <c r="MYE19" s="289"/>
      <c r="MYF19" s="289"/>
      <c r="MYG19" s="289"/>
      <c r="MYH19" s="289"/>
      <c r="MYI19" s="289"/>
      <c r="MYJ19" s="289"/>
      <c r="MYK19" s="289"/>
      <c r="MYL19" s="289"/>
      <c r="MYM19" s="289"/>
      <c r="MYN19" s="289"/>
      <c r="MYO19" s="289"/>
      <c r="MYP19" s="289"/>
      <c r="MYQ19" s="289"/>
      <c r="MYR19" s="289"/>
      <c r="MYS19" s="289"/>
      <c r="MYT19" s="289"/>
      <c r="MYU19" s="289"/>
      <c r="MYV19" s="289"/>
      <c r="MYW19" s="289"/>
      <c r="MYX19" s="289"/>
      <c r="MYY19" s="289"/>
      <c r="MYZ19" s="289"/>
      <c r="MZA19" s="289"/>
      <c r="MZB19" s="289"/>
      <c r="MZC19" s="289"/>
      <c r="MZD19" s="289"/>
      <c r="MZE19" s="289"/>
      <c r="MZF19" s="289"/>
      <c r="MZG19" s="289"/>
      <c r="MZH19" s="289"/>
      <c r="MZI19" s="289"/>
      <c r="MZJ19" s="289"/>
      <c r="MZK19" s="289"/>
      <c r="MZL19" s="289"/>
      <c r="MZM19" s="289"/>
      <c r="MZN19" s="289"/>
      <c r="MZO19" s="289"/>
      <c r="MZP19" s="289"/>
      <c r="MZQ19" s="289"/>
      <c r="MZR19" s="289"/>
      <c r="MZS19" s="289"/>
      <c r="MZT19" s="289"/>
      <c r="MZU19" s="289"/>
      <c r="MZV19" s="289"/>
      <c r="MZW19" s="289"/>
      <c r="MZX19" s="289"/>
      <c r="MZY19" s="289"/>
      <c r="MZZ19" s="289"/>
      <c r="NAA19" s="289"/>
      <c r="NAB19" s="289"/>
      <c r="NAC19" s="289"/>
      <c r="NAD19" s="289"/>
      <c r="NAE19" s="289"/>
      <c r="NAF19" s="289"/>
      <c r="NAG19" s="289"/>
      <c r="NAH19" s="289"/>
      <c r="NAI19" s="289"/>
      <c r="NAJ19" s="289"/>
      <c r="NAK19" s="289"/>
      <c r="NAL19" s="289"/>
      <c r="NAM19" s="289"/>
      <c r="NAN19" s="289"/>
      <c r="NAO19" s="289"/>
      <c r="NAP19" s="289"/>
      <c r="NAQ19" s="289"/>
      <c r="NAR19" s="289"/>
      <c r="NAS19" s="289"/>
      <c r="NAT19" s="289"/>
      <c r="NAU19" s="289"/>
      <c r="NAV19" s="289"/>
      <c r="NAW19" s="289"/>
      <c r="NAX19" s="289"/>
      <c r="NAY19" s="289"/>
      <c r="NAZ19" s="289"/>
      <c r="NBA19" s="289"/>
      <c r="NBB19" s="289"/>
      <c r="NBC19" s="289"/>
      <c r="NBD19" s="289"/>
      <c r="NBE19" s="289"/>
      <c r="NBF19" s="289"/>
      <c r="NBG19" s="289"/>
      <c r="NBH19" s="289"/>
      <c r="NBI19" s="289"/>
      <c r="NBJ19" s="289"/>
      <c r="NBK19" s="289"/>
      <c r="NBL19" s="289"/>
      <c r="NBM19" s="289"/>
      <c r="NBN19" s="289"/>
      <c r="NBO19" s="289"/>
      <c r="NBP19" s="289"/>
      <c r="NBQ19" s="289"/>
      <c r="NBR19" s="289"/>
      <c r="NBS19" s="289"/>
      <c r="NBT19" s="289"/>
      <c r="NBU19" s="289"/>
      <c r="NBV19" s="289"/>
      <c r="NBW19" s="289"/>
      <c r="NBX19" s="289"/>
      <c r="NBY19" s="289"/>
      <c r="NBZ19" s="289"/>
      <c r="NCA19" s="289"/>
      <c r="NCB19" s="289"/>
      <c r="NCC19" s="289"/>
      <c r="NCD19" s="289"/>
      <c r="NCE19" s="289"/>
      <c r="NCF19" s="289"/>
      <c r="NCG19" s="289"/>
      <c r="NCH19" s="289"/>
      <c r="NCI19" s="289"/>
      <c r="NCJ19" s="289"/>
      <c r="NCK19" s="289"/>
      <c r="NCL19" s="289"/>
      <c r="NCM19" s="289"/>
      <c r="NCN19" s="289"/>
      <c r="NCO19" s="289"/>
      <c r="NCP19" s="289"/>
      <c r="NCQ19" s="289"/>
      <c r="NCR19" s="289"/>
      <c r="NCS19" s="289"/>
      <c r="NCT19" s="289"/>
      <c r="NCU19" s="289"/>
      <c r="NCV19" s="289"/>
      <c r="NCW19" s="289"/>
      <c r="NCX19" s="289"/>
      <c r="NCY19" s="289"/>
      <c r="NCZ19" s="289"/>
      <c r="NDA19" s="289"/>
      <c r="NDB19" s="289"/>
      <c r="NDC19" s="289"/>
      <c r="NDD19" s="289"/>
      <c r="NDE19" s="289"/>
      <c r="NDF19" s="289"/>
      <c r="NDG19" s="289"/>
      <c r="NDH19" s="289"/>
      <c r="NDI19" s="289"/>
      <c r="NDJ19" s="289"/>
      <c r="NDK19" s="289"/>
      <c r="NDL19" s="289"/>
      <c r="NDM19" s="289"/>
      <c r="NDN19" s="289"/>
      <c r="NDO19" s="289"/>
      <c r="NDP19" s="289"/>
      <c r="NDQ19" s="289"/>
      <c r="NDR19" s="289"/>
      <c r="NDS19" s="289"/>
      <c r="NDT19" s="289"/>
      <c r="NDU19" s="289"/>
      <c r="NDV19" s="289"/>
      <c r="NDW19" s="289"/>
      <c r="NDX19" s="289"/>
      <c r="NDY19" s="289"/>
      <c r="NDZ19" s="289"/>
      <c r="NEA19" s="289"/>
      <c r="NEB19" s="289"/>
      <c r="NEC19" s="289"/>
      <c r="NED19" s="289"/>
      <c r="NEE19" s="289"/>
      <c r="NEF19" s="289"/>
      <c r="NEG19" s="289"/>
      <c r="NEH19" s="289"/>
      <c r="NEI19" s="289"/>
      <c r="NEJ19" s="289"/>
      <c r="NEK19" s="289"/>
      <c r="NEL19" s="289"/>
      <c r="NEM19" s="289"/>
      <c r="NEN19" s="289"/>
      <c r="NEO19" s="289"/>
      <c r="NEP19" s="289"/>
      <c r="NEQ19" s="289"/>
      <c r="NER19" s="289"/>
      <c r="NES19" s="289"/>
      <c r="NET19" s="289"/>
      <c r="NEU19" s="289"/>
      <c r="NEV19" s="289"/>
      <c r="NEW19" s="289"/>
      <c r="NEX19" s="289"/>
      <c r="NEY19" s="289"/>
      <c r="NEZ19" s="289"/>
      <c r="NFA19" s="289"/>
      <c r="NFB19" s="289"/>
      <c r="NFC19" s="289"/>
      <c r="NFD19" s="289"/>
      <c r="NFE19" s="289"/>
      <c r="NFF19" s="289"/>
      <c r="NFG19" s="289"/>
      <c r="NFH19" s="289"/>
      <c r="NFI19" s="289"/>
      <c r="NFJ19" s="289"/>
      <c r="NFK19" s="289"/>
      <c r="NFL19" s="289"/>
      <c r="NFM19" s="289"/>
      <c r="NFN19" s="289"/>
      <c r="NFO19" s="289"/>
      <c r="NFP19" s="289"/>
      <c r="NFQ19" s="289"/>
      <c r="NFR19" s="289"/>
      <c r="NFS19" s="289"/>
      <c r="NFT19" s="289"/>
      <c r="NFU19" s="289"/>
      <c r="NFV19" s="289"/>
      <c r="NFW19" s="289"/>
      <c r="NFX19" s="289"/>
      <c r="NFY19" s="289"/>
      <c r="NFZ19" s="289"/>
      <c r="NGA19" s="289"/>
      <c r="NGB19" s="289"/>
      <c r="NGC19" s="289"/>
      <c r="NGD19" s="289"/>
      <c r="NGE19" s="289"/>
      <c r="NGF19" s="289"/>
      <c r="NGG19" s="289"/>
      <c r="NGH19" s="289"/>
      <c r="NGI19" s="289"/>
      <c r="NGJ19" s="289"/>
      <c r="NGK19" s="289"/>
      <c r="NGL19" s="289"/>
      <c r="NGM19" s="289"/>
      <c r="NGN19" s="289"/>
      <c r="NGO19" s="289"/>
      <c r="NGP19" s="289"/>
      <c r="NGQ19" s="289"/>
      <c r="NGR19" s="289"/>
      <c r="NGS19" s="289"/>
      <c r="NGT19" s="289"/>
      <c r="NGU19" s="289"/>
      <c r="NGV19" s="289"/>
      <c r="NGW19" s="289"/>
      <c r="NGX19" s="289"/>
      <c r="NGY19" s="289"/>
      <c r="NGZ19" s="289"/>
      <c r="NHA19" s="289"/>
      <c r="NHB19" s="289"/>
      <c r="NHC19" s="289"/>
      <c r="NHD19" s="289"/>
      <c r="NHE19" s="289"/>
      <c r="NHF19" s="289"/>
      <c r="NHG19" s="289"/>
      <c r="NHH19" s="289"/>
      <c r="NHI19" s="289"/>
      <c r="NHJ19" s="289"/>
      <c r="NHK19" s="289"/>
      <c r="NHL19" s="289"/>
      <c r="NHM19" s="289"/>
      <c r="NHN19" s="289"/>
      <c r="NHO19" s="289"/>
      <c r="NHP19" s="289"/>
      <c r="NHQ19" s="289"/>
      <c r="NHR19" s="289"/>
      <c r="NHS19" s="289"/>
      <c r="NHT19" s="289"/>
      <c r="NHU19" s="289"/>
      <c r="NHV19" s="289"/>
      <c r="NHW19" s="289"/>
      <c r="NHX19" s="289"/>
      <c r="NHY19" s="289"/>
      <c r="NHZ19" s="289"/>
      <c r="NIA19" s="289"/>
      <c r="NIB19" s="289"/>
      <c r="NIC19" s="289"/>
      <c r="NID19" s="289"/>
      <c r="NIE19" s="289"/>
      <c r="NIF19" s="289"/>
      <c r="NIG19" s="289"/>
      <c r="NIH19" s="289"/>
      <c r="NII19" s="289"/>
      <c r="NIJ19" s="289"/>
      <c r="NIK19" s="289"/>
      <c r="NIL19" s="289"/>
      <c r="NIM19" s="289"/>
      <c r="NIN19" s="289"/>
      <c r="NIO19" s="289"/>
      <c r="NIP19" s="289"/>
      <c r="NIQ19" s="289"/>
      <c r="NIR19" s="289"/>
      <c r="NIS19" s="289"/>
      <c r="NIT19" s="289"/>
      <c r="NIU19" s="289"/>
      <c r="NIV19" s="289"/>
      <c r="NIW19" s="289"/>
      <c r="NIX19" s="289"/>
      <c r="NIY19" s="289"/>
      <c r="NIZ19" s="289"/>
      <c r="NJA19" s="289"/>
      <c r="NJB19" s="289"/>
      <c r="NJC19" s="289"/>
      <c r="NJD19" s="289"/>
      <c r="NJE19" s="289"/>
      <c r="NJF19" s="289"/>
      <c r="NJG19" s="289"/>
      <c r="NJH19" s="289"/>
      <c r="NJI19" s="289"/>
      <c r="NJJ19" s="289"/>
      <c r="NJK19" s="289"/>
      <c r="NJL19" s="289"/>
      <c r="NJM19" s="289"/>
      <c r="NJN19" s="289"/>
      <c r="NJO19" s="289"/>
      <c r="NJP19" s="289"/>
      <c r="NJQ19" s="289"/>
      <c r="NJR19" s="289"/>
      <c r="NJS19" s="289"/>
      <c r="NJT19" s="289"/>
      <c r="NJU19" s="289"/>
      <c r="NJV19" s="289"/>
      <c r="NJW19" s="289"/>
      <c r="NJX19" s="289"/>
      <c r="NJY19" s="289"/>
      <c r="NJZ19" s="289"/>
      <c r="NKA19" s="289"/>
      <c r="NKB19" s="289"/>
      <c r="NKC19" s="289"/>
      <c r="NKD19" s="289"/>
      <c r="NKE19" s="289"/>
      <c r="NKF19" s="289"/>
      <c r="NKG19" s="289"/>
      <c r="NKH19" s="289"/>
      <c r="NKI19" s="289"/>
      <c r="NKJ19" s="289"/>
      <c r="NKK19" s="289"/>
      <c r="NKL19" s="289"/>
      <c r="NKM19" s="289"/>
      <c r="NKN19" s="289"/>
      <c r="NKO19" s="289"/>
      <c r="NKP19" s="289"/>
      <c r="NKQ19" s="289"/>
      <c r="NKR19" s="289"/>
      <c r="NKS19" s="289"/>
      <c r="NKT19" s="289"/>
      <c r="NKU19" s="289"/>
      <c r="NKV19" s="289"/>
      <c r="NKW19" s="289"/>
      <c r="NKX19" s="289"/>
      <c r="NKY19" s="289"/>
      <c r="NKZ19" s="289"/>
      <c r="NLA19" s="289"/>
      <c r="NLB19" s="289"/>
      <c r="NLC19" s="289"/>
      <c r="NLD19" s="289"/>
      <c r="NLE19" s="289"/>
      <c r="NLF19" s="289"/>
      <c r="NLG19" s="289"/>
      <c r="NLH19" s="289"/>
      <c r="NLI19" s="289"/>
      <c r="NLJ19" s="289"/>
      <c r="NLK19" s="289"/>
      <c r="NLL19" s="289"/>
      <c r="NLM19" s="289"/>
      <c r="NLN19" s="289"/>
      <c r="NLO19" s="289"/>
      <c r="NLP19" s="289"/>
      <c r="NLQ19" s="289"/>
      <c r="NLR19" s="289"/>
      <c r="NLS19" s="289"/>
      <c r="NLT19" s="289"/>
      <c r="NLU19" s="289"/>
      <c r="NLV19" s="289"/>
      <c r="NLW19" s="289"/>
      <c r="NLX19" s="289"/>
      <c r="NLY19" s="289"/>
      <c r="NLZ19" s="289"/>
      <c r="NMA19" s="289"/>
      <c r="NMB19" s="289"/>
      <c r="NMC19" s="289"/>
      <c r="NMD19" s="289"/>
      <c r="NME19" s="289"/>
      <c r="NMF19" s="289"/>
      <c r="NMG19" s="289"/>
      <c r="NMH19" s="289"/>
      <c r="NMI19" s="289"/>
      <c r="NMJ19" s="289"/>
      <c r="NMK19" s="289"/>
      <c r="NML19" s="289"/>
      <c r="NMM19" s="289"/>
      <c r="NMN19" s="289"/>
      <c r="NMO19" s="289"/>
      <c r="NMP19" s="289"/>
      <c r="NMQ19" s="289"/>
      <c r="NMR19" s="289"/>
      <c r="NMS19" s="289"/>
      <c r="NMT19" s="289"/>
      <c r="NMU19" s="289"/>
      <c r="NMV19" s="289"/>
      <c r="NMW19" s="289"/>
      <c r="NMX19" s="289"/>
      <c r="NMY19" s="289"/>
      <c r="NMZ19" s="289"/>
      <c r="NNA19" s="289"/>
      <c r="NNB19" s="289"/>
      <c r="NNC19" s="289"/>
      <c r="NND19" s="289"/>
      <c r="NNE19" s="289"/>
      <c r="NNF19" s="289"/>
      <c r="NNG19" s="289"/>
      <c r="NNH19" s="289"/>
      <c r="NNI19" s="289"/>
      <c r="NNJ19" s="289"/>
      <c r="NNK19" s="289"/>
      <c r="NNL19" s="289"/>
      <c r="NNM19" s="289"/>
      <c r="NNN19" s="289"/>
      <c r="NNO19" s="289"/>
      <c r="NNP19" s="289"/>
      <c r="NNQ19" s="289"/>
      <c r="NNR19" s="289"/>
      <c r="NNS19" s="289"/>
      <c r="NNT19" s="289"/>
      <c r="NNU19" s="289"/>
      <c r="NNV19" s="289"/>
      <c r="NNW19" s="289"/>
      <c r="NNX19" s="289"/>
      <c r="NNY19" s="289"/>
      <c r="NNZ19" s="289"/>
      <c r="NOA19" s="289"/>
      <c r="NOB19" s="289"/>
      <c r="NOC19" s="289"/>
      <c r="NOD19" s="289"/>
      <c r="NOE19" s="289"/>
      <c r="NOF19" s="289"/>
      <c r="NOG19" s="289"/>
      <c r="NOH19" s="289"/>
      <c r="NOI19" s="289"/>
      <c r="NOJ19" s="289"/>
      <c r="NOK19" s="289"/>
      <c r="NOL19" s="289"/>
      <c r="NOM19" s="289"/>
      <c r="NON19" s="289"/>
      <c r="NOO19" s="289"/>
      <c r="NOP19" s="289"/>
      <c r="NOQ19" s="289"/>
      <c r="NOR19" s="289"/>
      <c r="NOS19" s="289"/>
      <c r="NOT19" s="289"/>
      <c r="NOU19" s="289"/>
      <c r="NOV19" s="289"/>
      <c r="NOW19" s="289"/>
      <c r="NOX19" s="289"/>
      <c r="NOY19" s="289"/>
      <c r="NOZ19" s="289"/>
      <c r="NPA19" s="289"/>
      <c r="NPB19" s="289"/>
      <c r="NPC19" s="289"/>
      <c r="NPD19" s="289"/>
      <c r="NPE19" s="289"/>
      <c r="NPF19" s="289"/>
      <c r="NPG19" s="289"/>
      <c r="NPH19" s="289"/>
      <c r="NPI19" s="289"/>
      <c r="NPJ19" s="289"/>
      <c r="NPK19" s="289"/>
      <c r="NPL19" s="289"/>
      <c r="NPM19" s="289"/>
      <c r="NPN19" s="289"/>
      <c r="NPO19" s="289"/>
      <c r="NPP19" s="289"/>
      <c r="NPQ19" s="289"/>
      <c r="NPR19" s="289"/>
      <c r="NPS19" s="289"/>
      <c r="NPT19" s="289"/>
      <c r="NPU19" s="289"/>
      <c r="NPV19" s="289"/>
      <c r="NPW19" s="289"/>
      <c r="NPX19" s="289"/>
      <c r="NPY19" s="289"/>
      <c r="NPZ19" s="289"/>
      <c r="NQA19" s="289"/>
      <c r="NQB19" s="289"/>
      <c r="NQC19" s="289"/>
      <c r="NQD19" s="289"/>
      <c r="NQE19" s="289"/>
      <c r="NQF19" s="289"/>
      <c r="NQG19" s="289"/>
      <c r="NQH19" s="289"/>
      <c r="NQI19" s="289"/>
      <c r="NQJ19" s="289"/>
      <c r="NQK19" s="289"/>
      <c r="NQL19" s="289"/>
      <c r="NQM19" s="289"/>
      <c r="NQN19" s="289"/>
      <c r="NQO19" s="289"/>
      <c r="NQP19" s="289"/>
      <c r="NQQ19" s="289"/>
      <c r="NQR19" s="289"/>
      <c r="NQS19" s="289"/>
      <c r="NQT19" s="289"/>
      <c r="NQU19" s="289"/>
      <c r="NQV19" s="289"/>
      <c r="NQW19" s="289"/>
      <c r="NQX19" s="289"/>
      <c r="NQY19" s="289"/>
      <c r="NQZ19" s="289"/>
      <c r="NRA19" s="289"/>
      <c r="NRB19" s="289"/>
      <c r="NRC19" s="289"/>
      <c r="NRD19" s="289"/>
      <c r="NRE19" s="289"/>
      <c r="NRF19" s="289"/>
      <c r="NRG19" s="289"/>
      <c r="NRH19" s="289"/>
      <c r="NRI19" s="289"/>
      <c r="NRJ19" s="289"/>
      <c r="NRK19" s="289"/>
      <c r="NRL19" s="289"/>
      <c r="NRM19" s="289"/>
      <c r="NRN19" s="289"/>
      <c r="NRO19" s="289"/>
      <c r="NRP19" s="289"/>
      <c r="NRQ19" s="289"/>
      <c r="NRR19" s="289"/>
      <c r="NRS19" s="289"/>
      <c r="NRT19" s="289"/>
      <c r="NRU19" s="289"/>
      <c r="NRV19" s="289"/>
      <c r="NRW19" s="289"/>
      <c r="NRX19" s="289"/>
      <c r="NRY19" s="289"/>
      <c r="NRZ19" s="289"/>
      <c r="NSA19" s="289"/>
      <c r="NSB19" s="289"/>
      <c r="NSC19" s="289"/>
      <c r="NSD19" s="289"/>
      <c r="NSE19" s="289"/>
      <c r="NSF19" s="289"/>
      <c r="NSG19" s="289"/>
      <c r="NSH19" s="289"/>
      <c r="NSI19" s="289"/>
      <c r="NSJ19" s="289"/>
      <c r="NSK19" s="289"/>
      <c r="NSL19" s="289"/>
      <c r="NSM19" s="289"/>
      <c r="NSN19" s="289"/>
      <c r="NSO19" s="289"/>
      <c r="NSP19" s="289"/>
      <c r="NSQ19" s="289"/>
      <c r="NSR19" s="289"/>
      <c r="NSS19" s="289"/>
      <c r="NST19" s="289"/>
      <c r="NSU19" s="289"/>
      <c r="NSV19" s="289"/>
      <c r="NSW19" s="289"/>
      <c r="NSX19" s="289"/>
      <c r="NSY19" s="289"/>
      <c r="NSZ19" s="289"/>
      <c r="NTA19" s="289"/>
      <c r="NTB19" s="289"/>
      <c r="NTC19" s="289"/>
      <c r="NTD19" s="289"/>
      <c r="NTE19" s="289"/>
      <c r="NTF19" s="289"/>
      <c r="NTG19" s="289"/>
      <c r="NTH19" s="289"/>
      <c r="NTI19" s="289"/>
      <c r="NTJ19" s="289"/>
      <c r="NTK19" s="289"/>
      <c r="NTL19" s="289"/>
      <c r="NTM19" s="289"/>
      <c r="NTN19" s="289"/>
      <c r="NTO19" s="289"/>
      <c r="NTP19" s="289"/>
      <c r="NTQ19" s="289"/>
      <c r="NTR19" s="289"/>
      <c r="NTS19" s="289"/>
      <c r="NTT19" s="289"/>
      <c r="NTU19" s="289"/>
      <c r="NTV19" s="289"/>
      <c r="NTW19" s="289"/>
      <c r="NTX19" s="289"/>
      <c r="NTY19" s="289"/>
      <c r="NTZ19" s="289"/>
      <c r="NUA19" s="289"/>
      <c r="NUB19" s="289"/>
      <c r="NUC19" s="289"/>
      <c r="NUD19" s="289"/>
      <c r="NUE19" s="289"/>
      <c r="NUF19" s="289"/>
      <c r="NUG19" s="289"/>
      <c r="NUH19" s="289"/>
      <c r="NUI19" s="289"/>
      <c r="NUJ19" s="289"/>
      <c r="NUK19" s="289"/>
      <c r="NUL19" s="289"/>
      <c r="NUM19" s="289"/>
      <c r="NUN19" s="289"/>
      <c r="NUO19" s="289"/>
      <c r="NUP19" s="289"/>
      <c r="NUQ19" s="289"/>
      <c r="NUR19" s="289"/>
      <c r="NUS19" s="289"/>
      <c r="NUT19" s="289"/>
      <c r="NUU19" s="289"/>
      <c r="NUV19" s="289"/>
      <c r="NUW19" s="289"/>
      <c r="NUX19" s="289"/>
      <c r="NUY19" s="289"/>
      <c r="NUZ19" s="289"/>
      <c r="NVA19" s="289"/>
      <c r="NVB19" s="289"/>
      <c r="NVC19" s="289"/>
      <c r="NVD19" s="289"/>
      <c r="NVE19" s="289"/>
      <c r="NVF19" s="289"/>
      <c r="NVG19" s="289"/>
      <c r="NVH19" s="289"/>
      <c r="NVI19" s="289"/>
      <c r="NVJ19" s="289"/>
      <c r="NVK19" s="289"/>
      <c r="NVL19" s="289"/>
      <c r="NVM19" s="289"/>
      <c r="NVN19" s="289"/>
      <c r="NVO19" s="289"/>
      <c r="NVP19" s="289"/>
      <c r="NVQ19" s="289"/>
      <c r="NVR19" s="289"/>
      <c r="NVS19" s="289"/>
      <c r="NVT19" s="289"/>
      <c r="NVU19" s="289"/>
      <c r="NVV19" s="289"/>
      <c r="NVW19" s="289"/>
      <c r="NVX19" s="289"/>
      <c r="NVY19" s="289"/>
      <c r="NVZ19" s="289"/>
      <c r="NWA19" s="289"/>
      <c r="NWB19" s="289"/>
      <c r="NWC19" s="289"/>
      <c r="NWD19" s="289"/>
      <c r="NWE19" s="289"/>
      <c r="NWF19" s="289"/>
      <c r="NWG19" s="289"/>
      <c r="NWH19" s="289"/>
      <c r="NWI19" s="289"/>
      <c r="NWJ19" s="289"/>
      <c r="NWK19" s="289"/>
      <c r="NWL19" s="289"/>
      <c r="NWM19" s="289"/>
      <c r="NWN19" s="289"/>
      <c r="NWO19" s="289"/>
      <c r="NWP19" s="289"/>
      <c r="NWQ19" s="289"/>
      <c r="NWR19" s="289"/>
      <c r="NWS19" s="289"/>
      <c r="NWT19" s="289"/>
      <c r="NWU19" s="289"/>
      <c r="NWV19" s="289"/>
      <c r="NWW19" s="289"/>
      <c r="NWX19" s="289"/>
      <c r="NWY19" s="289"/>
      <c r="NWZ19" s="289"/>
      <c r="NXA19" s="289"/>
      <c r="NXB19" s="289"/>
      <c r="NXC19" s="289"/>
      <c r="NXD19" s="289"/>
      <c r="NXE19" s="289"/>
      <c r="NXF19" s="289"/>
      <c r="NXG19" s="289"/>
      <c r="NXH19" s="289"/>
      <c r="NXI19" s="289"/>
      <c r="NXJ19" s="289"/>
      <c r="NXK19" s="289"/>
      <c r="NXL19" s="289"/>
      <c r="NXM19" s="289"/>
      <c r="NXN19" s="289"/>
      <c r="NXO19" s="289"/>
      <c r="NXP19" s="289"/>
      <c r="NXQ19" s="289"/>
      <c r="NXR19" s="289"/>
      <c r="NXS19" s="289"/>
      <c r="NXT19" s="289"/>
      <c r="NXU19" s="289"/>
      <c r="NXV19" s="289"/>
      <c r="NXW19" s="289"/>
      <c r="NXX19" s="289"/>
      <c r="NXY19" s="289"/>
      <c r="NXZ19" s="289"/>
      <c r="NYA19" s="289"/>
      <c r="NYB19" s="289"/>
      <c r="NYC19" s="289"/>
      <c r="NYD19" s="289"/>
      <c r="NYE19" s="289"/>
      <c r="NYF19" s="289"/>
      <c r="NYG19" s="289"/>
      <c r="NYH19" s="289"/>
      <c r="NYI19" s="289"/>
      <c r="NYJ19" s="289"/>
      <c r="NYK19" s="289"/>
      <c r="NYL19" s="289"/>
      <c r="NYM19" s="289"/>
      <c r="NYN19" s="289"/>
      <c r="NYO19" s="289"/>
      <c r="NYP19" s="289"/>
      <c r="NYQ19" s="289"/>
      <c r="NYR19" s="289"/>
      <c r="NYS19" s="289"/>
      <c r="NYT19" s="289"/>
      <c r="NYU19" s="289"/>
      <c r="NYV19" s="289"/>
      <c r="NYW19" s="289"/>
      <c r="NYX19" s="289"/>
      <c r="NYY19" s="289"/>
      <c r="NYZ19" s="289"/>
      <c r="NZA19" s="289"/>
      <c r="NZB19" s="289"/>
      <c r="NZC19" s="289"/>
      <c r="NZD19" s="289"/>
      <c r="NZE19" s="289"/>
      <c r="NZF19" s="289"/>
      <c r="NZG19" s="289"/>
      <c r="NZH19" s="289"/>
      <c r="NZI19" s="289"/>
      <c r="NZJ19" s="289"/>
      <c r="NZK19" s="289"/>
      <c r="NZL19" s="289"/>
      <c r="NZM19" s="289"/>
      <c r="NZN19" s="289"/>
      <c r="NZO19" s="289"/>
      <c r="NZP19" s="289"/>
      <c r="NZQ19" s="289"/>
      <c r="NZR19" s="289"/>
      <c r="NZS19" s="289"/>
      <c r="NZT19" s="289"/>
      <c r="NZU19" s="289"/>
      <c r="NZV19" s="289"/>
      <c r="NZW19" s="289"/>
      <c r="NZX19" s="289"/>
      <c r="NZY19" s="289"/>
      <c r="NZZ19" s="289"/>
      <c r="OAA19" s="289"/>
      <c r="OAB19" s="289"/>
      <c r="OAC19" s="289"/>
      <c r="OAD19" s="289"/>
      <c r="OAE19" s="289"/>
      <c r="OAF19" s="289"/>
      <c r="OAG19" s="289"/>
      <c r="OAH19" s="289"/>
      <c r="OAI19" s="289"/>
      <c r="OAJ19" s="289"/>
      <c r="OAK19" s="289"/>
      <c r="OAL19" s="289"/>
      <c r="OAM19" s="289"/>
      <c r="OAN19" s="289"/>
      <c r="OAO19" s="289"/>
      <c r="OAP19" s="289"/>
      <c r="OAQ19" s="289"/>
      <c r="OAR19" s="289"/>
      <c r="OAS19" s="289"/>
      <c r="OAT19" s="289"/>
      <c r="OAU19" s="289"/>
      <c r="OAV19" s="289"/>
      <c r="OAW19" s="289"/>
      <c r="OAX19" s="289"/>
      <c r="OAY19" s="289"/>
      <c r="OAZ19" s="289"/>
      <c r="OBA19" s="289"/>
      <c r="OBB19" s="289"/>
      <c r="OBC19" s="289"/>
      <c r="OBD19" s="289"/>
      <c r="OBE19" s="289"/>
      <c r="OBF19" s="289"/>
      <c r="OBG19" s="289"/>
      <c r="OBH19" s="289"/>
      <c r="OBI19" s="289"/>
      <c r="OBJ19" s="289"/>
      <c r="OBK19" s="289"/>
      <c r="OBL19" s="289"/>
      <c r="OBM19" s="289"/>
      <c r="OBN19" s="289"/>
      <c r="OBO19" s="289"/>
      <c r="OBP19" s="289"/>
      <c r="OBQ19" s="289"/>
      <c r="OBR19" s="289"/>
      <c r="OBS19" s="289"/>
      <c r="OBT19" s="289"/>
      <c r="OBU19" s="289"/>
      <c r="OBV19" s="289"/>
      <c r="OBW19" s="289"/>
      <c r="OBX19" s="289"/>
      <c r="OBY19" s="289"/>
      <c r="OBZ19" s="289"/>
      <c r="OCA19" s="289"/>
      <c r="OCB19" s="289"/>
      <c r="OCC19" s="289"/>
      <c r="OCD19" s="289"/>
      <c r="OCE19" s="289"/>
      <c r="OCF19" s="289"/>
      <c r="OCG19" s="289"/>
      <c r="OCH19" s="289"/>
      <c r="OCI19" s="289"/>
      <c r="OCJ19" s="289"/>
      <c r="OCK19" s="289"/>
      <c r="OCL19" s="289"/>
      <c r="OCM19" s="289"/>
      <c r="OCN19" s="289"/>
      <c r="OCO19" s="289"/>
      <c r="OCP19" s="289"/>
      <c r="OCQ19" s="289"/>
      <c r="OCR19" s="289"/>
      <c r="OCS19" s="289"/>
      <c r="OCT19" s="289"/>
      <c r="OCU19" s="289"/>
      <c r="OCV19" s="289"/>
      <c r="OCW19" s="289"/>
      <c r="OCX19" s="289"/>
      <c r="OCY19" s="289"/>
      <c r="OCZ19" s="289"/>
      <c r="ODA19" s="289"/>
      <c r="ODB19" s="289"/>
      <c r="ODC19" s="289"/>
      <c r="ODD19" s="289"/>
      <c r="ODE19" s="289"/>
      <c r="ODF19" s="289"/>
      <c r="ODG19" s="289"/>
      <c r="ODH19" s="289"/>
      <c r="ODI19" s="289"/>
      <c r="ODJ19" s="289"/>
      <c r="ODK19" s="289"/>
      <c r="ODL19" s="289"/>
      <c r="ODM19" s="289"/>
      <c r="ODN19" s="289"/>
      <c r="ODO19" s="289"/>
      <c r="ODP19" s="289"/>
      <c r="ODQ19" s="289"/>
      <c r="ODR19" s="289"/>
      <c r="ODS19" s="289"/>
      <c r="ODT19" s="289"/>
      <c r="ODU19" s="289"/>
      <c r="ODV19" s="289"/>
      <c r="ODW19" s="289"/>
      <c r="ODX19" s="289"/>
      <c r="ODY19" s="289"/>
      <c r="ODZ19" s="289"/>
      <c r="OEA19" s="289"/>
      <c r="OEB19" s="289"/>
      <c r="OEC19" s="289"/>
      <c r="OED19" s="289"/>
      <c r="OEE19" s="289"/>
      <c r="OEF19" s="289"/>
      <c r="OEG19" s="289"/>
      <c r="OEH19" s="289"/>
      <c r="OEI19" s="289"/>
      <c r="OEJ19" s="289"/>
      <c r="OEK19" s="289"/>
      <c r="OEL19" s="289"/>
      <c r="OEM19" s="289"/>
      <c r="OEN19" s="289"/>
      <c r="OEO19" s="289"/>
      <c r="OEP19" s="289"/>
      <c r="OEQ19" s="289"/>
      <c r="OER19" s="289"/>
      <c r="OES19" s="289"/>
      <c r="OET19" s="289"/>
      <c r="OEU19" s="289"/>
      <c r="OEV19" s="289"/>
      <c r="OEW19" s="289"/>
      <c r="OEX19" s="289"/>
      <c r="OEY19" s="289"/>
      <c r="OEZ19" s="289"/>
      <c r="OFA19" s="289"/>
      <c r="OFB19" s="289"/>
      <c r="OFC19" s="289"/>
      <c r="OFD19" s="289"/>
      <c r="OFE19" s="289"/>
      <c r="OFF19" s="289"/>
      <c r="OFG19" s="289"/>
      <c r="OFH19" s="289"/>
      <c r="OFI19" s="289"/>
      <c r="OFJ19" s="289"/>
      <c r="OFK19" s="289"/>
      <c r="OFL19" s="289"/>
      <c r="OFM19" s="289"/>
      <c r="OFN19" s="289"/>
      <c r="OFO19" s="289"/>
      <c r="OFP19" s="289"/>
      <c r="OFQ19" s="289"/>
      <c r="OFR19" s="289"/>
      <c r="OFS19" s="289"/>
      <c r="OFT19" s="289"/>
      <c r="OFU19" s="289"/>
      <c r="OFV19" s="289"/>
      <c r="OFW19" s="289"/>
      <c r="OFX19" s="289"/>
      <c r="OFY19" s="289"/>
      <c r="OFZ19" s="289"/>
      <c r="OGA19" s="289"/>
      <c r="OGB19" s="289"/>
      <c r="OGC19" s="289"/>
      <c r="OGD19" s="289"/>
      <c r="OGE19" s="289"/>
      <c r="OGF19" s="289"/>
      <c r="OGG19" s="289"/>
      <c r="OGH19" s="289"/>
      <c r="OGI19" s="289"/>
      <c r="OGJ19" s="289"/>
      <c r="OGK19" s="289"/>
      <c r="OGL19" s="289"/>
      <c r="OGM19" s="289"/>
      <c r="OGN19" s="289"/>
      <c r="OGO19" s="289"/>
      <c r="OGP19" s="289"/>
      <c r="OGQ19" s="289"/>
      <c r="OGR19" s="289"/>
      <c r="OGS19" s="289"/>
      <c r="OGT19" s="289"/>
      <c r="OGU19" s="289"/>
      <c r="OGV19" s="289"/>
      <c r="OGW19" s="289"/>
      <c r="OGX19" s="289"/>
      <c r="OGY19" s="289"/>
      <c r="OGZ19" s="289"/>
      <c r="OHA19" s="289"/>
      <c r="OHB19" s="289"/>
      <c r="OHC19" s="289"/>
      <c r="OHD19" s="289"/>
      <c r="OHE19" s="289"/>
      <c r="OHF19" s="289"/>
      <c r="OHG19" s="289"/>
      <c r="OHH19" s="289"/>
      <c r="OHI19" s="289"/>
      <c r="OHJ19" s="289"/>
      <c r="OHK19" s="289"/>
      <c r="OHL19" s="289"/>
      <c r="OHM19" s="289"/>
      <c r="OHN19" s="289"/>
      <c r="OHO19" s="289"/>
      <c r="OHP19" s="289"/>
      <c r="OHQ19" s="289"/>
      <c r="OHR19" s="289"/>
      <c r="OHS19" s="289"/>
      <c r="OHT19" s="289"/>
      <c r="OHU19" s="289"/>
      <c r="OHV19" s="289"/>
      <c r="OHW19" s="289"/>
      <c r="OHX19" s="289"/>
      <c r="OHY19" s="289"/>
      <c r="OHZ19" s="289"/>
      <c r="OIA19" s="289"/>
      <c r="OIB19" s="289"/>
      <c r="OIC19" s="289"/>
      <c r="OID19" s="289"/>
      <c r="OIE19" s="289"/>
      <c r="OIF19" s="289"/>
      <c r="OIG19" s="289"/>
      <c r="OIH19" s="289"/>
      <c r="OII19" s="289"/>
      <c r="OIJ19" s="289"/>
      <c r="OIK19" s="289"/>
      <c r="OIL19" s="289"/>
      <c r="OIM19" s="289"/>
      <c r="OIN19" s="289"/>
      <c r="OIO19" s="289"/>
      <c r="OIP19" s="289"/>
      <c r="OIQ19" s="289"/>
      <c r="OIR19" s="289"/>
      <c r="OIS19" s="289"/>
      <c r="OIT19" s="289"/>
      <c r="OIU19" s="289"/>
      <c r="OIV19" s="289"/>
      <c r="OIW19" s="289"/>
      <c r="OIX19" s="289"/>
      <c r="OIY19" s="289"/>
      <c r="OIZ19" s="289"/>
      <c r="OJA19" s="289"/>
      <c r="OJB19" s="289"/>
      <c r="OJC19" s="289"/>
      <c r="OJD19" s="289"/>
      <c r="OJE19" s="289"/>
      <c r="OJF19" s="289"/>
      <c r="OJG19" s="289"/>
      <c r="OJH19" s="289"/>
      <c r="OJI19" s="289"/>
      <c r="OJJ19" s="289"/>
      <c r="OJK19" s="289"/>
      <c r="OJL19" s="289"/>
      <c r="OJM19" s="289"/>
      <c r="OJN19" s="289"/>
      <c r="OJO19" s="289"/>
      <c r="OJP19" s="289"/>
      <c r="OJQ19" s="289"/>
      <c r="OJR19" s="289"/>
      <c r="OJS19" s="289"/>
      <c r="OJT19" s="289"/>
      <c r="OJU19" s="289"/>
      <c r="OJV19" s="289"/>
      <c r="OJW19" s="289"/>
      <c r="OJX19" s="289"/>
      <c r="OJY19" s="289"/>
      <c r="OJZ19" s="289"/>
      <c r="OKA19" s="289"/>
      <c r="OKB19" s="289"/>
      <c r="OKC19" s="289"/>
      <c r="OKD19" s="289"/>
      <c r="OKE19" s="289"/>
      <c r="OKF19" s="289"/>
      <c r="OKG19" s="289"/>
      <c r="OKH19" s="289"/>
      <c r="OKI19" s="289"/>
      <c r="OKJ19" s="289"/>
      <c r="OKK19" s="289"/>
      <c r="OKL19" s="289"/>
      <c r="OKM19" s="289"/>
      <c r="OKN19" s="289"/>
      <c r="OKO19" s="289"/>
      <c r="OKP19" s="289"/>
      <c r="OKQ19" s="289"/>
      <c r="OKR19" s="289"/>
      <c r="OKS19" s="289"/>
      <c r="OKT19" s="289"/>
      <c r="OKU19" s="289"/>
      <c r="OKV19" s="289"/>
      <c r="OKW19" s="289"/>
      <c r="OKX19" s="289"/>
      <c r="OKY19" s="289"/>
      <c r="OKZ19" s="289"/>
      <c r="OLA19" s="289"/>
      <c r="OLB19" s="289"/>
      <c r="OLC19" s="289"/>
      <c r="OLD19" s="289"/>
      <c r="OLE19" s="289"/>
      <c r="OLF19" s="289"/>
      <c r="OLG19" s="289"/>
      <c r="OLH19" s="289"/>
      <c r="OLI19" s="289"/>
      <c r="OLJ19" s="289"/>
      <c r="OLK19" s="289"/>
      <c r="OLL19" s="289"/>
      <c r="OLM19" s="289"/>
      <c r="OLN19" s="289"/>
      <c r="OLO19" s="289"/>
      <c r="OLP19" s="289"/>
      <c r="OLQ19" s="289"/>
      <c r="OLR19" s="289"/>
      <c r="OLS19" s="289"/>
      <c r="OLT19" s="289"/>
      <c r="OLU19" s="289"/>
      <c r="OLV19" s="289"/>
      <c r="OLW19" s="289"/>
      <c r="OLX19" s="289"/>
      <c r="OLY19" s="289"/>
      <c r="OLZ19" s="289"/>
      <c r="OMA19" s="289"/>
      <c r="OMB19" s="289"/>
      <c r="OMC19" s="289"/>
      <c r="OMD19" s="289"/>
      <c r="OME19" s="289"/>
      <c r="OMF19" s="289"/>
      <c r="OMG19" s="289"/>
      <c r="OMH19" s="289"/>
      <c r="OMI19" s="289"/>
      <c r="OMJ19" s="289"/>
      <c r="OMK19" s="289"/>
      <c r="OML19" s="289"/>
      <c r="OMM19" s="289"/>
      <c r="OMN19" s="289"/>
      <c r="OMO19" s="289"/>
      <c r="OMP19" s="289"/>
      <c r="OMQ19" s="289"/>
      <c r="OMR19" s="289"/>
      <c r="OMS19" s="289"/>
      <c r="OMT19" s="289"/>
      <c r="OMU19" s="289"/>
      <c r="OMV19" s="289"/>
      <c r="OMW19" s="289"/>
      <c r="OMX19" s="289"/>
      <c r="OMY19" s="289"/>
      <c r="OMZ19" s="289"/>
      <c r="ONA19" s="289"/>
      <c r="ONB19" s="289"/>
      <c r="ONC19" s="289"/>
      <c r="OND19" s="289"/>
      <c r="ONE19" s="289"/>
      <c r="ONF19" s="289"/>
      <c r="ONG19" s="289"/>
      <c r="ONH19" s="289"/>
      <c r="ONI19" s="289"/>
      <c r="ONJ19" s="289"/>
      <c r="ONK19" s="289"/>
      <c r="ONL19" s="289"/>
      <c r="ONM19" s="289"/>
      <c r="ONN19" s="289"/>
      <c r="ONO19" s="289"/>
      <c r="ONP19" s="289"/>
      <c r="ONQ19" s="289"/>
      <c r="ONR19" s="289"/>
      <c r="ONS19" s="289"/>
      <c r="ONT19" s="289"/>
      <c r="ONU19" s="289"/>
      <c r="ONV19" s="289"/>
      <c r="ONW19" s="289"/>
      <c r="ONX19" s="289"/>
      <c r="ONY19" s="289"/>
      <c r="ONZ19" s="289"/>
      <c r="OOA19" s="289"/>
      <c r="OOB19" s="289"/>
      <c r="OOC19" s="289"/>
      <c r="OOD19" s="289"/>
      <c r="OOE19" s="289"/>
      <c r="OOF19" s="289"/>
      <c r="OOG19" s="289"/>
      <c r="OOH19" s="289"/>
      <c r="OOI19" s="289"/>
      <c r="OOJ19" s="289"/>
      <c r="OOK19" s="289"/>
      <c r="OOL19" s="289"/>
      <c r="OOM19" s="289"/>
      <c r="OON19" s="289"/>
      <c r="OOO19" s="289"/>
      <c r="OOP19" s="289"/>
      <c r="OOQ19" s="289"/>
      <c r="OOR19" s="289"/>
      <c r="OOS19" s="289"/>
      <c r="OOT19" s="289"/>
      <c r="OOU19" s="289"/>
      <c r="OOV19" s="289"/>
      <c r="OOW19" s="289"/>
      <c r="OOX19" s="289"/>
      <c r="OOY19" s="289"/>
      <c r="OOZ19" s="289"/>
      <c r="OPA19" s="289"/>
      <c r="OPB19" s="289"/>
      <c r="OPC19" s="289"/>
      <c r="OPD19" s="289"/>
      <c r="OPE19" s="289"/>
      <c r="OPF19" s="289"/>
      <c r="OPG19" s="289"/>
      <c r="OPH19" s="289"/>
      <c r="OPI19" s="289"/>
      <c r="OPJ19" s="289"/>
      <c r="OPK19" s="289"/>
      <c r="OPL19" s="289"/>
      <c r="OPM19" s="289"/>
      <c r="OPN19" s="289"/>
      <c r="OPO19" s="289"/>
      <c r="OPP19" s="289"/>
      <c r="OPQ19" s="289"/>
      <c r="OPR19" s="289"/>
      <c r="OPS19" s="289"/>
      <c r="OPT19" s="289"/>
      <c r="OPU19" s="289"/>
      <c r="OPV19" s="289"/>
      <c r="OPW19" s="289"/>
      <c r="OPX19" s="289"/>
      <c r="OPY19" s="289"/>
      <c r="OPZ19" s="289"/>
      <c r="OQA19" s="289"/>
      <c r="OQB19" s="289"/>
      <c r="OQC19" s="289"/>
      <c r="OQD19" s="289"/>
      <c r="OQE19" s="289"/>
      <c r="OQF19" s="289"/>
      <c r="OQG19" s="289"/>
      <c r="OQH19" s="289"/>
      <c r="OQI19" s="289"/>
      <c r="OQJ19" s="289"/>
      <c r="OQK19" s="289"/>
      <c r="OQL19" s="289"/>
      <c r="OQM19" s="289"/>
      <c r="OQN19" s="289"/>
      <c r="OQO19" s="289"/>
      <c r="OQP19" s="289"/>
      <c r="OQQ19" s="289"/>
      <c r="OQR19" s="289"/>
      <c r="OQS19" s="289"/>
      <c r="OQT19" s="289"/>
      <c r="OQU19" s="289"/>
      <c r="OQV19" s="289"/>
      <c r="OQW19" s="289"/>
      <c r="OQX19" s="289"/>
      <c r="OQY19" s="289"/>
      <c r="OQZ19" s="289"/>
      <c r="ORA19" s="289"/>
      <c r="ORB19" s="289"/>
      <c r="ORC19" s="289"/>
      <c r="ORD19" s="289"/>
      <c r="ORE19" s="289"/>
      <c r="ORF19" s="289"/>
      <c r="ORG19" s="289"/>
      <c r="ORH19" s="289"/>
      <c r="ORI19" s="289"/>
      <c r="ORJ19" s="289"/>
      <c r="ORK19" s="289"/>
      <c r="ORL19" s="289"/>
      <c r="ORM19" s="289"/>
      <c r="ORN19" s="289"/>
      <c r="ORO19" s="289"/>
      <c r="ORP19" s="289"/>
      <c r="ORQ19" s="289"/>
      <c r="ORR19" s="289"/>
      <c r="ORS19" s="289"/>
      <c r="ORT19" s="289"/>
      <c r="ORU19" s="289"/>
      <c r="ORV19" s="289"/>
      <c r="ORW19" s="289"/>
      <c r="ORX19" s="289"/>
      <c r="ORY19" s="289"/>
      <c r="ORZ19" s="289"/>
      <c r="OSA19" s="289"/>
      <c r="OSB19" s="289"/>
      <c r="OSC19" s="289"/>
      <c r="OSD19" s="289"/>
      <c r="OSE19" s="289"/>
      <c r="OSF19" s="289"/>
      <c r="OSG19" s="289"/>
      <c r="OSH19" s="289"/>
      <c r="OSI19" s="289"/>
      <c r="OSJ19" s="289"/>
      <c r="OSK19" s="289"/>
      <c r="OSL19" s="289"/>
      <c r="OSM19" s="289"/>
      <c r="OSN19" s="289"/>
      <c r="OSO19" s="289"/>
      <c r="OSP19" s="289"/>
      <c r="OSQ19" s="289"/>
      <c r="OSR19" s="289"/>
      <c r="OSS19" s="289"/>
      <c r="OST19" s="289"/>
      <c r="OSU19" s="289"/>
      <c r="OSV19" s="289"/>
      <c r="OSW19" s="289"/>
      <c r="OSX19" s="289"/>
      <c r="OSY19" s="289"/>
      <c r="OSZ19" s="289"/>
      <c r="OTA19" s="289"/>
      <c r="OTB19" s="289"/>
      <c r="OTC19" s="289"/>
      <c r="OTD19" s="289"/>
      <c r="OTE19" s="289"/>
      <c r="OTF19" s="289"/>
      <c r="OTG19" s="289"/>
      <c r="OTH19" s="289"/>
      <c r="OTI19" s="289"/>
      <c r="OTJ19" s="289"/>
      <c r="OTK19" s="289"/>
      <c r="OTL19" s="289"/>
      <c r="OTM19" s="289"/>
      <c r="OTN19" s="289"/>
      <c r="OTO19" s="289"/>
      <c r="OTP19" s="289"/>
      <c r="OTQ19" s="289"/>
      <c r="OTR19" s="289"/>
      <c r="OTS19" s="289"/>
      <c r="OTT19" s="289"/>
      <c r="OTU19" s="289"/>
      <c r="OTV19" s="289"/>
      <c r="OTW19" s="289"/>
      <c r="OTX19" s="289"/>
      <c r="OTY19" s="289"/>
      <c r="OTZ19" s="289"/>
      <c r="OUA19" s="289"/>
      <c r="OUB19" s="289"/>
      <c r="OUC19" s="289"/>
      <c r="OUD19" s="289"/>
      <c r="OUE19" s="289"/>
      <c r="OUF19" s="289"/>
      <c r="OUG19" s="289"/>
      <c r="OUH19" s="289"/>
      <c r="OUI19" s="289"/>
      <c r="OUJ19" s="289"/>
      <c r="OUK19" s="289"/>
      <c r="OUL19" s="289"/>
      <c r="OUM19" s="289"/>
      <c r="OUN19" s="289"/>
      <c r="OUO19" s="289"/>
      <c r="OUP19" s="289"/>
      <c r="OUQ19" s="289"/>
      <c r="OUR19" s="289"/>
      <c r="OUS19" s="289"/>
      <c r="OUT19" s="289"/>
      <c r="OUU19" s="289"/>
      <c r="OUV19" s="289"/>
      <c r="OUW19" s="289"/>
      <c r="OUX19" s="289"/>
      <c r="OUY19" s="289"/>
      <c r="OUZ19" s="289"/>
      <c r="OVA19" s="289"/>
      <c r="OVB19" s="289"/>
      <c r="OVC19" s="289"/>
      <c r="OVD19" s="289"/>
      <c r="OVE19" s="289"/>
      <c r="OVF19" s="289"/>
      <c r="OVG19" s="289"/>
      <c r="OVH19" s="289"/>
      <c r="OVI19" s="289"/>
      <c r="OVJ19" s="289"/>
      <c r="OVK19" s="289"/>
      <c r="OVL19" s="289"/>
      <c r="OVM19" s="289"/>
      <c r="OVN19" s="289"/>
      <c r="OVO19" s="289"/>
      <c r="OVP19" s="289"/>
      <c r="OVQ19" s="289"/>
      <c r="OVR19" s="289"/>
      <c r="OVS19" s="289"/>
      <c r="OVT19" s="289"/>
      <c r="OVU19" s="289"/>
      <c r="OVV19" s="289"/>
      <c r="OVW19" s="289"/>
      <c r="OVX19" s="289"/>
      <c r="OVY19" s="289"/>
      <c r="OVZ19" s="289"/>
      <c r="OWA19" s="289"/>
      <c r="OWB19" s="289"/>
      <c r="OWC19" s="289"/>
      <c r="OWD19" s="289"/>
      <c r="OWE19" s="289"/>
      <c r="OWF19" s="289"/>
      <c r="OWG19" s="289"/>
      <c r="OWH19" s="289"/>
      <c r="OWI19" s="289"/>
      <c r="OWJ19" s="289"/>
      <c r="OWK19" s="289"/>
      <c r="OWL19" s="289"/>
      <c r="OWM19" s="289"/>
      <c r="OWN19" s="289"/>
      <c r="OWO19" s="289"/>
      <c r="OWP19" s="289"/>
      <c r="OWQ19" s="289"/>
      <c r="OWR19" s="289"/>
      <c r="OWS19" s="289"/>
      <c r="OWT19" s="289"/>
      <c r="OWU19" s="289"/>
      <c r="OWV19" s="289"/>
      <c r="OWW19" s="289"/>
      <c r="OWX19" s="289"/>
      <c r="OWY19" s="289"/>
      <c r="OWZ19" s="289"/>
      <c r="OXA19" s="289"/>
      <c r="OXB19" s="289"/>
      <c r="OXC19" s="289"/>
      <c r="OXD19" s="289"/>
      <c r="OXE19" s="289"/>
      <c r="OXF19" s="289"/>
      <c r="OXG19" s="289"/>
      <c r="OXH19" s="289"/>
      <c r="OXI19" s="289"/>
      <c r="OXJ19" s="289"/>
      <c r="OXK19" s="289"/>
      <c r="OXL19" s="289"/>
      <c r="OXM19" s="289"/>
      <c r="OXN19" s="289"/>
      <c r="OXO19" s="289"/>
      <c r="OXP19" s="289"/>
      <c r="OXQ19" s="289"/>
      <c r="OXR19" s="289"/>
      <c r="OXS19" s="289"/>
      <c r="OXT19" s="289"/>
      <c r="OXU19" s="289"/>
      <c r="OXV19" s="289"/>
      <c r="OXW19" s="289"/>
      <c r="OXX19" s="289"/>
      <c r="OXY19" s="289"/>
      <c r="OXZ19" s="289"/>
      <c r="OYA19" s="289"/>
      <c r="OYB19" s="289"/>
      <c r="OYC19" s="289"/>
      <c r="OYD19" s="289"/>
      <c r="OYE19" s="289"/>
      <c r="OYF19" s="289"/>
      <c r="OYG19" s="289"/>
      <c r="OYH19" s="289"/>
      <c r="OYI19" s="289"/>
      <c r="OYJ19" s="289"/>
      <c r="OYK19" s="289"/>
      <c r="OYL19" s="289"/>
      <c r="OYM19" s="289"/>
      <c r="OYN19" s="289"/>
      <c r="OYO19" s="289"/>
      <c r="OYP19" s="289"/>
      <c r="OYQ19" s="289"/>
      <c r="OYR19" s="289"/>
      <c r="OYS19" s="289"/>
      <c r="OYT19" s="289"/>
      <c r="OYU19" s="289"/>
      <c r="OYV19" s="289"/>
      <c r="OYW19" s="289"/>
      <c r="OYX19" s="289"/>
      <c r="OYY19" s="289"/>
      <c r="OYZ19" s="289"/>
      <c r="OZA19" s="289"/>
      <c r="OZB19" s="289"/>
      <c r="OZC19" s="289"/>
      <c r="OZD19" s="289"/>
      <c r="OZE19" s="289"/>
      <c r="OZF19" s="289"/>
      <c r="OZG19" s="289"/>
      <c r="OZH19" s="289"/>
      <c r="OZI19" s="289"/>
      <c r="OZJ19" s="289"/>
      <c r="OZK19" s="289"/>
      <c r="OZL19" s="289"/>
      <c r="OZM19" s="289"/>
      <c r="OZN19" s="289"/>
      <c r="OZO19" s="289"/>
      <c r="OZP19" s="289"/>
      <c r="OZQ19" s="289"/>
      <c r="OZR19" s="289"/>
      <c r="OZS19" s="289"/>
      <c r="OZT19" s="289"/>
      <c r="OZU19" s="289"/>
      <c r="OZV19" s="289"/>
      <c r="OZW19" s="289"/>
      <c r="OZX19" s="289"/>
      <c r="OZY19" s="289"/>
      <c r="OZZ19" s="289"/>
      <c r="PAA19" s="289"/>
      <c r="PAB19" s="289"/>
      <c r="PAC19" s="289"/>
      <c r="PAD19" s="289"/>
      <c r="PAE19" s="289"/>
      <c r="PAF19" s="289"/>
      <c r="PAG19" s="289"/>
      <c r="PAH19" s="289"/>
      <c r="PAI19" s="289"/>
      <c r="PAJ19" s="289"/>
      <c r="PAK19" s="289"/>
      <c r="PAL19" s="289"/>
      <c r="PAM19" s="289"/>
      <c r="PAN19" s="289"/>
      <c r="PAO19" s="289"/>
      <c r="PAP19" s="289"/>
      <c r="PAQ19" s="289"/>
      <c r="PAR19" s="289"/>
      <c r="PAS19" s="289"/>
      <c r="PAT19" s="289"/>
      <c r="PAU19" s="289"/>
      <c r="PAV19" s="289"/>
      <c r="PAW19" s="289"/>
      <c r="PAX19" s="289"/>
      <c r="PAY19" s="289"/>
      <c r="PAZ19" s="289"/>
      <c r="PBA19" s="289"/>
      <c r="PBB19" s="289"/>
      <c r="PBC19" s="289"/>
      <c r="PBD19" s="289"/>
      <c r="PBE19" s="289"/>
      <c r="PBF19" s="289"/>
      <c r="PBG19" s="289"/>
      <c r="PBH19" s="289"/>
      <c r="PBI19" s="289"/>
      <c r="PBJ19" s="289"/>
      <c r="PBK19" s="289"/>
      <c r="PBL19" s="289"/>
      <c r="PBM19" s="289"/>
      <c r="PBN19" s="289"/>
      <c r="PBO19" s="289"/>
      <c r="PBP19" s="289"/>
      <c r="PBQ19" s="289"/>
      <c r="PBR19" s="289"/>
      <c r="PBS19" s="289"/>
      <c r="PBT19" s="289"/>
      <c r="PBU19" s="289"/>
      <c r="PBV19" s="289"/>
      <c r="PBW19" s="289"/>
      <c r="PBX19" s="289"/>
      <c r="PBY19" s="289"/>
      <c r="PBZ19" s="289"/>
      <c r="PCA19" s="289"/>
      <c r="PCB19" s="289"/>
      <c r="PCC19" s="289"/>
      <c r="PCD19" s="289"/>
      <c r="PCE19" s="289"/>
      <c r="PCF19" s="289"/>
      <c r="PCG19" s="289"/>
      <c r="PCH19" s="289"/>
      <c r="PCI19" s="289"/>
      <c r="PCJ19" s="289"/>
      <c r="PCK19" s="289"/>
      <c r="PCL19" s="289"/>
      <c r="PCM19" s="289"/>
      <c r="PCN19" s="289"/>
      <c r="PCO19" s="289"/>
      <c r="PCP19" s="289"/>
      <c r="PCQ19" s="289"/>
      <c r="PCR19" s="289"/>
      <c r="PCS19" s="289"/>
      <c r="PCT19" s="289"/>
      <c r="PCU19" s="289"/>
      <c r="PCV19" s="289"/>
      <c r="PCW19" s="289"/>
      <c r="PCX19" s="289"/>
      <c r="PCY19" s="289"/>
      <c r="PCZ19" s="289"/>
      <c r="PDA19" s="289"/>
      <c r="PDB19" s="289"/>
      <c r="PDC19" s="289"/>
      <c r="PDD19" s="289"/>
      <c r="PDE19" s="289"/>
      <c r="PDF19" s="289"/>
      <c r="PDG19" s="289"/>
      <c r="PDH19" s="289"/>
      <c r="PDI19" s="289"/>
      <c r="PDJ19" s="289"/>
      <c r="PDK19" s="289"/>
      <c r="PDL19" s="289"/>
      <c r="PDM19" s="289"/>
      <c r="PDN19" s="289"/>
      <c r="PDO19" s="289"/>
      <c r="PDP19" s="289"/>
      <c r="PDQ19" s="289"/>
      <c r="PDR19" s="289"/>
      <c r="PDS19" s="289"/>
      <c r="PDT19" s="289"/>
      <c r="PDU19" s="289"/>
      <c r="PDV19" s="289"/>
      <c r="PDW19" s="289"/>
      <c r="PDX19" s="289"/>
      <c r="PDY19" s="289"/>
      <c r="PDZ19" s="289"/>
      <c r="PEA19" s="289"/>
      <c r="PEB19" s="289"/>
      <c r="PEC19" s="289"/>
      <c r="PED19" s="289"/>
      <c r="PEE19" s="289"/>
      <c r="PEF19" s="289"/>
      <c r="PEG19" s="289"/>
      <c r="PEH19" s="289"/>
      <c r="PEI19" s="289"/>
      <c r="PEJ19" s="289"/>
      <c r="PEK19" s="289"/>
      <c r="PEL19" s="289"/>
      <c r="PEM19" s="289"/>
      <c r="PEN19" s="289"/>
      <c r="PEO19" s="289"/>
      <c r="PEP19" s="289"/>
      <c r="PEQ19" s="289"/>
      <c r="PER19" s="289"/>
      <c r="PES19" s="289"/>
      <c r="PET19" s="289"/>
      <c r="PEU19" s="289"/>
      <c r="PEV19" s="289"/>
      <c r="PEW19" s="289"/>
      <c r="PEX19" s="289"/>
      <c r="PEY19" s="289"/>
      <c r="PEZ19" s="289"/>
      <c r="PFA19" s="289"/>
      <c r="PFB19" s="289"/>
      <c r="PFC19" s="289"/>
      <c r="PFD19" s="289"/>
      <c r="PFE19" s="289"/>
      <c r="PFF19" s="289"/>
      <c r="PFG19" s="289"/>
      <c r="PFH19" s="289"/>
      <c r="PFI19" s="289"/>
      <c r="PFJ19" s="289"/>
      <c r="PFK19" s="289"/>
      <c r="PFL19" s="289"/>
      <c r="PFM19" s="289"/>
      <c r="PFN19" s="289"/>
      <c r="PFO19" s="289"/>
      <c r="PFP19" s="289"/>
      <c r="PFQ19" s="289"/>
      <c r="PFR19" s="289"/>
      <c r="PFS19" s="289"/>
      <c r="PFT19" s="289"/>
      <c r="PFU19" s="289"/>
      <c r="PFV19" s="289"/>
      <c r="PFW19" s="289"/>
      <c r="PFX19" s="289"/>
      <c r="PFY19" s="289"/>
      <c r="PFZ19" s="289"/>
      <c r="PGA19" s="289"/>
      <c r="PGB19" s="289"/>
      <c r="PGC19" s="289"/>
      <c r="PGD19" s="289"/>
      <c r="PGE19" s="289"/>
      <c r="PGF19" s="289"/>
      <c r="PGG19" s="289"/>
      <c r="PGH19" s="289"/>
      <c r="PGI19" s="289"/>
      <c r="PGJ19" s="289"/>
      <c r="PGK19" s="289"/>
      <c r="PGL19" s="289"/>
      <c r="PGM19" s="289"/>
      <c r="PGN19" s="289"/>
      <c r="PGO19" s="289"/>
      <c r="PGP19" s="289"/>
      <c r="PGQ19" s="289"/>
      <c r="PGR19" s="289"/>
      <c r="PGS19" s="289"/>
      <c r="PGT19" s="289"/>
      <c r="PGU19" s="289"/>
      <c r="PGV19" s="289"/>
      <c r="PGW19" s="289"/>
      <c r="PGX19" s="289"/>
      <c r="PGY19" s="289"/>
      <c r="PGZ19" s="289"/>
      <c r="PHA19" s="289"/>
      <c r="PHB19" s="289"/>
      <c r="PHC19" s="289"/>
      <c r="PHD19" s="289"/>
      <c r="PHE19" s="289"/>
      <c r="PHF19" s="289"/>
      <c r="PHG19" s="289"/>
      <c r="PHH19" s="289"/>
      <c r="PHI19" s="289"/>
      <c r="PHJ19" s="289"/>
      <c r="PHK19" s="289"/>
      <c r="PHL19" s="289"/>
      <c r="PHM19" s="289"/>
      <c r="PHN19" s="289"/>
      <c r="PHO19" s="289"/>
      <c r="PHP19" s="289"/>
      <c r="PHQ19" s="289"/>
      <c r="PHR19" s="289"/>
      <c r="PHS19" s="289"/>
      <c r="PHT19" s="289"/>
      <c r="PHU19" s="289"/>
      <c r="PHV19" s="289"/>
      <c r="PHW19" s="289"/>
      <c r="PHX19" s="289"/>
      <c r="PHY19" s="289"/>
      <c r="PHZ19" s="289"/>
      <c r="PIA19" s="289"/>
      <c r="PIB19" s="289"/>
      <c r="PIC19" s="289"/>
      <c r="PID19" s="289"/>
      <c r="PIE19" s="289"/>
      <c r="PIF19" s="289"/>
      <c r="PIG19" s="289"/>
      <c r="PIH19" s="289"/>
      <c r="PII19" s="289"/>
      <c r="PIJ19" s="289"/>
      <c r="PIK19" s="289"/>
      <c r="PIL19" s="289"/>
      <c r="PIM19" s="289"/>
      <c r="PIN19" s="289"/>
      <c r="PIO19" s="289"/>
      <c r="PIP19" s="289"/>
      <c r="PIQ19" s="289"/>
      <c r="PIR19" s="289"/>
      <c r="PIS19" s="289"/>
      <c r="PIT19" s="289"/>
      <c r="PIU19" s="289"/>
      <c r="PIV19" s="289"/>
      <c r="PIW19" s="289"/>
      <c r="PIX19" s="289"/>
      <c r="PIY19" s="289"/>
      <c r="PIZ19" s="289"/>
      <c r="PJA19" s="289"/>
      <c r="PJB19" s="289"/>
      <c r="PJC19" s="289"/>
      <c r="PJD19" s="289"/>
      <c r="PJE19" s="289"/>
      <c r="PJF19" s="289"/>
      <c r="PJG19" s="289"/>
      <c r="PJH19" s="289"/>
      <c r="PJI19" s="289"/>
      <c r="PJJ19" s="289"/>
      <c r="PJK19" s="289"/>
      <c r="PJL19" s="289"/>
      <c r="PJM19" s="289"/>
      <c r="PJN19" s="289"/>
      <c r="PJO19" s="289"/>
      <c r="PJP19" s="289"/>
      <c r="PJQ19" s="289"/>
      <c r="PJR19" s="289"/>
      <c r="PJS19" s="289"/>
      <c r="PJT19" s="289"/>
      <c r="PJU19" s="289"/>
      <c r="PJV19" s="289"/>
      <c r="PJW19" s="289"/>
      <c r="PJX19" s="289"/>
      <c r="PJY19" s="289"/>
      <c r="PJZ19" s="289"/>
      <c r="PKA19" s="289"/>
      <c r="PKB19" s="289"/>
      <c r="PKC19" s="289"/>
      <c r="PKD19" s="289"/>
      <c r="PKE19" s="289"/>
      <c r="PKF19" s="289"/>
      <c r="PKG19" s="289"/>
      <c r="PKH19" s="289"/>
      <c r="PKI19" s="289"/>
      <c r="PKJ19" s="289"/>
      <c r="PKK19" s="289"/>
      <c r="PKL19" s="289"/>
      <c r="PKM19" s="289"/>
      <c r="PKN19" s="289"/>
      <c r="PKO19" s="289"/>
      <c r="PKP19" s="289"/>
      <c r="PKQ19" s="289"/>
      <c r="PKR19" s="289"/>
      <c r="PKS19" s="289"/>
      <c r="PKT19" s="289"/>
      <c r="PKU19" s="289"/>
      <c r="PKV19" s="289"/>
      <c r="PKW19" s="289"/>
      <c r="PKX19" s="289"/>
      <c r="PKY19" s="289"/>
      <c r="PKZ19" s="289"/>
      <c r="PLA19" s="289"/>
      <c r="PLB19" s="289"/>
      <c r="PLC19" s="289"/>
      <c r="PLD19" s="289"/>
      <c r="PLE19" s="289"/>
      <c r="PLF19" s="289"/>
      <c r="PLG19" s="289"/>
      <c r="PLH19" s="289"/>
      <c r="PLI19" s="289"/>
      <c r="PLJ19" s="289"/>
      <c r="PLK19" s="289"/>
      <c r="PLL19" s="289"/>
      <c r="PLM19" s="289"/>
      <c r="PLN19" s="289"/>
      <c r="PLO19" s="289"/>
      <c r="PLP19" s="289"/>
      <c r="PLQ19" s="289"/>
      <c r="PLR19" s="289"/>
      <c r="PLS19" s="289"/>
      <c r="PLT19" s="289"/>
      <c r="PLU19" s="289"/>
      <c r="PLV19" s="289"/>
      <c r="PLW19" s="289"/>
      <c r="PLX19" s="289"/>
      <c r="PLY19" s="289"/>
      <c r="PLZ19" s="289"/>
      <c r="PMA19" s="289"/>
      <c r="PMB19" s="289"/>
      <c r="PMC19" s="289"/>
      <c r="PMD19" s="289"/>
      <c r="PME19" s="289"/>
      <c r="PMF19" s="289"/>
      <c r="PMG19" s="289"/>
      <c r="PMH19" s="289"/>
      <c r="PMI19" s="289"/>
      <c r="PMJ19" s="289"/>
      <c r="PMK19" s="289"/>
      <c r="PML19" s="289"/>
      <c r="PMM19" s="289"/>
      <c r="PMN19" s="289"/>
      <c r="PMO19" s="289"/>
      <c r="PMP19" s="289"/>
      <c r="PMQ19" s="289"/>
      <c r="PMR19" s="289"/>
      <c r="PMS19" s="289"/>
      <c r="PMT19" s="289"/>
      <c r="PMU19" s="289"/>
      <c r="PMV19" s="289"/>
      <c r="PMW19" s="289"/>
      <c r="PMX19" s="289"/>
      <c r="PMY19" s="289"/>
      <c r="PMZ19" s="289"/>
      <c r="PNA19" s="289"/>
      <c r="PNB19" s="289"/>
      <c r="PNC19" s="289"/>
      <c r="PND19" s="289"/>
      <c r="PNE19" s="289"/>
      <c r="PNF19" s="289"/>
      <c r="PNG19" s="289"/>
      <c r="PNH19" s="289"/>
      <c r="PNI19" s="289"/>
      <c r="PNJ19" s="289"/>
      <c r="PNK19" s="289"/>
      <c r="PNL19" s="289"/>
      <c r="PNM19" s="289"/>
      <c r="PNN19" s="289"/>
      <c r="PNO19" s="289"/>
      <c r="PNP19" s="289"/>
      <c r="PNQ19" s="289"/>
      <c r="PNR19" s="289"/>
      <c r="PNS19" s="289"/>
      <c r="PNT19" s="289"/>
      <c r="PNU19" s="289"/>
      <c r="PNV19" s="289"/>
      <c r="PNW19" s="289"/>
      <c r="PNX19" s="289"/>
      <c r="PNY19" s="289"/>
      <c r="PNZ19" s="289"/>
      <c r="POA19" s="289"/>
      <c r="POB19" s="289"/>
      <c r="POC19" s="289"/>
      <c r="POD19" s="289"/>
      <c r="POE19" s="289"/>
      <c r="POF19" s="289"/>
      <c r="POG19" s="289"/>
      <c r="POH19" s="289"/>
      <c r="POI19" s="289"/>
      <c r="POJ19" s="289"/>
      <c r="POK19" s="289"/>
      <c r="POL19" s="289"/>
      <c r="POM19" s="289"/>
      <c r="PON19" s="289"/>
      <c r="POO19" s="289"/>
      <c r="POP19" s="289"/>
      <c r="POQ19" s="289"/>
      <c r="POR19" s="289"/>
      <c r="POS19" s="289"/>
      <c r="POT19" s="289"/>
      <c r="POU19" s="289"/>
      <c r="POV19" s="289"/>
      <c r="POW19" s="289"/>
      <c r="POX19" s="289"/>
      <c r="POY19" s="289"/>
      <c r="POZ19" s="289"/>
      <c r="PPA19" s="289"/>
      <c r="PPB19" s="289"/>
      <c r="PPC19" s="289"/>
      <c r="PPD19" s="289"/>
      <c r="PPE19" s="289"/>
      <c r="PPF19" s="289"/>
      <c r="PPG19" s="289"/>
      <c r="PPH19" s="289"/>
      <c r="PPI19" s="289"/>
      <c r="PPJ19" s="289"/>
      <c r="PPK19" s="289"/>
      <c r="PPL19" s="289"/>
      <c r="PPM19" s="289"/>
      <c r="PPN19" s="289"/>
      <c r="PPO19" s="289"/>
      <c r="PPP19" s="289"/>
      <c r="PPQ19" s="289"/>
      <c r="PPR19" s="289"/>
      <c r="PPS19" s="289"/>
      <c r="PPT19" s="289"/>
      <c r="PPU19" s="289"/>
      <c r="PPV19" s="289"/>
      <c r="PPW19" s="289"/>
      <c r="PPX19" s="289"/>
      <c r="PPY19" s="289"/>
      <c r="PPZ19" s="289"/>
      <c r="PQA19" s="289"/>
      <c r="PQB19" s="289"/>
      <c r="PQC19" s="289"/>
      <c r="PQD19" s="289"/>
      <c r="PQE19" s="289"/>
      <c r="PQF19" s="289"/>
      <c r="PQG19" s="289"/>
      <c r="PQH19" s="289"/>
      <c r="PQI19" s="289"/>
      <c r="PQJ19" s="289"/>
      <c r="PQK19" s="289"/>
      <c r="PQL19" s="289"/>
      <c r="PQM19" s="289"/>
      <c r="PQN19" s="289"/>
      <c r="PQO19" s="289"/>
      <c r="PQP19" s="289"/>
      <c r="PQQ19" s="289"/>
      <c r="PQR19" s="289"/>
      <c r="PQS19" s="289"/>
      <c r="PQT19" s="289"/>
      <c r="PQU19" s="289"/>
      <c r="PQV19" s="289"/>
      <c r="PQW19" s="289"/>
      <c r="PQX19" s="289"/>
      <c r="PQY19" s="289"/>
      <c r="PQZ19" s="289"/>
      <c r="PRA19" s="289"/>
      <c r="PRB19" s="289"/>
      <c r="PRC19" s="289"/>
      <c r="PRD19" s="289"/>
      <c r="PRE19" s="289"/>
      <c r="PRF19" s="289"/>
      <c r="PRG19" s="289"/>
      <c r="PRH19" s="289"/>
      <c r="PRI19" s="289"/>
      <c r="PRJ19" s="289"/>
      <c r="PRK19" s="289"/>
      <c r="PRL19" s="289"/>
      <c r="PRM19" s="289"/>
      <c r="PRN19" s="289"/>
      <c r="PRO19" s="289"/>
      <c r="PRP19" s="289"/>
      <c r="PRQ19" s="289"/>
      <c r="PRR19" s="289"/>
      <c r="PRS19" s="289"/>
      <c r="PRT19" s="289"/>
      <c r="PRU19" s="289"/>
      <c r="PRV19" s="289"/>
      <c r="PRW19" s="289"/>
      <c r="PRX19" s="289"/>
      <c r="PRY19" s="289"/>
      <c r="PRZ19" s="289"/>
      <c r="PSA19" s="289"/>
      <c r="PSB19" s="289"/>
      <c r="PSC19" s="289"/>
      <c r="PSD19" s="289"/>
      <c r="PSE19" s="289"/>
      <c r="PSF19" s="289"/>
      <c r="PSG19" s="289"/>
      <c r="PSH19" s="289"/>
      <c r="PSI19" s="289"/>
      <c r="PSJ19" s="289"/>
      <c r="PSK19" s="289"/>
      <c r="PSL19" s="289"/>
      <c r="PSM19" s="289"/>
      <c r="PSN19" s="289"/>
      <c r="PSO19" s="289"/>
      <c r="PSP19" s="289"/>
      <c r="PSQ19" s="289"/>
      <c r="PSR19" s="289"/>
      <c r="PSS19" s="289"/>
      <c r="PST19" s="289"/>
      <c r="PSU19" s="289"/>
      <c r="PSV19" s="289"/>
      <c r="PSW19" s="289"/>
      <c r="PSX19" s="289"/>
      <c r="PSY19" s="289"/>
      <c r="PSZ19" s="289"/>
      <c r="PTA19" s="289"/>
      <c r="PTB19" s="289"/>
      <c r="PTC19" s="289"/>
      <c r="PTD19" s="289"/>
      <c r="PTE19" s="289"/>
      <c r="PTF19" s="289"/>
      <c r="PTG19" s="289"/>
      <c r="PTH19" s="289"/>
      <c r="PTI19" s="289"/>
      <c r="PTJ19" s="289"/>
      <c r="PTK19" s="289"/>
      <c r="PTL19" s="289"/>
      <c r="PTM19" s="289"/>
      <c r="PTN19" s="289"/>
      <c r="PTO19" s="289"/>
      <c r="PTP19" s="289"/>
      <c r="PTQ19" s="289"/>
      <c r="PTR19" s="289"/>
      <c r="PTS19" s="289"/>
      <c r="PTT19" s="289"/>
      <c r="PTU19" s="289"/>
      <c r="PTV19" s="289"/>
      <c r="PTW19" s="289"/>
      <c r="PTX19" s="289"/>
      <c r="PTY19" s="289"/>
      <c r="PTZ19" s="289"/>
      <c r="PUA19" s="289"/>
      <c r="PUB19" s="289"/>
      <c r="PUC19" s="289"/>
      <c r="PUD19" s="289"/>
      <c r="PUE19" s="289"/>
      <c r="PUF19" s="289"/>
      <c r="PUG19" s="289"/>
      <c r="PUH19" s="289"/>
      <c r="PUI19" s="289"/>
      <c r="PUJ19" s="289"/>
      <c r="PUK19" s="289"/>
      <c r="PUL19" s="289"/>
      <c r="PUM19" s="289"/>
      <c r="PUN19" s="289"/>
      <c r="PUO19" s="289"/>
      <c r="PUP19" s="289"/>
      <c r="PUQ19" s="289"/>
      <c r="PUR19" s="289"/>
      <c r="PUS19" s="289"/>
      <c r="PUT19" s="289"/>
      <c r="PUU19" s="289"/>
      <c r="PUV19" s="289"/>
      <c r="PUW19" s="289"/>
      <c r="PUX19" s="289"/>
      <c r="PUY19" s="289"/>
      <c r="PUZ19" s="289"/>
      <c r="PVA19" s="289"/>
      <c r="PVB19" s="289"/>
      <c r="PVC19" s="289"/>
      <c r="PVD19" s="289"/>
      <c r="PVE19" s="289"/>
      <c r="PVF19" s="289"/>
      <c r="PVG19" s="289"/>
      <c r="PVH19" s="289"/>
      <c r="PVI19" s="289"/>
      <c r="PVJ19" s="289"/>
      <c r="PVK19" s="289"/>
      <c r="PVL19" s="289"/>
      <c r="PVM19" s="289"/>
      <c r="PVN19" s="289"/>
      <c r="PVO19" s="289"/>
      <c r="PVP19" s="289"/>
      <c r="PVQ19" s="289"/>
      <c r="PVR19" s="289"/>
      <c r="PVS19" s="289"/>
      <c r="PVT19" s="289"/>
      <c r="PVU19" s="289"/>
      <c r="PVV19" s="289"/>
      <c r="PVW19" s="289"/>
      <c r="PVX19" s="289"/>
      <c r="PVY19" s="289"/>
      <c r="PVZ19" s="289"/>
      <c r="PWA19" s="289"/>
      <c r="PWB19" s="289"/>
      <c r="PWC19" s="289"/>
      <c r="PWD19" s="289"/>
      <c r="PWE19" s="289"/>
      <c r="PWF19" s="289"/>
      <c r="PWG19" s="289"/>
      <c r="PWH19" s="289"/>
      <c r="PWI19" s="289"/>
      <c r="PWJ19" s="289"/>
      <c r="PWK19" s="289"/>
      <c r="PWL19" s="289"/>
      <c r="PWM19" s="289"/>
      <c r="PWN19" s="289"/>
      <c r="PWO19" s="289"/>
      <c r="PWP19" s="289"/>
      <c r="PWQ19" s="289"/>
      <c r="PWR19" s="289"/>
      <c r="PWS19" s="289"/>
      <c r="PWT19" s="289"/>
      <c r="PWU19" s="289"/>
      <c r="PWV19" s="289"/>
      <c r="PWW19" s="289"/>
      <c r="PWX19" s="289"/>
      <c r="PWY19" s="289"/>
      <c r="PWZ19" s="289"/>
      <c r="PXA19" s="289"/>
      <c r="PXB19" s="289"/>
      <c r="PXC19" s="289"/>
      <c r="PXD19" s="289"/>
      <c r="PXE19" s="289"/>
      <c r="PXF19" s="289"/>
      <c r="PXG19" s="289"/>
      <c r="PXH19" s="289"/>
      <c r="PXI19" s="289"/>
      <c r="PXJ19" s="289"/>
      <c r="PXK19" s="289"/>
      <c r="PXL19" s="289"/>
      <c r="PXM19" s="289"/>
      <c r="PXN19" s="289"/>
      <c r="PXO19" s="289"/>
      <c r="PXP19" s="289"/>
      <c r="PXQ19" s="289"/>
      <c r="PXR19" s="289"/>
      <c r="PXS19" s="289"/>
      <c r="PXT19" s="289"/>
      <c r="PXU19" s="289"/>
      <c r="PXV19" s="289"/>
      <c r="PXW19" s="289"/>
      <c r="PXX19" s="289"/>
      <c r="PXY19" s="289"/>
      <c r="PXZ19" s="289"/>
      <c r="PYA19" s="289"/>
      <c r="PYB19" s="289"/>
      <c r="PYC19" s="289"/>
      <c r="PYD19" s="289"/>
      <c r="PYE19" s="289"/>
      <c r="PYF19" s="289"/>
      <c r="PYG19" s="289"/>
      <c r="PYH19" s="289"/>
      <c r="PYI19" s="289"/>
      <c r="PYJ19" s="289"/>
      <c r="PYK19" s="289"/>
      <c r="PYL19" s="289"/>
      <c r="PYM19" s="289"/>
      <c r="PYN19" s="289"/>
      <c r="PYO19" s="289"/>
      <c r="PYP19" s="289"/>
      <c r="PYQ19" s="289"/>
      <c r="PYR19" s="289"/>
      <c r="PYS19" s="289"/>
      <c r="PYT19" s="289"/>
      <c r="PYU19" s="289"/>
      <c r="PYV19" s="289"/>
      <c r="PYW19" s="289"/>
      <c r="PYX19" s="289"/>
      <c r="PYY19" s="289"/>
      <c r="PYZ19" s="289"/>
      <c r="PZA19" s="289"/>
      <c r="PZB19" s="289"/>
      <c r="PZC19" s="289"/>
      <c r="PZD19" s="289"/>
      <c r="PZE19" s="289"/>
      <c r="PZF19" s="289"/>
      <c r="PZG19" s="289"/>
      <c r="PZH19" s="289"/>
      <c r="PZI19" s="289"/>
      <c r="PZJ19" s="289"/>
      <c r="PZK19" s="289"/>
      <c r="PZL19" s="289"/>
      <c r="PZM19" s="289"/>
      <c r="PZN19" s="289"/>
      <c r="PZO19" s="289"/>
      <c r="PZP19" s="289"/>
      <c r="PZQ19" s="289"/>
      <c r="PZR19" s="289"/>
      <c r="PZS19" s="289"/>
      <c r="PZT19" s="289"/>
      <c r="PZU19" s="289"/>
      <c r="PZV19" s="289"/>
      <c r="PZW19" s="289"/>
      <c r="PZX19" s="289"/>
      <c r="PZY19" s="289"/>
      <c r="PZZ19" s="289"/>
      <c r="QAA19" s="289"/>
      <c r="QAB19" s="289"/>
      <c r="QAC19" s="289"/>
      <c r="QAD19" s="289"/>
      <c r="QAE19" s="289"/>
      <c r="QAF19" s="289"/>
      <c r="QAG19" s="289"/>
      <c r="QAH19" s="289"/>
      <c r="QAI19" s="289"/>
      <c r="QAJ19" s="289"/>
      <c r="QAK19" s="289"/>
      <c r="QAL19" s="289"/>
      <c r="QAM19" s="289"/>
      <c r="QAN19" s="289"/>
      <c r="QAO19" s="289"/>
      <c r="QAP19" s="289"/>
      <c r="QAQ19" s="289"/>
      <c r="QAR19" s="289"/>
      <c r="QAS19" s="289"/>
      <c r="QAT19" s="289"/>
      <c r="QAU19" s="289"/>
      <c r="QAV19" s="289"/>
      <c r="QAW19" s="289"/>
      <c r="QAX19" s="289"/>
      <c r="QAY19" s="289"/>
      <c r="QAZ19" s="289"/>
      <c r="QBA19" s="289"/>
      <c r="QBB19" s="289"/>
      <c r="QBC19" s="289"/>
      <c r="QBD19" s="289"/>
      <c r="QBE19" s="289"/>
      <c r="QBF19" s="289"/>
      <c r="QBG19" s="289"/>
      <c r="QBH19" s="289"/>
      <c r="QBI19" s="289"/>
      <c r="QBJ19" s="289"/>
      <c r="QBK19" s="289"/>
      <c r="QBL19" s="289"/>
      <c r="QBM19" s="289"/>
      <c r="QBN19" s="289"/>
      <c r="QBO19" s="289"/>
      <c r="QBP19" s="289"/>
      <c r="QBQ19" s="289"/>
      <c r="QBR19" s="289"/>
      <c r="QBS19" s="289"/>
      <c r="QBT19" s="289"/>
      <c r="QBU19" s="289"/>
      <c r="QBV19" s="289"/>
      <c r="QBW19" s="289"/>
      <c r="QBX19" s="289"/>
      <c r="QBY19" s="289"/>
      <c r="QBZ19" s="289"/>
      <c r="QCA19" s="289"/>
      <c r="QCB19" s="289"/>
      <c r="QCC19" s="289"/>
      <c r="QCD19" s="289"/>
      <c r="QCE19" s="289"/>
      <c r="QCF19" s="289"/>
      <c r="QCG19" s="289"/>
      <c r="QCH19" s="289"/>
      <c r="QCI19" s="289"/>
      <c r="QCJ19" s="289"/>
      <c r="QCK19" s="289"/>
      <c r="QCL19" s="289"/>
      <c r="QCM19" s="289"/>
      <c r="QCN19" s="289"/>
      <c r="QCO19" s="289"/>
      <c r="QCP19" s="289"/>
      <c r="QCQ19" s="289"/>
      <c r="QCR19" s="289"/>
      <c r="QCS19" s="289"/>
      <c r="QCT19" s="289"/>
      <c r="QCU19" s="289"/>
      <c r="QCV19" s="289"/>
      <c r="QCW19" s="289"/>
      <c r="QCX19" s="289"/>
      <c r="QCY19" s="289"/>
      <c r="QCZ19" s="289"/>
      <c r="QDA19" s="289"/>
      <c r="QDB19" s="289"/>
      <c r="QDC19" s="289"/>
      <c r="QDD19" s="289"/>
      <c r="QDE19" s="289"/>
      <c r="QDF19" s="289"/>
      <c r="QDG19" s="289"/>
      <c r="QDH19" s="289"/>
      <c r="QDI19" s="289"/>
      <c r="QDJ19" s="289"/>
      <c r="QDK19" s="289"/>
      <c r="QDL19" s="289"/>
      <c r="QDM19" s="289"/>
      <c r="QDN19" s="289"/>
      <c r="QDO19" s="289"/>
      <c r="QDP19" s="289"/>
      <c r="QDQ19" s="289"/>
      <c r="QDR19" s="289"/>
      <c r="QDS19" s="289"/>
      <c r="QDT19" s="289"/>
      <c r="QDU19" s="289"/>
      <c r="QDV19" s="289"/>
      <c r="QDW19" s="289"/>
      <c r="QDX19" s="289"/>
      <c r="QDY19" s="289"/>
      <c r="QDZ19" s="289"/>
      <c r="QEA19" s="289"/>
      <c r="QEB19" s="289"/>
      <c r="QEC19" s="289"/>
      <c r="QED19" s="289"/>
      <c r="QEE19" s="289"/>
      <c r="QEF19" s="289"/>
      <c r="QEG19" s="289"/>
      <c r="QEH19" s="289"/>
      <c r="QEI19" s="289"/>
      <c r="QEJ19" s="289"/>
      <c r="QEK19" s="289"/>
      <c r="QEL19" s="289"/>
      <c r="QEM19" s="289"/>
      <c r="QEN19" s="289"/>
      <c r="QEO19" s="289"/>
      <c r="QEP19" s="289"/>
      <c r="QEQ19" s="289"/>
      <c r="QER19" s="289"/>
      <c r="QES19" s="289"/>
      <c r="QET19" s="289"/>
      <c r="QEU19" s="289"/>
      <c r="QEV19" s="289"/>
      <c r="QEW19" s="289"/>
      <c r="QEX19" s="289"/>
      <c r="QEY19" s="289"/>
      <c r="QEZ19" s="289"/>
      <c r="QFA19" s="289"/>
      <c r="QFB19" s="289"/>
      <c r="QFC19" s="289"/>
      <c r="QFD19" s="289"/>
      <c r="QFE19" s="289"/>
      <c r="QFF19" s="289"/>
      <c r="QFG19" s="289"/>
      <c r="QFH19" s="289"/>
      <c r="QFI19" s="289"/>
      <c r="QFJ19" s="289"/>
      <c r="QFK19" s="289"/>
      <c r="QFL19" s="289"/>
      <c r="QFM19" s="289"/>
      <c r="QFN19" s="289"/>
      <c r="QFO19" s="289"/>
      <c r="QFP19" s="289"/>
      <c r="QFQ19" s="289"/>
      <c r="QFR19" s="289"/>
      <c r="QFS19" s="289"/>
      <c r="QFT19" s="289"/>
      <c r="QFU19" s="289"/>
      <c r="QFV19" s="289"/>
      <c r="QFW19" s="289"/>
      <c r="QFX19" s="289"/>
      <c r="QFY19" s="289"/>
      <c r="QFZ19" s="289"/>
      <c r="QGA19" s="289"/>
      <c r="QGB19" s="289"/>
      <c r="QGC19" s="289"/>
      <c r="QGD19" s="289"/>
      <c r="QGE19" s="289"/>
      <c r="QGF19" s="289"/>
      <c r="QGG19" s="289"/>
      <c r="QGH19" s="289"/>
      <c r="QGI19" s="289"/>
      <c r="QGJ19" s="289"/>
      <c r="QGK19" s="289"/>
      <c r="QGL19" s="289"/>
      <c r="QGM19" s="289"/>
      <c r="QGN19" s="289"/>
      <c r="QGO19" s="289"/>
      <c r="QGP19" s="289"/>
      <c r="QGQ19" s="289"/>
      <c r="QGR19" s="289"/>
      <c r="QGS19" s="289"/>
      <c r="QGT19" s="289"/>
      <c r="QGU19" s="289"/>
      <c r="QGV19" s="289"/>
      <c r="QGW19" s="289"/>
      <c r="QGX19" s="289"/>
      <c r="QGY19" s="289"/>
      <c r="QGZ19" s="289"/>
      <c r="QHA19" s="289"/>
      <c r="QHB19" s="289"/>
      <c r="QHC19" s="289"/>
      <c r="QHD19" s="289"/>
      <c r="QHE19" s="289"/>
      <c r="QHF19" s="289"/>
      <c r="QHG19" s="289"/>
      <c r="QHH19" s="289"/>
      <c r="QHI19" s="289"/>
      <c r="QHJ19" s="289"/>
      <c r="QHK19" s="289"/>
      <c r="QHL19" s="289"/>
      <c r="QHM19" s="289"/>
      <c r="QHN19" s="289"/>
      <c r="QHO19" s="289"/>
      <c r="QHP19" s="289"/>
      <c r="QHQ19" s="289"/>
      <c r="QHR19" s="289"/>
      <c r="QHS19" s="289"/>
      <c r="QHT19" s="289"/>
      <c r="QHU19" s="289"/>
      <c r="QHV19" s="289"/>
      <c r="QHW19" s="289"/>
      <c r="QHX19" s="289"/>
      <c r="QHY19" s="289"/>
      <c r="QHZ19" s="289"/>
      <c r="QIA19" s="289"/>
      <c r="QIB19" s="289"/>
      <c r="QIC19" s="289"/>
      <c r="QID19" s="289"/>
      <c r="QIE19" s="289"/>
      <c r="QIF19" s="289"/>
      <c r="QIG19" s="289"/>
      <c r="QIH19" s="289"/>
      <c r="QII19" s="289"/>
      <c r="QIJ19" s="289"/>
      <c r="QIK19" s="289"/>
      <c r="QIL19" s="289"/>
      <c r="QIM19" s="289"/>
      <c r="QIN19" s="289"/>
      <c r="QIO19" s="289"/>
      <c r="QIP19" s="289"/>
      <c r="QIQ19" s="289"/>
      <c r="QIR19" s="289"/>
      <c r="QIS19" s="289"/>
      <c r="QIT19" s="289"/>
      <c r="QIU19" s="289"/>
      <c r="QIV19" s="289"/>
      <c r="QIW19" s="289"/>
      <c r="QIX19" s="289"/>
      <c r="QIY19" s="289"/>
      <c r="QIZ19" s="289"/>
      <c r="QJA19" s="289"/>
      <c r="QJB19" s="289"/>
      <c r="QJC19" s="289"/>
      <c r="QJD19" s="289"/>
      <c r="QJE19" s="289"/>
      <c r="QJF19" s="289"/>
      <c r="QJG19" s="289"/>
      <c r="QJH19" s="289"/>
      <c r="QJI19" s="289"/>
      <c r="QJJ19" s="289"/>
      <c r="QJK19" s="289"/>
      <c r="QJL19" s="289"/>
      <c r="QJM19" s="289"/>
      <c r="QJN19" s="289"/>
      <c r="QJO19" s="289"/>
      <c r="QJP19" s="289"/>
      <c r="QJQ19" s="289"/>
      <c r="QJR19" s="289"/>
      <c r="QJS19" s="289"/>
      <c r="QJT19" s="289"/>
      <c r="QJU19" s="289"/>
      <c r="QJV19" s="289"/>
      <c r="QJW19" s="289"/>
      <c r="QJX19" s="289"/>
      <c r="QJY19" s="289"/>
      <c r="QJZ19" s="289"/>
      <c r="QKA19" s="289"/>
      <c r="QKB19" s="289"/>
      <c r="QKC19" s="289"/>
      <c r="QKD19" s="289"/>
      <c r="QKE19" s="289"/>
      <c r="QKF19" s="289"/>
      <c r="QKG19" s="289"/>
      <c r="QKH19" s="289"/>
      <c r="QKI19" s="289"/>
      <c r="QKJ19" s="289"/>
      <c r="QKK19" s="289"/>
      <c r="QKL19" s="289"/>
      <c r="QKM19" s="289"/>
      <c r="QKN19" s="289"/>
      <c r="QKO19" s="289"/>
      <c r="QKP19" s="289"/>
      <c r="QKQ19" s="289"/>
      <c r="QKR19" s="289"/>
      <c r="QKS19" s="289"/>
      <c r="QKT19" s="289"/>
      <c r="QKU19" s="289"/>
      <c r="QKV19" s="289"/>
      <c r="QKW19" s="289"/>
      <c r="QKX19" s="289"/>
      <c r="QKY19" s="289"/>
      <c r="QKZ19" s="289"/>
      <c r="QLA19" s="289"/>
      <c r="QLB19" s="289"/>
      <c r="QLC19" s="289"/>
      <c r="QLD19" s="289"/>
      <c r="QLE19" s="289"/>
      <c r="QLF19" s="289"/>
      <c r="QLG19" s="289"/>
      <c r="QLH19" s="289"/>
      <c r="QLI19" s="289"/>
      <c r="QLJ19" s="289"/>
      <c r="QLK19" s="289"/>
      <c r="QLL19" s="289"/>
      <c r="QLM19" s="289"/>
      <c r="QLN19" s="289"/>
      <c r="QLO19" s="289"/>
      <c r="QLP19" s="289"/>
      <c r="QLQ19" s="289"/>
      <c r="QLR19" s="289"/>
      <c r="QLS19" s="289"/>
      <c r="QLT19" s="289"/>
      <c r="QLU19" s="289"/>
      <c r="QLV19" s="289"/>
      <c r="QLW19" s="289"/>
      <c r="QLX19" s="289"/>
      <c r="QLY19" s="289"/>
      <c r="QLZ19" s="289"/>
      <c r="QMA19" s="289"/>
      <c r="QMB19" s="289"/>
      <c r="QMC19" s="289"/>
      <c r="QMD19" s="289"/>
      <c r="QME19" s="289"/>
      <c r="QMF19" s="289"/>
      <c r="QMG19" s="289"/>
      <c r="QMH19" s="289"/>
      <c r="QMI19" s="289"/>
      <c r="QMJ19" s="289"/>
      <c r="QMK19" s="289"/>
      <c r="QML19" s="289"/>
      <c r="QMM19" s="289"/>
      <c r="QMN19" s="289"/>
      <c r="QMO19" s="289"/>
      <c r="QMP19" s="289"/>
      <c r="QMQ19" s="289"/>
      <c r="QMR19" s="289"/>
      <c r="QMS19" s="289"/>
      <c r="QMT19" s="289"/>
      <c r="QMU19" s="289"/>
      <c r="QMV19" s="289"/>
      <c r="QMW19" s="289"/>
      <c r="QMX19" s="289"/>
      <c r="QMY19" s="289"/>
      <c r="QMZ19" s="289"/>
      <c r="QNA19" s="289"/>
      <c r="QNB19" s="289"/>
      <c r="QNC19" s="289"/>
      <c r="QND19" s="289"/>
      <c r="QNE19" s="289"/>
      <c r="QNF19" s="289"/>
      <c r="QNG19" s="289"/>
      <c r="QNH19" s="289"/>
      <c r="QNI19" s="289"/>
      <c r="QNJ19" s="289"/>
      <c r="QNK19" s="289"/>
      <c r="QNL19" s="289"/>
      <c r="QNM19" s="289"/>
      <c r="QNN19" s="289"/>
      <c r="QNO19" s="289"/>
      <c r="QNP19" s="289"/>
      <c r="QNQ19" s="289"/>
      <c r="QNR19" s="289"/>
      <c r="QNS19" s="289"/>
      <c r="QNT19" s="289"/>
      <c r="QNU19" s="289"/>
      <c r="QNV19" s="289"/>
      <c r="QNW19" s="289"/>
      <c r="QNX19" s="289"/>
      <c r="QNY19" s="289"/>
      <c r="QNZ19" s="289"/>
      <c r="QOA19" s="289"/>
      <c r="QOB19" s="289"/>
      <c r="QOC19" s="289"/>
      <c r="QOD19" s="289"/>
      <c r="QOE19" s="289"/>
      <c r="QOF19" s="289"/>
      <c r="QOG19" s="289"/>
      <c r="QOH19" s="289"/>
      <c r="QOI19" s="289"/>
      <c r="QOJ19" s="289"/>
      <c r="QOK19" s="289"/>
      <c r="QOL19" s="289"/>
      <c r="QOM19" s="289"/>
      <c r="QON19" s="289"/>
      <c r="QOO19" s="289"/>
      <c r="QOP19" s="289"/>
      <c r="QOQ19" s="289"/>
      <c r="QOR19" s="289"/>
      <c r="QOS19" s="289"/>
      <c r="QOT19" s="289"/>
      <c r="QOU19" s="289"/>
      <c r="QOV19" s="289"/>
      <c r="QOW19" s="289"/>
      <c r="QOX19" s="289"/>
      <c r="QOY19" s="289"/>
      <c r="QOZ19" s="289"/>
      <c r="QPA19" s="289"/>
      <c r="QPB19" s="289"/>
      <c r="QPC19" s="289"/>
      <c r="QPD19" s="289"/>
      <c r="QPE19" s="289"/>
      <c r="QPF19" s="289"/>
      <c r="QPG19" s="289"/>
      <c r="QPH19" s="289"/>
      <c r="QPI19" s="289"/>
      <c r="QPJ19" s="289"/>
      <c r="QPK19" s="289"/>
      <c r="QPL19" s="289"/>
      <c r="QPM19" s="289"/>
      <c r="QPN19" s="289"/>
      <c r="QPO19" s="289"/>
      <c r="QPP19" s="289"/>
      <c r="QPQ19" s="289"/>
      <c r="QPR19" s="289"/>
      <c r="QPS19" s="289"/>
      <c r="QPT19" s="289"/>
      <c r="QPU19" s="289"/>
      <c r="QPV19" s="289"/>
      <c r="QPW19" s="289"/>
      <c r="QPX19" s="289"/>
      <c r="QPY19" s="289"/>
      <c r="QPZ19" s="289"/>
      <c r="QQA19" s="289"/>
      <c r="QQB19" s="289"/>
      <c r="QQC19" s="289"/>
      <c r="QQD19" s="289"/>
      <c r="QQE19" s="289"/>
      <c r="QQF19" s="289"/>
      <c r="QQG19" s="289"/>
      <c r="QQH19" s="289"/>
      <c r="QQI19" s="289"/>
      <c r="QQJ19" s="289"/>
      <c r="QQK19" s="289"/>
      <c r="QQL19" s="289"/>
      <c r="QQM19" s="289"/>
      <c r="QQN19" s="289"/>
      <c r="QQO19" s="289"/>
      <c r="QQP19" s="289"/>
      <c r="QQQ19" s="289"/>
      <c r="QQR19" s="289"/>
      <c r="QQS19" s="289"/>
      <c r="QQT19" s="289"/>
      <c r="QQU19" s="289"/>
      <c r="QQV19" s="289"/>
      <c r="QQW19" s="289"/>
      <c r="QQX19" s="289"/>
      <c r="QQY19" s="289"/>
      <c r="QQZ19" s="289"/>
      <c r="QRA19" s="289"/>
      <c r="QRB19" s="289"/>
      <c r="QRC19" s="289"/>
      <c r="QRD19" s="289"/>
      <c r="QRE19" s="289"/>
      <c r="QRF19" s="289"/>
      <c r="QRG19" s="289"/>
      <c r="QRH19" s="289"/>
      <c r="QRI19" s="289"/>
      <c r="QRJ19" s="289"/>
      <c r="QRK19" s="289"/>
      <c r="QRL19" s="289"/>
      <c r="QRM19" s="289"/>
      <c r="QRN19" s="289"/>
      <c r="QRO19" s="289"/>
      <c r="QRP19" s="289"/>
      <c r="QRQ19" s="289"/>
      <c r="QRR19" s="289"/>
      <c r="QRS19" s="289"/>
      <c r="QRT19" s="289"/>
      <c r="QRU19" s="289"/>
      <c r="QRV19" s="289"/>
      <c r="QRW19" s="289"/>
      <c r="QRX19" s="289"/>
      <c r="QRY19" s="289"/>
      <c r="QRZ19" s="289"/>
      <c r="QSA19" s="289"/>
      <c r="QSB19" s="289"/>
      <c r="QSC19" s="289"/>
      <c r="QSD19" s="289"/>
      <c r="QSE19" s="289"/>
      <c r="QSF19" s="289"/>
      <c r="QSG19" s="289"/>
      <c r="QSH19" s="289"/>
      <c r="QSI19" s="289"/>
      <c r="QSJ19" s="289"/>
      <c r="QSK19" s="289"/>
      <c r="QSL19" s="289"/>
      <c r="QSM19" s="289"/>
      <c r="QSN19" s="289"/>
      <c r="QSO19" s="289"/>
      <c r="QSP19" s="289"/>
      <c r="QSQ19" s="289"/>
      <c r="QSR19" s="289"/>
      <c r="QSS19" s="289"/>
      <c r="QST19" s="289"/>
      <c r="QSU19" s="289"/>
      <c r="QSV19" s="289"/>
      <c r="QSW19" s="289"/>
      <c r="QSX19" s="289"/>
      <c r="QSY19" s="289"/>
      <c r="QSZ19" s="289"/>
      <c r="QTA19" s="289"/>
      <c r="QTB19" s="289"/>
      <c r="QTC19" s="289"/>
      <c r="QTD19" s="289"/>
      <c r="QTE19" s="289"/>
      <c r="QTF19" s="289"/>
      <c r="QTG19" s="289"/>
      <c r="QTH19" s="289"/>
      <c r="QTI19" s="289"/>
      <c r="QTJ19" s="289"/>
      <c r="QTK19" s="289"/>
      <c r="QTL19" s="289"/>
      <c r="QTM19" s="289"/>
      <c r="QTN19" s="289"/>
      <c r="QTO19" s="289"/>
      <c r="QTP19" s="289"/>
      <c r="QTQ19" s="289"/>
      <c r="QTR19" s="289"/>
      <c r="QTS19" s="289"/>
      <c r="QTT19" s="289"/>
      <c r="QTU19" s="289"/>
      <c r="QTV19" s="289"/>
      <c r="QTW19" s="289"/>
      <c r="QTX19" s="289"/>
      <c r="QTY19" s="289"/>
      <c r="QTZ19" s="289"/>
      <c r="QUA19" s="289"/>
      <c r="QUB19" s="289"/>
      <c r="QUC19" s="289"/>
      <c r="QUD19" s="289"/>
      <c r="QUE19" s="289"/>
      <c r="QUF19" s="289"/>
      <c r="QUG19" s="289"/>
      <c r="QUH19" s="289"/>
      <c r="QUI19" s="289"/>
      <c r="QUJ19" s="289"/>
      <c r="QUK19" s="289"/>
      <c r="QUL19" s="289"/>
      <c r="QUM19" s="289"/>
      <c r="QUN19" s="289"/>
      <c r="QUO19" s="289"/>
      <c r="QUP19" s="289"/>
      <c r="QUQ19" s="289"/>
      <c r="QUR19" s="289"/>
      <c r="QUS19" s="289"/>
      <c r="QUT19" s="289"/>
      <c r="QUU19" s="289"/>
      <c r="QUV19" s="289"/>
      <c r="QUW19" s="289"/>
      <c r="QUX19" s="289"/>
      <c r="QUY19" s="289"/>
      <c r="QUZ19" s="289"/>
      <c r="QVA19" s="289"/>
      <c r="QVB19" s="289"/>
      <c r="QVC19" s="289"/>
      <c r="QVD19" s="289"/>
      <c r="QVE19" s="289"/>
      <c r="QVF19" s="289"/>
      <c r="QVG19" s="289"/>
      <c r="QVH19" s="289"/>
      <c r="QVI19" s="289"/>
      <c r="QVJ19" s="289"/>
      <c r="QVK19" s="289"/>
      <c r="QVL19" s="289"/>
      <c r="QVM19" s="289"/>
      <c r="QVN19" s="289"/>
      <c r="QVO19" s="289"/>
      <c r="QVP19" s="289"/>
      <c r="QVQ19" s="289"/>
      <c r="QVR19" s="289"/>
      <c r="QVS19" s="289"/>
      <c r="QVT19" s="289"/>
      <c r="QVU19" s="289"/>
      <c r="QVV19" s="289"/>
      <c r="QVW19" s="289"/>
      <c r="QVX19" s="289"/>
      <c r="QVY19" s="289"/>
      <c r="QVZ19" s="289"/>
      <c r="QWA19" s="289"/>
      <c r="QWB19" s="289"/>
      <c r="QWC19" s="289"/>
      <c r="QWD19" s="289"/>
      <c r="QWE19" s="289"/>
      <c r="QWF19" s="289"/>
      <c r="QWG19" s="289"/>
      <c r="QWH19" s="289"/>
      <c r="QWI19" s="289"/>
      <c r="QWJ19" s="289"/>
      <c r="QWK19" s="289"/>
      <c r="QWL19" s="289"/>
      <c r="QWM19" s="289"/>
      <c r="QWN19" s="289"/>
      <c r="QWO19" s="289"/>
      <c r="QWP19" s="289"/>
      <c r="QWQ19" s="289"/>
      <c r="QWR19" s="289"/>
      <c r="QWS19" s="289"/>
      <c r="QWT19" s="289"/>
      <c r="QWU19" s="289"/>
      <c r="QWV19" s="289"/>
      <c r="QWW19" s="289"/>
      <c r="QWX19" s="289"/>
      <c r="QWY19" s="289"/>
      <c r="QWZ19" s="289"/>
      <c r="QXA19" s="289"/>
      <c r="QXB19" s="289"/>
      <c r="QXC19" s="289"/>
      <c r="QXD19" s="289"/>
      <c r="QXE19" s="289"/>
      <c r="QXF19" s="289"/>
      <c r="QXG19" s="289"/>
      <c r="QXH19" s="289"/>
      <c r="QXI19" s="289"/>
      <c r="QXJ19" s="289"/>
      <c r="QXK19" s="289"/>
      <c r="QXL19" s="289"/>
      <c r="QXM19" s="289"/>
      <c r="QXN19" s="289"/>
      <c r="QXO19" s="289"/>
      <c r="QXP19" s="289"/>
      <c r="QXQ19" s="289"/>
      <c r="QXR19" s="289"/>
      <c r="QXS19" s="289"/>
      <c r="QXT19" s="289"/>
      <c r="QXU19" s="289"/>
      <c r="QXV19" s="289"/>
      <c r="QXW19" s="289"/>
      <c r="QXX19" s="289"/>
      <c r="QXY19" s="289"/>
      <c r="QXZ19" s="289"/>
      <c r="QYA19" s="289"/>
      <c r="QYB19" s="289"/>
      <c r="QYC19" s="289"/>
      <c r="QYD19" s="289"/>
      <c r="QYE19" s="289"/>
      <c r="QYF19" s="289"/>
      <c r="QYG19" s="289"/>
      <c r="QYH19" s="289"/>
      <c r="QYI19" s="289"/>
      <c r="QYJ19" s="289"/>
      <c r="QYK19" s="289"/>
      <c r="QYL19" s="289"/>
      <c r="QYM19" s="289"/>
      <c r="QYN19" s="289"/>
      <c r="QYO19" s="289"/>
      <c r="QYP19" s="289"/>
      <c r="QYQ19" s="289"/>
      <c r="QYR19" s="289"/>
      <c r="QYS19" s="289"/>
      <c r="QYT19" s="289"/>
      <c r="QYU19" s="289"/>
      <c r="QYV19" s="289"/>
      <c r="QYW19" s="289"/>
      <c r="QYX19" s="289"/>
      <c r="QYY19" s="289"/>
      <c r="QYZ19" s="289"/>
      <c r="QZA19" s="289"/>
      <c r="QZB19" s="289"/>
      <c r="QZC19" s="289"/>
      <c r="QZD19" s="289"/>
      <c r="QZE19" s="289"/>
      <c r="QZF19" s="289"/>
      <c r="QZG19" s="289"/>
      <c r="QZH19" s="289"/>
      <c r="QZI19" s="289"/>
      <c r="QZJ19" s="289"/>
      <c r="QZK19" s="289"/>
      <c r="QZL19" s="289"/>
      <c r="QZM19" s="289"/>
      <c r="QZN19" s="289"/>
      <c r="QZO19" s="289"/>
      <c r="QZP19" s="289"/>
      <c r="QZQ19" s="289"/>
      <c r="QZR19" s="289"/>
      <c r="QZS19" s="289"/>
      <c r="QZT19" s="289"/>
      <c r="QZU19" s="289"/>
      <c r="QZV19" s="289"/>
      <c r="QZW19" s="289"/>
      <c r="QZX19" s="289"/>
      <c r="QZY19" s="289"/>
      <c r="QZZ19" s="289"/>
      <c r="RAA19" s="289"/>
      <c r="RAB19" s="289"/>
      <c r="RAC19" s="289"/>
      <c r="RAD19" s="289"/>
      <c r="RAE19" s="289"/>
      <c r="RAF19" s="289"/>
      <c r="RAG19" s="289"/>
      <c r="RAH19" s="289"/>
      <c r="RAI19" s="289"/>
      <c r="RAJ19" s="289"/>
      <c r="RAK19" s="289"/>
      <c r="RAL19" s="289"/>
      <c r="RAM19" s="289"/>
      <c r="RAN19" s="289"/>
      <c r="RAO19" s="289"/>
      <c r="RAP19" s="289"/>
      <c r="RAQ19" s="289"/>
      <c r="RAR19" s="289"/>
      <c r="RAS19" s="289"/>
      <c r="RAT19" s="289"/>
      <c r="RAU19" s="289"/>
      <c r="RAV19" s="289"/>
      <c r="RAW19" s="289"/>
      <c r="RAX19" s="289"/>
      <c r="RAY19" s="289"/>
      <c r="RAZ19" s="289"/>
      <c r="RBA19" s="289"/>
      <c r="RBB19" s="289"/>
      <c r="RBC19" s="289"/>
      <c r="RBD19" s="289"/>
      <c r="RBE19" s="289"/>
      <c r="RBF19" s="289"/>
      <c r="RBG19" s="289"/>
      <c r="RBH19" s="289"/>
      <c r="RBI19" s="289"/>
      <c r="RBJ19" s="289"/>
      <c r="RBK19" s="289"/>
      <c r="RBL19" s="289"/>
      <c r="RBM19" s="289"/>
      <c r="RBN19" s="289"/>
      <c r="RBO19" s="289"/>
      <c r="RBP19" s="289"/>
      <c r="RBQ19" s="289"/>
      <c r="RBR19" s="289"/>
      <c r="RBS19" s="289"/>
      <c r="RBT19" s="289"/>
      <c r="RBU19" s="289"/>
      <c r="RBV19" s="289"/>
      <c r="RBW19" s="289"/>
      <c r="RBX19" s="289"/>
      <c r="RBY19" s="289"/>
      <c r="RBZ19" s="289"/>
      <c r="RCA19" s="289"/>
      <c r="RCB19" s="289"/>
      <c r="RCC19" s="289"/>
      <c r="RCD19" s="289"/>
      <c r="RCE19" s="289"/>
      <c r="RCF19" s="289"/>
      <c r="RCG19" s="289"/>
      <c r="RCH19" s="289"/>
      <c r="RCI19" s="289"/>
      <c r="RCJ19" s="289"/>
      <c r="RCK19" s="289"/>
      <c r="RCL19" s="289"/>
      <c r="RCM19" s="289"/>
      <c r="RCN19" s="289"/>
      <c r="RCO19" s="289"/>
      <c r="RCP19" s="289"/>
      <c r="RCQ19" s="289"/>
      <c r="RCR19" s="289"/>
      <c r="RCS19" s="289"/>
      <c r="RCT19" s="289"/>
      <c r="RCU19" s="289"/>
      <c r="RCV19" s="289"/>
      <c r="RCW19" s="289"/>
      <c r="RCX19" s="289"/>
      <c r="RCY19" s="289"/>
      <c r="RCZ19" s="289"/>
      <c r="RDA19" s="289"/>
      <c r="RDB19" s="289"/>
      <c r="RDC19" s="289"/>
      <c r="RDD19" s="289"/>
      <c r="RDE19" s="289"/>
      <c r="RDF19" s="289"/>
      <c r="RDG19" s="289"/>
      <c r="RDH19" s="289"/>
      <c r="RDI19" s="289"/>
      <c r="RDJ19" s="289"/>
      <c r="RDK19" s="289"/>
      <c r="RDL19" s="289"/>
      <c r="RDM19" s="289"/>
      <c r="RDN19" s="289"/>
      <c r="RDO19" s="289"/>
      <c r="RDP19" s="289"/>
      <c r="RDQ19" s="289"/>
      <c r="RDR19" s="289"/>
      <c r="RDS19" s="289"/>
      <c r="RDT19" s="289"/>
      <c r="RDU19" s="289"/>
      <c r="RDV19" s="289"/>
      <c r="RDW19" s="289"/>
      <c r="RDX19" s="289"/>
      <c r="RDY19" s="289"/>
      <c r="RDZ19" s="289"/>
      <c r="REA19" s="289"/>
      <c r="REB19" s="289"/>
      <c r="REC19" s="289"/>
      <c r="RED19" s="289"/>
      <c r="REE19" s="289"/>
      <c r="REF19" s="289"/>
      <c r="REG19" s="289"/>
      <c r="REH19" s="289"/>
      <c r="REI19" s="289"/>
      <c r="REJ19" s="289"/>
      <c r="REK19" s="289"/>
      <c r="REL19" s="289"/>
      <c r="REM19" s="289"/>
      <c r="REN19" s="289"/>
      <c r="REO19" s="289"/>
      <c r="REP19" s="289"/>
      <c r="REQ19" s="289"/>
      <c r="RER19" s="289"/>
      <c r="RES19" s="289"/>
      <c r="RET19" s="289"/>
      <c r="REU19" s="289"/>
      <c r="REV19" s="289"/>
      <c r="REW19" s="289"/>
      <c r="REX19" s="289"/>
      <c r="REY19" s="289"/>
      <c r="REZ19" s="289"/>
      <c r="RFA19" s="289"/>
      <c r="RFB19" s="289"/>
      <c r="RFC19" s="289"/>
      <c r="RFD19" s="289"/>
      <c r="RFE19" s="289"/>
      <c r="RFF19" s="289"/>
      <c r="RFG19" s="289"/>
      <c r="RFH19" s="289"/>
      <c r="RFI19" s="289"/>
      <c r="RFJ19" s="289"/>
      <c r="RFK19" s="289"/>
      <c r="RFL19" s="289"/>
      <c r="RFM19" s="289"/>
      <c r="RFN19" s="289"/>
      <c r="RFO19" s="289"/>
      <c r="RFP19" s="289"/>
      <c r="RFQ19" s="289"/>
      <c r="RFR19" s="289"/>
      <c r="RFS19" s="289"/>
      <c r="RFT19" s="289"/>
      <c r="RFU19" s="289"/>
      <c r="RFV19" s="289"/>
      <c r="RFW19" s="289"/>
      <c r="RFX19" s="289"/>
      <c r="RFY19" s="289"/>
      <c r="RFZ19" s="289"/>
      <c r="RGA19" s="289"/>
      <c r="RGB19" s="289"/>
      <c r="RGC19" s="289"/>
      <c r="RGD19" s="289"/>
      <c r="RGE19" s="289"/>
      <c r="RGF19" s="289"/>
      <c r="RGG19" s="289"/>
      <c r="RGH19" s="289"/>
      <c r="RGI19" s="289"/>
      <c r="RGJ19" s="289"/>
      <c r="RGK19" s="289"/>
      <c r="RGL19" s="289"/>
      <c r="RGM19" s="289"/>
      <c r="RGN19" s="289"/>
      <c r="RGO19" s="289"/>
      <c r="RGP19" s="289"/>
      <c r="RGQ19" s="289"/>
      <c r="RGR19" s="289"/>
      <c r="RGS19" s="289"/>
      <c r="RGT19" s="289"/>
      <c r="RGU19" s="289"/>
      <c r="RGV19" s="289"/>
      <c r="RGW19" s="289"/>
      <c r="RGX19" s="289"/>
      <c r="RGY19" s="289"/>
      <c r="RGZ19" s="289"/>
      <c r="RHA19" s="289"/>
      <c r="RHB19" s="289"/>
      <c r="RHC19" s="289"/>
      <c r="RHD19" s="289"/>
      <c r="RHE19" s="289"/>
      <c r="RHF19" s="289"/>
      <c r="RHG19" s="289"/>
      <c r="RHH19" s="289"/>
      <c r="RHI19" s="289"/>
      <c r="RHJ19" s="289"/>
      <c r="RHK19" s="289"/>
      <c r="RHL19" s="289"/>
      <c r="RHM19" s="289"/>
      <c r="RHN19" s="289"/>
      <c r="RHO19" s="289"/>
      <c r="RHP19" s="289"/>
      <c r="RHQ19" s="289"/>
      <c r="RHR19" s="289"/>
      <c r="RHS19" s="289"/>
      <c r="RHT19" s="289"/>
      <c r="RHU19" s="289"/>
      <c r="RHV19" s="289"/>
      <c r="RHW19" s="289"/>
      <c r="RHX19" s="289"/>
      <c r="RHY19" s="289"/>
      <c r="RHZ19" s="289"/>
      <c r="RIA19" s="289"/>
      <c r="RIB19" s="289"/>
      <c r="RIC19" s="289"/>
      <c r="RID19" s="289"/>
      <c r="RIE19" s="289"/>
      <c r="RIF19" s="289"/>
      <c r="RIG19" s="289"/>
      <c r="RIH19" s="289"/>
      <c r="RII19" s="289"/>
      <c r="RIJ19" s="289"/>
      <c r="RIK19" s="289"/>
      <c r="RIL19" s="289"/>
      <c r="RIM19" s="289"/>
      <c r="RIN19" s="289"/>
      <c r="RIO19" s="289"/>
      <c r="RIP19" s="289"/>
      <c r="RIQ19" s="289"/>
      <c r="RIR19" s="289"/>
      <c r="RIS19" s="289"/>
      <c r="RIT19" s="289"/>
      <c r="RIU19" s="289"/>
      <c r="RIV19" s="289"/>
      <c r="RIW19" s="289"/>
      <c r="RIX19" s="289"/>
      <c r="RIY19" s="289"/>
      <c r="RIZ19" s="289"/>
      <c r="RJA19" s="289"/>
      <c r="RJB19" s="289"/>
      <c r="RJC19" s="289"/>
      <c r="RJD19" s="289"/>
      <c r="RJE19" s="289"/>
      <c r="RJF19" s="289"/>
      <c r="RJG19" s="289"/>
      <c r="RJH19" s="289"/>
      <c r="RJI19" s="289"/>
      <c r="RJJ19" s="289"/>
      <c r="RJK19" s="289"/>
      <c r="RJL19" s="289"/>
      <c r="RJM19" s="289"/>
      <c r="RJN19" s="289"/>
      <c r="RJO19" s="289"/>
      <c r="RJP19" s="289"/>
      <c r="RJQ19" s="289"/>
      <c r="RJR19" s="289"/>
      <c r="RJS19" s="289"/>
      <c r="RJT19" s="289"/>
      <c r="RJU19" s="289"/>
      <c r="RJV19" s="289"/>
      <c r="RJW19" s="289"/>
      <c r="RJX19" s="289"/>
      <c r="RJY19" s="289"/>
      <c r="RJZ19" s="289"/>
      <c r="RKA19" s="289"/>
      <c r="RKB19" s="289"/>
      <c r="RKC19" s="289"/>
      <c r="RKD19" s="289"/>
      <c r="RKE19" s="289"/>
      <c r="RKF19" s="289"/>
      <c r="RKG19" s="289"/>
      <c r="RKH19" s="289"/>
      <c r="RKI19" s="289"/>
      <c r="RKJ19" s="289"/>
      <c r="RKK19" s="289"/>
      <c r="RKL19" s="289"/>
      <c r="RKM19" s="289"/>
      <c r="RKN19" s="289"/>
      <c r="RKO19" s="289"/>
      <c r="RKP19" s="289"/>
      <c r="RKQ19" s="289"/>
      <c r="RKR19" s="289"/>
      <c r="RKS19" s="289"/>
      <c r="RKT19" s="289"/>
      <c r="RKU19" s="289"/>
      <c r="RKV19" s="289"/>
      <c r="RKW19" s="289"/>
      <c r="RKX19" s="289"/>
      <c r="RKY19" s="289"/>
      <c r="RKZ19" s="289"/>
      <c r="RLA19" s="289"/>
      <c r="RLB19" s="289"/>
      <c r="RLC19" s="289"/>
      <c r="RLD19" s="289"/>
      <c r="RLE19" s="289"/>
      <c r="RLF19" s="289"/>
      <c r="RLG19" s="289"/>
      <c r="RLH19" s="289"/>
      <c r="RLI19" s="289"/>
      <c r="RLJ19" s="289"/>
      <c r="RLK19" s="289"/>
      <c r="RLL19" s="289"/>
      <c r="RLM19" s="289"/>
      <c r="RLN19" s="289"/>
      <c r="RLO19" s="289"/>
      <c r="RLP19" s="289"/>
      <c r="RLQ19" s="289"/>
      <c r="RLR19" s="289"/>
      <c r="RLS19" s="289"/>
      <c r="RLT19" s="289"/>
      <c r="RLU19" s="289"/>
      <c r="RLV19" s="289"/>
      <c r="RLW19" s="289"/>
      <c r="RLX19" s="289"/>
      <c r="RLY19" s="289"/>
      <c r="RLZ19" s="289"/>
      <c r="RMA19" s="289"/>
      <c r="RMB19" s="289"/>
      <c r="RMC19" s="289"/>
      <c r="RMD19" s="289"/>
      <c r="RME19" s="289"/>
      <c r="RMF19" s="289"/>
      <c r="RMG19" s="289"/>
      <c r="RMH19" s="289"/>
      <c r="RMI19" s="289"/>
      <c r="RMJ19" s="289"/>
      <c r="RMK19" s="289"/>
      <c r="RML19" s="289"/>
      <c r="RMM19" s="289"/>
      <c r="RMN19" s="289"/>
      <c r="RMO19" s="289"/>
      <c r="RMP19" s="289"/>
      <c r="RMQ19" s="289"/>
      <c r="RMR19" s="289"/>
      <c r="RMS19" s="289"/>
      <c r="RMT19" s="289"/>
      <c r="RMU19" s="289"/>
      <c r="RMV19" s="289"/>
      <c r="RMW19" s="289"/>
      <c r="RMX19" s="289"/>
      <c r="RMY19" s="289"/>
      <c r="RMZ19" s="289"/>
      <c r="RNA19" s="289"/>
      <c r="RNB19" s="289"/>
      <c r="RNC19" s="289"/>
      <c r="RND19" s="289"/>
      <c r="RNE19" s="289"/>
      <c r="RNF19" s="289"/>
      <c r="RNG19" s="289"/>
      <c r="RNH19" s="289"/>
      <c r="RNI19" s="289"/>
      <c r="RNJ19" s="289"/>
      <c r="RNK19" s="289"/>
      <c r="RNL19" s="289"/>
      <c r="RNM19" s="289"/>
      <c r="RNN19" s="289"/>
      <c r="RNO19" s="289"/>
      <c r="RNP19" s="289"/>
      <c r="RNQ19" s="289"/>
      <c r="RNR19" s="289"/>
      <c r="RNS19" s="289"/>
      <c r="RNT19" s="289"/>
      <c r="RNU19" s="289"/>
      <c r="RNV19" s="289"/>
      <c r="RNW19" s="289"/>
      <c r="RNX19" s="289"/>
      <c r="RNY19" s="289"/>
      <c r="RNZ19" s="289"/>
      <c r="ROA19" s="289"/>
      <c r="ROB19" s="289"/>
      <c r="ROC19" s="289"/>
      <c r="ROD19" s="289"/>
      <c r="ROE19" s="289"/>
      <c r="ROF19" s="289"/>
      <c r="ROG19" s="289"/>
      <c r="ROH19" s="289"/>
      <c r="ROI19" s="289"/>
      <c r="ROJ19" s="289"/>
      <c r="ROK19" s="289"/>
      <c r="ROL19" s="289"/>
      <c r="ROM19" s="289"/>
      <c r="RON19" s="289"/>
      <c r="ROO19" s="289"/>
      <c r="ROP19" s="289"/>
      <c r="ROQ19" s="289"/>
      <c r="ROR19" s="289"/>
      <c r="ROS19" s="289"/>
      <c r="ROT19" s="289"/>
      <c r="ROU19" s="289"/>
      <c r="ROV19" s="289"/>
      <c r="ROW19" s="289"/>
      <c r="ROX19" s="289"/>
      <c r="ROY19" s="289"/>
      <c r="ROZ19" s="289"/>
      <c r="RPA19" s="289"/>
      <c r="RPB19" s="289"/>
      <c r="RPC19" s="289"/>
      <c r="RPD19" s="289"/>
      <c r="RPE19" s="289"/>
      <c r="RPF19" s="289"/>
      <c r="RPG19" s="289"/>
      <c r="RPH19" s="289"/>
      <c r="RPI19" s="289"/>
      <c r="RPJ19" s="289"/>
      <c r="RPK19" s="289"/>
      <c r="RPL19" s="289"/>
      <c r="RPM19" s="289"/>
      <c r="RPN19" s="289"/>
      <c r="RPO19" s="289"/>
      <c r="RPP19" s="289"/>
      <c r="RPQ19" s="289"/>
      <c r="RPR19" s="289"/>
      <c r="RPS19" s="289"/>
      <c r="RPT19" s="289"/>
      <c r="RPU19" s="289"/>
      <c r="RPV19" s="289"/>
      <c r="RPW19" s="289"/>
      <c r="RPX19" s="289"/>
      <c r="RPY19" s="289"/>
      <c r="RPZ19" s="289"/>
      <c r="RQA19" s="289"/>
      <c r="RQB19" s="289"/>
      <c r="RQC19" s="289"/>
      <c r="RQD19" s="289"/>
      <c r="RQE19" s="289"/>
      <c r="RQF19" s="289"/>
      <c r="RQG19" s="289"/>
      <c r="RQH19" s="289"/>
      <c r="RQI19" s="289"/>
      <c r="RQJ19" s="289"/>
      <c r="RQK19" s="289"/>
      <c r="RQL19" s="289"/>
      <c r="RQM19" s="289"/>
      <c r="RQN19" s="289"/>
      <c r="RQO19" s="289"/>
      <c r="RQP19" s="289"/>
      <c r="RQQ19" s="289"/>
      <c r="RQR19" s="289"/>
      <c r="RQS19" s="289"/>
      <c r="RQT19" s="289"/>
      <c r="RQU19" s="289"/>
      <c r="RQV19" s="289"/>
      <c r="RQW19" s="289"/>
      <c r="RQX19" s="289"/>
      <c r="RQY19" s="289"/>
      <c r="RQZ19" s="289"/>
      <c r="RRA19" s="289"/>
      <c r="RRB19" s="289"/>
      <c r="RRC19" s="289"/>
      <c r="RRD19" s="289"/>
      <c r="RRE19" s="289"/>
      <c r="RRF19" s="289"/>
      <c r="RRG19" s="289"/>
      <c r="RRH19" s="289"/>
      <c r="RRI19" s="289"/>
      <c r="RRJ19" s="289"/>
      <c r="RRK19" s="289"/>
      <c r="RRL19" s="289"/>
      <c r="RRM19" s="289"/>
      <c r="RRN19" s="289"/>
      <c r="RRO19" s="289"/>
      <c r="RRP19" s="289"/>
      <c r="RRQ19" s="289"/>
      <c r="RRR19" s="289"/>
      <c r="RRS19" s="289"/>
      <c r="RRT19" s="289"/>
      <c r="RRU19" s="289"/>
      <c r="RRV19" s="289"/>
      <c r="RRW19" s="289"/>
      <c r="RRX19" s="289"/>
      <c r="RRY19" s="289"/>
      <c r="RRZ19" s="289"/>
      <c r="RSA19" s="289"/>
      <c r="RSB19" s="289"/>
      <c r="RSC19" s="289"/>
      <c r="RSD19" s="289"/>
      <c r="RSE19" s="289"/>
      <c r="RSF19" s="289"/>
      <c r="RSG19" s="289"/>
      <c r="RSH19" s="289"/>
      <c r="RSI19" s="289"/>
      <c r="RSJ19" s="289"/>
      <c r="RSK19" s="289"/>
      <c r="RSL19" s="289"/>
      <c r="RSM19" s="289"/>
      <c r="RSN19" s="289"/>
      <c r="RSO19" s="289"/>
      <c r="RSP19" s="289"/>
      <c r="RSQ19" s="289"/>
      <c r="RSR19" s="289"/>
      <c r="RSS19" s="289"/>
      <c r="RST19" s="289"/>
      <c r="RSU19" s="289"/>
      <c r="RSV19" s="289"/>
      <c r="RSW19" s="289"/>
      <c r="RSX19" s="289"/>
      <c r="RSY19" s="289"/>
      <c r="RSZ19" s="289"/>
      <c r="RTA19" s="289"/>
      <c r="RTB19" s="289"/>
      <c r="RTC19" s="289"/>
      <c r="RTD19" s="289"/>
      <c r="RTE19" s="289"/>
      <c r="RTF19" s="289"/>
      <c r="RTG19" s="289"/>
      <c r="RTH19" s="289"/>
      <c r="RTI19" s="289"/>
      <c r="RTJ19" s="289"/>
      <c r="RTK19" s="289"/>
      <c r="RTL19" s="289"/>
      <c r="RTM19" s="289"/>
      <c r="RTN19" s="289"/>
      <c r="RTO19" s="289"/>
      <c r="RTP19" s="289"/>
      <c r="RTQ19" s="289"/>
      <c r="RTR19" s="289"/>
      <c r="RTS19" s="289"/>
      <c r="RTT19" s="289"/>
      <c r="RTU19" s="289"/>
      <c r="RTV19" s="289"/>
      <c r="RTW19" s="289"/>
      <c r="RTX19" s="289"/>
      <c r="RTY19" s="289"/>
      <c r="RTZ19" s="289"/>
      <c r="RUA19" s="289"/>
      <c r="RUB19" s="289"/>
      <c r="RUC19" s="289"/>
      <c r="RUD19" s="289"/>
      <c r="RUE19" s="289"/>
      <c r="RUF19" s="289"/>
      <c r="RUG19" s="289"/>
      <c r="RUH19" s="289"/>
      <c r="RUI19" s="289"/>
      <c r="RUJ19" s="289"/>
      <c r="RUK19" s="289"/>
      <c r="RUL19" s="289"/>
      <c r="RUM19" s="289"/>
      <c r="RUN19" s="289"/>
      <c r="RUO19" s="289"/>
      <c r="RUP19" s="289"/>
      <c r="RUQ19" s="289"/>
      <c r="RUR19" s="289"/>
      <c r="RUS19" s="289"/>
      <c r="RUT19" s="289"/>
      <c r="RUU19" s="289"/>
      <c r="RUV19" s="289"/>
      <c r="RUW19" s="289"/>
      <c r="RUX19" s="289"/>
      <c r="RUY19" s="289"/>
      <c r="RUZ19" s="289"/>
      <c r="RVA19" s="289"/>
      <c r="RVB19" s="289"/>
      <c r="RVC19" s="289"/>
      <c r="RVD19" s="289"/>
      <c r="RVE19" s="289"/>
      <c r="RVF19" s="289"/>
      <c r="RVG19" s="289"/>
      <c r="RVH19" s="289"/>
      <c r="RVI19" s="289"/>
      <c r="RVJ19" s="289"/>
      <c r="RVK19" s="289"/>
      <c r="RVL19" s="289"/>
      <c r="RVM19" s="289"/>
      <c r="RVN19" s="289"/>
      <c r="RVO19" s="289"/>
      <c r="RVP19" s="289"/>
      <c r="RVQ19" s="289"/>
      <c r="RVR19" s="289"/>
      <c r="RVS19" s="289"/>
      <c r="RVT19" s="289"/>
      <c r="RVU19" s="289"/>
      <c r="RVV19" s="289"/>
      <c r="RVW19" s="289"/>
      <c r="RVX19" s="289"/>
      <c r="RVY19" s="289"/>
      <c r="RVZ19" s="289"/>
      <c r="RWA19" s="289"/>
      <c r="RWB19" s="289"/>
      <c r="RWC19" s="289"/>
      <c r="RWD19" s="289"/>
      <c r="RWE19" s="289"/>
      <c r="RWF19" s="289"/>
      <c r="RWG19" s="289"/>
      <c r="RWH19" s="289"/>
      <c r="RWI19" s="289"/>
      <c r="RWJ19" s="289"/>
      <c r="RWK19" s="289"/>
      <c r="RWL19" s="289"/>
      <c r="RWM19" s="289"/>
      <c r="RWN19" s="289"/>
      <c r="RWO19" s="289"/>
      <c r="RWP19" s="289"/>
      <c r="RWQ19" s="289"/>
      <c r="RWR19" s="289"/>
      <c r="RWS19" s="289"/>
      <c r="RWT19" s="289"/>
      <c r="RWU19" s="289"/>
      <c r="RWV19" s="289"/>
      <c r="RWW19" s="289"/>
      <c r="RWX19" s="289"/>
      <c r="RWY19" s="289"/>
      <c r="RWZ19" s="289"/>
      <c r="RXA19" s="289"/>
      <c r="RXB19" s="289"/>
      <c r="RXC19" s="289"/>
      <c r="RXD19" s="289"/>
      <c r="RXE19" s="289"/>
      <c r="RXF19" s="289"/>
      <c r="RXG19" s="289"/>
      <c r="RXH19" s="289"/>
      <c r="RXI19" s="289"/>
      <c r="RXJ19" s="289"/>
      <c r="RXK19" s="289"/>
      <c r="RXL19" s="289"/>
      <c r="RXM19" s="289"/>
      <c r="RXN19" s="289"/>
      <c r="RXO19" s="289"/>
      <c r="RXP19" s="289"/>
      <c r="RXQ19" s="289"/>
      <c r="RXR19" s="289"/>
      <c r="RXS19" s="289"/>
      <c r="RXT19" s="289"/>
      <c r="RXU19" s="289"/>
      <c r="RXV19" s="289"/>
      <c r="RXW19" s="289"/>
      <c r="RXX19" s="289"/>
      <c r="RXY19" s="289"/>
      <c r="RXZ19" s="289"/>
      <c r="RYA19" s="289"/>
      <c r="RYB19" s="289"/>
      <c r="RYC19" s="289"/>
      <c r="RYD19" s="289"/>
      <c r="RYE19" s="289"/>
      <c r="RYF19" s="289"/>
      <c r="RYG19" s="289"/>
      <c r="RYH19" s="289"/>
      <c r="RYI19" s="289"/>
      <c r="RYJ19" s="289"/>
      <c r="RYK19" s="289"/>
      <c r="RYL19" s="289"/>
      <c r="RYM19" s="289"/>
      <c r="RYN19" s="289"/>
      <c r="RYO19" s="289"/>
      <c r="RYP19" s="289"/>
      <c r="RYQ19" s="289"/>
      <c r="RYR19" s="289"/>
      <c r="RYS19" s="289"/>
      <c r="RYT19" s="289"/>
      <c r="RYU19" s="289"/>
      <c r="RYV19" s="289"/>
      <c r="RYW19" s="289"/>
      <c r="RYX19" s="289"/>
      <c r="RYY19" s="289"/>
      <c r="RYZ19" s="289"/>
      <c r="RZA19" s="289"/>
      <c r="RZB19" s="289"/>
      <c r="RZC19" s="289"/>
      <c r="RZD19" s="289"/>
      <c r="RZE19" s="289"/>
      <c r="RZF19" s="289"/>
      <c r="RZG19" s="289"/>
      <c r="RZH19" s="289"/>
      <c r="RZI19" s="289"/>
      <c r="RZJ19" s="289"/>
      <c r="RZK19" s="289"/>
      <c r="RZL19" s="289"/>
      <c r="RZM19" s="289"/>
      <c r="RZN19" s="289"/>
      <c r="RZO19" s="289"/>
      <c r="RZP19" s="289"/>
      <c r="RZQ19" s="289"/>
      <c r="RZR19" s="289"/>
      <c r="RZS19" s="289"/>
      <c r="RZT19" s="289"/>
      <c r="RZU19" s="289"/>
      <c r="RZV19" s="289"/>
      <c r="RZW19" s="289"/>
      <c r="RZX19" s="289"/>
      <c r="RZY19" s="289"/>
      <c r="RZZ19" s="289"/>
      <c r="SAA19" s="289"/>
      <c r="SAB19" s="289"/>
      <c r="SAC19" s="289"/>
      <c r="SAD19" s="289"/>
      <c r="SAE19" s="289"/>
      <c r="SAF19" s="289"/>
      <c r="SAG19" s="289"/>
      <c r="SAH19" s="289"/>
      <c r="SAI19" s="289"/>
      <c r="SAJ19" s="289"/>
      <c r="SAK19" s="289"/>
      <c r="SAL19" s="289"/>
      <c r="SAM19" s="289"/>
      <c r="SAN19" s="289"/>
      <c r="SAO19" s="289"/>
      <c r="SAP19" s="289"/>
      <c r="SAQ19" s="289"/>
      <c r="SAR19" s="289"/>
      <c r="SAS19" s="289"/>
      <c r="SAT19" s="289"/>
      <c r="SAU19" s="289"/>
      <c r="SAV19" s="289"/>
      <c r="SAW19" s="289"/>
      <c r="SAX19" s="289"/>
      <c r="SAY19" s="289"/>
      <c r="SAZ19" s="289"/>
      <c r="SBA19" s="289"/>
      <c r="SBB19" s="289"/>
      <c r="SBC19" s="289"/>
      <c r="SBD19" s="289"/>
      <c r="SBE19" s="289"/>
      <c r="SBF19" s="289"/>
      <c r="SBG19" s="289"/>
      <c r="SBH19" s="289"/>
      <c r="SBI19" s="289"/>
      <c r="SBJ19" s="289"/>
      <c r="SBK19" s="289"/>
      <c r="SBL19" s="289"/>
      <c r="SBM19" s="289"/>
      <c r="SBN19" s="289"/>
      <c r="SBO19" s="289"/>
      <c r="SBP19" s="289"/>
      <c r="SBQ19" s="289"/>
      <c r="SBR19" s="289"/>
      <c r="SBS19" s="289"/>
      <c r="SBT19" s="289"/>
      <c r="SBU19" s="289"/>
      <c r="SBV19" s="289"/>
      <c r="SBW19" s="289"/>
      <c r="SBX19" s="289"/>
      <c r="SBY19" s="289"/>
      <c r="SBZ19" s="289"/>
      <c r="SCA19" s="289"/>
      <c r="SCB19" s="289"/>
      <c r="SCC19" s="289"/>
      <c r="SCD19" s="289"/>
      <c r="SCE19" s="289"/>
      <c r="SCF19" s="289"/>
      <c r="SCG19" s="289"/>
      <c r="SCH19" s="289"/>
      <c r="SCI19" s="289"/>
      <c r="SCJ19" s="289"/>
      <c r="SCK19" s="289"/>
      <c r="SCL19" s="289"/>
      <c r="SCM19" s="289"/>
      <c r="SCN19" s="289"/>
      <c r="SCO19" s="289"/>
      <c r="SCP19" s="289"/>
      <c r="SCQ19" s="289"/>
      <c r="SCR19" s="289"/>
      <c r="SCS19" s="289"/>
      <c r="SCT19" s="289"/>
      <c r="SCU19" s="289"/>
      <c r="SCV19" s="289"/>
      <c r="SCW19" s="289"/>
      <c r="SCX19" s="289"/>
      <c r="SCY19" s="289"/>
      <c r="SCZ19" s="289"/>
      <c r="SDA19" s="289"/>
      <c r="SDB19" s="289"/>
      <c r="SDC19" s="289"/>
      <c r="SDD19" s="289"/>
      <c r="SDE19" s="289"/>
      <c r="SDF19" s="289"/>
      <c r="SDG19" s="289"/>
      <c r="SDH19" s="289"/>
      <c r="SDI19" s="289"/>
      <c r="SDJ19" s="289"/>
      <c r="SDK19" s="289"/>
      <c r="SDL19" s="289"/>
      <c r="SDM19" s="289"/>
      <c r="SDN19" s="289"/>
      <c r="SDO19" s="289"/>
      <c r="SDP19" s="289"/>
      <c r="SDQ19" s="289"/>
      <c r="SDR19" s="289"/>
      <c r="SDS19" s="289"/>
      <c r="SDT19" s="289"/>
      <c r="SDU19" s="289"/>
      <c r="SDV19" s="289"/>
      <c r="SDW19" s="289"/>
      <c r="SDX19" s="289"/>
      <c r="SDY19" s="289"/>
      <c r="SDZ19" s="289"/>
      <c r="SEA19" s="289"/>
      <c r="SEB19" s="289"/>
      <c r="SEC19" s="289"/>
      <c r="SED19" s="289"/>
      <c r="SEE19" s="289"/>
      <c r="SEF19" s="289"/>
      <c r="SEG19" s="289"/>
      <c r="SEH19" s="289"/>
      <c r="SEI19" s="289"/>
      <c r="SEJ19" s="289"/>
      <c r="SEK19" s="289"/>
      <c r="SEL19" s="289"/>
      <c r="SEM19" s="289"/>
      <c r="SEN19" s="289"/>
      <c r="SEO19" s="289"/>
      <c r="SEP19" s="289"/>
      <c r="SEQ19" s="289"/>
      <c r="SER19" s="289"/>
      <c r="SES19" s="289"/>
      <c r="SET19" s="289"/>
      <c r="SEU19" s="289"/>
      <c r="SEV19" s="289"/>
      <c r="SEW19" s="289"/>
      <c r="SEX19" s="289"/>
      <c r="SEY19" s="289"/>
      <c r="SEZ19" s="289"/>
      <c r="SFA19" s="289"/>
      <c r="SFB19" s="289"/>
      <c r="SFC19" s="289"/>
      <c r="SFD19" s="289"/>
      <c r="SFE19" s="289"/>
      <c r="SFF19" s="289"/>
      <c r="SFG19" s="289"/>
      <c r="SFH19" s="289"/>
      <c r="SFI19" s="289"/>
      <c r="SFJ19" s="289"/>
      <c r="SFK19" s="289"/>
      <c r="SFL19" s="289"/>
      <c r="SFM19" s="289"/>
      <c r="SFN19" s="289"/>
      <c r="SFO19" s="289"/>
      <c r="SFP19" s="289"/>
      <c r="SFQ19" s="289"/>
      <c r="SFR19" s="289"/>
      <c r="SFS19" s="289"/>
      <c r="SFT19" s="289"/>
      <c r="SFU19" s="289"/>
      <c r="SFV19" s="289"/>
      <c r="SFW19" s="289"/>
      <c r="SFX19" s="289"/>
      <c r="SFY19" s="289"/>
      <c r="SFZ19" s="289"/>
      <c r="SGA19" s="289"/>
      <c r="SGB19" s="289"/>
      <c r="SGC19" s="289"/>
      <c r="SGD19" s="289"/>
      <c r="SGE19" s="289"/>
      <c r="SGF19" s="289"/>
      <c r="SGG19" s="289"/>
      <c r="SGH19" s="289"/>
      <c r="SGI19" s="289"/>
      <c r="SGJ19" s="289"/>
      <c r="SGK19" s="289"/>
      <c r="SGL19" s="289"/>
      <c r="SGM19" s="289"/>
      <c r="SGN19" s="289"/>
      <c r="SGO19" s="289"/>
      <c r="SGP19" s="289"/>
      <c r="SGQ19" s="289"/>
      <c r="SGR19" s="289"/>
      <c r="SGS19" s="289"/>
      <c r="SGT19" s="289"/>
      <c r="SGU19" s="289"/>
      <c r="SGV19" s="289"/>
      <c r="SGW19" s="289"/>
      <c r="SGX19" s="289"/>
      <c r="SGY19" s="289"/>
      <c r="SGZ19" s="289"/>
      <c r="SHA19" s="289"/>
      <c r="SHB19" s="289"/>
      <c r="SHC19" s="289"/>
      <c r="SHD19" s="289"/>
      <c r="SHE19" s="289"/>
      <c r="SHF19" s="289"/>
      <c r="SHG19" s="289"/>
      <c r="SHH19" s="289"/>
      <c r="SHI19" s="289"/>
      <c r="SHJ19" s="289"/>
      <c r="SHK19" s="289"/>
      <c r="SHL19" s="289"/>
      <c r="SHM19" s="289"/>
      <c r="SHN19" s="289"/>
      <c r="SHO19" s="289"/>
      <c r="SHP19" s="289"/>
      <c r="SHQ19" s="289"/>
      <c r="SHR19" s="289"/>
      <c r="SHS19" s="289"/>
      <c r="SHT19" s="289"/>
      <c r="SHU19" s="289"/>
      <c r="SHV19" s="289"/>
      <c r="SHW19" s="289"/>
      <c r="SHX19" s="289"/>
      <c r="SHY19" s="289"/>
      <c r="SHZ19" s="289"/>
      <c r="SIA19" s="289"/>
      <c r="SIB19" s="289"/>
      <c r="SIC19" s="289"/>
      <c r="SID19" s="289"/>
      <c r="SIE19" s="289"/>
      <c r="SIF19" s="289"/>
      <c r="SIG19" s="289"/>
      <c r="SIH19" s="289"/>
      <c r="SII19" s="289"/>
      <c r="SIJ19" s="289"/>
      <c r="SIK19" s="289"/>
      <c r="SIL19" s="289"/>
      <c r="SIM19" s="289"/>
      <c r="SIN19" s="289"/>
      <c r="SIO19" s="289"/>
      <c r="SIP19" s="289"/>
      <c r="SIQ19" s="289"/>
      <c r="SIR19" s="289"/>
      <c r="SIS19" s="289"/>
      <c r="SIT19" s="289"/>
      <c r="SIU19" s="289"/>
      <c r="SIV19" s="289"/>
      <c r="SIW19" s="289"/>
      <c r="SIX19" s="289"/>
      <c r="SIY19" s="289"/>
      <c r="SIZ19" s="289"/>
      <c r="SJA19" s="289"/>
      <c r="SJB19" s="289"/>
      <c r="SJC19" s="289"/>
      <c r="SJD19" s="289"/>
      <c r="SJE19" s="289"/>
      <c r="SJF19" s="289"/>
      <c r="SJG19" s="289"/>
      <c r="SJH19" s="289"/>
      <c r="SJI19" s="289"/>
      <c r="SJJ19" s="289"/>
      <c r="SJK19" s="289"/>
      <c r="SJL19" s="289"/>
      <c r="SJM19" s="289"/>
      <c r="SJN19" s="289"/>
      <c r="SJO19" s="289"/>
      <c r="SJP19" s="289"/>
      <c r="SJQ19" s="289"/>
      <c r="SJR19" s="289"/>
      <c r="SJS19" s="289"/>
      <c r="SJT19" s="289"/>
      <c r="SJU19" s="289"/>
      <c r="SJV19" s="289"/>
      <c r="SJW19" s="289"/>
      <c r="SJX19" s="289"/>
      <c r="SJY19" s="289"/>
      <c r="SJZ19" s="289"/>
      <c r="SKA19" s="289"/>
      <c r="SKB19" s="289"/>
      <c r="SKC19" s="289"/>
      <c r="SKD19" s="289"/>
      <c r="SKE19" s="289"/>
      <c r="SKF19" s="289"/>
      <c r="SKG19" s="289"/>
      <c r="SKH19" s="289"/>
      <c r="SKI19" s="289"/>
      <c r="SKJ19" s="289"/>
      <c r="SKK19" s="289"/>
      <c r="SKL19" s="289"/>
      <c r="SKM19" s="289"/>
      <c r="SKN19" s="289"/>
      <c r="SKO19" s="289"/>
      <c r="SKP19" s="289"/>
      <c r="SKQ19" s="289"/>
      <c r="SKR19" s="289"/>
      <c r="SKS19" s="289"/>
      <c r="SKT19" s="289"/>
      <c r="SKU19" s="289"/>
      <c r="SKV19" s="289"/>
      <c r="SKW19" s="289"/>
      <c r="SKX19" s="289"/>
      <c r="SKY19" s="289"/>
      <c r="SKZ19" s="289"/>
      <c r="SLA19" s="289"/>
      <c r="SLB19" s="289"/>
      <c r="SLC19" s="289"/>
      <c r="SLD19" s="289"/>
      <c r="SLE19" s="289"/>
      <c r="SLF19" s="289"/>
      <c r="SLG19" s="289"/>
      <c r="SLH19" s="289"/>
      <c r="SLI19" s="289"/>
      <c r="SLJ19" s="289"/>
      <c r="SLK19" s="289"/>
      <c r="SLL19" s="289"/>
      <c r="SLM19" s="289"/>
      <c r="SLN19" s="289"/>
      <c r="SLO19" s="289"/>
      <c r="SLP19" s="289"/>
      <c r="SLQ19" s="289"/>
      <c r="SLR19" s="289"/>
      <c r="SLS19" s="289"/>
      <c r="SLT19" s="289"/>
      <c r="SLU19" s="289"/>
      <c r="SLV19" s="289"/>
      <c r="SLW19" s="289"/>
      <c r="SLX19" s="289"/>
      <c r="SLY19" s="289"/>
      <c r="SLZ19" s="289"/>
      <c r="SMA19" s="289"/>
      <c r="SMB19" s="289"/>
      <c r="SMC19" s="289"/>
      <c r="SMD19" s="289"/>
      <c r="SME19" s="289"/>
      <c r="SMF19" s="289"/>
      <c r="SMG19" s="289"/>
      <c r="SMH19" s="289"/>
      <c r="SMI19" s="289"/>
      <c r="SMJ19" s="289"/>
      <c r="SMK19" s="289"/>
      <c r="SML19" s="289"/>
      <c r="SMM19" s="289"/>
      <c r="SMN19" s="289"/>
      <c r="SMO19" s="289"/>
      <c r="SMP19" s="289"/>
      <c r="SMQ19" s="289"/>
      <c r="SMR19" s="289"/>
      <c r="SMS19" s="289"/>
      <c r="SMT19" s="289"/>
      <c r="SMU19" s="289"/>
      <c r="SMV19" s="289"/>
      <c r="SMW19" s="289"/>
      <c r="SMX19" s="289"/>
      <c r="SMY19" s="289"/>
      <c r="SMZ19" s="289"/>
      <c r="SNA19" s="289"/>
      <c r="SNB19" s="289"/>
      <c r="SNC19" s="289"/>
      <c r="SND19" s="289"/>
      <c r="SNE19" s="289"/>
      <c r="SNF19" s="289"/>
      <c r="SNG19" s="289"/>
      <c r="SNH19" s="289"/>
      <c r="SNI19" s="289"/>
      <c r="SNJ19" s="289"/>
      <c r="SNK19" s="289"/>
      <c r="SNL19" s="289"/>
      <c r="SNM19" s="289"/>
      <c r="SNN19" s="289"/>
      <c r="SNO19" s="289"/>
      <c r="SNP19" s="289"/>
      <c r="SNQ19" s="289"/>
      <c r="SNR19" s="289"/>
      <c r="SNS19" s="289"/>
      <c r="SNT19" s="289"/>
      <c r="SNU19" s="289"/>
      <c r="SNV19" s="289"/>
      <c r="SNW19" s="289"/>
      <c r="SNX19" s="289"/>
      <c r="SNY19" s="289"/>
      <c r="SNZ19" s="289"/>
      <c r="SOA19" s="289"/>
      <c r="SOB19" s="289"/>
      <c r="SOC19" s="289"/>
      <c r="SOD19" s="289"/>
      <c r="SOE19" s="289"/>
      <c r="SOF19" s="289"/>
      <c r="SOG19" s="289"/>
      <c r="SOH19" s="289"/>
      <c r="SOI19" s="289"/>
      <c r="SOJ19" s="289"/>
      <c r="SOK19" s="289"/>
      <c r="SOL19" s="289"/>
      <c r="SOM19" s="289"/>
      <c r="SON19" s="289"/>
      <c r="SOO19" s="289"/>
      <c r="SOP19" s="289"/>
      <c r="SOQ19" s="289"/>
      <c r="SOR19" s="289"/>
      <c r="SOS19" s="289"/>
      <c r="SOT19" s="289"/>
      <c r="SOU19" s="289"/>
      <c r="SOV19" s="289"/>
      <c r="SOW19" s="289"/>
      <c r="SOX19" s="289"/>
      <c r="SOY19" s="289"/>
      <c r="SOZ19" s="289"/>
      <c r="SPA19" s="289"/>
      <c r="SPB19" s="289"/>
      <c r="SPC19" s="289"/>
      <c r="SPD19" s="289"/>
      <c r="SPE19" s="289"/>
      <c r="SPF19" s="289"/>
      <c r="SPG19" s="289"/>
      <c r="SPH19" s="289"/>
      <c r="SPI19" s="289"/>
      <c r="SPJ19" s="289"/>
      <c r="SPK19" s="289"/>
      <c r="SPL19" s="289"/>
      <c r="SPM19" s="289"/>
      <c r="SPN19" s="289"/>
      <c r="SPO19" s="289"/>
      <c r="SPP19" s="289"/>
      <c r="SPQ19" s="289"/>
      <c r="SPR19" s="289"/>
      <c r="SPS19" s="289"/>
      <c r="SPT19" s="289"/>
      <c r="SPU19" s="289"/>
      <c r="SPV19" s="289"/>
      <c r="SPW19" s="289"/>
      <c r="SPX19" s="289"/>
      <c r="SPY19" s="289"/>
      <c r="SPZ19" s="289"/>
      <c r="SQA19" s="289"/>
      <c r="SQB19" s="289"/>
      <c r="SQC19" s="289"/>
      <c r="SQD19" s="289"/>
      <c r="SQE19" s="289"/>
      <c r="SQF19" s="289"/>
      <c r="SQG19" s="289"/>
      <c r="SQH19" s="289"/>
      <c r="SQI19" s="289"/>
      <c r="SQJ19" s="289"/>
      <c r="SQK19" s="289"/>
      <c r="SQL19" s="289"/>
      <c r="SQM19" s="289"/>
      <c r="SQN19" s="289"/>
      <c r="SQO19" s="289"/>
      <c r="SQP19" s="289"/>
      <c r="SQQ19" s="289"/>
      <c r="SQR19" s="289"/>
      <c r="SQS19" s="289"/>
      <c r="SQT19" s="289"/>
      <c r="SQU19" s="289"/>
      <c r="SQV19" s="289"/>
      <c r="SQW19" s="289"/>
      <c r="SQX19" s="289"/>
      <c r="SQY19" s="289"/>
      <c r="SQZ19" s="289"/>
      <c r="SRA19" s="289"/>
      <c r="SRB19" s="289"/>
      <c r="SRC19" s="289"/>
      <c r="SRD19" s="289"/>
      <c r="SRE19" s="289"/>
      <c r="SRF19" s="289"/>
      <c r="SRG19" s="289"/>
      <c r="SRH19" s="289"/>
      <c r="SRI19" s="289"/>
      <c r="SRJ19" s="289"/>
      <c r="SRK19" s="289"/>
      <c r="SRL19" s="289"/>
      <c r="SRM19" s="289"/>
      <c r="SRN19" s="289"/>
      <c r="SRO19" s="289"/>
      <c r="SRP19" s="289"/>
      <c r="SRQ19" s="289"/>
      <c r="SRR19" s="289"/>
      <c r="SRS19" s="289"/>
      <c r="SRT19" s="289"/>
      <c r="SRU19" s="289"/>
      <c r="SRV19" s="289"/>
      <c r="SRW19" s="289"/>
      <c r="SRX19" s="289"/>
      <c r="SRY19" s="289"/>
      <c r="SRZ19" s="289"/>
      <c r="SSA19" s="289"/>
      <c r="SSB19" s="289"/>
      <c r="SSC19" s="289"/>
      <c r="SSD19" s="289"/>
      <c r="SSE19" s="289"/>
      <c r="SSF19" s="289"/>
      <c r="SSG19" s="289"/>
      <c r="SSH19" s="289"/>
      <c r="SSI19" s="289"/>
      <c r="SSJ19" s="289"/>
      <c r="SSK19" s="289"/>
      <c r="SSL19" s="289"/>
      <c r="SSM19" s="289"/>
      <c r="SSN19" s="289"/>
      <c r="SSO19" s="289"/>
      <c r="SSP19" s="289"/>
      <c r="SSQ19" s="289"/>
      <c r="SSR19" s="289"/>
      <c r="SSS19" s="289"/>
      <c r="SST19" s="289"/>
      <c r="SSU19" s="289"/>
      <c r="SSV19" s="289"/>
      <c r="SSW19" s="289"/>
      <c r="SSX19" s="289"/>
      <c r="SSY19" s="289"/>
      <c r="SSZ19" s="289"/>
      <c r="STA19" s="289"/>
      <c r="STB19" s="289"/>
      <c r="STC19" s="289"/>
      <c r="STD19" s="289"/>
      <c r="STE19" s="289"/>
      <c r="STF19" s="289"/>
      <c r="STG19" s="289"/>
      <c r="STH19" s="289"/>
      <c r="STI19" s="289"/>
      <c r="STJ19" s="289"/>
      <c r="STK19" s="289"/>
      <c r="STL19" s="289"/>
      <c r="STM19" s="289"/>
      <c r="STN19" s="289"/>
      <c r="STO19" s="289"/>
      <c r="STP19" s="289"/>
      <c r="STQ19" s="289"/>
      <c r="STR19" s="289"/>
      <c r="STS19" s="289"/>
      <c r="STT19" s="289"/>
      <c r="STU19" s="289"/>
      <c r="STV19" s="289"/>
      <c r="STW19" s="289"/>
      <c r="STX19" s="289"/>
      <c r="STY19" s="289"/>
      <c r="STZ19" s="289"/>
      <c r="SUA19" s="289"/>
      <c r="SUB19" s="289"/>
      <c r="SUC19" s="289"/>
      <c r="SUD19" s="289"/>
      <c r="SUE19" s="289"/>
      <c r="SUF19" s="289"/>
      <c r="SUG19" s="289"/>
      <c r="SUH19" s="289"/>
      <c r="SUI19" s="289"/>
      <c r="SUJ19" s="289"/>
      <c r="SUK19" s="289"/>
      <c r="SUL19" s="289"/>
      <c r="SUM19" s="289"/>
      <c r="SUN19" s="289"/>
      <c r="SUO19" s="289"/>
      <c r="SUP19" s="289"/>
      <c r="SUQ19" s="289"/>
      <c r="SUR19" s="289"/>
      <c r="SUS19" s="289"/>
      <c r="SUT19" s="289"/>
      <c r="SUU19" s="289"/>
      <c r="SUV19" s="289"/>
      <c r="SUW19" s="289"/>
      <c r="SUX19" s="289"/>
      <c r="SUY19" s="289"/>
      <c r="SUZ19" s="289"/>
      <c r="SVA19" s="289"/>
      <c r="SVB19" s="289"/>
      <c r="SVC19" s="289"/>
      <c r="SVD19" s="289"/>
      <c r="SVE19" s="289"/>
      <c r="SVF19" s="289"/>
      <c r="SVG19" s="289"/>
      <c r="SVH19" s="289"/>
      <c r="SVI19" s="289"/>
      <c r="SVJ19" s="289"/>
      <c r="SVK19" s="289"/>
      <c r="SVL19" s="289"/>
      <c r="SVM19" s="289"/>
      <c r="SVN19" s="289"/>
      <c r="SVO19" s="289"/>
      <c r="SVP19" s="289"/>
      <c r="SVQ19" s="289"/>
      <c r="SVR19" s="289"/>
      <c r="SVS19" s="289"/>
      <c r="SVT19" s="289"/>
      <c r="SVU19" s="289"/>
      <c r="SVV19" s="289"/>
      <c r="SVW19" s="289"/>
      <c r="SVX19" s="289"/>
      <c r="SVY19" s="289"/>
      <c r="SVZ19" s="289"/>
      <c r="SWA19" s="289"/>
      <c r="SWB19" s="289"/>
      <c r="SWC19" s="289"/>
      <c r="SWD19" s="289"/>
      <c r="SWE19" s="289"/>
      <c r="SWF19" s="289"/>
      <c r="SWG19" s="289"/>
      <c r="SWH19" s="289"/>
      <c r="SWI19" s="289"/>
      <c r="SWJ19" s="289"/>
      <c r="SWK19" s="289"/>
      <c r="SWL19" s="289"/>
      <c r="SWM19" s="289"/>
      <c r="SWN19" s="289"/>
      <c r="SWO19" s="289"/>
      <c r="SWP19" s="289"/>
      <c r="SWQ19" s="289"/>
      <c r="SWR19" s="289"/>
      <c r="SWS19" s="289"/>
      <c r="SWT19" s="289"/>
      <c r="SWU19" s="289"/>
      <c r="SWV19" s="289"/>
      <c r="SWW19" s="289"/>
      <c r="SWX19" s="289"/>
      <c r="SWY19" s="289"/>
      <c r="SWZ19" s="289"/>
      <c r="SXA19" s="289"/>
      <c r="SXB19" s="289"/>
      <c r="SXC19" s="289"/>
      <c r="SXD19" s="289"/>
      <c r="SXE19" s="289"/>
      <c r="SXF19" s="289"/>
      <c r="SXG19" s="289"/>
      <c r="SXH19" s="289"/>
      <c r="SXI19" s="289"/>
      <c r="SXJ19" s="289"/>
      <c r="SXK19" s="289"/>
      <c r="SXL19" s="289"/>
      <c r="SXM19" s="289"/>
      <c r="SXN19" s="289"/>
      <c r="SXO19" s="289"/>
      <c r="SXP19" s="289"/>
      <c r="SXQ19" s="289"/>
      <c r="SXR19" s="289"/>
      <c r="SXS19" s="289"/>
      <c r="SXT19" s="289"/>
      <c r="SXU19" s="289"/>
      <c r="SXV19" s="289"/>
      <c r="SXW19" s="289"/>
      <c r="SXX19" s="289"/>
      <c r="SXY19" s="289"/>
      <c r="SXZ19" s="289"/>
      <c r="SYA19" s="289"/>
      <c r="SYB19" s="289"/>
      <c r="SYC19" s="289"/>
      <c r="SYD19" s="289"/>
      <c r="SYE19" s="289"/>
      <c r="SYF19" s="289"/>
      <c r="SYG19" s="289"/>
      <c r="SYH19" s="289"/>
      <c r="SYI19" s="289"/>
      <c r="SYJ19" s="289"/>
      <c r="SYK19" s="289"/>
      <c r="SYL19" s="289"/>
      <c r="SYM19" s="289"/>
      <c r="SYN19" s="289"/>
      <c r="SYO19" s="289"/>
      <c r="SYP19" s="289"/>
      <c r="SYQ19" s="289"/>
      <c r="SYR19" s="289"/>
      <c r="SYS19" s="289"/>
      <c r="SYT19" s="289"/>
      <c r="SYU19" s="289"/>
      <c r="SYV19" s="289"/>
      <c r="SYW19" s="289"/>
      <c r="SYX19" s="289"/>
      <c r="SYY19" s="289"/>
      <c r="SYZ19" s="289"/>
      <c r="SZA19" s="289"/>
      <c r="SZB19" s="289"/>
      <c r="SZC19" s="289"/>
      <c r="SZD19" s="289"/>
      <c r="SZE19" s="289"/>
      <c r="SZF19" s="289"/>
      <c r="SZG19" s="289"/>
      <c r="SZH19" s="289"/>
      <c r="SZI19" s="289"/>
      <c r="SZJ19" s="289"/>
      <c r="SZK19" s="289"/>
      <c r="SZL19" s="289"/>
      <c r="SZM19" s="289"/>
      <c r="SZN19" s="289"/>
      <c r="SZO19" s="289"/>
      <c r="SZP19" s="289"/>
      <c r="SZQ19" s="289"/>
      <c r="SZR19" s="289"/>
      <c r="SZS19" s="289"/>
      <c r="SZT19" s="289"/>
      <c r="SZU19" s="289"/>
      <c r="SZV19" s="289"/>
      <c r="SZW19" s="289"/>
      <c r="SZX19" s="289"/>
      <c r="SZY19" s="289"/>
      <c r="SZZ19" s="289"/>
      <c r="TAA19" s="289"/>
      <c r="TAB19" s="289"/>
      <c r="TAC19" s="289"/>
      <c r="TAD19" s="289"/>
      <c r="TAE19" s="289"/>
      <c r="TAF19" s="289"/>
      <c r="TAG19" s="289"/>
      <c r="TAH19" s="289"/>
      <c r="TAI19" s="289"/>
      <c r="TAJ19" s="289"/>
      <c r="TAK19" s="289"/>
      <c r="TAL19" s="289"/>
      <c r="TAM19" s="289"/>
      <c r="TAN19" s="289"/>
      <c r="TAO19" s="289"/>
      <c r="TAP19" s="289"/>
      <c r="TAQ19" s="289"/>
      <c r="TAR19" s="289"/>
      <c r="TAS19" s="289"/>
      <c r="TAT19" s="289"/>
      <c r="TAU19" s="289"/>
      <c r="TAV19" s="289"/>
      <c r="TAW19" s="289"/>
      <c r="TAX19" s="289"/>
      <c r="TAY19" s="289"/>
      <c r="TAZ19" s="289"/>
      <c r="TBA19" s="289"/>
      <c r="TBB19" s="289"/>
      <c r="TBC19" s="289"/>
      <c r="TBD19" s="289"/>
      <c r="TBE19" s="289"/>
      <c r="TBF19" s="289"/>
      <c r="TBG19" s="289"/>
      <c r="TBH19" s="289"/>
      <c r="TBI19" s="289"/>
      <c r="TBJ19" s="289"/>
      <c r="TBK19" s="289"/>
      <c r="TBL19" s="289"/>
      <c r="TBM19" s="289"/>
      <c r="TBN19" s="289"/>
      <c r="TBO19" s="289"/>
      <c r="TBP19" s="289"/>
      <c r="TBQ19" s="289"/>
      <c r="TBR19" s="289"/>
      <c r="TBS19" s="289"/>
      <c r="TBT19" s="289"/>
      <c r="TBU19" s="289"/>
      <c r="TBV19" s="289"/>
      <c r="TBW19" s="289"/>
      <c r="TBX19" s="289"/>
      <c r="TBY19" s="289"/>
      <c r="TBZ19" s="289"/>
      <c r="TCA19" s="289"/>
      <c r="TCB19" s="289"/>
      <c r="TCC19" s="289"/>
      <c r="TCD19" s="289"/>
      <c r="TCE19" s="289"/>
      <c r="TCF19" s="289"/>
      <c r="TCG19" s="289"/>
      <c r="TCH19" s="289"/>
      <c r="TCI19" s="289"/>
      <c r="TCJ19" s="289"/>
      <c r="TCK19" s="289"/>
      <c r="TCL19" s="289"/>
      <c r="TCM19" s="289"/>
      <c r="TCN19" s="289"/>
      <c r="TCO19" s="289"/>
      <c r="TCP19" s="289"/>
      <c r="TCQ19" s="289"/>
      <c r="TCR19" s="289"/>
      <c r="TCS19" s="289"/>
      <c r="TCT19" s="289"/>
      <c r="TCU19" s="289"/>
      <c r="TCV19" s="289"/>
      <c r="TCW19" s="289"/>
      <c r="TCX19" s="289"/>
      <c r="TCY19" s="289"/>
      <c r="TCZ19" s="289"/>
      <c r="TDA19" s="289"/>
      <c r="TDB19" s="289"/>
      <c r="TDC19" s="289"/>
      <c r="TDD19" s="289"/>
      <c r="TDE19" s="289"/>
      <c r="TDF19" s="289"/>
      <c r="TDG19" s="289"/>
      <c r="TDH19" s="289"/>
      <c r="TDI19" s="289"/>
      <c r="TDJ19" s="289"/>
      <c r="TDK19" s="289"/>
      <c r="TDL19" s="289"/>
      <c r="TDM19" s="289"/>
      <c r="TDN19" s="289"/>
      <c r="TDO19" s="289"/>
      <c r="TDP19" s="289"/>
      <c r="TDQ19" s="289"/>
      <c r="TDR19" s="289"/>
      <c r="TDS19" s="289"/>
      <c r="TDT19" s="289"/>
      <c r="TDU19" s="289"/>
      <c r="TDV19" s="289"/>
      <c r="TDW19" s="289"/>
      <c r="TDX19" s="289"/>
      <c r="TDY19" s="289"/>
      <c r="TDZ19" s="289"/>
      <c r="TEA19" s="289"/>
      <c r="TEB19" s="289"/>
      <c r="TEC19" s="289"/>
      <c r="TED19" s="289"/>
      <c r="TEE19" s="289"/>
      <c r="TEF19" s="289"/>
      <c r="TEG19" s="289"/>
      <c r="TEH19" s="289"/>
      <c r="TEI19" s="289"/>
      <c r="TEJ19" s="289"/>
      <c r="TEK19" s="289"/>
      <c r="TEL19" s="289"/>
      <c r="TEM19" s="289"/>
      <c r="TEN19" s="289"/>
      <c r="TEO19" s="289"/>
      <c r="TEP19" s="289"/>
      <c r="TEQ19" s="289"/>
      <c r="TER19" s="289"/>
      <c r="TES19" s="289"/>
      <c r="TET19" s="289"/>
      <c r="TEU19" s="289"/>
      <c r="TEV19" s="289"/>
      <c r="TEW19" s="289"/>
      <c r="TEX19" s="289"/>
      <c r="TEY19" s="289"/>
      <c r="TEZ19" s="289"/>
      <c r="TFA19" s="289"/>
      <c r="TFB19" s="289"/>
      <c r="TFC19" s="289"/>
      <c r="TFD19" s="289"/>
      <c r="TFE19" s="289"/>
      <c r="TFF19" s="289"/>
      <c r="TFG19" s="289"/>
      <c r="TFH19" s="289"/>
      <c r="TFI19" s="289"/>
      <c r="TFJ19" s="289"/>
      <c r="TFK19" s="289"/>
      <c r="TFL19" s="289"/>
      <c r="TFM19" s="289"/>
      <c r="TFN19" s="289"/>
      <c r="TFO19" s="289"/>
      <c r="TFP19" s="289"/>
      <c r="TFQ19" s="289"/>
      <c r="TFR19" s="289"/>
      <c r="TFS19" s="289"/>
      <c r="TFT19" s="289"/>
      <c r="TFU19" s="289"/>
      <c r="TFV19" s="289"/>
      <c r="TFW19" s="289"/>
      <c r="TFX19" s="289"/>
      <c r="TFY19" s="289"/>
      <c r="TFZ19" s="289"/>
      <c r="TGA19" s="289"/>
      <c r="TGB19" s="289"/>
      <c r="TGC19" s="289"/>
      <c r="TGD19" s="289"/>
      <c r="TGE19" s="289"/>
      <c r="TGF19" s="289"/>
      <c r="TGG19" s="289"/>
      <c r="TGH19" s="289"/>
      <c r="TGI19" s="289"/>
      <c r="TGJ19" s="289"/>
      <c r="TGK19" s="289"/>
      <c r="TGL19" s="289"/>
      <c r="TGM19" s="289"/>
      <c r="TGN19" s="289"/>
      <c r="TGO19" s="289"/>
      <c r="TGP19" s="289"/>
      <c r="TGQ19" s="289"/>
      <c r="TGR19" s="289"/>
      <c r="TGS19" s="289"/>
      <c r="TGT19" s="289"/>
      <c r="TGU19" s="289"/>
      <c r="TGV19" s="289"/>
      <c r="TGW19" s="289"/>
      <c r="TGX19" s="289"/>
      <c r="TGY19" s="289"/>
      <c r="TGZ19" s="289"/>
      <c r="THA19" s="289"/>
      <c r="THB19" s="289"/>
      <c r="THC19" s="289"/>
      <c r="THD19" s="289"/>
      <c r="THE19" s="289"/>
      <c r="THF19" s="289"/>
      <c r="THG19" s="289"/>
      <c r="THH19" s="289"/>
      <c r="THI19" s="289"/>
      <c r="THJ19" s="289"/>
      <c r="THK19" s="289"/>
      <c r="THL19" s="289"/>
      <c r="THM19" s="289"/>
      <c r="THN19" s="289"/>
      <c r="THO19" s="289"/>
      <c r="THP19" s="289"/>
      <c r="THQ19" s="289"/>
      <c r="THR19" s="289"/>
      <c r="THS19" s="289"/>
      <c r="THT19" s="289"/>
      <c r="THU19" s="289"/>
      <c r="THV19" s="289"/>
      <c r="THW19" s="289"/>
      <c r="THX19" s="289"/>
      <c r="THY19" s="289"/>
      <c r="THZ19" s="289"/>
      <c r="TIA19" s="289"/>
      <c r="TIB19" s="289"/>
      <c r="TIC19" s="289"/>
      <c r="TID19" s="289"/>
      <c r="TIE19" s="289"/>
      <c r="TIF19" s="289"/>
      <c r="TIG19" s="289"/>
      <c r="TIH19" s="289"/>
      <c r="TII19" s="289"/>
      <c r="TIJ19" s="289"/>
      <c r="TIK19" s="289"/>
      <c r="TIL19" s="289"/>
      <c r="TIM19" s="289"/>
      <c r="TIN19" s="289"/>
      <c r="TIO19" s="289"/>
      <c r="TIP19" s="289"/>
      <c r="TIQ19" s="289"/>
      <c r="TIR19" s="289"/>
      <c r="TIS19" s="289"/>
      <c r="TIT19" s="289"/>
      <c r="TIU19" s="289"/>
      <c r="TIV19" s="289"/>
      <c r="TIW19" s="289"/>
      <c r="TIX19" s="289"/>
      <c r="TIY19" s="289"/>
      <c r="TIZ19" s="289"/>
      <c r="TJA19" s="289"/>
      <c r="TJB19" s="289"/>
      <c r="TJC19" s="289"/>
      <c r="TJD19" s="289"/>
      <c r="TJE19" s="289"/>
      <c r="TJF19" s="289"/>
      <c r="TJG19" s="289"/>
      <c r="TJH19" s="289"/>
      <c r="TJI19" s="289"/>
      <c r="TJJ19" s="289"/>
      <c r="TJK19" s="289"/>
      <c r="TJL19" s="289"/>
      <c r="TJM19" s="289"/>
      <c r="TJN19" s="289"/>
      <c r="TJO19" s="289"/>
      <c r="TJP19" s="289"/>
      <c r="TJQ19" s="289"/>
      <c r="TJR19" s="289"/>
      <c r="TJS19" s="289"/>
      <c r="TJT19" s="289"/>
      <c r="TJU19" s="289"/>
      <c r="TJV19" s="289"/>
      <c r="TJW19" s="289"/>
      <c r="TJX19" s="289"/>
      <c r="TJY19" s="289"/>
      <c r="TJZ19" s="289"/>
      <c r="TKA19" s="289"/>
      <c r="TKB19" s="289"/>
      <c r="TKC19" s="289"/>
      <c r="TKD19" s="289"/>
      <c r="TKE19" s="289"/>
      <c r="TKF19" s="289"/>
      <c r="TKG19" s="289"/>
      <c r="TKH19" s="289"/>
      <c r="TKI19" s="289"/>
      <c r="TKJ19" s="289"/>
      <c r="TKK19" s="289"/>
      <c r="TKL19" s="289"/>
      <c r="TKM19" s="289"/>
      <c r="TKN19" s="289"/>
      <c r="TKO19" s="289"/>
      <c r="TKP19" s="289"/>
      <c r="TKQ19" s="289"/>
      <c r="TKR19" s="289"/>
      <c r="TKS19" s="289"/>
      <c r="TKT19" s="289"/>
      <c r="TKU19" s="289"/>
      <c r="TKV19" s="289"/>
      <c r="TKW19" s="289"/>
      <c r="TKX19" s="289"/>
      <c r="TKY19" s="289"/>
      <c r="TKZ19" s="289"/>
      <c r="TLA19" s="289"/>
      <c r="TLB19" s="289"/>
      <c r="TLC19" s="289"/>
      <c r="TLD19" s="289"/>
      <c r="TLE19" s="289"/>
      <c r="TLF19" s="289"/>
      <c r="TLG19" s="289"/>
      <c r="TLH19" s="289"/>
      <c r="TLI19" s="289"/>
      <c r="TLJ19" s="289"/>
      <c r="TLK19" s="289"/>
      <c r="TLL19" s="289"/>
      <c r="TLM19" s="289"/>
      <c r="TLN19" s="289"/>
      <c r="TLO19" s="289"/>
      <c r="TLP19" s="289"/>
      <c r="TLQ19" s="289"/>
      <c r="TLR19" s="289"/>
      <c r="TLS19" s="289"/>
      <c r="TLT19" s="289"/>
      <c r="TLU19" s="289"/>
      <c r="TLV19" s="289"/>
      <c r="TLW19" s="289"/>
      <c r="TLX19" s="289"/>
      <c r="TLY19" s="289"/>
      <c r="TLZ19" s="289"/>
      <c r="TMA19" s="289"/>
      <c r="TMB19" s="289"/>
      <c r="TMC19" s="289"/>
      <c r="TMD19" s="289"/>
      <c r="TME19" s="289"/>
      <c r="TMF19" s="289"/>
      <c r="TMG19" s="289"/>
      <c r="TMH19" s="289"/>
      <c r="TMI19" s="289"/>
      <c r="TMJ19" s="289"/>
      <c r="TMK19" s="289"/>
      <c r="TML19" s="289"/>
      <c r="TMM19" s="289"/>
      <c r="TMN19" s="289"/>
      <c r="TMO19" s="289"/>
      <c r="TMP19" s="289"/>
      <c r="TMQ19" s="289"/>
      <c r="TMR19" s="289"/>
      <c r="TMS19" s="289"/>
      <c r="TMT19" s="289"/>
      <c r="TMU19" s="289"/>
      <c r="TMV19" s="289"/>
      <c r="TMW19" s="289"/>
      <c r="TMX19" s="289"/>
      <c r="TMY19" s="289"/>
      <c r="TMZ19" s="289"/>
      <c r="TNA19" s="289"/>
      <c r="TNB19" s="289"/>
      <c r="TNC19" s="289"/>
      <c r="TND19" s="289"/>
      <c r="TNE19" s="289"/>
      <c r="TNF19" s="289"/>
      <c r="TNG19" s="289"/>
      <c r="TNH19" s="289"/>
      <c r="TNI19" s="289"/>
      <c r="TNJ19" s="289"/>
      <c r="TNK19" s="289"/>
      <c r="TNL19" s="289"/>
      <c r="TNM19" s="289"/>
      <c r="TNN19" s="289"/>
      <c r="TNO19" s="289"/>
      <c r="TNP19" s="289"/>
      <c r="TNQ19" s="289"/>
      <c r="TNR19" s="289"/>
      <c r="TNS19" s="289"/>
      <c r="TNT19" s="289"/>
      <c r="TNU19" s="289"/>
      <c r="TNV19" s="289"/>
      <c r="TNW19" s="289"/>
      <c r="TNX19" s="289"/>
      <c r="TNY19" s="289"/>
      <c r="TNZ19" s="289"/>
      <c r="TOA19" s="289"/>
      <c r="TOB19" s="289"/>
      <c r="TOC19" s="289"/>
      <c r="TOD19" s="289"/>
      <c r="TOE19" s="289"/>
      <c r="TOF19" s="289"/>
      <c r="TOG19" s="289"/>
      <c r="TOH19" s="289"/>
      <c r="TOI19" s="289"/>
      <c r="TOJ19" s="289"/>
      <c r="TOK19" s="289"/>
      <c r="TOL19" s="289"/>
      <c r="TOM19" s="289"/>
      <c r="TON19" s="289"/>
      <c r="TOO19" s="289"/>
      <c r="TOP19" s="289"/>
      <c r="TOQ19" s="289"/>
      <c r="TOR19" s="289"/>
      <c r="TOS19" s="289"/>
      <c r="TOT19" s="289"/>
      <c r="TOU19" s="289"/>
      <c r="TOV19" s="289"/>
      <c r="TOW19" s="289"/>
      <c r="TOX19" s="289"/>
      <c r="TOY19" s="289"/>
      <c r="TOZ19" s="289"/>
      <c r="TPA19" s="289"/>
      <c r="TPB19" s="289"/>
      <c r="TPC19" s="289"/>
      <c r="TPD19" s="289"/>
      <c r="TPE19" s="289"/>
      <c r="TPF19" s="289"/>
      <c r="TPG19" s="289"/>
      <c r="TPH19" s="289"/>
      <c r="TPI19" s="289"/>
      <c r="TPJ19" s="289"/>
      <c r="TPK19" s="289"/>
      <c r="TPL19" s="289"/>
      <c r="TPM19" s="289"/>
      <c r="TPN19" s="289"/>
      <c r="TPO19" s="289"/>
      <c r="TPP19" s="289"/>
      <c r="TPQ19" s="289"/>
      <c r="TPR19" s="289"/>
      <c r="TPS19" s="289"/>
      <c r="TPT19" s="289"/>
      <c r="TPU19" s="289"/>
      <c r="TPV19" s="289"/>
      <c r="TPW19" s="289"/>
      <c r="TPX19" s="289"/>
      <c r="TPY19" s="289"/>
      <c r="TPZ19" s="289"/>
      <c r="TQA19" s="289"/>
      <c r="TQB19" s="289"/>
      <c r="TQC19" s="289"/>
      <c r="TQD19" s="289"/>
      <c r="TQE19" s="289"/>
      <c r="TQF19" s="289"/>
      <c r="TQG19" s="289"/>
      <c r="TQH19" s="289"/>
      <c r="TQI19" s="289"/>
      <c r="TQJ19" s="289"/>
      <c r="TQK19" s="289"/>
      <c r="TQL19" s="289"/>
      <c r="TQM19" s="289"/>
      <c r="TQN19" s="289"/>
      <c r="TQO19" s="289"/>
      <c r="TQP19" s="289"/>
      <c r="TQQ19" s="289"/>
      <c r="TQR19" s="289"/>
      <c r="TQS19" s="289"/>
      <c r="TQT19" s="289"/>
      <c r="TQU19" s="289"/>
      <c r="TQV19" s="289"/>
      <c r="TQW19" s="289"/>
      <c r="TQX19" s="289"/>
      <c r="TQY19" s="289"/>
      <c r="TQZ19" s="289"/>
      <c r="TRA19" s="289"/>
      <c r="TRB19" s="289"/>
      <c r="TRC19" s="289"/>
      <c r="TRD19" s="289"/>
      <c r="TRE19" s="289"/>
      <c r="TRF19" s="289"/>
      <c r="TRG19" s="289"/>
      <c r="TRH19" s="289"/>
      <c r="TRI19" s="289"/>
      <c r="TRJ19" s="289"/>
      <c r="TRK19" s="289"/>
      <c r="TRL19" s="289"/>
      <c r="TRM19" s="289"/>
      <c r="TRN19" s="289"/>
      <c r="TRO19" s="289"/>
      <c r="TRP19" s="289"/>
      <c r="TRQ19" s="289"/>
      <c r="TRR19" s="289"/>
      <c r="TRS19" s="289"/>
      <c r="TRT19" s="289"/>
      <c r="TRU19" s="289"/>
      <c r="TRV19" s="289"/>
      <c r="TRW19" s="289"/>
      <c r="TRX19" s="289"/>
      <c r="TRY19" s="289"/>
      <c r="TRZ19" s="289"/>
      <c r="TSA19" s="289"/>
      <c r="TSB19" s="289"/>
      <c r="TSC19" s="289"/>
      <c r="TSD19" s="289"/>
      <c r="TSE19" s="289"/>
      <c r="TSF19" s="289"/>
      <c r="TSG19" s="289"/>
      <c r="TSH19" s="289"/>
      <c r="TSI19" s="289"/>
      <c r="TSJ19" s="289"/>
      <c r="TSK19" s="289"/>
      <c r="TSL19" s="289"/>
      <c r="TSM19" s="289"/>
      <c r="TSN19" s="289"/>
      <c r="TSO19" s="289"/>
      <c r="TSP19" s="289"/>
      <c r="TSQ19" s="289"/>
      <c r="TSR19" s="289"/>
      <c r="TSS19" s="289"/>
      <c r="TST19" s="289"/>
      <c r="TSU19" s="289"/>
      <c r="TSV19" s="289"/>
      <c r="TSW19" s="289"/>
      <c r="TSX19" s="289"/>
      <c r="TSY19" s="289"/>
      <c r="TSZ19" s="289"/>
      <c r="TTA19" s="289"/>
      <c r="TTB19" s="289"/>
      <c r="TTC19" s="289"/>
      <c r="TTD19" s="289"/>
      <c r="TTE19" s="289"/>
      <c r="TTF19" s="289"/>
      <c r="TTG19" s="289"/>
      <c r="TTH19" s="289"/>
      <c r="TTI19" s="289"/>
      <c r="TTJ19" s="289"/>
      <c r="TTK19" s="289"/>
      <c r="TTL19" s="289"/>
      <c r="TTM19" s="289"/>
      <c r="TTN19" s="289"/>
      <c r="TTO19" s="289"/>
      <c r="TTP19" s="289"/>
      <c r="TTQ19" s="289"/>
      <c r="TTR19" s="289"/>
      <c r="TTS19" s="289"/>
      <c r="TTT19" s="289"/>
      <c r="TTU19" s="289"/>
      <c r="TTV19" s="289"/>
      <c r="TTW19" s="289"/>
      <c r="TTX19" s="289"/>
      <c r="TTY19" s="289"/>
      <c r="TTZ19" s="289"/>
      <c r="TUA19" s="289"/>
      <c r="TUB19" s="289"/>
      <c r="TUC19" s="289"/>
      <c r="TUD19" s="289"/>
      <c r="TUE19" s="289"/>
      <c r="TUF19" s="289"/>
      <c r="TUG19" s="289"/>
      <c r="TUH19" s="289"/>
      <c r="TUI19" s="289"/>
      <c r="TUJ19" s="289"/>
      <c r="TUK19" s="289"/>
      <c r="TUL19" s="289"/>
      <c r="TUM19" s="289"/>
      <c r="TUN19" s="289"/>
      <c r="TUO19" s="289"/>
      <c r="TUP19" s="289"/>
      <c r="TUQ19" s="289"/>
      <c r="TUR19" s="289"/>
      <c r="TUS19" s="289"/>
      <c r="TUT19" s="289"/>
      <c r="TUU19" s="289"/>
      <c r="TUV19" s="289"/>
      <c r="TUW19" s="289"/>
      <c r="TUX19" s="289"/>
      <c r="TUY19" s="289"/>
      <c r="TUZ19" s="289"/>
      <c r="TVA19" s="289"/>
      <c r="TVB19" s="289"/>
      <c r="TVC19" s="289"/>
      <c r="TVD19" s="289"/>
      <c r="TVE19" s="289"/>
      <c r="TVF19" s="289"/>
      <c r="TVG19" s="289"/>
      <c r="TVH19" s="289"/>
      <c r="TVI19" s="289"/>
      <c r="TVJ19" s="289"/>
      <c r="TVK19" s="289"/>
      <c r="TVL19" s="289"/>
      <c r="TVM19" s="289"/>
      <c r="TVN19" s="289"/>
      <c r="TVO19" s="289"/>
      <c r="TVP19" s="289"/>
      <c r="TVQ19" s="289"/>
      <c r="TVR19" s="289"/>
      <c r="TVS19" s="289"/>
      <c r="TVT19" s="289"/>
      <c r="TVU19" s="289"/>
      <c r="TVV19" s="289"/>
      <c r="TVW19" s="289"/>
      <c r="TVX19" s="289"/>
      <c r="TVY19" s="289"/>
      <c r="TVZ19" s="289"/>
      <c r="TWA19" s="289"/>
      <c r="TWB19" s="289"/>
      <c r="TWC19" s="289"/>
      <c r="TWD19" s="289"/>
      <c r="TWE19" s="289"/>
      <c r="TWF19" s="289"/>
      <c r="TWG19" s="289"/>
      <c r="TWH19" s="289"/>
      <c r="TWI19" s="289"/>
      <c r="TWJ19" s="289"/>
      <c r="TWK19" s="289"/>
      <c r="TWL19" s="289"/>
      <c r="TWM19" s="289"/>
      <c r="TWN19" s="289"/>
      <c r="TWO19" s="289"/>
      <c r="TWP19" s="289"/>
      <c r="TWQ19" s="289"/>
      <c r="TWR19" s="289"/>
      <c r="TWS19" s="289"/>
      <c r="TWT19" s="289"/>
      <c r="TWU19" s="289"/>
      <c r="TWV19" s="289"/>
      <c r="TWW19" s="289"/>
      <c r="TWX19" s="289"/>
      <c r="TWY19" s="289"/>
      <c r="TWZ19" s="289"/>
      <c r="TXA19" s="289"/>
      <c r="TXB19" s="289"/>
      <c r="TXC19" s="289"/>
      <c r="TXD19" s="289"/>
      <c r="TXE19" s="289"/>
      <c r="TXF19" s="289"/>
      <c r="TXG19" s="289"/>
      <c r="TXH19" s="289"/>
      <c r="TXI19" s="289"/>
      <c r="TXJ19" s="289"/>
      <c r="TXK19" s="289"/>
      <c r="TXL19" s="289"/>
      <c r="TXM19" s="289"/>
      <c r="TXN19" s="289"/>
      <c r="TXO19" s="289"/>
      <c r="TXP19" s="289"/>
      <c r="TXQ19" s="289"/>
      <c r="TXR19" s="289"/>
      <c r="TXS19" s="289"/>
      <c r="TXT19" s="289"/>
      <c r="TXU19" s="289"/>
      <c r="TXV19" s="289"/>
      <c r="TXW19" s="289"/>
      <c r="TXX19" s="289"/>
      <c r="TXY19" s="289"/>
      <c r="TXZ19" s="289"/>
      <c r="TYA19" s="289"/>
      <c r="TYB19" s="289"/>
      <c r="TYC19" s="289"/>
      <c r="TYD19" s="289"/>
      <c r="TYE19" s="289"/>
      <c r="TYF19" s="289"/>
      <c r="TYG19" s="289"/>
      <c r="TYH19" s="289"/>
      <c r="TYI19" s="289"/>
      <c r="TYJ19" s="289"/>
      <c r="TYK19" s="289"/>
      <c r="TYL19" s="289"/>
      <c r="TYM19" s="289"/>
      <c r="TYN19" s="289"/>
      <c r="TYO19" s="289"/>
      <c r="TYP19" s="289"/>
      <c r="TYQ19" s="289"/>
      <c r="TYR19" s="289"/>
      <c r="TYS19" s="289"/>
      <c r="TYT19" s="289"/>
      <c r="TYU19" s="289"/>
      <c r="TYV19" s="289"/>
      <c r="TYW19" s="289"/>
      <c r="TYX19" s="289"/>
      <c r="TYY19" s="289"/>
      <c r="TYZ19" s="289"/>
      <c r="TZA19" s="289"/>
      <c r="TZB19" s="289"/>
      <c r="TZC19" s="289"/>
      <c r="TZD19" s="289"/>
      <c r="TZE19" s="289"/>
      <c r="TZF19" s="289"/>
      <c r="TZG19" s="289"/>
      <c r="TZH19" s="289"/>
      <c r="TZI19" s="289"/>
      <c r="TZJ19" s="289"/>
      <c r="TZK19" s="289"/>
      <c r="TZL19" s="289"/>
      <c r="TZM19" s="289"/>
      <c r="TZN19" s="289"/>
      <c r="TZO19" s="289"/>
      <c r="TZP19" s="289"/>
      <c r="TZQ19" s="289"/>
      <c r="TZR19" s="289"/>
      <c r="TZS19" s="289"/>
      <c r="TZT19" s="289"/>
      <c r="TZU19" s="289"/>
      <c r="TZV19" s="289"/>
      <c r="TZW19" s="289"/>
      <c r="TZX19" s="289"/>
      <c r="TZY19" s="289"/>
      <c r="TZZ19" s="289"/>
      <c r="UAA19" s="289"/>
      <c r="UAB19" s="289"/>
      <c r="UAC19" s="289"/>
      <c r="UAD19" s="289"/>
      <c r="UAE19" s="289"/>
      <c r="UAF19" s="289"/>
      <c r="UAG19" s="289"/>
      <c r="UAH19" s="289"/>
      <c r="UAI19" s="289"/>
      <c r="UAJ19" s="289"/>
      <c r="UAK19" s="289"/>
      <c r="UAL19" s="289"/>
      <c r="UAM19" s="289"/>
      <c r="UAN19" s="289"/>
      <c r="UAO19" s="289"/>
      <c r="UAP19" s="289"/>
      <c r="UAQ19" s="289"/>
      <c r="UAR19" s="289"/>
      <c r="UAS19" s="289"/>
      <c r="UAT19" s="289"/>
      <c r="UAU19" s="289"/>
      <c r="UAV19" s="289"/>
      <c r="UAW19" s="289"/>
      <c r="UAX19" s="289"/>
      <c r="UAY19" s="289"/>
      <c r="UAZ19" s="289"/>
      <c r="UBA19" s="289"/>
      <c r="UBB19" s="289"/>
      <c r="UBC19" s="289"/>
      <c r="UBD19" s="289"/>
      <c r="UBE19" s="289"/>
      <c r="UBF19" s="289"/>
      <c r="UBG19" s="289"/>
      <c r="UBH19" s="289"/>
      <c r="UBI19" s="289"/>
      <c r="UBJ19" s="289"/>
      <c r="UBK19" s="289"/>
      <c r="UBL19" s="289"/>
      <c r="UBM19" s="289"/>
      <c r="UBN19" s="289"/>
      <c r="UBO19" s="289"/>
      <c r="UBP19" s="289"/>
      <c r="UBQ19" s="289"/>
      <c r="UBR19" s="289"/>
      <c r="UBS19" s="289"/>
      <c r="UBT19" s="289"/>
      <c r="UBU19" s="289"/>
      <c r="UBV19" s="289"/>
      <c r="UBW19" s="289"/>
      <c r="UBX19" s="289"/>
      <c r="UBY19" s="289"/>
      <c r="UBZ19" s="289"/>
      <c r="UCA19" s="289"/>
      <c r="UCB19" s="289"/>
      <c r="UCC19" s="289"/>
      <c r="UCD19" s="289"/>
      <c r="UCE19" s="289"/>
      <c r="UCF19" s="289"/>
      <c r="UCG19" s="289"/>
      <c r="UCH19" s="289"/>
      <c r="UCI19" s="289"/>
      <c r="UCJ19" s="289"/>
      <c r="UCK19" s="289"/>
      <c r="UCL19" s="289"/>
      <c r="UCM19" s="289"/>
      <c r="UCN19" s="289"/>
      <c r="UCO19" s="289"/>
      <c r="UCP19" s="289"/>
      <c r="UCQ19" s="289"/>
      <c r="UCR19" s="289"/>
      <c r="UCS19" s="289"/>
      <c r="UCT19" s="289"/>
      <c r="UCU19" s="289"/>
      <c r="UCV19" s="289"/>
      <c r="UCW19" s="289"/>
      <c r="UCX19" s="289"/>
      <c r="UCY19" s="289"/>
      <c r="UCZ19" s="289"/>
      <c r="UDA19" s="289"/>
      <c r="UDB19" s="289"/>
      <c r="UDC19" s="289"/>
      <c r="UDD19" s="289"/>
      <c r="UDE19" s="289"/>
      <c r="UDF19" s="289"/>
      <c r="UDG19" s="289"/>
      <c r="UDH19" s="289"/>
      <c r="UDI19" s="289"/>
      <c r="UDJ19" s="289"/>
      <c r="UDK19" s="289"/>
      <c r="UDL19" s="289"/>
      <c r="UDM19" s="289"/>
      <c r="UDN19" s="289"/>
      <c r="UDO19" s="289"/>
      <c r="UDP19" s="289"/>
      <c r="UDQ19" s="289"/>
      <c r="UDR19" s="289"/>
      <c r="UDS19" s="289"/>
      <c r="UDT19" s="289"/>
      <c r="UDU19" s="289"/>
      <c r="UDV19" s="289"/>
      <c r="UDW19" s="289"/>
      <c r="UDX19" s="289"/>
      <c r="UDY19" s="289"/>
      <c r="UDZ19" s="289"/>
      <c r="UEA19" s="289"/>
      <c r="UEB19" s="289"/>
      <c r="UEC19" s="289"/>
      <c r="UED19" s="289"/>
      <c r="UEE19" s="289"/>
      <c r="UEF19" s="289"/>
      <c r="UEG19" s="289"/>
      <c r="UEH19" s="289"/>
      <c r="UEI19" s="289"/>
      <c r="UEJ19" s="289"/>
      <c r="UEK19" s="289"/>
      <c r="UEL19" s="289"/>
      <c r="UEM19" s="289"/>
      <c r="UEN19" s="289"/>
      <c r="UEO19" s="289"/>
      <c r="UEP19" s="289"/>
      <c r="UEQ19" s="289"/>
      <c r="UER19" s="289"/>
      <c r="UES19" s="289"/>
      <c r="UET19" s="289"/>
      <c r="UEU19" s="289"/>
      <c r="UEV19" s="289"/>
      <c r="UEW19" s="289"/>
      <c r="UEX19" s="289"/>
      <c r="UEY19" s="289"/>
      <c r="UEZ19" s="289"/>
      <c r="UFA19" s="289"/>
      <c r="UFB19" s="289"/>
      <c r="UFC19" s="289"/>
      <c r="UFD19" s="289"/>
      <c r="UFE19" s="289"/>
      <c r="UFF19" s="289"/>
      <c r="UFG19" s="289"/>
      <c r="UFH19" s="289"/>
      <c r="UFI19" s="289"/>
      <c r="UFJ19" s="289"/>
      <c r="UFK19" s="289"/>
      <c r="UFL19" s="289"/>
      <c r="UFM19" s="289"/>
      <c r="UFN19" s="289"/>
      <c r="UFO19" s="289"/>
      <c r="UFP19" s="289"/>
      <c r="UFQ19" s="289"/>
      <c r="UFR19" s="289"/>
      <c r="UFS19" s="289"/>
      <c r="UFT19" s="289"/>
      <c r="UFU19" s="289"/>
      <c r="UFV19" s="289"/>
      <c r="UFW19" s="289"/>
      <c r="UFX19" s="289"/>
      <c r="UFY19" s="289"/>
      <c r="UFZ19" s="289"/>
      <c r="UGA19" s="289"/>
      <c r="UGB19" s="289"/>
      <c r="UGC19" s="289"/>
      <c r="UGD19" s="289"/>
      <c r="UGE19" s="289"/>
      <c r="UGF19" s="289"/>
      <c r="UGG19" s="289"/>
      <c r="UGH19" s="289"/>
      <c r="UGI19" s="289"/>
      <c r="UGJ19" s="289"/>
      <c r="UGK19" s="289"/>
      <c r="UGL19" s="289"/>
      <c r="UGM19" s="289"/>
      <c r="UGN19" s="289"/>
      <c r="UGO19" s="289"/>
      <c r="UGP19" s="289"/>
      <c r="UGQ19" s="289"/>
      <c r="UGR19" s="289"/>
      <c r="UGS19" s="289"/>
      <c r="UGT19" s="289"/>
      <c r="UGU19" s="289"/>
      <c r="UGV19" s="289"/>
      <c r="UGW19" s="289"/>
      <c r="UGX19" s="289"/>
      <c r="UGY19" s="289"/>
      <c r="UGZ19" s="289"/>
      <c r="UHA19" s="289"/>
      <c r="UHB19" s="289"/>
      <c r="UHC19" s="289"/>
      <c r="UHD19" s="289"/>
      <c r="UHE19" s="289"/>
      <c r="UHF19" s="289"/>
      <c r="UHG19" s="289"/>
      <c r="UHH19" s="289"/>
      <c r="UHI19" s="289"/>
      <c r="UHJ19" s="289"/>
      <c r="UHK19" s="289"/>
      <c r="UHL19" s="289"/>
      <c r="UHM19" s="289"/>
      <c r="UHN19" s="289"/>
      <c r="UHO19" s="289"/>
      <c r="UHP19" s="289"/>
      <c r="UHQ19" s="289"/>
      <c r="UHR19" s="289"/>
      <c r="UHS19" s="289"/>
      <c r="UHT19" s="289"/>
      <c r="UHU19" s="289"/>
      <c r="UHV19" s="289"/>
      <c r="UHW19" s="289"/>
      <c r="UHX19" s="289"/>
      <c r="UHY19" s="289"/>
      <c r="UHZ19" s="289"/>
      <c r="UIA19" s="289"/>
      <c r="UIB19" s="289"/>
      <c r="UIC19" s="289"/>
      <c r="UID19" s="289"/>
      <c r="UIE19" s="289"/>
      <c r="UIF19" s="289"/>
      <c r="UIG19" s="289"/>
      <c r="UIH19" s="289"/>
      <c r="UII19" s="289"/>
      <c r="UIJ19" s="289"/>
      <c r="UIK19" s="289"/>
      <c r="UIL19" s="289"/>
      <c r="UIM19" s="289"/>
      <c r="UIN19" s="289"/>
      <c r="UIO19" s="289"/>
      <c r="UIP19" s="289"/>
      <c r="UIQ19" s="289"/>
      <c r="UIR19" s="289"/>
      <c r="UIS19" s="289"/>
      <c r="UIT19" s="289"/>
      <c r="UIU19" s="289"/>
      <c r="UIV19" s="289"/>
      <c r="UIW19" s="289"/>
      <c r="UIX19" s="289"/>
      <c r="UIY19" s="289"/>
      <c r="UIZ19" s="289"/>
      <c r="UJA19" s="289"/>
      <c r="UJB19" s="289"/>
      <c r="UJC19" s="289"/>
      <c r="UJD19" s="289"/>
      <c r="UJE19" s="289"/>
      <c r="UJF19" s="289"/>
      <c r="UJG19" s="289"/>
      <c r="UJH19" s="289"/>
      <c r="UJI19" s="289"/>
      <c r="UJJ19" s="289"/>
      <c r="UJK19" s="289"/>
      <c r="UJL19" s="289"/>
      <c r="UJM19" s="289"/>
      <c r="UJN19" s="289"/>
      <c r="UJO19" s="289"/>
      <c r="UJP19" s="289"/>
      <c r="UJQ19" s="289"/>
      <c r="UJR19" s="289"/>
      <c r="UJS19" s="289"/>
      <c r="UJT19" s="289"/>
      <c r="UJU19" s="289"/>
      <c r="UJV19" s="289"/>
      <c r="UJW19" s="289"/>
      <c r="UJX19" s="289"/>
      <c r="UJY19" s="289"/>
      <c r="UJZ19" s="289"/>
      <c r="UKA19" s="289"/>
      <c r="UKB19" s="289"/>
      <c r="UKC19" s="289"/>
      <c r="UKD19" s="289"/>
      <c r="UKE19" s="289"/>
      <c r="UKF19" s="289"/>
      <c r="UKG19" s="289"/>
      <c r="UKH19" s="289"/>
      <c r="UKI19" s="289"/>
      <c r="UKJ19" s="289"/>
      <c r="UKK19" s="289"/>
      <c r="UKL19" s="289"/>
      <c r="UKM19" s="289"/>
      <c r="UKN19" s="289"/>
      <c r="UKO19" s="289"/>
      <c r="UKP19" s="289"/>
      <c r="UKQ19" s="289"/>
      <c r="UKR19" s="289"/>
      <c r="UKS19" s="289"/>
      <c r="UKT19" s="289"/>
      <c r="UKU19" s="289"/>
      <c r="UKV19" s="289"/>
      <c r="UKW19" s="289"/>
      <c r="UKX19" s="289"/>
      <c r="UKY19" s="289"/>
      <c r="UKZ19" s="289"/>
      <c r="ULA19" s="289"/>
      <c r="ULB19" s="289"/>
      <c r="ULC19" s="289"/>
      <c r="ULD19" s="289"/>
      <c r="ULE19" s="289"/>
      <c r="ULF19" s="289"/>
      <c r="ULG19" s="289"/>
      <c r="ULH19" s="289"/>
      <c r="ULI19" s="289"/>
      <c r="ULJ19" s="289"/>
      <c r="ULK19" s="289"/>
      <c r="ULL19" s="289"/>
      <c r="ULM19" s="289"/>
      <c r="ULN19" s="289"/>
      <c r="ULO19" s="289"/>
      <c r="ULP19" s="289"/>
      <c r="ULQ19" s="289"/>
      <c r="ULR19" s="289"/>
      <c r="ULS19" s="289"/>
      <c r="ULT19" s="289"/>
      <c r="ULU19" s="289"/>
      <c r="ULV19" s="289"/>
      <c r="ULW19" s="289"/>
      <c r="ULX19" s="289"/>
      <c r="ULY19" s="289"/>
      <c r="ULZ19" s="289"/>
      <c r="UMA19" s="289"/>
      <c r="UMB19" s="289"/>
      <c r="UMC19" s="289"/>
      <c r="UMD19" s="289"/>
      <c r="UME19" s="289"/>
      <c r="UMF19" s="289"/>
      <c r="UMG19" s="289"/>
      <c r="UMH19" s="289"/>
      <c r="UMI19" s="289"/>
      <c r="UMJ19" s="289"/>
      <c r="UMK19" s="289"/>
      <c r="UML19" s="289"/>
      <c r="UMM19" s="289"/>
      <c r="UMN19" s="289"/>
      <c r="UMO19" s="289"/>
      <c r="UMP19" s="289"/>
      <c r="UMQ19" s="289"/>
      <c r="UMR19" s="289"/>
      <c r="UMS19" s="289"/>
      <c r="UMT19" s="289"/>
      <c r="UMU19" s="289"/>
      <c r="UMV19" s="289"/>
      <c r="UMW19" s="289"/>
      <c r="UMX19" s="289"/>
      <c r="UMY19" s="289"/>
      <c r="UMZ19" s="289"/>
      <c r="UNA19" s="289"/>
      <c r="UNB19" s="289"/>
      <c r="UNC19" s="289"/>
      <c r="UND19" s="289"/>
      <c r="UNE19" s="289"/>
      <c r="UNF19" s="289"/>
      <c r="UNG19" s="289"/>
      <c r="UNH19" s="289"/>
      <c r="UNI19" s="289"/>
      <c r="UNJ19" s="289"/>
      <c r="UNK19" s="289"/>
      <c r="UNL19" s="289"/>
      <c r="UNM19" s="289"/>
      <c r="UNN19" s="289"/>
      <c r="UNO19" s="289"/>
      <c r="UNP19" s="289"/>
      <c r="UNQ19" s="289"/>
      <c r="UNR19" s="289"/>
      <c r="UNS19" s="289"/>
      <c r="UNT19" s="289"/>
      <c r="UNU19" s="289"/>
      <c r="UNV19" s="289"/>
      <c r="UNW19" s="289"/>
      <c r="UNX19" s="289"/>
      <c r="UNY19" s="289"/>
      <c r="UNZ19" s="289"/>
      <c r="UOA19" s="289"/>
      <c r="UOB19" s="289"/>
      <c r="UOC19" s="289"/>
      <c r="UOD19" s="289"/>
      <c r="UOE19" s="289"/>
      <c r="UOF19" s="289"/>
      <c r="UOG19" s="289"/>
      <c r="UOH19" s="289"/>
      <c r="UOI19" s="289"/>
      <c r="UOJ19" s="289"/>
      <c r="UOK19" s="289"/>
      <c r="UOL19" s="289"/>
      <c r="UOM19" s="289"/>
      <c r="UON19" s="289"/>
      <c r="UOO19" s="289"/>
      <c r="UOP19" s="289"/>
      <c r="UOQ19" s="289"/>
      <c r="UOR19" s="289"/>
      <c r="UOS19" s="289"/>
      <c r="UOT19" s="289"/>
      <c r="UOU19" s="289"/>
      <c r="UOV19" s="289"/>
      <c r="UOW19" s="289"/>
      <c r="UOX19" s="289"/>
      <c r="UOY19" s="289"/>
      <c r="UOZ19" s="289"/>
      <c r="UPA19" s="289"/>
      <c r="UPB19" s="289"/>
      <c r="UPC19" s="289"/>
      <c r="UPD19" s="289"/>
      <c r="UPE19" s="289"/>
      <c r="UPF19" s="289"/>
      <c r="UPG19" s="289"/>
      <c r="UPH19" s="289"/>
      <c r="UPI19" s="289"/>
      <c r="UPJ19" s="289"/>
      <c r="UPK19" s="289"/>
      <c r="UPL19" s="289"/>
      <c r="UPM19" s="289"/>
      <c r="UPN19" s="289"/>
      <c r="UPO19" s="289"/>
      <c r="UPP19" s="289"/>
      <c r="UPQ19" s="289"/>
      <c r="UPR19" s="289"/>
      <c r="UPS19" s="289"/>
      <c r="UPT19" s="289"/>
      <c r="UPU19" s="289"/>
      <c r="UPV19" s="289"/>
      <c r="UPW19" s="289"/>
      <c r="UPX19" s="289"/>
      <c r="UPY19" s="289"/>
      <c r="UPZ19" s="289"/>
      <c r="UQA19" s="289"/>
      <c r="UQB19" s="289"/>
      <c r="UQC19" s="289"/>
      <c r="UQD19" s="289"/>
      <c r="UQE19" s="289"/>
      <c r="UQF19" s="289"/>
      <c r="UQG19" s="289"/>
      <c r="UQH19" s="289"/>
      <c r="UQI19" s="289"/>
      <c r="UQJ19" s="289"/>
      <c r="UQK19" s="289"/>
      <c r="UQL19" s="289"/>
      <c r="UQM19" s="289"/>
      <c r="UQN19" s="289"/>
      <c r="UQO19" s="289"/>
      <c r="UQP19" s="289"/>
      <c r="UQQ19" s="289"/>
      <c r="UQR19" s="289"/>
      <c r="UQS19" s="289"/>
      <c r="UQT19" s="289"/>
      <c r="UQU19" s="289"/>
      <c r="UQV19" s="289"/>
      <c r="UQW19" s="289"/>
      <c r="UQX19" s="289"/>
      <c r="UQY19" s="289"/>
      <c r="UQZ19" s="289"/>
      <c r="URA19" s="289"/>
      <c r="URB19" s="289"/>
      <c r="URC19" s="289"/>
      <c r="URD19" s="289"/>
      <c r="URE19" s="289"/>
      <c r="URF19" s="289"/>
      <c r="URG19" s="289"/>
      <c r="URH19" s="289"/>
      <c r="URI19" s="289"/>
      <c r="URJ19" s="289"/>
      <c r="URK19" s="289"/>
      <c r="URL19" s="289"/>
      <c r="URM19" s="289"/>
      <c r="URN19" s="289"/>
      <c r="URO19" s="289"/>
      <c r="URP19" s="289"/>
      <c r="URQ19" s="289"/>
      <c r="URR19" s="289"/>
      <c r="URS19" s="289"/>
      <c r="URT19" s="289"/>
      <c r="URU19" s="289"/>
      <c r="URV19" s="289"/>
      <c r="URW19" s="289"/>
      <c r="URX19" s="289"/>
      <c r="URY19" s="289"/>
      <c r="URZ19" s="289"/>
      <c r="USA19" s="289"/>
      <c r="USB19" s="289"/>
      <c r="USC19" s="289"/>
      <c r="USD19" s="289"/>
      <c r="USE19" s="289"/>
      <c r="USF19" s="289"/>
      <c r="USG19" s="289"/>
      <c r="USH19" s="289"/>
      <c r="USI19" s="289"/>
      <c r="USJ19" s="289"/>
      <c r="USK19" s="289"/>
      <c r="USL19" s="289"/>
      <c r="USM19" s="289"/>
      <c r="USN19" s="289"/>
      <c r="USO19" s="289"/>
      <c r="USP19" s="289"/>
      <c r="USQ19" s="289"/>
      <c r="USR19" s="289"/>
      <c r="USS19" s="289"/>
      <c r="UST19" s="289"/>
      <c r="USU19" s="289"/>
      <c r="USV19" s="289"/>
      <c r="USW19" s="289"/>
      <c r="USX19" s="289"/>
      <c r="USY19" s="289"/>
      <c r="USZ19" s="289"/>
      <c r="UTA19" s="289"/>
      <c r="UTB19" s="289"/>
      <c r="UTC19" s="289"/>
      <c r="UTD19" s="289"/>
      <c r="UTE19" s="289"/>
      <c r="UTF19" s="289"/>
      <c r="UTG19" s="289"/>
      <c r="UTH19" s="289"/>
      <c r="UTI19" s="289"/>
      <c r="UTJ19" s="289"/>
      <c r="UTK19" s="289"/>
      <c r="UTL19" s="289"/>
      <c r="UTM19" s="289"/>
      <c r="UTN19" s="289"/>
      <c r="UTO19" s="289"/>
      <c r="UTP19" s="289"/>
      <c r="UTQ19" s="289"/>
      <c r="UTR19" s="289"/>
      <c r="UTS19" s="289"/>
      <c r="UTT19" s="289"/>
      <c r="UTU19" s="289"/>
      <c r="UTV19" s="289"/>
      <c r="UTW19" s="289"/>
      <c r="UTX19" s="289"/>
      <c r="UTY19" s="289"/>
      <c r="UTZ19" s="289"/>
      <c r="UUA19" s="289"/>
      <c r="UUB19" s="289"/>
      <c r="UUC19" s="289"/>
      <c r="UUD19" s="289"/>
      <c r="UUE19" s="289"/>
      <c r="UUF19" s="289"/>
      <c r="UUG19" s="289"/>
      <c r="UUH19" s="289"/>
      <c r="UUI19" s="289"/>
      <c r="UUJ19" s="289"/>
      <c r="UUK19" s="289"/>
      <c r="UUL19" s="289"/>
      <c r="UUM19" s="289"/>
      <c r="UUN19" s="289"/>
      <c r="UUO19" s="289"/>
      <c r="UUP19" s="289"/>
      <c r="UUQ19" s="289"/>
      <c r="UUR19" s="289"/>
      <c r="UUS19" s="289"/>
      <c r="UUT19" s="289"/>
      <c r="UUU19" s="289"/>
      <c r="UUV19" s="289"/>
      <c r="UUW19" s="289"/>
      <c r="UUX19" s="289"/>
      <c r="UUY19" s="289"/>
      <c r="UUZ19" s="289"/>
      <c r="UVA19" s="289"/>
      <c r="UVB19" s="289"/>
      <c r="UVC19" s="289"/>
      <c r="UVD19" s="289"/>
      <c r="UVE19" s="289"/>
      <c r="UVF19" s="289"/>
      <c r="UVG19" s="289"/>
      <c r="UVH19" s="289"/>
      <c r="UVI19" s="289"/>
      <c r="UVJ19" s="289"/>
      <c r="UVK19" s="289"/>
      <c r="UVL19" s="289"/>
      <c r="UVM19" s="289"/>
      <c r="UVN19" s="289"/>
      <c r="UVO19" s="289"/>
      <c r="UVP19" s="289"/>
      <c r="UVQ19" s="289"/>
      <c r="UVR19" s="289"/>
      <c r="UVS19" s="289"/>
      <c r="UVT19" s="289"/>
      <c r="UVU19" s="289"/>
      <c r="UVV19" s="289"/>
      <c r="UVW19" s="289"/>
      <c r="UVX19" s="289"/>
      <c r="UVY19" s="289"/>
      <c r="UVZ19" s="289"/>
      <c r="UWA19" s="289"/>
      <c r="UWB19" s="289"/>
      <c r="UWC19" s="289"/>
      <c r="UWD19" s="289"/>
      <c r="UWE19" s="289"/>
      <c r="UWF19" s="289"/>
      <c r="UWG19" s="289"/>
      <c r="UWH19" s="289"/>
      <c r="UWI19" s="289"/>
      <c r="UWJ19" s="289"/>
      <c r="UWK19" s="289"/>
      <c r="UWL19" s="289"/>
      <c r="UWM19" s="289"/>
      <c r="UWN19" s="289"/>
      <c r="UWO19" s="289"/>
      <c r="UWP19" s="289"/>
      <c r="UWQ19" s="289"/>
      <c r="UWR19" s="289"/>
      <c r="UWS19" s="289"/>
      <c r="UWT19" s="289"/>
      <c r="UWU19" s="289"/>
      <c r="UWV19" s="289"/>
      <c r="UWW19" s="289"/>
      <c r="UWX19" s="289"/>
      <c r="UWY19" s="289"/>
      <c r="UWZ19" s="289"/>
      <c r="UXA19" s="289"/>
      <c r="UXB19" s="289"/>
      <c r="UXC19" s="289"/>
      <c r="UXD19" s="289"/>
      <c r="UXE19" s="289"/>
      <c r="UXF19" s="289"/>
      <c r="UXG19" s="289"/>
      <c r="UXH19" s="289"/>
      <c r="UXI19" s="289"/>
      <c r="UXJ19" s="289"/>
      <c r="UXK19" s="289"/>
      <c r="UXL19" s="289"/>
      <c r="UXM19" s="289"/>
      <c r="UXN19" s="289"/>
      <c r="UXO19" s="289"/>
      <c r="UXP19" s="289"/>
      <c r="UXQ19" s="289"/>
      <c r="UXR19" s="289"/>
      <c r="UXS19" s="289"/>
      <c r="UXT19" s="289"/>
      <c r="UXU19" s="289"/>
      <c r="UXV19" s="289"/>
      <c r="UXW19" s="289"/>
      <c r="UXX19" s="289"/>
      <c r="UXY19" s="289"/>
      <c r="UXZ19" s="289"/>
      <c r="UYA19" s="289"/>
      <c r="UYB19" s="289"/>
      <c r="UYC19" s="289"/>
      <c r="UYD19" s="289"/>
      <c r="UYE19" s="289"/>
      <c r="UYF19" s="289"/>
      <c r="UYG19" s="289"/>
      <c r="UYH19" s="289"/>
      <c r="UYI19" s="289"/>
      <c r="UYJ19" s="289"/>
      <c r="UYK19" s="289"/>
      <c r="UYL19" s="289"/>
      <c r="UYM19" s="289"/>
      <c r="UYN19" s="289"/>
      <c r="UYO19" s="289"/>
      <c r="UYP19" s="289"/>
      <c r="UYQ19" s="289"/>
      <c r="UYR19" s="289"/>
      <c r="UYS19" s="289"/>
      <c r="UYT19" s="289"/>
      <c r="UYU19" s="289"/>
      <c r="UYV19" s="289"/>
      <c r="UYW19" s="289"/>
      <c r="UYX19" s="289"/>
      <c r="UYY19" s="289"/>
      <c r="UYZ19" s="289"/>
      <c r="UZA19" s="289"/>
      <c r="UZB19" s="289"/>
      <c r="UZC19" s="289"/>
      <c r="UZD19" s="289"/>
      <c r="UZE19" s="289"/>
      <c r="UZF19" s="289"/>
      <c r="UZG19" s="289"/>
      <c r="UZH19" s="289"/>
      <c r="UZI19" s="289"/>
      <c r="UZJ19" s="289"/>
      <c r="UZK19" s="289"/>
      <c r="UZL19" s="289"/>
      <c r="UZM19" s="289"/>
      <c r="UZN19" s="289"/>
      <c r="UZO19" s="289"/>
      <c r="UZP19" s="289"/>
      <c r="UZQ19" s="289"/>
      <c r="UZR19" s="289"/>
      <c r="UZS19" s="289"/>
      <c r="UZT19" s="289"/>
      <c r="UZU19" s="289"/>
      <c r="UZV19" s="289"/>
      <c r="UZW19" s="289"/>
      <c r="UZX19" s="289"/>
      <c r="UZY19" s="289"/>
      <c r="UZZ19" s="289"/>
      <c r="VAA19" s="289"/>
      <c r="VAB19" s="289"/>
      <c r="VAC19" s="289"/>
      <c r="VAD19" s="289"/>
      <c r="VAE19" s="289"/>
      <c r="VAF19" s="289"/>
      <c r="VAG19" s="289"/>
      <c r="VAH19" s="289"/>
      <c r="VAI19" s="289"/>
      <c r="VAJ19" s="289"/>
      <c r="VAK19" s="289"/>
      <c r="VAL19" s="289"/>
      <c r="VAM19" s="289"/>
      <c r="VAN19" s="289"/>
      <c r="VAO19" s="289"/>
      <c r="VAP19" s="289"/>
      <c r="VAQ19" s="289"/>
      <c r="VAR19" s="289"/>
      <c r="VAS19" s="289"/>
      <c r="VAT19" s="289"/>
      <c r="VAU19" s="289"/>
      <c r="VAV19" s="289"/>
      <c r="VAW19" s="289"/>
      <c r="VAX19" s="289"/>
      <c r="VAY19" s="289"/>
      <c r="VAZ19" s="289"/>
      <c r="VBA19" s="289"/>
      <c r="VBB19" s="289"/>
      <c r="VBC19" s="289"/>
      <c r="VBD19" s="289"/>
      <c r="VBE19" s="289"/>
      <c r="VBF19" s="289"/>
      <c r="VBG19" s="289"/>
      <c r="VBH19" s="289"/>
      <c r="VBI19" s="289"/>
      <c r="VBJ19" s="289"/>
      <c r="VBK19" s="289"/>
      <c r="VBL19" s="289"/>
      <c r="VBM19" s="289"/>
      <c r="VBN19" s="289"/>
      <c r="VBO19" s="289"/>
      <c r="VBP19" s="289"/>
      <c r="VBQ19" s="289"/>
      <c r="VBR19" s="289"/>
      <c r="VBS19" s="289"/>
      <c r="VBT19" s="289"/>
      <c r="VBU19" s="289"/>
      <c r="VBV19" s="289"/>
      <c r="VBW19" s="289"/>
      <c r="VBX19" s="289"/>
      <c r="VBY19" s="289"/>
      <c r="VBZ19" s="289"/>
      <c r="VCA19" s="289"/>
      <c r="VCB19" s="289"/>
      <c r="VCC19" s="289"/>
      <c r="VCD19" s="289"/>
      <c r="VCE19" s="289"/>
      <c r="VCF19" s="289"/>
      <c r="VCG19" s="289"/>
      <c r="VCH19" s="289"/>
      <c r="VCI19" s="289"/>
      <c r="VCJ19" s="289"/>
      <c r="VCK19" s="289"/>
      <c r="VCL19" s="289"/>
      <c r="VCM19" s="289"/>
      <c r="VCN19" s="289"/>
      <c r="VCO19" s="289"/>
      <c r="VCP19" s="289"/>
      <c r="VCQ19" s="289"/>
      <c r="VCR19" s="289"/>
      <c r="VCS19" s="289"/>
      <c r="VCT19" s="289"/>
      <c r="VCU19" s="289"/>
      <c r="VCV19" s="289"/>
      <c r="VCW19" s="289"/>
      <c r="VCX19" s="289"/>
      <c r="VCY19" s="289"/>
      <c r="VCZ19" s="289"/>
      <c r="VDA19" s="289"/>
      <c r="VDB19" s="289"/>
      <c r="VDC19" s="289"/>
      <c r="VDD19" s="289"/>
      <c r="VDE19" s="289"/>
      <c r="VDF19" s="289"/>
      <c r="VDG19" s="289"/>
      <c r="VDH19" s="289"/>
      <c r="VDI19" s="289"/>
      <c r="VDJ19" s="289"/>
      <c r="VDK19" s="289"/>
      <c r="VDL19" s="289"/>
      <c r="VDM19" s="289"/>
      <c r="VDN19" s="289"/>
      <c r="VDO19" s="289"/>
      <c r="VDP19" s="289"/>
      <c r="VDQ19" s="289"/>
      <c r="VDR19" s="289"/>
      <c r="VDS19" s="289"/>
      <c r="VDT19" s="289"/>
      <c r="VDU19" s="289"/>
      <c r="VDV19" s="289"/>
      <c r="VDW19" s="289"/>
      <c r="VDX19" s="289"/>
      <c r="VDY19" s="289"/>
      <c r="VDZ19" s="289"/>
      <c r="VEA19" s="289"/>
      <c r="VEB19" s="289"/>
      <c r="VEC19" s="289"/>
      <c r="VED19" s="289"/>
      <c r="VEE19" s="289"/>
      <c r="VEF19" s="289"/>
      <c r="VEG19" s="289"/>
      <c r="VEH19" s="289"/>
      <c r="VEI19" s="289"/>
      <c r="VEJ19" s="289"/>
      <c r="VEK19" s="289"/>
      <c r="VEL19" s="289"/>
      <c r="VEM19" s="289"/>
      <c r="VEN19" s="289"/>
      <c r="VEO19" s="289"/>
      <c r="VEP19" s="289"/>
      <c r="VEQ19" s="289"/>
      <c r="VER19" s="289"/>
      <c r="VES19" s="289"/>
      <c r="VET19" s="289"/>
      <c r="VEU19" s="289"/>
      <c r="VEV19" s="289"/>
      <c r="VEW19" s="289"/>
      <c r="VEX19" s="289"/>
      <c r="VEY19" s="289"/>
      <c r="VEZ19" s="289"/>
      <c r="VFA19" s="289"/>
      <c r="VFB19" s="289"/>
      <c r="VFC19" s="289"/>
      <c r="VFD19" s="289"/>
      <c r="VFE19" s="289"/>
      <c r="VFF19" s="289"/>
      <c r="VFG19" s="289"/>
      <c r="VFH19" s="289"/>
      <c r="VFI19" s="289"/>
      <c r="VFJ19" s="289"/>
      <c r="VFK19" s="289"/>
      <c r="VFL19" s="289"/>
      <c r="VFM19" s="289"/>
      <c r="VFN19" s="289"/>
      <c r="VFO19" s="289"/>
      <c r="VFP19" s="289"/>
      <c r="VFQ19" s="289"/>
      <c r="VFR19" s="289"/>
      <c r="VFS19" s="289"/>
      <c r="VFT19" s="289"/>
      <c r="VFU19" s="289"/>
      <c r="VFV19" s="289"/>
      <c r="VFW19" s="289"/>
      <c r="VFX19" s="289"/>
      <c r="VFY19" s="289"/>
      <c r="VFZ19" s="289"/>
      <c r="VGA19" s="289"/>
      <c r="VGB19" s="289"/>
      <c r="VGC19" s="289"/>
      <c r="VGD19" s="289"/>
      <c r="VGE19" s="289"/>
      <c r="VGF19" s="289"/>
      <c r="VGG19" s="289"/>
      <c r="VGH19" s="289"/>
      <c r="VGI19" s="289"/>
      <c r="VGJ19" s="289"/>
      <c r="VGK19" s="289"/>
      <c r="VGL19" s="289"/>
      <c r="VGM19" s="289"/>
      <c r="VGN19" s="289"/>
      <c r="VGO19" s="289"/>
      <c r="VGP19" s="289"/>
      <c r="VGQ19" s="289"/>
      <c r="VGR19" s="289"/>
      <c r="VGS19" s="289"/>
      <c r="VGT19" s="289"/>
      <c r="VGU19" s="289"/>
      <c r="VGV19" s="289"/>
      <c r="VGW19" s="289"/>
      <c r="VGX19" s="289"/>
      <c r="VGY19" s="289"/>
      <c r="VGZ19" s="289"/>
      <c r="VHA19" s="289"/>
      <c r="VHB19" s="289"/>
      <c r="VHC19" s="289"/>
      <c r="VHD19" s="289"/>
      <c r="VHE19" s="289"/>
      <c r="VHF19" s="289"/>
      <c r="VHG19" s="289"/>
      <c r="VHH19" s="289"/>
      <c r="VHI19" s="289"/>
      <c r="VHJ19" s="289"/>
      <c r="VHK19" s="289"/>
      <c r="VHL19" s="289"/>
      <c r="VHM19" s="289"/>
      <c r="VHN19" s="289"/>
      <c r="VHO19" s="289"/>
      <c r="VHP19" s="289"/>
      <c r="VHQ19" s="289"/>
      <c r="VHR19" s="289"/>
      <c r="VHS19" s="289"/>
      <c r="VHT19" s="289"/>
      <c r="VHU19" s="289"/>
      <c r="VHV19" s="289"/>
      <c r="VHW19" s="289"/>
      <c r="VHX19" s="289"/>
      <c r="VHY19" s="289"/>
      <c r="VHZ19" s="289"/>
      <c r="VIA19" s="289"/>
      <c r="VIB19" s="289"/>
      <c r="VIC19" s="289"/>
      <c r="VID19" s="289"/>
      <c r="VIE19" s="289"/>
      <c r="VIF19" s="289"/>
      <c r="VIG19" s="289"/>
      <c r="VIH19" s="289"/>
      <c r="VII19" s="289"/>
      <c r="VIJ19" s="289"/>
      <c r="VIK19" s="289"/>
      <c r="VIL19" s="289"/>
      <c r="VIM19" s="289"/>
      <c r="VIN19" s="289"/>
      <c r="VIO19" s="289"/>
      <c r="VIP19" s="289"/>
      <c r="VIQ19" s="289"/>
      <c r="VIR19" s="289"/>
      <c r="VIS19" s="289"/>
      <c r="VIT19" s="289"/>
      <c r="VIU19" s="289"/>
      <c r="VIV19" s="289"/>
      <c r="VIW19" s="289"/>
      <c r="VIX19" s="289"/>
      <c r="VIY19" s="289"/>
      <c r="VIZ19" s="289"/>
      <c r="VJA19" s="289"/>
      <c r="VJB19" s="289"/>
      <c r="VJC19" s="289"/>
      <c r="VJD19" s="289"/>
      <c r="VJE19" s="289"/>
      <c r="VJF19" s="289"/>
      <c r="VJG19" s="289"/>
      <c r="VJH19" s="289"/>
      <c r="VJI19" s="289"/>
      <c r="VJJ19" s="289"/>
      <c r="VJK19" s="289"/>
      <c r="VJL19" s="289"/>
      <c r="VJM19" s="289"/>
      <c r="VJN19" s="289"/>
      <c r="VJO19" s="289"/>
      <c r="VJP19" s="289"/>
      <c r="VJQ19" s="289"/>
      <c r="VJR19" s="289"/>
      <c r="VJS19" s="289"/>
      <c r="VJT19" s="289"/>
      <c r="VJU19" s="289"/>
      <c r="VJV19" s="289"/>
      <c r="VJW19" s="289"/>
      <c r="VJX19" s="289"/>
      <c r="VJY19" s="289"/>
      <c r="VJZ19" s="289"/>
      <c r="VKA19" s="289"/>
      <c r="VKB19" s="289"/>
      <c r="VKC19" s="289"/>
      <c r="VKD19" s="289"/>
      <c r="VKE19" s="289"/>
      <c r="VKF19" s="289"/>
      <c r="VKG19" s="289"/>
      <c r="VKH19" s="289"/>
      <c r="VKI19" s="289"/>
      <c r="VKJ19" s="289"/>
      <c r="VKK19" s="289"/>
      <c r="VKL19" s="289"/>
      <c r="VKM19" s="289"/>
      <c r="VKN19" s="289"/>
      <c r="VKO19" s="289"/>
      <c r="VKP19" s="289"/>
      <c r="VKQ19" s="289"/>
      <c r="VKR19" s="289"/>
      <c r="VKS19" s="289"/>
      <c r="VKT19" s="289"/>
      <c r="VKU19" s="289"/>
      <c r="VKV19" s="289"/>
      <c r="VKW19" s="289"/>
      <c r="VKX19" s="289"/>
      <c r="VKY19" s="289"/>
      <c r="VKZ19" s="289"/>
      <c r="VLA19" s="289"/>
      <c r="VLB19" s="289"/>
      <c r="VLC19" s="289"/>
      <c r="VLD19" s="289"/>
      <c r="VLE19" s="289"/>
      <c r="VLF19" s="289"/>
      <c r="VLG19" s="289"/>
      <c r="VLH19" s="289"/>
      <c r="VLI19" s="289"/>
      <c r="VLJ19" s="289"/>
      <c r="VLK19" s="289"/>
      <c r="VLL19" s="289"/>
      <c r="VLM19" s="289"/>
      <c r="VLN19" s="289"/>
      <c r="VLO19" s="289"/>
      <c r="VLP19" s="289"/>
      <c r="VLQ19" s="289"/>
      <c r="VLR19" s="289"/>
      <c r="VLS19" s="289"/>
      <c r="VLT19" s="289"/>
      <c r="VLU19" s="289"/>
      <c r="VLV19" s="289"/>
      <c r="VLW19" s="289"/>
      <c r="VLX19" s="289"/>
      <c r="VLY19" s="289"/>
      <c r="VLZ19" s="289"/>
      <c r="VMA19" s="289"/>
      <c r="VMB19" s="289"/>
      <c r="VMC19" s="289"/>
      <c r="VMD19" s="289"/>
      <c r="VME19" s="289"/>
      <c r="VMF19" s="289"/>
      <c r="VMG19" s="289"/>
      <c r="VMH19" s="289"/>
      <c r="VMI19" s="289"/>
      <c r="VMJ19" s="289"/>
      <c r="VMK19" s="289"/>
      <c r="VML19" s="289"/>
      <c r="VMM19" s="289"/>
      <c r="VMN19" s="289"/>
      <c r="VMO19" s="289"/>
      <c r="VMP19" s="289"/>
      <c r="VMQ19" s="289"/>
      <c r="VMR19" s="289"/>
      <c r="VMS19" s="289"/>
      <c r="VMT19" s="289"/>
      <c r="VMU19" s="289"/>
      <c r="VMV19" s="289"/>
      <c r="VMW19" s="289"/>
      <c r="VMX19" s="289"/>
      <c r="VMY19" s="289"/>
      <c r="VMZ19" s="289"/>
      <c r="VNA19" s="289"/>
      <c r="VNB19" s="289"/>
      <c r="VNC19" s="289"/>
      <c r="VND19" s="289"/>
      <c r="VNE19" s="289"/>
      <c r="VNF19" s="289"/>
      <c r="VNG19" s="289"/>
      <c r="VNH19" s="289"/>
      <c r="VNI19" s="289"/>
      <c r="VNJ19" s="289"/>
      <c r="VNK19" s="289"/>
      <c r="VNL19" s="289"/>
      <c r="VNM19" s="289"/>
      <c r="VNN19" s="289"/>
      <c r="VNO19" s="289"/>
      <c r="VNP19" s="289"/>
      <c r="VNQ19" s="289"/>
      <c r="VNR19" s="289"/>
      <c r="VNS19" s="289"/>
      <c r="VNT19" s="289"/>
      <c r="VNU19" s="289"/>
      <c r="VNV19" s="289"/>
      <c r="VNW19" s="289"/>
      <c r="VNX19" s="289"/>
      <c r="VNY19" s="289"/>
      <c r="VNZ19" s="289"/>
      <c r="VOA19" s="289"/>
      <c r="VOB19" s="289"/>
      <c r="VOC19" s="289"/>
      <c r="VOD19" s="289"/>
      <c r="VOE19" s="289"/>
      <c r="VOF19" s="289"/>
      <c r="VOG19" s="289"/>
      <c r="VOH19" s="289"/>
      <c r="VOI19" s="289"/>
      <c r="VOJ19" s="289"/>
      <c r="VOK19" s="289"/>
      <c r="VOL19" s="289"/>
      <c r="VOM19" s="289"/>
      <c r="VON19" s="289"/>
      <c r="VOO19" s="289"/>
      <c r="VOP19" s="289"/>
      <c r="VOQ19" s="289"/>
      <c r="VOR19" s="289"/>
      <c r="VOS19" s="289"/>
      <c r="VOT19" s="289"/>
      <c r="VOU19" s="289"/>
      <c r="VOV19" s="289"/>
      <c r="VOW19" s="289"/>
      <c r="VOX19" s="289"/>
      <c r="VOY19" s="289"/>
      <c r="VOZ19" s="289"/>
      <c r="VPA19" s="289"/>
      <c r="VPB19" s="289"/>
      <c r="VPC19" s="289"/>
      <c r="VPD19" s="289"/>
      <c r="VPE19" s="289"/>
      <c r="VPF19" s="289"/>
      <c r="VPG19" s="289"/>
      <c r="VPH19" s="289"/>
      <c r="VPI19" s="289"/>
      <c r="VPJ19" s="289"/>
      <c r="VPK19" s="289"/>
      <c r="VPL19" s="289"/>
      <c r="VPM19" s="289"/>
      <c r="VPN19" s="289"/>
      <c r="VPO19" s="289"/>
      <c r="VPP19" s="289"/>
      <c r="VPQ19" s="289"/>
      <c r="VPR19" s="289"/>
      <c r="VPS19" s="289"/>
      <c r="VPT19" s="289"/>
      <c r="VPU19" s="289"/>
      <c r="VPV19" s="289"/>
      <c r="VPW19" s="289"/>
      <c r="VPX19" s="289"/>
      <c r="VPY19" s="289"/>
      <c r="VPZ19" s="289"/>
      <c r="VQA19" s="289"/>
      <c r="VQB19" s="289"/>
      <c r="VQC19" s="289"/>
      <c r="VQD19" s="289"/>
      <c r="VQE19" s="289"/>
      <c r="VQF19" s="289"/>
      <c r="VQG19" s="289"/>
      <c r="VQH19" s="289"/>
      <c r="VQI19" s="289"/>
      <c r="VQJ19" s="289"/>
      <c r="VQK19" s="289"/>
      <c r="VQL19" s="289"/>
      <c r="VQM19" s="289"/>
      <c r="VQN19" s="289"/>
      <c r="VQO19" s="289"/>
      <c r="VQP19" s="289"/>
      <c r="VQQ19" s="289"/>
      <c r="VQR19" s="289"/>
      <c r="VQS19" s="289"/>
      <c r="VQT19" s="289"/>
      <c r="VQU19" s="289"/>
      <c r="VQV19" s="289"/>
      <c r="VQW19" s="289"/>
      <c r="VQX19" s="289"/>
      <c r="VQY19" s="289"/>
      <c r="VQZ19" s="289"/>
      <c r="VRA19" s="289"/>
      <c r="VRB19" s="289"/>
      <c r="VRC19" s="289"/>
      <c r="VRD19" s="289"/>
      <c r="VRE19" s="289"/>
      <c r="VRF19" s="289"/>
      <c r="VRG19" s="289"/>
      <c r="VRH19" s="289"/>
      <c r="VRI19" s="289"/>
      <c r="VRJ19" s="289"/>
      <c r="VRK19" s="289"/>
      <c r="VRL19" s="289"/>
      <c r="VRM19" s="289"/>
      <c r="VRN19" s="289"/>
      <c r="VRO19" s="289"/>
      <c r="VRP19" s="289"/>
      <c r="VRQ19" s="289"/>
      <c r="VRR19" s="289"/>
      <c r="VRS19" s="289"/>
      <c r="VRT19" s="289"/>
      <c r="VRU19" s="289"/>
      <c r="VRV19" s="289"/>
      <c r="VRW19" s="289"/>
      <c r="VRX19" s="289"/>
      <c r="VRY19" s="289"/>
      <c r="VRZ19" s="289"/>
      <c r="VSA19" s="289"/>
      <c r="VSB19" s="289"/>
      <c r="VSC19" s="289"/>
      <c r="VSD19" s="289"/>
      <c r="VSE19" s="289"/>
      <c r="VSF19" s="289"/>
      <c r="VSG19" s="289"/>
      <c r="VSH19" s="289"/>
      <c r="VSI19" s="289"/>
      <c r="VSJ19" s="289"/>
      <c r="VSK19" s="289"/>
      <c r="VSL19" s="289"/>
      <c r="VSM19" s="289"/>
      <c r="VSN19" s="289"/>
      <c r="VSO19" s="289"/>
      <c r="VSP19" s="289"/>
      <c r="VSQ19" s="289"/>
      <c r="VSR19" s="289"/>
      <c r="VSS19" s="289"/>
      <c r="VST19" s="289"/>
      <c r="VSU19" s="289"/>
      <c r="VSV19" s="289"/>
      <c r="VSW19" s="289"/>
      <c r="VSX19" s="289"/>
      <c r="VSY19" s="289"/>
      <c r="VSZ19" s="289"/>
      <c r="VTA19" s="289"/>
      <c r="VTB19" s="289"/>
      <c r="VTC19" s="289"/>
      <c r="VTD19" s="289"/>
      <c r="VTE19" s="289"/>
      <c r="VTF19" s="289"/>
      <c r="VTG19" s="289"/>
      <c r="VTH19" s="289"/>
      <c r="VTI19" s="289"/>
      <c r="VTJ19" s="289"/>
      <c r="VTK19" s="289"/>
      <c r="VTL19" s="289"/>
      <c r="VTM19" s="289"/>
      <c r="VTN19" s="289"/>
      <c r="VTO19" s="289"/>
      <c r="VTP19" s="289"/>
      <c r="VTQ19" s="289"/>
      <c r="VTR19" s="289"/>
      <c r="VTS19" s="289"/>
      <c r="VTT19" s="289"/>
      <c r="VTU19" s="289"/>
      <c r="VTV19" s="289"/>
      <c r="VTW19" s="289"/>
      <c r="VTX19" s="289"/>
      <c r="VTY19" s="289"/>
      <c r="VTZ19" s="289"/>
      <c r="VUA19" s="289"/>
      <c r="VUB19" s="289"/>
      <c r="VUC19" s="289"/>
      <c r="VUD19" s="289"/>
      <c r="VUE19" s="289"/>
      <c r="VUF19" s="289"/>
      <c r="VUG19" s="289"/>
      <c r="VUH19" s="289"/>
      <c r="VUI19" s="289"/>
      <c r="VUJ19" s="289"/>
      <c r="VUK19" s="289"/>
      <c r="VUL19" s="289"/>
      <c r="VUM19" s="289"/>
      <c r="VUN19" s="289"/>
      <c r="VUO19" s="289"/>
      <c r="VUP19" s="289"/>
      <c r="VUQ19" s="289"/>
      <c r="VUR19" s="289"/>
      <c r="VUS19" s="289"/>
      <c r="VUT19" s="289"/>
      <c r="VUU19" s="289"/>
      <c r="VUV19" s="289"/>
      <c r="VUW19" s="289"/>
      <c r="VUX19" s="289"/>
      <c r="VUY19" s="289"/>
      <c r="VUZ19" s="289"/>
      <c r="VVA19" s="289"/>
      <c r="VVB19" s="289"/>
      <c r="VVC19" s="289"/>
      <c r="VVD19" s="289"/>
      <c r="VVE19" s="289"/>
      <c r="VVF19" s="289"/>
      <c r="VVG19" s="289"/>
      <c r="VVH19" s="289"/>
      <c r="VVI19" s="289"/>
      <c r="VVJ19" s="289"/>
      <c r="VVK19" s="289"/>
      <c r="VVL19" s="289"/>
      <c r="VVM19" s="289"/>
      <c r="VVN19" s="289"/>
      <c r="VVO19" s="289"/>
      <c r="VVP19" s="289"/>
      <c r="VVQ19" s="289"/>
      <c r="VVR19" s="289"/>
      <c r="VVS19" s="289"/>
      <c r="VVT19" s="289"/>
      <c r="VVU19" s="289"/>
      <c r="VVV19" s="289"/>
      <c r="VVW19" s="289"/>
      <c r="VVX19" s="289"/>
      <c r="VVY19" s="289"/>
      <c r="VVZ19" s="289"/>
      <c r="VWA19" s="289"/>
      <c r="VWB19" s="289"/>
      <c r="VWC19" s="289"/>
      <c r="VWD19" s="289"/>
      <c r="VWE19" s="289"/>
      <c r="VWF19" s="289"/>
      <c r="VWG19" s="289"/>
      <c r="VWH19" s="289"/>
      <c r="VWI19" s="289"/>
      <c r="VWJ19" s="289"/>
      <c r="VWK19" s="289"/>
      <c r="VWL19" s="289"/>
      <c r="VWM19" s="289"/>
      <c r="VWN19" s="289"/>
      <c r="VWO19" s="289"/>
      <c r="VWP19" s="289"/>
      <c r="VWQ19" s="289"/>
      <c r="VWR19" s="289"/>
      <c r="VWS19" s="289"/>
      <c r="VWT19" s="289"/>
      <c r="VWU19" s="289"/>
      <c r="VWV19" s="289"/>
      <c r="VWW19" s="289"/>
      <c r="VWX19" s="289"/>
      <c r="VWY19" s="289"/>
      <c r="VWZ19" s="289"/>
      <c r="VXA19" s="289"/>
      <c r="VXB19" s="289"/>
      <c r="VXC19" s="289"/>
      <c r="VXD19" s="289"/>
      <c r="VXE19" s="289"/>
      <c r="VXF19" s="289"/>
      <c r="VXG19" s="289"/>
      <c r="VXH19" s="289"/>
      <c r="VXI19" s="289"/>
      <c r="VXJ19" s="289"/>
      <c r="VXK19" s="289"/>
      <c r="VXL19" s="289"/>
      <c r="VXM19" s="289"/>
      <c r="VXN19" s="289"/>
      <c r="VXO19" s="289"/>
      <c r="VXP19" s="289"/>
      <c r="VXQ19" s="289"/>
      <c r="VXR19" s="289"/>
      <c r="VXS19" s="289"/>
      <c r="VXT19" s="289"/>
      <c r="VXU19" s="289"/>
      <c r="VXV19" s="289"/>
      <c r="VXW19" s="289"/>
      <c r="VXX19" s="289"/>
      <c r="VXY19" s="289"/>
      <c r="VXZ19" s="289"/>
      <c r="VYA19" s="289"/>
      <c r="VYB19" s="289"/>
      <c r="VYC19" s="289"/>
      <c r="VYD19" s="289"/>
      <c r="VYE19" s="289"/>
      <c r="VYF19" s="289"/>
      <c r="VYG19" s="289"/>
      <c r="VYH19" s="289"/>
      <c r="VYI19" s="289"/>
      <c r="VYJ19" s="289"/>
      <c r="VYK19" s="289"/>
      <c r="VYL19" s="289"/>
      <c r="VYM19" s="289"/>
      <c r="VYN19" s="289"/>
      <c r="VYO19" s="289"/>
      <c r="VYP19" s="289"/>
      <c r="VYQ19" s="289"/>
      <c r="VYR19" s="289"/>
      <c r="VYS19" s="289"/>
      <c r="VYT19" s="289"/>
      <c r="VYU19" s="289"/>
      <c r="VYV19" s="289"/>
      <c r="VYW19" s="289"/>
      <c r="VYX19" s="289"/>
      <c r="VYY19" s="289"/>
      <c r="VYZ19" s="289"/>
      <c r="VZA19" s="289"/>
      <c r="VZB19" s="289"/>
      <c r="VZC19" s="289"/>
      <c r="VZD19" s="289"/>
      <c r="VZE19" s="289"/>
      <c r="VZF19" s="289"/>
      <c r="VZG19" s="289"/>
      <c r="VZH19" s="289"/>
      <c r="VZI19" s="289"/>
      <c r="VZJ19" s="289"/>
      <c r="VZK19" s="289"/>
      <c r="VZL19" s="289"/>
      <c r="VZM19" s="289"/>
      <c r="VZN19" s="289"/>
      <c r="VZO19" s="289"/>
      <c r="VZP19" s="289"/>
      <c r="VZQ19" s="289"/>
      <c r="VZR19" s="289"/>
      <c r="VZS19" s="289"/>
      <c r="VZT19" s="289"/>
      <c r="VZU19" s="289"/>
      <c r="VZV19" s="289"/>
      <c r="VZW19" s="289"/>
      <c r="VZX19" s="289"/>
      <c r="VZY19" s="289"/>
      <c r="VZZ19" s="289"/>
      <c r="WAA19" s="289"/>
      <c r="WAB19" s="289"/>
      <c r="WAC19" s="289"/>
      <c r="WAD19" s="289"/>
      <c r="WAE19" s="289"/>
      <c r="WAF19" s="289"/>
      <c r="WAG19" s="289"/>
      <c r="WAH19" s="289"/>
      <c r="WAI19" s="289"/>
      <c r="WAJ19" s="289"/>
      <c r="WAK19" s="289"/>
      <c r="WAL19" s="289"/>
      <c r="WAM19" s="289"/>
      <c r="WAN19" s="289"/>
      <c r="WAO19" s="289"/>
      <c r="WAP19" s="289"/>
      <c r="WAQ19" s="289"/>
      <c r="WAR19" s="289"/>
      <c r="WAS19" s="289"/>
      <c r="WAT19" s="289"/>
      <c r="WAU19" s="289"/>
      <c r="WAV19" s="289"/>
      <c r="WAW19" s="289"/>
      <c r="WAX19" s="289"/>
      <c r="WAY19" s="289"/>
      <c r="WAZ19" s="289"/>
      <c r="WBA19" s="289"/>
      <c r="WBB19" s="289"/>
      <c r="WBC19" s="289"/>
      <c r="WBD19" s="289"/>
      <c r="WBE19" s="289"/>
      <c r="WBF19" s="289"/>
      <c r="WBG19" s="289"/>
      <c r="WBH19" s="289"/>
      <c r="WBI19" s="289"/>
      <c r="WBJ19" s="289"/>
      <c r="WBK19" s="289"/>
      <c r="WBL19" s="289"/>
      <c r="WBM19" s="289"/>
      <c r="WBN19" s="289"/>
      <c r="WBO19" s="289"/>
      <c r="WBP19" s="289"/>
      <c r="WBQ19" s="289"/>
      <c r="WBR19" s="289"/>
      <c r="WBS19" s="289"/>
      <c r="WBT19" s="289"/>
      <c r="WBU19" s="289"/>
      <c r="WBV19" s="289"/>
      <c r="WBW19" s="289"/>
      <c r="WBX19" s="289"/>
      <c r="WBY19" s="289"/>
      <c r="WBZ19" s="289"/>
      <c r="WCA19" s="289"/>
      <c r="WCB19" s="289"/>
      <c r="WCC19" s="289"/>
      <c r="WCD19" s="289"/>
      <c r="WCE19" s="289"/>
      <c r="WCF19" s="289"/>
      <c r="WCG19" s="289"/>
      <c r="WCH19" s="289"/>
      <c r="WCI19" s="289"/>
      <c r="WCJ19" s="289"/>
      <c r="WCK19" s="289"/>
      <c r="WCL19" s="289"/>
      <c r="WCM19" s="289"/>
      <c r="WCN19" s="289"/>
      <c r="WCO19" s="289"/>
      <c r="WCP19" s="289"/>
      <c r="WCQ19" s="289"/>
      <c r="WCR19" s="289"/>
      <c r="WCS19" s="289"/>
      <c r="WCT19" s="289"/>
      <c r="WCU19" s="289"/>
      <c r="WCV19" s="289"/>
      <c r="WCW19" s="289"/>
      <c r="WCX19" s="289"/>
      <c r="WCY19" s="289"/>
      <c r="WCZ19" s="289"/>
      <c r="WDA19" s="289"/>
      <c r="WDB19" s="289"/>
      <c r="WDC19" s="289"/>
      <c r="WDD19" s="289"/>
      <c r="WDE19" s="289"/>
      <c r="WDF19" s="289"/>
      <c r="WDG19" s="289"/>
      <c r="WDH19" s="289"/>
      <c r="WDI19" s="289"/>
      <c r="WDJ19" s="289"/>
      <c r="WDK19" s="289"/>
      <c r="WDL19" s="289"/>
      <c r="WDM19" s="289"/>
      <c r="WDN19" s="289"/>
      <c r="WDO19" s="289"/>
      <c r="WDP19" s="289"/>
      <c r="WDQ19" s="289"/>
      <c r="WDR19" s="289"/>
      <c r="WDS19" s="289"/>
      <c r="WDT19" s="289"/>
      <c r="WDU19" s="289"/>
      <c r="WDV19" s="289"/>
      <c r="WDW19" s="289"/>
      <c r="WDX19" s="289"/>
      <c r="WDY19" s="289"/>
      <c r="WDZ19" s="289"/>
      <c r="WEA19" s="289"/>
      <c r="WEB19" s="289"/>
      <c r="WEC19" s="289"/>
      <c r="WED19" s="289"/>
      <c r="WEE19" s="289"/>
      <c r="WEF19" s="289"/>
      <c r="WEG19" s="289"/>
      <c r="WEH19" s="289"/>
      <c r="WEI19" s="289"/>
      <c r="WEJ19" s="289"/>
      <c r="WEK19" s="289"/>
      <c r="WEL19" s="289"/>
      <c r="WEM19" s="289"/>
      <c r="WEN19" s="289"/>
      <c r="WEO19" s="289"/>
      <c r="WEP19" s="289"/>
      <c r="WEQ19" s="289"/>
      <c r="WER19" s="289"/>
      <c r="WES19" s="289"/>
      <c r="WET19" s="289"/>
      <c r="WEU19" s="289"/>
      <c r="WEV19" s="289"/>
      <c r="WEW19" s="289"/>
      <c r="WEX19" s="289"/>
      <c r="WEY19" s="289"/>
      <c r="WEZ19" s="289"/>
      <c r="WFA19" s="289"/>
      <c r="WFB19" s="289"/>
      <c r="WFC19" s="289"/>
      <c r="WFD19" s="289"/>
      <c r="WFE19" s="289"/>
      <c r="WFF19" s="289"/>
      <c r="WFG19" s="289"/>
      <c r="WFH19" s="289"/>
      <c r="WFI19" s="289"/>
      <c r="WFJ19" s="289"/>
      <c r="WFK19" s="289"/>
      <c r="WFL19" s="289"/>
      <c r="WFM19" s="289"/>
      <c r="WFN19" s="289"/>
      <c r="WFO19" s="289"/>
      <c r="WFP19" s="289"/>
      <c r="WFQ19" s="289"/>
      <c r="WFR19" s="289"/>
      <c r="WFS19" s="289"/>
      <c r="WFT19" s="289"/>
      <c r="WFU19" s="289"/>
      <c r="WFV19" s="289"/>
      <c r="WFW19" s="289"/>
      <c r="WFX19" s="289"/>
      <c r="WFY19" s="289"/>
      <c r="WFZ19" s="289"/>
      <c r="WGA19" s="289"/>
      <c r="WGB19" s="289"/>
      <c r="WGC19" s="289"/>
      <c r="WGD19" s="289"/>
      <c r="WGE19" s="289"/>
      <c r="WGF19" s="289"/>
      <c r="WGG19" s="289"/>
      <c r="WGH19" s="289"/>
      <c r="WGI19" s="289"/>
      <c r="WGJ19" s="289"/>
      <c r="WGK19" s="289"/>
      <c r="WGL19" s="289"/>
      <c r="WGM19" s="289"/>
      <c r="WGN19" s="289"/>
      <c r="WGO19" s="289"/>
      <c r="WGP19" s="289"/>
      <c r="WGQ19" s="289"/>
      <c r="WGR19" s="289"/>
      <c r="WGS19" s="289"/>
      <c r="WGT19" s="289"/>
      <c r="WGU19" s="289"/>
      <c r="WGV19" s="289"/>
      <c r="WGW19" s="289"/>
      <c r="WGX19" s="289"/>
      <c r="WGY19" s="289"/>
      <c r="WGZ19" s="289"/>
      <c r="WHA19" s="289"/>
      <c r="WHB19" s="289"/>
      <c r="WHC19" s="289"/>
      <c r="WHD19" s="289"/>
      <c r="WHE19" s="289"/>
      <c r="WHF19" s="289"/>
      <c r="WHG19" s="289"/>
      <c r="WHH19" s="289"/>
      <c r="WHI19" s="289"/>
      <c r="WHJ19" s="289"/>
      <c r="WHK19" s="289"/>
      <c r="WHL19" s="289"/>
      <c r="WHM19" s="289"/>
      <c r="WHN19" s="289"/>
      <c r="WHO19" s="289"/>
      <c r="WHP19" s="289"/>
      <c r="WHQ19" s="289"/>
      <c r="WHR19" s="289"/>
      <c r="WHS19" s="289"/>
      <c r="WHT19" s="289"/>
      <c r="WHU19" s="289"/>
      <c r="WHV19" s="289"/>
      <c r="WHW19" s="289"/>
      <c r="WHX19" s="289"/>
      <c r="WHY19" s="289"/>
      <c r="WHZ19" s="289"/>
      <c r="WIA19" s="289"/>
      <c r="WIB19" s="289"/>
      <c r="WIC19" s="289"/>
      <c r="WID19" s="289"/>
      <c r="WIE19" s="289"/>
      <c r="WIF19" s="289"/>
      <c r="WIG19" s="289"/>
      <c r="WIH19" s="289"/>
      <c r="WII19" s="289"/>
      <c r="WIJ19" s="289"/>
      <c r="WIK19" s="289"/>
      <c r="WIL19" s="289"/>
      <c r="WIM19" s="289"/>
      <c r="WIN19" s="289"/>
      <c r="WIO19" s="289"/>
      <c r="WIP19" s="289"/>
      <c r="WIQ19" s="289"/>
      <c r="WIR19" s="289"/>
      <c r="WIS19" s="289"/>
      <c r="WIT19" s="289"/>
      <c r="WIU19" s="289"/>
      <c r="WIV19" s="289"/>
      <c r="WIW19" s="289"/>
      <c r="WIX19" s="289"/>
      <c r="WIY19" s="289"/>
      <c r="WIZ19" s="289"/>
      <c r="WJA19" s="289"/>
      <c r="WJB19" s="289"/>
      <c r="WJC19" s="289"/>
      <c r="WJD19" s="289"/>
      <c r="WJE19" s="289"/>
      <c r="WJF19" s="289"/>
      <c r="WJG19" s="289"/>
      <c r="WJH19" s="289"/>
      <c r="WJI19" s="289"/>
      <c r="WJJ19" s="289"/>
      <c r="WJK19" s="289"/>
      <c r="WJL19" s="289"/>
      <c r="WJM19" s="289"/>
      <c r="WJN19" s="289"/>
      <c r="WJO19" s="289"/>
      <c r="WJP19" s="289"/>
      <c r="WJQ19" s="289"/>
      <c r="WJR19" s="289"/>
      <c r="WJS19" s="289"/>
      <c r="WJT19" s="289"/>
      <c r="WJU19" s="289"/>
      <c r="WJV19" s="289"/>
      <c r="WJW19" s="289"/>
      <c r="WJX19" s="289"/>
      <c r="WJY19" s="289"/>
      <c r="WJZ19" s="289"/>
      <c r="WKA19" s="289"/>
      <c r="WKB19" s="289"/>
      <c r="WKC19" s="289"/>
      <c r="WKD19" s="289"/>
      <c r="WKE19" s="289"/>
      <c r="WKF19" s="289"/>
      <c r="WKG19" s="289"/>
      <c r="WKH19" s="289"/>
      <c r="WKI19" s="289"/>
      <c r="WKJ19" s="289"/>
      <c r="WKK19" s="289"/>
      <c r="WKL19" s="289"/>
      <c r="WKM19" s="289"/>
      <c r="WKN19" s="289"/>
      <c r="WKO19" s="289"/>
      <c r="WKP19" s="289"/>
      <c r="WKQ19" s="289"/>
      <c r="WKR19" s="289"/>
      <c r="WKS19" s="289"/>
      <c r="WKT19" s="289"/>
      <c r="WKU19" s="289"/>
      <c r="WKV19" s="289"/>
      <c r="WKW19" s="289"/>
      <c r="WKX19" s="289"/>
      <c r="WKY19" s="289"/>
      <c r="WKZ19" s="289"/>
      <c r="WLA19" s="289"/>
      <c r="WLB19" s="289"/>
      <c r="WLC19" s="289"/>
      <c r="WLD19" s="289"/>
      <c r="WLE19" s="289"/>
      <c r="WLF19" s="289"/>
      <c r="WLG19" s="289"/>
      <c r="WLH19" s="289"/>
      <c r="WLI19" s="289"/>
      <c r="WLJ19" s="289"/>
      <c r="WLK19" s="289"/>
      <c r="WLL19" s="289"/>
      <c r="WLM19" s="289"/>
      <c r="WLN19" s="289"/>
      <c r="WLO19" s="289"/>
      <c r="WLP19" s="289"/>
      <c r="WLQ19" s="289"/>
      <c r="WLR19" s="289"/>
      <c r="WLS19" s="289"/>
      <c r="WLT19" s="289"/>
      <c r="WLU19" s="289"/>
      <c r="WLV19" s="289"/>
      <c r="WLW19" s="289"/>
      <c r="WLX19" s="289"/>
      <c r="WLY19" s="289"/>
      <c r="WLZ19" s="289"/>
      <c r="WMA19" s="289"/>
      <c r="WMB19" s="289"/>
      <c r="WMC19" s="289"/>
      <c r="WMD19" s="289"/>
      <c r="WME19" s="289"/>
      <c r="WMF19" s="289"/>
      <c r="WMG19" s="289"/>
      <c r="WMH19" s="289"/>
      <c r="WMI19" s="289"/>
      <c r="WMJ19" s="289"/>
      <c r="WMK19" s="289"/>
      <c r="WML19" s="289"/>
      <c r="WMM19" s="289"/>
      <c r="WMN19" s="289"/>
      <c r="WMO19" s="289"/>
      <c r="WMP19" s="289"/>
      <c r="WMQ19" s="289"/>
      <c r="WMR19" s="289"/>
      <c r="WMS19" s="289"/>
      <c r="WMT19" s="289"/>
      <c r="WMU19" s="289"/>
      <c r="WMV19" s="289"/>
      <c r="WMW19" s="289"/>
      <c r="WMX19" s="289"/>
      <c r="WMY19" s="289"/>
      <c r="WMZ19" s="289"/>
      <c r="WNA19" s="289"/>
      <c r="WNB19" s="289"/>
      <c r="WNC19" s="289"/>
      <c r="WND19" s="289"/>
      <c r="WNE19" s="289"/>
      <c r="WNF19" s="289"/>
      <c r="WNG19" s="289"/>
      <c r="WNH19" s="289"/>
      <c r="WNI19" s="289"/>
      <c r="WNJ19" s="289"/>
      <c r="WNK19" s="289"/>
      <c r="WNL19" s="289"/>
      <c r="WNM19" s="289"/>
      <c r="WNN19" s="289"/>
      <c r="WNO19" s="289"/>
      <c r="WNP19" s="289"/>
      <c r="WNQ19" s="289"/>
      <c r="WNR19" s="289"/>
      <c r="WNS19" s="289"/>
      <c r="WNT19" s="289"/>
      <c r="WNU19" s="289"/>
      <c r="WNV19" s="289"/>
      <c r="WNW19" s="289"/>
      <c r="WNX19" s="289"/>
      <c r="WNY19" s="289"/>
      <c r="WNZ19" s="289"/>
      <c r="WOA19" s="289"/>
      <c r="WOB19" s="289"/>
      <c r="WOC19" s="289"/>
      <c r="WOD19" s="289"/>
      <c r="WOE19" s="289"/>
      <c r="WOF19" s="289"/>
      <c r="WOG19" s="289"/>
      <c r="WOH19" s="289"/>
      <c r="WOI19" s="289"/>
      <c r="WOJ19" s="289"/>
      <c r="WOK19" s="289"/>
      <c r="WOL19" s="289"/>
      <c r="WOM19" s="289"/>
      <c r="WON19" s="289"/>
      <c r="WOO19" s="289"/>
      <c r="WOP19" s="289"/>
      <c r="WOQ19" s="289"/>
      <c r="WOR19" s="289"/>
      <c r="WOS19" s="289"/>
      <c r="WOT19" s="289"/>
      <c r="WOU19" s="289"/>
      <c r="WOV19" s="289"/>
      <c r="WOW19" s="289"/>
      <c r="WOX19" s="289"/>
      <c r="WOY19" s="289"/>
      <c r="WOZ19" s="289"/>
      <c r="WPA19" s="289"/>
      <c r="WPB19" s="289"/>
      <c r="WPC19" s="289"/>
      <c r="WPD19" s="289"/>
      <c r="WPE19" s="289"/>
      <c r="WPF19" s="289"/>
      <c r="WPG19" s="289"/>
      <c r="WPH19" s="289"/>
      <c r="WPI19" s="289"/>
      <c r="WPJ19" s="289"/>
      <c r="WPK19" s="289"/>
      <c r="WPL19" s="289"/>
      <c r="WPM19" s="289"/>
      <c r="WPN19" s="289"/>
      <c r="WPO19" s="289"/>
      <c r="WPP19" s="289"/>
      <c r="WPQ19" s="289"/>
      <c r="WPR19" s="289"/>
      <c r="WPS19" s="289"/>
      <c r="WPT19" s="289"/>
      <c r="WPU19" s="289"/>
      <c r="WPV19" s="289"/>
      <c r="WPW19" s="289"/>
      <c r="WPX19" s="289"/>
      <c r="WPY19" s="289"/>
      <c r="WPZ19" s="289"/>
      <c r="WQA19" s="289"/>
      <c r="WQB19" s="289"/>
      <c r="WQC19" s="289"/>
      <c r="WQD19" s="289"/>
      <c r="WQE19" s="289"/>
      <c r="WQF19" s="289"/>
      <c r="WQG19" s="289"/>
      <c r="WQH19" s="289"/>
      <c r="WQI19" s="289"/>
      <c r="WQJ19" s="289"/>
      <c r="WQK19" s="289"/>
      <c r="WQL19" s="289"/>
      <c r="WQM19" s="289"/>
      <c r="WQN19" s="289"/>
      <c r="WQO19" s="289"/>
      <c r="WQP19" s="289"/>
      <c r="WQQ19" s="289"/>
      <c r="WQR19" s="289"/>
      <c r="WQS19" s="289"/>
      <c r="WQT19" s="289"/>
      <c r="WQU19" s="289"/>
      <c r="WQV19" s="289"/>
      <c r="WQW19" s="289"/>
      <c r="WQX19" s="289"/>
      <c r="WQY19" s="289"/>
      <c r="WQZ19" s="289"/>
      <c r="WRA19" s="289"/>
      <c r="WRB19" s="289"/>
      <c r="WRC19" s="289"/>
      <c r="WRD19" s="289"/>
      <c r="WRE19" s="289"/>
      <c r="WRF19" s="289"/>
      <c r="WRG19" s="289"/>
      <c r="WRH19" s="289"/>
      <c r="WRI19" s="289"/>
      <c r="WRJ19" s="289"/>
      <c r="WRK19" s="289"/>
      <c r="WRL19" s="289"/>
      <c r="WRM19" s="289"/>
      <c r="WRN19" s="289"/>
      <c r="WRO19" s="289"/>
      <c r="WRP19" s="289"/>
      <c r="WRQ19" s="289"/>
      <c r="WRR19" s="289"/>
      <c r="WRS19" s="289"/>
      <c r="WRT19" s="289"/>
      <c r="WRU19" s="289"/>
      <c r="WRV19" s="289"/>
      <c r="WRW19" s="289"/>
      <c r="WRX19" s="289"/>
      <c r="WRY19" s="289"/>
      <c r="WRZ19" s="289"/>
      <c r="WSA19" s="289"/>
      <c r="WSB19" s="289"/>
      <c r="WSC19" s="289"/>
      <c r="WSD19" s="289"/>
      <c r="WSE19" s="289"/>
      <c r="WSF19" s="289"/>
      <c r="WSG19" s="289"/>
      <c r="WSH19" s="289"/>
      <c r="WSI19" s="289"/>
      <c r="WSJ19" s="289"/>
      <c r="WSK19" s="289"/>
      <c r="WSL19" s="289"/>
      <c r="WSM19" s="289"/>
      <c r="WSN19" s="289"/>
      <c r="WSO19" s="289"/>
      <c r="WSP19" s="289"/>
      <c r="WSQ19" s="289"/>
      <c r="WSR19" s="289"/>
      <c r="WSS19" s="289"/>
      <c r="WST19" s="289"/>
      <c r="WSU19" s="289"/>
      <c r="WSV19" s="289"/>
      <c r="WSW19" s="289"/>
      <c r="WSX19" s="289"/>
      <c r="WSY19" s="289"/>
      <c r="WSZ19" s="289"/>
      <c r="WTA19" s="289"/>
      <c r="WTB19" s="289"/>
      <c r="WTC19" s="289"/>
      <c r="WTD19" s="289"/>
      <c r="WTE19" s="289"/>
      <c r="WTF19" s="289"/>
      <c r="WTG19" s="289"/>
      <c r="WTH19" s="289"/>
      <c r="WTI19" s="289"/>
      <c r="WTJ19" s="289"/>
      <c r="WTK19" s="289"/>
      <c r="WTL19" s="289"/>
      <c r="WTM19" s="289"/>
      <c r="WTN19" s="289"/>
      <c r="WTO19" s="289"/>
      <c r="WTP19" s="289"/>
      <c r="WTQ19" s="289"/>
      <c r="WTR19" s="289"/>
      <c r="WTS19" s="289"/>
      <c r="WTT19" s="289"/>
      <c r="WTU19" s="289"/>
      <c r="WTV19" s="289"/>
      <c r="WTW19" s="289"/>
      <c r="WTX19" s="289"/>
      <c r="WTY19" s="289"/>
      <c r="WTZ19" s="289"/>
      <c r="WUA19" s="289"/>
      <c r="WUB19" s="289"/>
      <c r="WUC19" s="289"/>
      <c r="WUD19" s="289"/>
      <c r="WUE19" s="289"/>
      <c r="WUF19" s="289"/>
      <c r="WUG19" s="289"/>
      <c r="WUH19" s="289"/>
      <c r="WUI19" s="289"/>
      <c r="WUJ19" s="289"/>
      <c r="WUK19" s="289"/>
      <c r="WUL19" s="289"/>
      <c r="WUM19" s="289"/>
      <c r="WUN19" s="289"/>
      <c r="WUO19" s="289"/>
      <c r="WUP19" s="289"/>
      <c r="WUQ19" s="289"/>
      <c r="WUR19" s="289"/>
      <c r="WUS19" s="289"/>
      <c r="WUT19" s="289"/>
      <c r="WUU19" s="289"/>
      <c r="WUV19" s="289"/>
      <c r="WUW19" s="289"/>
      <c r="WUX19" s="289"/>
      <c r="WUY19" s="289"/>
      <c r="WUZ19" s="289"/>
      <c r="WVA19" s="289"/>
      <c r="WVB19" s="289"/>
      <c r="WVC19" s="289"/>
      <c r="WVD19" s="289"/>
      <c r="WVE19" s="289"/>
      <c r="WVF19" s="289"/>
      <c r="WVG19" s="289"/>
      <c r="WVH19" s="289"/>
      <c r="WVI19" s="289"/>
      <c r="WVJ19" s="289"/>
      <c r="WVK19" s="289"/>
      <c r="WVL19" s="289"/>
      <c r="WVM19" s="289"/>
      <c r="WVN19" s="289"/>
      <c r="WVO19" s="289"/>
      <c r="WVP19" s="289"/>
      <c r="WVQ19" s="289"/>
      <c r="WVR19" s="289"/>
      <c r="WVS19" s="289"/>
      <c r="WVT19" s="289"/>
      <c r="WVU19" s="289"/>
      <c r="WVV19" s="289"/>
      <c r="WVW19" s="289"/>
      <c r="WVX19" s="289"/>
      <c r="WVY19" s="289"/>
      <c r="WVZ19" s="289"/>
      <c r="WWA19" s="289"/>
      <c r="WWB19" s="289"/>
      <c r="WWC19" s="289"/>
      <c r="WWD19" s="289"/>
      <c r="WWE19" s="289"/>
      <c r="WWF19" s="289"/>
      <c r="WWG19" s="289"/>
      <c r="WWH19" s="289"/>
      <c r="WWI19" s="289"/>
      <c r="WWJ19" s="289"/>
      <c r="WWK19" s="289"/>
      <c r="WWL19" s="289"/>
      <c r="WWM19" s="289"/>
      <c r="WWN19" s="289"/>
      <c r="WWO19" s="289"/>
      <c r="WWP19" s="289"/>
      <c r="WWQ19" s="289"/>
      <c r="WWR19" s="289"/>
      <c r="WWS19" s="289"/>
      <c r="WWT19" s="289"/>
      <c r="WWU19" s="289"/>
      <c r="WWV19" s="289"/>
      <c r="WWW19" s="289"/>
      <c r="WWX19" s="289"/>
      <c r="WWY19" s="289"/>
      <c r="WWZ19" s="289"/>
      <c r="WXA19" s="289"/>
      <c r="WXB19" s="289"/>
      <c r="WXC19" s="289"/>
      <c r="WXD19" s="289"/>
      <c r="WXE19" s="289"/>
      <c r="WXF19" s="289"/>
      <c r="WXG19" s="289"/>
      <c r="WXH19" s="289"/>
      <c r="WXI19" s="289"/>
      <c r="WXJ19" s="289"/>
      <c r="WXK19" s="289"/>
      <c r="WXL19" s="289"/>
      <c r="WXM19" s="289"/>
      <c r="WXN19" s="289"/>
      <c r="WXO19" s="289"/>
      <c r="WXP19" s="289"/>
      <c r="WXQ19" s="289"/>
      <c r="WXR19" s="289"/>
      <c r="WXS19" s="289"/>
      <c r="WXT19" s="289"/>
      <c r="WXU19" s="289"/>
      <c r="WXV19" s="289"/>
      <c r="WXW19" s="289"/>
      <c r="WXX19" s="289"/>
      <c r="WXY19" s="289"/>
      <c r="WXZ19" s="289"/>
      <c r="WYA19" s="289"/>
      <c r="WYB19" s="289"/>
      <c r="WYC19" s="289"/>
      <c r="WYD19" s="289"/>
      <c r="WYE19" s="289"/>
      <c r="WYF19" s="289"/>
      <c r="WYG19" s="289"/>
      <c r="WYH19" s="289"/>
      <c r="WYI19" s="289"/>
      <c r="WYJ19" s="289"/>
      <c r="WYK19" s="289"/>
      <c r="WYL19" s="289"/>
      <c r="WYM19" s="289"/>
      <c r="WYN19" s="289"/>
      <c r="WYO19" s="289"/>
      <c r="WYP19" s="289"/>
      <c r="WYQ19" s="289"/>
      <c r="WYR19" s="289"/>
      <c r="WYS19" s="289"/>
      <c r="WYT19" s="289"/>
      <c r="WYU19" s="289"/>
      <c r="WYV19" s="289"/>
      <c r="WYW19" s="289"/>
      <c r="WYX19" s="289"/>
      <c r="WYY19" s="289"/>
      <c r="WYZ19" s="289"/>
      <c r="WZA19" s="289"/>
      <c r="WZB19" s="289"/>
      <c r="WZC19" s="289"/>
      <c r="WZD19" s="289"/>
      <c r="WZE19" s="289"/>
      <c r="WZF19" s="289"/>
      <c r="WZG19" s="289"/>
      <c r="WZH19" s="289"/>
      <c r="WZI19" s="289"/>
      <c r="WZJ19" s="289"/>
      <c r="WZK19" s="289"/>
      <c r="WZL19" s="289"/>
      <c r="WZM19" s="289"/>
      <c r="WZN19" s="289"/>
      <c r="WZO19" s="289"/>
      <c r="WZP19" s="289"/>
      <c r="WZQ19" s="289"/>
      <c r="WZR19" s="289"/>
      <c r="WZS19" s="289"/>
      <c r="WZT19" s="289"/>
      <c r="WZU19" s="289"/>
      <c r="WZV19" s="289"/>
      <c r="WZW19" s="289"/>
      <c r="WZX19" s="289"/>
      <c r="WZY19" s="289"/>
      <c r="WZZ19" s="289"/>
      <c r="XAA19" s="289"/>
      <c r="XAB19" s="289"/>
      <c r="XAC19" s="289"/>
      <c r="XAD19" s="289"/>
      <c r="XAE19" s="289"/>
      <c r="XAF19" s="289"/>
      <c r="XAG19" s="289"/>
      <c r="XAH19" s="289"/>
      <c r="XAI19" s="289"/>
      <c r="XAJ19" s="289"/>
      <c r="XAK19" s="289"/>
      <c r="XAL19" s="289"/>
      <c r="XAM19" s="289"/>
      <c r="XAN19" s="289"/>
      <c r="XAO19" s="289"/>
      <c r="XAP19" s="289"/>
      <c r="XAQ19" s="289"/>
      <c r="XAR19" s="289"/>
      <c r="XAS19" s="289"/>
      <c r="XAT19" s="289"/>
      <c r="XAU19" s="289"/>
      <c r="XAV19" s="289"/>
      <c r="XAW19" s="289"/>
      <c r="XAX19" s="289"/>
      <c r="XAY19" s="289"/>
      <c r="XAZ19" s="289"/>
      <c r="XBA19" s="289"/>
      <c r="XBB19" s="289"/>
      <c r="XBC19" s="289"/>
      <c r="XBD19" s="289"/>
      <c r="XBE19" s="289"/>
      <c r="XBF19" s="289"/>
      <c r="XBG19" s="289"/>
      <c r="XBH19" s="289"/>
      <c r="XBI19" s="289"/>
      <c r="XBJ19" s="289"/>
      <c r="XBK19" s="289"/>
      <c r="XBL19" s="289"/>
      <c r="XBM19" s="289"/>
      <c r="XBN19" s="289"/>
      <c r="XBO19" s="289"/>
      <c r="XBP19" s="289"/>
      <c r="XBQ19" s="289"/>
      <c r="XBR19" s="289"/>
      <c r="XBS19" s="289"/>
      <c r="XBT19" s="289"/>
      <c r="XBU19" s="289"/>
      <c r="XBV19" s="289"/>
      <c r="XBW19" s="289"/>
      <c r="XBX19" s="289"/>
      <c r="XBY19" s="289"/>
      <c r="XBZ19" s="289"/>
      <c r="XCA19" s="289"/>
      <c r="XCB19" s="289"/>
      <c r="XCC19" s="289"/>
      <c r="XCD19" s="289"/>
      <c r="XCE19" s="289"/>
      <c r="XCF19" s="289"/>
      <c r="XCG19" s="289"/>
      <c r="XCH19" s="289"/>
      <c r="XCI19" s="289"/>
      <c r="XCJ19" s="289"/>
      <c r="XCK19" s="289"/>
      <c r="XCL19" s="289"/>
      <c r="XCM19" s="289"/>
      <c r="XCN19" s="289"/>
      <c r="XCO19" s="289"/>
      <c r="XCP19" s="289"/>
      <c r="XCQ19" s="289"/>
      <c r="XCR19" s="289"/>
      <c r="XCS19" s="289"/>
      <c r="XCT19" s="289"/>
      <c r="XCU19" s="289"/>
      <c r="XCV19" s="289"/>
      <c r="XCW19" s="289"/>
      <c r="XCX19" s="289"/>
      <c r="XCY19" s="289"/>
      <c r="XCZ19" s="289"/>
      <c r="XDA19" s="289"/>
      <c r="XDB19" s="289"/>
      <c r="XDC19" s="289"/>
      <c r="XDD19" s="289"/>
      <c r="XDE19" s="289"/>
      <c r="XDF19" s="289"/>
      <c r="XDG19" s="289"/>
      <c r="XDH19" s="289"/>
      <c r="XDI19" s="289"/>
      <c r="XDJ19" s="289"/>
      <c r="XDK19" s="289"/>
      <c r="XDL19" s="289"/>
      <c r="XDM19" s="289"/>
      <c r="XDN19" s="289"/>
      <c r="XDO19" s="289"/>
      <c r="XDP19" s="289"/>
      <c r="XDQ19" s="289"/>
      <c r="XDR19" s="289"/>
      <c r="XDS19" s="289"/>
      <c r="XDT19" s="289"/>
      <c r="XDU19" s="289"/>
      <c r="XDV19" s="289"/>
      <c r="XDW19" s="289"/>
      <c r="XDX19" s="289"/>
      <c r="XDY19" s="289"/>
      <c r="XDZ19" s="289"/>
      <c r="XEA19" s="289"/>
      <c r="XEB19" s="289"/>
      <c r="XEC19" s="289"/>
      <c r="XED19" s="289"/>
      <c r="XEE19" s="289"/>
      <c r="XEF19" s="289"/>
      <c r="XEG19" s="289"/>
      <c r="XEH19" s="289"/>
      <c r="XEI19" s="289"/>
      <c r="XEJ19" s="289"/>
      <c r="XEK19" s="289"/>
      <c r="XEL19" s="289"/>
      <c r="XEM19" s="289"/>
      <c r="XEN19" s="289"/>
      <c r="XEO19" s="289"/>
      <c r="XEP19" s="289"/>
      <c r="XEQ19" s="289"/>
      <c r="XER19" s="289"/>
      <c r="XES19" s="289"/>
      <c r="XET19" s="289"/>
      <c r="XEU19" s="289"/>
      <c r="XEV19" s="289"/>
      <c r="XEW19" s="289"/>
      <c r="XEX19" s="289"/>
      <c r="XEY19" s="289"/>
      <c r="XEZ19" s="289"/>
      <c r="XFA19" s="289"/>
      <c r="XFB19" s="289"/>
      <c r="XFC19" s="289"/>
      <c r="XFD19" s="289"/>
    </row>
    <row r="20" spans="1:16384" outlineLevel="1" x14ac:dyDescent="0.3">
      <c r="A20" s="15">
        <v>19000521</v>
      </c>
      <c r="B20" s="15" t="s">
        <v>434</v>
      </c>
      <c r="C20" s="24" t="s">
        <v>435</v>
      </c>
      <c r="D20" s="24" t="s">
        <v>412</v>
      </c>
      <c r="E20" s="24" t="s">
        <v>215</v>
      </c>
      <c r="F20" s="117">
        <v>-3824755.2916666665</v>
      </c>
      <c r="G20" s="94">
        <f>F20</f>
        <v>-3824755.2916666665</v>
      </c>
      <c r="H20" s="118"/>
      <c r="I20" s="35"/>
      <c r="J20" s="117">
        <v>0</v>
      </c>
      <c r="K20" s="94">
        <f>J20</f>
        <v>0</v>
      </c>
      <c r="L20" s="118"/>
      <c r="M20" s="35"/>
      <c r="N20" s="117"/>
      <c r="O20" s="94">
        <f>N20</f>
        <v>0</v>
      </c>
      <c r="P20" s="118"/>
      <c r="Q20" s="35"/>
      <c r="R20" s="117"/>
      <c r="S20" s="94">
        <f>R20</f>
        <v>0</v>
      </c>
      <c r="T20" s="118"/>
      <c r="U20" s="284"/>
      <c r="V20" s="117"/>
      <c r="W20" s="94">
        <f>V20</f>
        <v>0</v>
      </c>
      <c r="X20" s="118"/>
      <c r="Y20" s="284"/>
      <c r="Z20" s="117"/>
      <c r="AA20" s="94">
        <f>Z20</f>
        <v>0</v>
      </c>
      <c r="AB20" s="118"/>
      <c r="AC20" s="284"/>
      <c r="AD20" s="117"/>
      <c r="AE20" s="94">
        <f>AD20</f>
        <v>0</v>
      </c>
      <c r="AF20" s="118"/>
      <c r="AG20" s="284"/>
      <c r="AH20" s="117"/>
      <c r="AI20" s="94">
        <f>AH20</f>
        <v>0</v>
      </c>
      <c r="AJ20" s="118"/>
      <c r="AK20" s="284"/>
      <c r="AL20" s="117"/>
      <c r="AM20" s="94">
        <f>AL20</f>
        <v>0</v>
      </c>
      <c r="AN20" s="118"/>
      <c r="AO20" s="284"/>
      <c r="AP20" s="117"/>
      <c r="AQ20" s="94">
        <f>AP20</f>
        <v>0</v>
      </c>
      <c r="AR20" s="118"/>
      <c r="AS20" s="284"/>
      <c r="AT20" s="117"/>
      <c r="AU20" s="94">
        <f>AT20</f>
        <v>0</v>
      </c>
      <c r="AV20" s="118"/>
      <c r="AW20" s="284"/>
    </row>
    <row r="21" spans="1:16384" outlineLevel="1" x14ac:dyDescent="0.3">
      <c r="A21" s="290">
        <v>19000553</v>
      </c>
      <c r="B21" s="15" t="s">
        <v>436</v>
      </c>
      <c r="C21" s="24" t="s">
        <v>421</v>
      </c>
      <c r="D21" s="24" t="s">
        <v>412</v>
      </c>
      <c r="E21" s="24" t="s">
        <v>422</v>
      </c>
      <c r="F21" s="117">
        <v>47000</v>
      </c>
      <c r="G21" s="94">
        <f>F21*$G$3</f>
        <v>30371.4</v>
      </c>
      <c r="H21" s="118">
        <f>F21*$H$3</f>
        <v>16628.599999999999</v>
      </c>
      <c r="I21" s="35"/>
      <c r="J21" s="117">
        <v>628000</v>
      </c>
      <c r="K21" s="94">
        <f>J21*$K$3</f>
        <v>406881.2</v>
      </c>
      <c r="L21" s="118">
        <f>J21*$L$3</f>
        <v>221118.80000000002</v>
      </c>
      <c r="M21" s="35"/>
      <c r="N21" s="117">
        <v>688889.70833333337</v>
      </c>
      <c r="O21" s="94">
        <f>N21*$O$3</f>
        <v>458180.54501250002</v>
      </c>
      <c r="P21" s="118">
        <f>N21*$P$3</f>
        <v>230709.16332083332</v>
      </c>
      <c r="Q21" s="35"/>
      <c r="R21" s="117">
        <v>602357.5</v>
      </c>
      <c r="S21" s="94">
        <f>R21*$S$3</f>
        <v>397254.77124999999</v>
      </c>
      <c r="T21" s="118">
        <f>R21*$T$3</f>
        <v>205102.72875000001</v>
      </c>
      <c r="U21" s="284"/>
      <c r="V21" s="117">
        <v>517750.27250000002</v>
      </c>
      <c r="W21" s="94">
        <f>V21*$W$3</f>
        <v>347462.20787475002</v>
      </c>
      <c r="X21" s="118">
        <f>V21*$X$3</f>
        <v>170288.06462525003</v>
      </c>
      <c r="Y21" s="284"/>
      <c r="Z21" s="117">
        <v>432638.56916666677</v>
      </c>
      <c r="AA21" s="94">
        <f>Z21*$AA$3</f>
        <v>294107.69931950007</v>
      </c>
      <c r="AB21" s="118">
        <f>Z21*$AB$3</f>
        <v>138530.8698471667</v>
      </c>
      <c r="AC21" s="284"/>
      <c r="AD21" s="117">
        <v>347529.35000000003</v>
      </c>
      <c r="AE21" s="94">
        <f>AD21*$AE$3</f>
        <v>238231.36942500001</v>
      </c>
      <c r="AF21" s="118">
        <f>AD21*$AF$3</f>
        <v>109297.98057500001</v>
      </c>
      <c r="AG21" s="284"/>
      <c r="AH21" s="117">
        <v>262420.12833333336</v>
      </c>
      <c r="AI21" s="94">
        <f>AH21*$AI$3</f>
        <v>179521.60979283336</v>
      </c>
      <c r="AJ21" s="118">
        <f>AH21*$AJ$3</f>
        <v>82898.518540500008</v>
      </c>
      <c r="AK21" s="284"/>
      <c r="AL21" s="117">
        <v>177310.91166666665</v>
      </c>
      <c r="AM21" s="94">
        <f>AL21*$AM$3</f>
        <v>118390.49571983331</v>
      </c>
      <c r="AN21" s="118">
        <f>AL21*$AN$3</f>
        <v>58920.415946833324</v>
      </c>
      <c r="AO21" s="284"/>
      <c r="AP21" s="117">
        <v>92201.689166666663</v>
      </c>
      <c r="AQ21" s="94">
        <f>AP21*$AQ$3</f>
        <v>60475.087924416664</v>
      </c>
      <c r="AR21" s="118">
        <f>AP21*$AR$3</f>
        <v>31726.601242249999</v>
      </c>
      <c r="AS21" s="284"/>
      <c r="AT21" s="117">
        <v>28547.092083333333</v>
      </c>
      <c r="AU21" s="94">
        <f>AT21*$AU$3</f>
        <v>18895.320249958335</v>
      </c>
      <c r="AV21" s="118">
        <f>AT21*$AV$3</f>
        <v>9651.7718333749999</v>
      </c>
      <c r="AW21" s="284"/>
    </row>
    <row r="22" spans="1:16384" outlineLevel="1" x14ac:dyDescent="0.3">
      <c r="A22" s="15">
        <v>19000561</v>
      </c>
      <c r="B22" s="15" t="s">
        <v>437</v>
      </c>
      <c r="C22" s="24" t="s">
        <v>438</v>
      </c>
      <c r="D22" s="24" t="s">
        <v>412</v>
      </c>
      <c r="E22" s="24" t="s">
        <v>215</v>
      </c>
      <c r="F22" s="117">
        <v>292791.66666666669</v>
      </c>
      <c r="G22" s="94">
        <f>F22</f>
        <v>292791.66666666669</v>
      </c>
      <c r="H22" s="118"/>
      <c r="I22" s="35"/>
      <c r="J22" s="117">
        <v>678500</v>
      </c>
      <c r="K22" s="94">
        <f>J22</f>
        <v>678500</v>
      </c>
      <c r="L22" s="118"/>
      <c r="M22" s="35"/>
      <c r="N22" s="117">
        <v>177123.5</v>
      </c>
      <c r="O22" s="94">
        <f>N22</f>
        <v>177123.5</v>
      </c>
      <c r="P22" s="118"/>
      <c r="Q22" s="35"/>
      <c r="R22" s="117"/>
      <c r="S22" s="94">
        <f>R22</f>
        <v>0</v>
      </c>
      <c r="T22" s="118"/>
      <c r="U22" s="284"/>
      <c r="V22" s="117"/>
      <c r="W22" s="94">
        <f>V22</f>
        <v>0</v>
      </c>
      <c r="X22" s="118"/>
      <c r="Y22" s="284"/>
      <c r="Z22" s="117"/>
      <c r="AA22" s="94">
        <f>Z22</f>
        <v>0</v>
      </c>
      <c r="AB22" s="118"/>
      <c r="AC22" s="284"/>
      <c r="AD22" s="117"/>
      <c r="AE22" s="94">
        <f>AD22</f>
        <v>0</v>
      </c>
      <c r="AF22" s="118"/>
      <c r="AG22" s="284"/>
      <c r="AH22" s="117"/>
      <c r="AI22" s="94">
        <f>AH22</f>
        <v>0</v>
      </c>
      <c r="AJ22" s="118"/>
      <c r="AK22" s="284"/>
      <c r="AL22" s="117"/>
      <c r="AM22" s="94">
        <f>AL22</f>
        <v>0</v>
      </c>
      <c r="AN22" s="118"/>
      <c r="AO22" s="284"/>
      <c r="AP22" s="117"/>
      <c r="AQ22" s="94">
        <f>AP22</f>
        <v>0</v>
      </c>
      <c r="AR22" s="118"/>
      <c r="AS22" s="284"/>
      <c r="AT22" s="117"/>
      <c r="AU22" s="94">
        <f>AT22</f>
        <v>0</v>
      </c>
      <c r="AV22" s="118"/>
      <c r="AW22" s="284"/>
    </row>
    <row r="23" spans="1:16384" outlineLevel="1" x14ac:dyDescent="0.3">
      <c r="A23" s="15">
        <v>19000573</v>
      </c>
      <c r="B23" s="15" t="s">
        <v>439</v>
      </c>
      <c r="C23" s="24" t="s">
        <v>440</v>
      </c>
      <c r="D23" s="24" t="s">
        <v>412</v>
      </c>
      <c r="E23" s="24" t="s">
        <v>422</v>
      </c>
      <c r="F23" s="117"/>
      <c r="G23" s="94"/>
      <c r="H23" s="118"/>
      <c r="I23" s="35"/>
      <c r="J23" s="117"/>
      <c r="K23" s="94"/>
      <c r="L23" s="118"/>
      <c r="M23" s="35"/>
      <c r="N23" s="117"/>
      <c r="O23" s="94"/>
      <c r="P23" s="118"/>
      <c r="Q23" s="35"/>
      <c r="R23" s="117">
        <v>377626.41666666669</v>
      </c>
      <c r="S23" s="94">
        <f>R23*$S$3</f>
        <v>249044.62179166666</v>
      </c>
      <c r="T23" s="118">
        <f>R23*$T$3</f>
        <v>128581.79487500002</v>
      </c>
      <c r="U23" s="284"/>
      <c r="V23" s="117">
        <v>433869.49750000006</v>
      </c>
      <c r="W23" s="94">
        <f>V23*$W$3</f>
        <v>291169.81977225008</v>
      </c>
      <c r="X23" s="118">
        <f>V23*$X$3</f>
        <v>142699.67772775004</v>
      </c>
      <c r="Y23" s="284"/>
      <c r="Z23" s="117">
        <v>385660.22208333336</v>
      </c>
      <c r="AA23" s="94">
        <f>Z23*$AA$3</f>
        <v>262171.81897224998</v>
      </c>
      <c r="AB23" s="118">
        <f>Z23*$AB$3</f>
        <v>123488.40311108333</v>
      </c>
      <c r="AC23" s="284"/>
      <c r="AD23" s="117">
        <v>337452.71083333337</v>
      </c>
      <c r="AE23" s="94">
        <f>AD23*$AE$3</f>
        <v>231323.83327625002</v>
      </c>
      <c r="AF23" s="118">
        <f>AD23*$AF$3</f>
        <v>106128.87755708335</v>
      </c>
      <c r="AG23" s="284"/>
      <c r="AH23" s="117">
        <v>289245.1933333333</v>
      </c>
      <c r="AI23" s="94">
        <f>AH23*$AI$3</f>
        <v>197872.63675933331</v>
      </c>
      <c r="AJ23" s="118">
        <f>AH23*$AJ$3</f>
        <v>91372.556573999987</v>
      </c>
      <c r="AK23" s="284"/>
      <c r="AL23" s="117">
        <v>241037.67333333334</v>
      </c>
      <c r="AM23" s="94">
        <f>AL23*$AM$3</f>
        <v>160940.85448466666</v>
      </c>
      <c r="AN23" s="118">
        <f>AL23*$AN$3</f>
        <v>80096.818848666662</v>
      </c>
      <c r="AO23" s="284"/>
      <c r="AP23" s="117">
        <v>192830.15083333335</v>
      </c>
      <c r="AQ23" s="94">
        <f>AP23*$AQ$3</f>
        <v>126477.29593158334</v>
      </c>
      <c r="AR23" s="118">
        <f>AP23*$AR$3</f>
        <v>66352.854901750005</v>
      </c>
      <c r="AS23" s="284"/>
      <c r="AT23" s="117">
        <v>154264.13708333336</v>
      </c>
      <c r="AU23" s="94">
        <f>AT23*$AU$3</f>
        <v>102107.43233545836</v>
      </c>
      <c r="AV23" s="118">
        <f>AT23*$AV$3</f>
        <v>52156.70474787501</v>
      </c>
      <c r="AW23" s="284"/>
    </row>
    <row r="24" spans="1:16384" outlineLevel="1" x14ac:dyDescent="0.3">
      <c r="A24" s="15">
        <v>19000592</v>
      </c>
      <c r="B24" s="15" t="s">
        <v>441</v>
      </c>
      <c r="C24" s="24" t="s">
        <v>430</v>
      </c>
      <c r="D24" s="24" t="s">
        <v>412</v>
      </c>
      <c r="E24" s="24" t="s">
        <v>216</v>
      </c>
      <c r="F24" s="117">
        <v>1587074</v>
      </c>
      <c r="G24" s="94">
        <f>F24</f>
        <v>1587074</v>
      </c>
      <c r="H24" s="118"/>
      <c r="I24" s="35"/>
      <c r="J24" s="117">
        <v>2401324</v>
      </c>
      <c r="K24" s="94"/>
      <c r="L24" s="118">
        <f>J24</f>
        <v>2401324</v>
      </c>
      <c r="M24" s="35"/>
      <c r="N24" s="117">
        <v>3075789</v>
      </c>
      <c r="O24" s="94"/>
      <c r="P24" s="118">
        <f>N24</f>
        <v>3075789</v>
      </c>
      <c r="Q24" s="35"/>
      <c r="R24" s="117">
        <v>3188975.5416666665</v>
      </c>
      <c r="S24" s="94"/>
      <c r="T24" s="118">
        <f>R24</f>
        <v>3188975.5416666665</v>
      </c>
      <c r="U24" s="284"/>
      <c r="V24" s="117">
        <v>3281689.1212499999</v>
      </c>
      <c r="W24" s="94"/>
      <c r="X24" s="118">
        <f>V24</f>
        <v>3281689.1212499999</v>
      </c>
      <c r="Y24" s="284"/>
      <c r="Z24" s="117">
        <v>3435977.5987500004</v>
      </c>
      <c r="AA24" s="94"/>
      <c r="AB24" s="118">
        <f>Z24</f>
        <v>3435977.5987500004</v>
      </c>
      <c r="AC24" s="284"/>
      <c r="AD24" s="117">
        <v>3666249.7266666666</v>
      </c>
      <c r="AE24" s="94"/>
      <c r="AF24" s="118">
        <f>AD24</f>
        <v>3666249.7266666666</v>
      </c>
      <c r="AG24" s="284"/>
      <c r="AH24" s="117">
        <v>3781146.1391666667</v>
      </c>
      <c r="AI24" s="94"/>
      <c r="AJ24" s="118">
        <f>AH24</f>
        <v>3781146.1391666667</v>
      </c>
      <c r="AK24" s="284"/>
      <c r="AL24" s="117">
        <v>3850659.3099999991</v>
      </c>
      <c r="AM24" s="94"/>
      <c r="AN24" s="118">
        <f>AL24</f>
        <v>3850659.3099999991</v>
      </c>
      <c r="AO24" s="284"/>
      <c r="AP24" s="117">
        <v>3758151.762083333</v>
      </c>
      <c r="AQ24" s="94"/>
      <c r="AR24" s="118">
        <f>AP24</f>
        <v>3758151.762083333</v>
      </c>
      <c r="AS24" s="284"/>
      <c r="AT24" s="117">
        <v>96261.067916666667</v>
      </c>
      <c r="AU24" s="94"/>
      <c r="AV24" s="118">
        <f>AT24</f>
        <v>96261.067916666667</v>
      </c>
      <c r="AW24" s="284"/>
    </row>
    <row r="25" spans="1:16384" outlineLevel="1" x14ac:dyDescent="0.3">
      <c r="A25" s="15">
        <v>19000662</v>
      </c>
      <c r="B25" s="15" t="s">
        <v>442</v>
      </c>
      <c r="C25" s="158">
        <v>10</v>
      </c>
      <c r="D25" s="24" t="s">
        <v>412</v>
      </c>
      <c r="E25" s="158" t="s">
        <v>216</v>
      </c>
      <c r="F25" s="117">
        <v>-678112.83333333337</v>
      </c>
      <c r="G25" s="94"/>
      <c r="H25" s="118">
        <f>F25</f>
        <v>-678112.83333333337</v>
      </c>
      <c r="I25" s="35"/>
      <c r="J25" s="117">
        <v>0</v>
      </c>
      <c r="K25" s="94"/>
      <c r="L25" s="118">
        <f>J25</f>
        <v>0</v>
      </c>
      <c r="M25" s="35"/>
      <c r="N25" s="117">
        <v>0</v>
      </c>
      <c r="O25" s="94"/>
      <c r="P25" s="118">
        <f>N25</f>
        <v>0</v>
      </c>
      <c r="Q25" s="35"/>
      <c r="R25" s="117"/>
      <c r="S25" s="94"/>
      <c r="T25" s="118">
        <f>R25</f>
        <v>0</v>
      </c>
      <c r="U25" s="284"/>
      <c r="V25" s="117"/>
      <c r="W25" s="94"/>
      <c r="X25" s="118">
        <f>V25</f>
        <v>0</v>
      </c>
      <c r="Y25" s="284"/>
      <c r="Z25" s="117"/>
      <c r="AA25" s="94"/>
      <c r="AB25" s="118">
        <f>Z25</f>
        <v>0</v>
      </c>
      <c r="AC25" s="284"/>
      <c r="AD25" s="117"/>
      <c r="AE25" s="94"/>
      <c r="AF25" s="118">
        <f>AD25</f>
        <v>0</v>
      </c>
      <c r="AG25" s="284"/>
      <c r="AH25" s="117"/>
      <c r="AI25" s="94"/>
      <c r="AJ25" s="118">
        <f>AH25</f>
        <v>0</v>
      </c>
      <c r="AK25" s="284"/>
      <c r="AL25" s="117"/>
      <c r="AM25" s="94"/>
      <c r="AN25" s="118">
        <f>AL25</f>
        <v>0</v>
      </c>
      <c r="AO25" s="284"/>
      <c r="AP25" s="117"/>
      <c r="AQ25" s="94"/>
      <c r="AR25" s="118">
        <f>AP25</f>
        <v>0</v>
      </c>
      <c r="AS25" s="284"/>
      <c r="AT25" s="117"/>
      <c r="AU25" s="94"/>
      <c r="AV25" s="118">
        <f>AT25</f>
        <v>0</v>
      </c>
      <c r="AW25" s="284"/>
    </row>
    <row r="26" spans="1:16384" outlineLevel="1" x14ac:dyDescent="0.3">
      <c r="A26" s="15">
        <v>19000701</v>
      </c>
      <c r="B26" s="15" t="s">
        <v>443</v>
      </c>
      <c r="C26" s="24" t="s">
        <v>444</v>
      </c>
      <c r="D26" s="24" t="s">
        <v>412</v>
      </c>
      <c r="E26" s="24" t="s">
        <v>215</v>
      </c>
      <c r="F26" s="117">
        <v>897535.875</v>
      </c>
      <c r="G26" s="94">
        <f>F26</f>
        <v>897535.875</v>
      </c>
      <c r="H26" s="118"/>
      <c r="I26" s="35"/>
      <c r="J26" s="117">
        <v>-1468398.5416666667</v>
      </c>
      <c r="K26" s="94">
        <f>J26</f>
        <v>-1468398.5416666667</v>
      </c>
      <c r="L26" s="118"/>
      <c r="M26" s="35"/>
      <c r="N26" s="117"/>
      <c r="O26" s="94">
        <f>N26</f>
        <v>0</v>
      </c>
      <c r="P26" s="118"/>
      <c r="Q26" s="35"/>
      <c r="R26" s="117"/>
      <c r="S26" s="94">
        <f>R26</f>
        <v>0</v>
      </c>
      <c r="T26" s="118"/>
      <c r="U26" s="284"/>
      <c r="V26" s="117"/>
      <c r="W26" s="94">
        <f>V26</f>
        <v>0</v>
      </c>
      <c r="X26" s="118"/>
      <c r="Y26" s="284"/>
      <c r="Z26" s="117"/>
      <c r="AA26" s="94">
        <f>Z26</f>
        <v>0</v>
      </c>
      <c r="AB26" s="118"/>
      <c r="AC26" s="284"/>
      <c r="AD26" s="117"/>
      <c r="AE26" s="94">
        <f>AD26</f>
        <v>0</v>
      </c>
      <c r="AF26" s="118"/>
      <c r="AG26" s="284"/>
      <c r="AH26" s="117"/>
      <c r="AI26" s="94">
        <f>AH26</f>
        <v>0</v>
      </c>
      <c r="AJ26" s="118"/>
      <c r="AK26" s="284"/>
      <c r="AL26" s="117"/>
      <c r="AM26" s="94">
        <f>AL26</f>
        <v>0</v>
      </c>
      <c r="AN26" s="118"/>
      <c r="AO26" s="284"/>
      <c r="AP26" s="117"/>
      <c r="AQ26" s="94">
        <f>AP26</f>
        <v>0</v>
      </c>
      <c r="AR26" s="118"/>
      <c r="AS26" s="284"/>
      <c r="AT26" s="117"/>
      <c r="AU26" s="94">
        <f>AT26</f>
        <v>0</v>
      </c>
      <c r="AV26" s="118"/>
      <c r="AW26" s="284"/>
    </row>
    <row r="27" spans="1:16384" outlineLevel="1" x14ac:dyDescent="0.3">
      <c r="A27" s="15">
        <v>19000702</v>
      </c>
      <c r="B27" s="15" t="s">
        <v>445</v>
      </c>
      <c r="C27" s="158">
        <v>10</v>
      </c>
      <c r="D27" s="24" t="s">
        <v>412</v>
      </c>
      <c r="E27" s="158" t="s">
        <v>216</v>
      </c>
      <c r="F27" s="117">
        <v>621138.04166666663</v>
      </c>
      <c r="G27" s="94"/>
      <c r="H27" s="118">
        <f>F27</f>
        <v>621138.04166666663</v>
      </c>
      <c r="I27" s="35"/>
      <c r="J27" s="117">
        <v>-1016148.875</v>
      </c>
      <c r="K27" s="94"/>
      <c r="L27" s="118">
        <f>J27</f>
        <v>-1016148.875</v>
      </c>
      <c r="M27" s="35"/>
      <c r="N27" s="117"/>
      <c r="O27" s="94"/>
      <c r="P27" s="118">
        <f>N27</f>
        <v>0</v>
      </c>
      <c r="Q27" s="35"/>
      <c r="R27" s="117"/>
      <c r="S27" s="94"/>
      <c r="T27" s="118">
        <f>R27</f>
        <v>0</v>
      </c>
      <c r="U27" s="284"/>
      <c r="V27" s="117"/>
      <c r="W27" s="94"/>
      <c r="X27" s="118">
        <f>V27</f>
        <v>0</v>
      </c>
      <c r="Y27" s="284"/>
      <c r="Z27" s="117"/>
      <c r="AA27" s="94"/>
      <c r="AB27" s="118">
        <f>Z27</f>
        <v>0</v>
      </c>
      <c r="AC27" s="284"/>
      <c r="AD27" s="117"/>
      <c r="AE27" s="94"/>
      <c r="AF27" s="118">
        <f>AD27</f>
        <v>0</v>
      </c>
      <c r="AG27" s="284"/>
      <c r="AH27" s="117"/>
      <c r="AI27" s="94"/>
      <c r="AJ27" s="118">
        <f>AH27</f>
        <v>0</v>
      </c>
      <c r="AK27" s="284"/>
      <c r="AL27" s="117"/>
      <c r="AM27" s="94"/>
      <c r="AN27" s="118">
        <f>AL27</f>
        <v>0</v>
      </c>
      <c r="AO27" s="284"/>
      <c r="AP27" s="117"/>
      <c r="AQ27" s="94"/>
      <c r="AR27" s="118">
        <f>AP27</f>
        <v>0</v>
      </c>
      <c r="AS27" s="284"/>
      <c r="AT27" s="117"/>
      <c r="AU27" s="94"/>
      <c r="AV27" s="118">
        <f>AT27</f>
        <v>0</v>
      </c>
      <c r="AW27" s="284"/>
    </row>
    <row r="28" spans="1:16384" outlineLevel="1" x14ac:dyDescent="0.3">
      <c r="A28" s="15">
        <v>19000711</v>
      </c>
      <c r="B28" s="15" t="s">
        <v>446</v>
      </c>
      <c r="C28" s="24" t="s">
        <v>447</v>
      </c>
      <c r="D28" s="24" t="s">
        <v>412</v>
      </c>
      <c r="E28" s="24" t="s">
        <v>215</v>
      </c>
      <c r="F28" s="117"/>
      <c r="G28" s="94"/>
      <c r="H28" s="118"/>
      <c r="I28" s="35"/>
      <c r="J28" s="117"/>
      <c r="K28" s="94"/>
      <c r="L28" s="118"/>
      <c r="M28" s="35"/>
      <c r="N28" s="117">
        <v>1234859</v>
      </c>
      <c r="O28" s="94">
        <f>N28</f>
        <v>1234859</v>
      </c>
      <c r="P28" s="118"/>
      <c r="Q28" s="35"/>
      <c r="R28" s="117">
        <v>1379906.125</v>
      </c>
      <c r="S28" s="94">
        <f>R28</f>
        <v>1379906.125</v>
      </c>
      <c r="T28" s="118"/>
      <c r="U28" s="284"/>
      <c r="V28" s="117">
        <v>1191737.3120833335</v>
      </c>
      <c r="W28" s="94">
        <f>V28</f>
        <v>1191737.3120833335</v>
      </c>
      <c r="X28" s="118"/>
      <c r="Y28" s="284"/>
      <c r="Z28" s="117">
        <v>1003568.9116666666</v>
      </c>
      <c r="AA28" s="94">
        <f>Z28</f>
        <v>1003568.9116666666</v>
      </c>
      <c r="AB28" s="118"/>
      <c r="AC28" s="284"/>
      <c r="AD28" s="117">
        <v>815399.75166666659</v>
      </c>
      <c r="AE28" s="94">
        <f>AD28</f>
        <v>815399.75166666659</v>
      </c>
      <c r="AF28" s="118"/>
      <c r="AG28" s="284"/>
      <c r="AH28" s="117">
        <v>627230.59166666667</v>
      </c>
      <c r="AI28" s="94">
        <f>AH28</f>
        <v>627230.59166666667</v>
      </c>
      <c r="AJ28" s="118"/>
      <c r="AK28" s="284"/>
      <c r="AL28" s="117">
        <v>439061.4316666667</v>
      </c>
      <c r="AM28" s="94">
        <f>AL28</f>
        <v>439061.4316666667</v>
      </c>
      <c r="AN28" s="118"/>
      <c r="AO28" s="284"/>
      <c r="AP28" s="117">
        <v>250892.2716666667</v>
      </c>
      <c r="AQ28" s="94">
        <f>AP28</f>
        <v>250892.2716666667</v>
      </c>
      <c r="AR28" s="118"/>
      <c r="AS28" s="284"/>
      <c r="AT28" s="117">
        <v>101925.00041666668</v>
      </c>
      <c r="AU28" s="94">
        <f>AT28</f>
        <v>101925.00041666668</v>
      </c>
      <c r="AV28" s="118"/>
      <c r="AW28" s="284"/>
    </row>
    <row r="29" spans="1:16384" outlineLevel="1" x14ac:dyDescent="0.3">
      <c r="A29" s="15">
        <v>19002003</v>
      </c>
      <c r="B29" s="15" t="s">
        <v>448</v>
      </c>
      <c r="C29" s="24" t="s">
        <v>428</v>
      </c>
      <c r="D29" s="24" t="s">
        <v>412</v>
      </c>
      <c r="E29" s="24" t="s">
        <v>422</v>
      </c>
      <c r="F29" s="285"/>
      <c r="G29" s="286"/>
      <c r="H29" s="287"/>
      <c r="I29" s="288"/>
      <c r="J29" s="285"/>
      <c r="K29" s="286"/>
      <c r="L29" s="287"/>
      <c r="M29" s="288"/>
      <c r="N29" s="285"/>
      <c r="O29" s="286"/>
      <c r="P29" s="287"/>
      <c r="Q29" s="288"/>
      <c r="R29" s="285"/>
      <c r="S29" s="286"/>
      <c r="T29" s="287"/>
      <c r="U29" s="288"/>
      <c r="V29" s="285"/>
      <c r="W29" s="286"/>
      <c r="X29" s="287"/>
      <c r="Y29" s="288"/>
      <c r="Z29" s="285">
        <v>5118750</v>
      </c>
      <c r="AA29" s="286">
        <v>3828471.1943719797</v>
      </c>
      <c r="AB29" s="287">
        <f>Z29-AA29</f>
        <v>1290278.8056280203</v>
      </c>
      <c r="AC29" s="288"/>
      <c r="AD29" s="285">
        <v>124352083.33333333</v>
      </c>
      <c r="AE29" s="286">
        <v>94749367.791757926</v>
      </c>
      <c r="AF29" s="287">
        <f>AD29-AE29</f>
        <v>29602715.541575402</v>
      </c>
      <c r="AG29" s="288"/>
      <c r="AH29" s="285">
        <v>127305010.10333334</v>
      </c>
      <c r="AI29" s="286">
        <v>102042034.0910434</v>
      </c>
      <c r="AJ29" s="287">
        <f>AH29-AI29</f>
        <v>25262976.012289941</v>
      </c>
      <c r="AK29" s="288"/>
      <c r="AL29" s="285">
        <v>80688397.952083334</v>
      </c>
      <c r="AM29" s="286">
        <v>68926239.55168362</v>
      </c>
      <c r="AN29" s="287">
        <f>AL29-AM29</f>
        <v>11762158.400399715</v>
      </c>
      <c r="AO29" s="288"/>
      <c r="AP29" s="285">
        <v>17000497.870416667</v>
      </c>
      <c r="AQ29" s="286">
        <v>14522290.917339643</v>
      </c>
      <c r="AR29" s="287">
        <f>AP29-AQ29</f>
        <v>2478206.9530770238</v>
      </c>
      <c r="AS29" s="288"/>
      <c r="AT29" s="285"/>
      <c r="AU29" s="286"/>
      <c r="AV29" s="287"/>
      <c r="AW29" s="288"/>
      <c r="AX29" s="289"/>
      <c r="AY29" s="289"/>
      <c r="AZ29" s="289"/>
      <c r="BA29" s="289"/>
      <c r="BB29" s="289"/>
      <c r="BC29" s="289"/>
      <c r="BD29" s="289"/>
      <c r="BE29" s="289"/>
      <c r="BF29" s="289"/>
      <c r="BG29" s="289"/>
      <c r="BH29" s="289"/>
      <c r="BI29" s="289"/>
      <c r="BJ29" s="289"/>
      <c r="BK29" s="289"/>
      <c r="BL29" s="289"/>
      <c r="BM29" s="289"/>
      <c r="BN29" s="289"/>
      <c r="BO29" s="289"/>
      <c r="BP29" s="289"/>
      <c r="BQ29" s="289"/>
      <c r="BR29" s="289"/>
      <c r="BS29" s="289"/>
      <c r="BT29" s="289"/>
      <c r="BU29" s="289"/>
      <c r="BV29" s="289"/>
      <c r="BW29" s="289"/>
      <c r="BX29" s="289"/>
      <c r="BY29" s="289"/>
      <c r="BZ29" s="289"/>
      <c r="CA29" s="289"/>
      <c r="CB29" s="289"/>
      <c r="CC29" s="289"/>
      <c r="CD29" s="289"/>
      <c r="CE29" s="289"/>
      <c r="CF29" s="289"/>
      <c r="CG29" s="289"/>
      <c r="CH29" s="289"/>
      <c r="CI29" s="289"/>
      <c r="CJ29" s="289"/>
      <c r="CK29" s="289"/>
      <c r="CL29" s="289"/>
      <c r="CM29" s="289"/>
      <c r="CN29" s="289"/>
      <c r="CO29" s="289"/>
      <c r="CP29" s="289"/>
      <c r="CQ29" s="289"/>
      <c r="CR29" s="289"/>
      <c r="CS29" s="289"/>
      <c r="CT29" s="289"/>
      <c r="CU29" s="289"/>
      <c r="CV29" s="289"/>
      <c r="CW29" s="289"/>
      <c r="CX29" s="289"/>
      <c r="CY29" s="289"/>
      <c r="CZ29" s="289"/>
      <c r="DA29" s="289"/>
      <c r="DB29" s="289"/>
      <c r="DC29" s="289"/>
      <c r="DD29" s="289"/>
      <c r="DE29" s="289"/>
      <c r="DF29" s="289"/>
      <c r="DG29" s="289"/>
      <c r="DH29" s="289"/>
      <c r="DI29" s="289"/>
      <c r="DJ29" s="289"/>
      <c r="DK29" s="289"/>
      <c r="DL29" s="289"/>
      <c r="DM29" s="289"/>
      <c r="DN29" s="289"/>
      <c r="DO29" s="289"/>
      <c r="DP29" s="289"/>
      <c r="DQ29" s="289"/>
      <c r="DR29" s="289"/>
      <c r="DS29" s="289"/>
      <c r="DT29" s="289"/>
      <c r="DU29" s="289"/>
      <c r="DV29" s="289"/>
      <c r="DW29" s="289"/>
      <c r="DX29" s="289"/>
      <c r="DY29" s="289"/>
      <c r="DZ29" s="289"/>
      <c r="EA29" s="289"/>
      <c r="EB29" s="289"/>
      <c r="EC29" s="289"/>
      <c r="ED29" s="289"/>
      <c r="EE29" s="289"/>
      <c r="EF29" s="289"/>
      <c r="EG29" s="289"/>
      <c r="EH29" s="289"/>
      <c r="EI29" s="289"/>
      <c r="EJ29" s="289"/>
      <c r="EK29" s="289"/>
      <c r="EL29" s="289"/>
      <c r="EM29" s="289"/>
      <c r="EN29" s="289"/>
      <c r="EO29" s="289"/>
      <c r="EP29" s="289"/>
      <c r="EQ29" s="289"/>
      <c r="ER29" s="289"/>
      <c r="ES29" s="289"/>
      <c r="ET29" s="289"/>
      <c r="EU29" s="289"/>
      <c r="EV29" s="289"/>
      <c r="EW29" s="289"/>
      <c r="EX29" s="289"/>
      <c r="EY29" s="289"/>
      <c r="EZ29" s="289"/>
      <c r="FA29" s="289"/>
      <c r="FB29" s="289"/>
      <c r="FC29" s="289"/>
      <c r="FD29" s="289"/>
      <c r="FE29" s="289"/>
      <c r="FF29" s="289"/>
      <c r="FG29" s="289"/>
      <c r="FH29" s="289"/>
      <c r="FI29" s="289"/>
      <c r="FJ29" s="289"/>
      <c r="FK29" s="289"/>
      <c r="FL29" s="289"/>
      <c r="FM29" s="289"/>
      <c r="FN29" s="289"/>
      <c r="FO29" s="289"/>
      <c r="FP29" s="289"/>
      <c r="FQ29" s="289"/>
      <c r="FR29" s="289"/>
      <c r="FS29" s="289"/>
      <c r="FT29" s="289"/>
      <c r="FU29" s="289"/>
      <c r="FV29" s="289"/>
      <c r="FW29" s="289"/>
      <c r="FX29" s="289"/>
      <c r="FY29" s="289"/>
      <c r="FZ29" s="289"/>
      <c r="GA29" s="289"/>
      <c r="GB29" s="289"/>
      <c r="GC29" s="289"/>
      <c r="GD29" s="289"/>
      <c r="GE29" s="289"/>
      <c r="GF29" s="289"/>
      <c r="GG29" s="289"/>
      <c r="GH29" s="289"/>
      <c r="GI29" s="289"/>
      <c r="GJ29" s="289"/>
      <c r="GK29" s="289"/>
      <c r="GL29" s="289"/>
      <c r="GM29" s="289"/>
      <c r="GN29" s="289"/>
      <c r="GO29" s="289"/>
      <c r="GP29" s="289"/>
      <c r="GQ29" s="289"/>
      <c r="GR29" s="289"/>
      <c r="GS29" s="289"/>
      <c r="GT29" s="289"/>
      <c r="GU29" s="289"/>
      <c r="GV29" s="289"/>
      <c r="GW29" s="289"/>
      <c r="GX29" s="289"/>
      <c r="GY29" s="289"/>
      <c r="GZ29" s="289"/>
      <c r="HA29" s="289"/>
      <c r="HB29" s="289"/>
      <c r="HC29" s="289"/>
      <c r="HD29" s="289"/>
      <c r="HE29" s="289"/>
      <c r="HF29" s="289"/>
      <c r="HG29" s="289"/>
      <c r="HH29" s="289"/>
      <c r="HI29" s="289"/>
      <c r="HJ29" s="289"/>
      <c r="HK29" s="289"/>
      <c r="HL29" s="289"/>
      <c r="HM29" s="289"/>
      <c r="HN29" s="289"/>
      <c r="HO29" s="289"/>
      <c r="HP29" s="289"/>
      <c r="HQ29" s="289"/>
      <c r="HR29" s="289"/>
      <c r="HS29" s="289"/>
      <c r="HT29" s="289"/>
      <c r="HU29" s="289"/>
      <c r="HV29" s="289"/>
      <c r="HW29" s="289"/>
      <c r="HX29" s="289"/>
      <c r="HY29" s="289"/>
      <c r="HZ29" s="289"/>
      <c r="IA29" s="289"/>
      <c r="IB29" s="289"/>
      <c r="IC29" s="289"/>
      <c r="ID29" s="289"/>
      <c r="IE29" s="289"/>
      <c r="IF29" s="289"/>
      <c r="IG29" s="289"/>
      <c r="IH29" s="289"/>
      <c r="II29" s="289"/>
      <c r="IJ29" s="289"/>
      <c r="IK29" s="289"/>
      <c r="IL29" s="289"/>
      <c r="IM29" s="289"/>
      <c r="IN29" s="289"/>
      <c r="IO29" s="289"/>
      <c r="IP29" s="289"/>
      <c r="IQ29" s="289"/>
      <c r="IR29" s="289"/>
      <c r="IS29" s="289"/>
      <c r="IT29" s="289"/>
      <c r="IU29" s="289"/>
      <c r="IV29" s="289"/>
      <c r="IW29" s="289"/>
      <c r="IX29" s="289"/>
      <c r="IY29" s="289"/>
      <c r="IZ29" s="289"/>
      <c r="JA29" s="289"/>
      <c r="JB29" s="289"/>
      <c r="JC29" s="289"/>
      <c r="JD29" s="289"/>
      <c r="JE29" s="289"/>
      <c r="JF29" s="289"/>
      <c r="JG29" s="289"/>
      <c r="JH29" s="289"/>
      <c r="JI29" s="289"/>
      <c r="JJ29" s="289"/>
      <c r="JK29" s="289"/>
      <c r="JL29" s="289"/>
      <c r="JM29" s="289"/>
      <c r="JN29" s="289"/>
      <c r="JO29" s="289"/>
      <c r="JP29" s="289"/>
      <c r="JQ29" s="289"/>
      <c r="JR29" s="289"/>
      <c r="JS29" s="289"/>
      <c r="JT29" s="289"/>
      <c r="JU29" s="289"/>
      <c r="JV29" s="289"/>
      <c r="JW29" s="289"/>
      <c r="JX29" s="289"/>
      <c r="JY29" s="289"/>
      <c r="JZ29" s="289"/>
      <c r="KA29" s="289"/>
      <c r="KB29" s="289"/>
      <c r="KC29" s="289"/>
      <c r="KD29" s="289"/>
      <c r="KE29" s="289"/>
      <c r="KF29" s="289"/>
      <c r="KG29" s="289"/>
      <c r="KH29" s="289"/>
      <c r="KI29" s="289"/>
      <c r="KJ29" s="289"/>
      <c r="KK29" s="289"/>
      <c r="KL29" s="289"/>
      <c r="KM29" s="289"/>
      <c r="KN29" s="289"/>
      <c r="KO29" s="289"/>
      <c r="KP29" s="289"/>
      <c r="KQ29" s="289"/>
      <c r="KR29" s="289"/>
      <c r="KS29" s="289"/>
      <c r="KT29" s="289"/>
      <c r="KU29" s="289"/>
      <c r="KV29" s="289"/>
      <c r="KW29" s="289"/>
      <c r="KX29" s="289"/>
      <c r="KY29" s="289"/>
      <c r="KZ29" s="289"/>
      <c r="LA29" s="289"/>
      <c r="LB29" s="289"/>
      <c r="LC29" s="289"/>
      <c r="LD29" s="289"/>
      <c r="LE29" s="289"/>
      <c r="LF29" s="289"/>
      <c r="LG29" s="289"/>
      <c r="LH29" s="289"/>
      <c r="LI29" s="289"/>
      <c r="LJ29" s="289"/>
      <c r="LK29" s="289"/>
      <c r="LL29" s="289"/>
      <c r="LM29" s="289"/>
      <c r="LN29" s="289"/>
      <c r="LO29" s="289"/>
      <c r="LP29" s="289"/>
      <c r="LQ29" s="289"/>
      <c r="LR29" s="289"/>
      <c r="LS29" s="289"/>
      <c r="LT29" s="289"/>
      <c r="LU29" s="289"/>
      <c r="LV29" s="289"/>
      <c r="LW29" s="289"/>
      <c r="LX29" s="289"/>
      <c r="LY29" s="289"/>
      <c r="LZ29" s="289"/>
      <c r="MA29" s="289"/>
      <c r="MB29" s="289"/>
      <c r="MC29" s="289"/>
      <c r="MD29" s="289"/>
      <c r="ME29" s="289"/>
      <c r="MF29" s="289"/>
      <c r="MG29" s="289"/>
      <c r="MH29" s="289"/>
      <c r="MI29" s="289"/>
      <c r="MJ29" s="289"/>
      <c r="MK29" s="289"/>
      <c r="ML29" s="289"/>
      <c r="MM29" s="289"/>
      <c r="MN29" s="289"/>
      <c r="MO29" s="289"/>
      <c r="MP29" s="289"/>
      <c r="MQ29" s="289"/>
      <c r="MR29" s="289"/>
      <c r="MS29" s="289"/>
      <c r="MT29" s="289"/>
      <c r="MU29" s="289"/>
      <c r="MV29" s="289"/>
      <c r="MW29" s="289"/>
      <c r="MX29" s="289"/>
      <c r="MY29" s="289"/>
      <c r="MZ29" s="289"/>
      <c r="NA29" s="289"/>
      <c r="NB29" s="289"/>
      <c r="NC29" s="289"/>
      <c r="ND29" s="289"/>
      <c r="NE29" s="289"/>
      <c r="NF29" s="289"/>
      <c r="NG29" s="289"/>
      <c r="NH29" s="289"/>
      <c r="NI29" s="289"/>
      <c r="NJ29" s="289"/>
      <c r="NK29" s="289"/>
      <c r="NL29" s="289"/>
      <c r="NM29" s="289"/>
      <c r="NN29" s="289"/>
      <c r="NO29" s="289"/>
      <c r="NP29" s="289"/>
      <c r="NQ29" s="289"/>
      <c r="NR29" s="289"/>
      <c r="NS29" s="289"/>
      <c r="NT29" s="289"/>
      <c r="NU29" s="289"/>
      <c r="NV29" s="289"/>
      <c r="NW29" s="289"/>
      <c r="NX29" s="289"/>
      <c r="NY29" s="289"/>
      <c r="NZ29" s="289"/>
      <c r="OA29" s="289"/>
      <c r="OB29" s="289"/>
      <c r="OC29" s="289"/>
      <c r="OD29" s="289"/>
      <c r="OE29" s="289"/>
      <c r="OF29" s="289"/>
      <c r="OG29" s="289"/>
      <c r="OH29" s="289"/>
      <c r="OI29" s="289"/>
      <c r="OJ29" s="289"/>
      <c r="OK29" s="289"/>
      <c r="OL29" s="289"/>
      <c r="OM29" s="289"/>
      <c r="ON29" s="289"/>
      <c r="OO29" s="289"/>
      <c r="OP29" s="289"/>
      <c r="OQ29" s="289"/>
      <c r="OR29" s="289"/>
      <c r="OS29" s="289"/>
      <c r="OT29" s="289"/>
      <c r="OU29" s="289"/>
      <c r="OV29" s="289"/>
      <c r="OW29" s="289"/>
      <c r="OX29" s="289"/>
      <c r="OY29" s="289"/>
      <c r="OZ29" s="289"/>
      <c r="PA29" s="289"/>
      <c r="PB29" s="289"/>
      <c r="PC29" s="289"/>
      <c r="PD29" s="289"/>
      <c r="PE29" s="289"/>
      <c r="PF29" s="289"/>
      <c r="PG29" s="289"/>
      <c r="PH29" s="289"/>
      <c r="PI29" s="289"/>
      <c r="PJ29" s="289"/>
      <c r="PK29" s="289"/>
      <c r="PL29" s="289"/>
      <c r="PM29" s="289"/>
      <c r="PN29" s="289"/>
      <c r="PO29" s="289"/>
      <c r="PP29" s="289"/>
      <c r="PQ29" s="289"/>
      <c r="PR29" s="289"/>
      <c r="PS29" s="289"/>
      <c r="PT29" s="289"/>
      <c r="PU29" s="289"/>
      <c r="PV29" s="289"/>
      <c r="PW29" s="289"/>
      <c r="PX29" s="289"/>
      <c r="PY29" s="289"/>
      <c r="PZ29" s="289"/>
      <c r="QA29" s="289"/>
      <c r="QB29" s="289"/>
      <c r="QC29" s="289"/>
      <c r="QD29" s="289"/>
      <c r="QE29" s="289"/>
      <c r="QF29" s="289"/>
      <c r="QG29" s="289"/>
      <c r="QH29" s="289"/>
      <c r="QI29" s="289"/>
      <c r="QJ29" s="289"/>
      <c r="QK29" s="289"/>
      <c r="QL29" s="289"/>
      <c r="QM29" s="289"/>
      <c r="QN29" s="289"/>
      <c r="QO29" s="289"/>
      <c r="QP29" s="289"/>
      <c r="QQ29" s="289"/>
      <c r="QR29" s="289"/>
      <c r="QS29" s="289"/>
      <c r="QT29" s="289"/>
      <c r="QU29" s="289"/>
      <c r="QV29" s="289"/>
      <c r="QW29" s="289"/>
      <c r="QX29" s="289"/>
      <c r="QY29" s="289"/>
      <c r="QZ29" s="289"/>
      <c r="RA29" s="289"/>
      <c r="RB29" s="289"/>
      <c r="RC29" s="289"/>
      <c r="RD29" s="289"/>
      <c r="RE29" s="289"/>
      <c r="RF29" s="289"/>
      <c r="RG29" s="289"/>
      <c r="RH29" s="289"/>
      <c r="RI29" s="289"/>
      <c r="RJ29" s="289"/>
      <c r="RK29" s="289"/>
      <c r="RL29" s="289"/>
      <c r="RM29" s="289"/>
      <c r="RN29" s="289"/>
      <c r="RO29" s="289"/>
      <c r="RP29" s="289"/>
      <c r="RQ29" s="289"/>
      <c r="RR29" s="289"/>
      <c r="RS29" s="289"/>
      <c r="RT29" s="289"/>
      <c r="RU29" s="289"/>
      <c r="RV29" s="289"/>
      <c r="RW29" s="289"/>
      <c r="RX29" s="289"/>
      <c r="RY29" s="289"/>
      <c r="RZ29" s="289"/>
      <c r="SA29" s="289"/>
      <c r="SB29" s="289"/>
      <c r="SC29" s="289"/>
      <c r="SD29" s="289"/>
      <c r="SE29" s="289"/>
      <c r="SF29" s="289"/>
      <c r="SG29" s="289"/>
      <c r="SH29" s="289"/>
      <c r="SI29" s="289"/>
      <c r="SJ29" s="289"/>
      <c r="SK29" s="289"/>
      <c r="SL29" s="289"/>
      <c r="SM29" s="289"/>
      <c r="SN29" s="289"/>
      <c r="SO29" s="289"/>
      <c r="SP29" s="289"/>
      <c r="SQ29" s="289"/>
      <c r="SR29" s="289"/>
      <c r="SS29" s="289"/>
      <c r="ST29" s="289"/>
      <c r="SU29" s="289"/>
      <c r="SV29" s="289"/>
      <c r="SW29" s="289"/>
      <c r="SX29" s="289"/>
      <c r="SY29" s="289"/>
      <c r="SZ29" s="289"/>
      <c r="TA29" s="289"/>
      <c r="TB29" s="289"/>
      <c r="TC29" s="289"/>
      <c r="TD29" s="289"/>
      <c r="TE29" s="289"/>
      <c r="TF29" s="289"/>
      <c r="TG29" s="289"/>
      <c r="TH29" s="289"/>
      <c r="TI29" s="289"/>
      <c r="TJ29" s="289"/>
      <c r="TK29" s="289"/>
      <c r="TL29" s="289"/>
      <c r="TM29" s="289"/>
      <c r="TN29" s="289"/>
      <c r="TO29" s="289"/>
      <c r="TP29" s="289"/>
      <c r="TQ29" s="289"/>
      <c r="TR29" s="289"/>
      <c r="TS29" s="289"/>
      <c r="TT29" s="289"/>
      <c r="TU29" s="289"/>
      <c r="TV29" s="289"/>
      <c r="TW29" s="289"/>
      <c r="TX29" s="289"/>
      <c r="TY29" s="289"/>
      <c r="TZ29" s="289"/>
      <c r="UA29" s="289"/>
      <c r="UB29" s="289"/>
      <c r="UC29" s="289"/>
      <c r="UD29" s="289"/>
      <c r="UE29" s="289"/>
      <c r="UF29" s="289"/>
      <c r="UG29" s="289"/>
      <c r="UH29" s="289"/>
      <c r="UI29" s="289"/>
      <c r="UJ29" s="289"/>
      <c r="UK29" s="289"/>
      <c r="UL29" s="289"/>
      <c r="UM29" s="289"/>
      <c r="UN29" s="289"/>
      <c r="UO29" s="289"/>
      <c r="UP29" s="289"/>
      <c r="UQ29" s="289"/>
      <c r="UR29" s="289"/>
      <c r="US29" s="289"/>
      <c r="UT29" s="289"/>
      <c r="UU29" s="289"/>
      <c r="UV29" s="289"/>
      <c r="UW29" s="289"/>
      <c r="UX29" s="289"/>
      <c r="UY29" s="289"/>
      <c r="UZ29" s="289"/>
      <c r="VA29" s="289"/>
      <c r="VB29" s="289"/>
      <c r="VC29" s="289"/>
      <c r="VD29" s="289"/>
      <c r="VE29" s="289"/>
      <c r="VF29" s="289"/>
      <c r="VG29" s="289"/>
      <c r="VH29" s="289"/>
      <c r="VI29" s="289"/>
      <c r="VJ29" s="289"/>
      <c r="VK29" s="289"/>
      <c r="VL29" s="289"/>
      <c r="VM29" s="289"/>
      <c r="VN29" s="289"/>
      <c r="VO29" s="289"/>
      <c r="VP29" s="289"/>
      <c r="VQ29" s="289"/>
      <c r="VR29" s="289"/>
      <c r="VS29" s="289"/>
      <c r="VT29" s="289"/>
      <c r="VU29" s="289"/>
      <c r="VV29" s="289"/>
      <c r="VW29" s="289"/>
      <c r="VX29" s="289"/>
      <c r="VY29" s="289"/>
      <c r="VZ29" s="289"/>
      <c r="WA29" s="289"/>
      <c r="WB29" s="289"/>
      <c r="WC29" s="289"/>
      <c r="WD29" s="289"/>
      <c r="WE29" s="289"/>
      <c r="WF29" s="289"/>
      <c r="WG29" s="289"/>
      <c r="WH29" s="289"/>
      <c r="WI29" s="289"/>
      <c r="WJ29" s="289"/>
      <c r="WK29" s="289"/>
      <c r="WL29" s="289"/>
      <c r="WM29" s="289"/>
      <c r="WN29" s="289"/>
      <c r="WO29" s="289"/>
      <c r="WP29" s="289"/>
      <c r="WQ29" s="289"/>
      <c r="WR29" s="289"/>
      <c r="WS29" s="289"/>
      <c r="WT29" s="289"/>
      <c r="WU29" s="289"/>
      <c r="WV29" s="289"/>
      <c r="WW29" s="289"/>
      <c r="WX29" s="289"/>
      <c r="WY29" s="289"/>
      <c r="WZ29" s="289"/>
      <c r="XA29" s="289"/>
      <c r="XB29" s="289"/>
      <c r="XC29" s="289"/>
      <c r="XD29" s="289"/>
      <c r="XE29" s="289"/>
      <c r="XF29" s="289"/>
      <c r="XG29" s="289"/>
      <c r="XH29" s="289"/>
      <c r="XI29" s="289"/>
      <c r="XJ29" s="289"/>
      <c r="XK29" s="289"/>
      <c r="XL29" s="289"/>
      <c r="XM29" s="289"/>
      <c r="XN29" s="289"/>
      <c r="XO29" s="289"/>
      <c r="XP29" s="289"/>
      <c r="XQ29" s="289"/>
      <c r="XR29" s="289"/>
      <c r="XS29" s="289"/>
      <c r="XT29" s="289"/>
      <c r="XU29" s="289"/>
      <c r="XV29" s="289"/>
      <c r="XW29" s="289"/>
      <c r="XX29" s="289"/>
      <c r="XY29" s="289"/>
      <c r="XZ29" s="289"/>
      <c r="YA29" s="289"/>
      <c r="YB29" s="289"/>
      <c r="YC29" s="289"/>
      <c r="YD29" s="289"/>
      <c r="YE29" s="289"/>
      <c r="YF29" s="289"/>
      <c r="YG29" s="289"/>
      <c r="YH29" s="289"/>
      <c r="YI29" s="289"/>
      <c r="YJ29" s="289"/>
      <c r="YK29" s="289"/>
      <c r="YL29" s="289"/>
      <c r="YM29" s="289"/>
      <c r="YN29" s="289"/>
      <c r="YO29" s="289"/>
      <c r="YP29" s="289"/>
      <c r="YQ29" s="289"/>
      <c r="YR29" s="289"/>
      <c r="YS29" s="289"/>
      <c r="YT29" s="289"/>
      <c r="YU29" s="289"/>
      <c r="YV29" s="289"/>
      <c r="YW29" s="289"/>
      <c r="YX29" s="289"/>
      <c r="YY29" s="289"/>
      <c r="YZ29" s="289"/>
      <c r="ZA29" s="289"/>
      <c r="ZB29" s="289"/>
      <c r="ZC29" s="289"/>
      <c r="ZD29" s="289"/>
      <c r="ZE29" s="289"/>
      <c r="ZF29" s="289"/>
      <c r="ZG29" s="289"/>
      <c r="ZH29" s="289"/>
      <c r="ZI29" s="289"/>
      <c r="ZJ29" s="289"/>
      <c r="ZK29" s="289"/>
      <c r="ZL29" s="289"/>
      <c r="ZM29" s="289"/>
      <c r="ZN29" s="289"/>
      <c r="ZO29" s="289"/>
      <c r="ZP29" s="289"/>
      <c r="ZQ29" s="289"/>
      <c r="ZR29" s="289"/>
      <c r="ZS29" s="289"/>
      <c r="ZT29" s="289"/>
      <c r="ZU29" s="289"/>
      <c r="ZV29" s="289"/>
      <c r="ZW29" s="289"/>
      <c r="ZX29" s="289"/>
      <c r="ZY29" s="289"/>
      <c r="ZZ29" s="289"/>
      <c r="AAA29" s="289"/>
      <c r="AAB29" s="289"/>
      <c r="AAC29" s="289"/>
      <c r="AAD29" s="289"/>
      <c r="AAE29" s="289"/>
      <c r="AAF29" s="289"/>
      <c r="AAG29" s="289"/>
      <c r="AAH29" s="289"/>
      <c r="AAI29" s="289"/>
      <c r="AAJ29" s="289"/>
      <c r="AAK29" s="289"/>
      <c r="AAL29" s="289"/>
      <c r="AAM29" s="289"/>
      <c r="AAN29" s="289"/>
      <c r="AAO29" s="289"/>
      <c r="AAP29" s="289"/>
      <c r="AAQ29" s="289"/>
      <c r="AAR29" s="289"/>
      <c r="AAS29" s="289"/>
      <c r="AAT29" s="289"/>
      <c r="AAU29" s="289"/>
      <c r="AAV29" s="289"/>
      <c r="AAW29" s="289"/>
      <c r="AAX29" s="289"/>
      <c r="AAY29" s="289"/>
      <c r="AAZ29" s="289"/>
      <c r="ABA29" s="289"/>
      <c r="ABB29" s="289"/>
      <c r="ABC29" s="289"/>
      <c r="ABD29" s="289"/>
      <c r="ABE29" s="289"/>
      <c r="ABF29" s="289"/>
      <c r="ABG29" s="289"/>
      <c r="ABH29" s="289"/>
      <c r="ABI29" s="289"/>
      <c r="ABJ29" s="289"/>
      <c r="ABK29" s="289"/>
      <c r="ABL29" s="289"/>
      <c r="ABM29" s="289"/>
      <c r="ABN29" s="289"/>
      <c r="ABO29" s="289"/>
      <c r="ABP29" s="289"/>
      <c r="ABQ29" s="289"/>
      <c r="ABR29" s="289"/>
      <c r="ABS29" s="289"/>
      <c r="ABT29" s="289"/>
      <c r="ABU29" s="289"/>
      <c r="ABV29" s="289"/>
      <c r="ABW29" s="289"/>
      <c r="ABX29" s="289"/>
      <c r="ABY29" s="289"/>
      <c r="ABZ29" s="289"/>
      <c r="ACA29" s="289"/>
      <c r="ACB29" s="289"/>
      <c r="ACC29" s="289"/>
      <c r="ACD29" s="289"/>
      <c r="ACE29" s="289"/>
      <c r="ACF29" s="289"/>
      <c r="ACG29" s="289"/>
      <c r="ACH29" s="289"/>
      <c r="ACI29" s="289"/>
      <c r="ACJ29" s="289"/>
      <c r="ACK29" s="289"/>
      <c r="ACL29" s="289"/>
      <c r="ACM29" s="289"/>
      <c r="ACN29" s="289"/>
      <c r="ACO29" s="289"/>
      <c r="ACP29" s="289"/>
      <c r="ACQ29" s="289"/>
      <c r="ACR29" s="289"/>
      <c r="ACS29" s="289"/>
      <c r="ACT29" s="289"/>
      <c r="ACU29" s="289"/>
      <c r="ACV29" s="289"/>
      <c r="ACW29" s="289"/>
      <c r="ACX29" s="289"/>
      <c r="ACY29" s="289"/>
      <c r="ACZ29" s="289"/>
      <c r="ADA29" s="289"/>
      <c r="ADB29" s="289"/>
      <c r="ADC29" s="289"/>
      <c r="ADD29" s="289"/>
      <c r="ADE29" s="289"/>
      <c r="ADF29" s="289"/>
      <c r="ADG29" s="289"/>
      <c r="ADH29" s="289"/>
      <c r="ADI29" s="289"/>
      <c r="ADJ29" s="289"/>
      <c r="ADK29" s="289"/>
      <c r="ADL29" s="289"/>
      <c r="ADM29" s="289"/>
      <c r="ADN29" s="289"/>
      <c r="ADO29" s="289"/>
      <c r="ADP29" s="289"/>
      <c r="ADQ29" s="289"/>
      <c r="ADR29" s="289"/>
      <c r="ADS29" s="289"/>
      <c r="ADT29" s="289"/>
      <c r="ADU29" s="289"/>
      <c r="ADV29" s="289"/>
      <c r="ADW29" s="289"/>
      <c r="ADX29" s="289"/>
      <c r="ADY29" s="289"/>
      <c r="ADZ29" s="289"/>
      <c r="AEA29" s="289"/>
      <c r="AEB29" s="289"/>
      <c r="AEC29" s="289"/>
      <c r="AED29" s="289"/>
      <c r="AEE29" s="289"/>
      <c r="AEF29" s="289"/>
      <c r="AEG29" s="289"/>
      <c r="AEH29" s="289"/>
      <c r="AEI29" s="289"/>
      <c r="AEJ29" s="289"/>
      <c r="AEK29" s="289"/>
      <c r="AEL29" s="289"/>
      <c r="AEM29" s="289"/>
      <c r="AEN29" s="289"/>
      <c r="AEO29" s="289"/>
      <c r="AEP29" s="289"/>
      <c r="AEQ29" s="289"/>
      <c r="AER29" s="289"/>
      <c r="AES29" s="289"/>
      <c r="AET29" s="289"/>
      <c r="AEU29" s="289"/>
      <c r="AEV29" s="289"/>
      <c r="AEW29" s="289"/>
      <c r="AEX29" s="289"/>
      <c r="AEY29" s="289"/>
      <c r="AEZ29" s="289"/>
      <c r="AFA29" s="289"/>
      <c r="AFB29" s="289"/>
      <c r="AFC29" s="289"/>
      <c r="AFD29" s="289"/>
      <c r="AFE29" s="289"/>
      <c r="AFF29" s="289"/>
      <c r="AFG29" s="289"/>
      <c r="AFH29" s="289"/>
      <c r="AFI29" s="289"/>
      <c r="AFJ29" s="289"/>
      <c r="AFK29" s="289"/>
      <c r="AFL29" s="289"/>
      <c r="AFM29" s="289"/>
      <c r="AFN29" s="289"/>
      <c r="AFO29" s="289"/>
      <c r="AFP29" s="289"/>
      <c r="AFQ29" s="289"/>
      <c r="AFR29" s="289"/>
      <c r="AFS29" s="289"/>
      <c r="AFT29" s="289"/>
      <c r="AFU29" s="289"/>
      <c r="AFV29" s="289"/>
      <c r="AFW29" s="289"/>
      <c r="AFX29" s="289"/>
      <c r="AFY29" s="289"/>
      <c r="AFZ29" s="289"/>
      <c r="AGA29" s="289"/>
      <c r="AGB29" s="289"/>
      <c r="AGC29" s="289"/>
      <c r="AGD29" s="289"/>
      <c r="AGE29" s="289"/>
      <c r="AGF29" s="289"/>
      <c r="AGG29" s="289"/>
      <c r="AGH29" s="289"/>
      <c r="AGI29" s="289"/>
      <c r="AGJ29" s="289"/>
      <c r="AGK29" s="289"/>
      <c r="AGL29" s="289"/>
      <c r="AGM29" s="289"/>
      <c r="AGN29" s="289"/>
      <c r="AGO29" s="289"/>
      <c r="AGP29" s="289"/>
      <c r="AGQ29" s="289"/>
      <c r="AGR29" s="289"/>
      <c r="AGS29" s="289"/>
      <c r="AGT29" s="289"/>
      <c r="AGU29" s="289"/>
      <c r="AGV29" s="289"/>
      <c r="AGW29" s="289"/>
      <c r="AGX29" s="289"/>
      <c r="AGY29" s="289"/>
      <c r="AGZ29" s="289"/>
      <c r="AHA29" s="289"/>
      <c r="AHB29" s="289"/>
      <c r="AHC29" s="289"/>
      <c r="AHD29" s="289"/>
      <c r="AHE29" s="289"/>
      <c r="AHF29" s="289"/>
      <c r="AHG29" s="289"/>
      <c r="AHH29" s="289"/>
      <c r="AHI29" s="289"/>
      <c r="AHJ29" s="289"/>
      <c r="AHK29" s="289"/>
      <c r="AHL29" s="289"/>
      <c r="AHM29" s="289"/>
      <c r="AHN29" s="289"/>
      <c r="AHO29" s="289"/>
      <c r="AHP29" s="289"/>
      <c r="AHQ29" s="289"/>
      <c r="AHR29" s="289"/>
      <c r="AHS29" s="289"/>
      <c r="AHT29" s="289"/>
      <c r="AHU29" s="289"/>
      <c r="AHV29" s="289"/>
      <c r="AHW29" s="289"/>
      <c r="AHX29" s="289"/>
      <c r="AHY29" s="289"/>
      <c r="AHZ29" s="289"/>
      <c r="AIA29" s="289"/>
      <c r="AIB29" s="289"/>
      <c r="AIC29" s="289"/>
      <c r="AID29" s="289"/>
      <c r="AIE29" s="289"/>
      <c r="AIF29" s="289"/>
      <c r="AIG29" s="289"/>
      <c r="AIH29" s="289"/>
      <c r="AII29" s="289"/>
      <c r="AIJ29" s="289"/>
      <c r="AIK29" s="289"/>
      <c r="AIL29" s="289"/>
      <c r="AIM29" s="289"/>
      <c r="AIN29" s="289"/>
      <c r="AIO29" s="289"/>
      <c r="AIP29" s="289"/>
      <c r="AIQ29" s="289"/>
      <c r="AIR29" s="289"/>
      <c r="AIS29" s="289"/>
      <c r="AIT29" s="289"/>
      <c r="AIU29" s="289"/>
      <c r="AIV29" s="289"/>
      <c r="AIW29" s="289"/>
      <c r="AIX29" s="289"/>
      <c r="AIY29" s="289"/>
      <c r="AIZ29" s="289"/>
      <c r="AJA29" s="289"/>
      <c r="AJB29" s="289"/>
      <c r="AJC29" s="289"/>
      <c r="AJD29" s="289"/>
      <c r="AJE29" s="289"/>
      <c r="AJF29" s="289"/>
      <c r="AJG29" s="289"/>
      <c r="AJH29" s="289"/>
      <c r="AJI29" s="289"/>
      <c r="AJJ29" s="289"/>
      <c r="AJK29" s="289"/>
      <c r="AJL29" s="289"/>
      <c r="AJM29" s="289"/>
      <c r="AJN29" s="289"/>
      <c r="AJO29" s="289"/>
      <c r="AJP29" s="289"/>
      <c r="AJQ29" s="289"/>
      <c r="AJR29" s="289"/>
      <c r="AJS29" s="289"/>
      <c r="AJT29" s="289"/>
      <c r="AJU29" s="289"/>
      <c r="AJV29" s="289"/>
      <c r="AJW29" s="289"/>
      <c r="AJX29" s="289"/>
      <c r="AJY29" s="289"/>
      <c r="AJZ29" s="289"/>
      <c r="AKA29" s="289"/>
      <c r="AKB29" s="289"/>
      <c r="AKC29" s="289"/>
      <c r="AKD29" s="289"/>
      <c r="AKE29" s="289"/>
      <c r="AKF29" s="289"/>
      <c r="AKG29" s="289"/>
      <c r="AKH29" s="289"/>
      <c r="AKI29" s="289"/>
      <c r="AKJ29" s="289"/>
      <c r="AKK29" s="289"/>
      <c r="AKL29" s="289"/>
      <c r="AKM29" s="289"/>
      <c r="AKN29" s="289"/>
      <c r="AKO29" s="289"/>
      <c r="AKP29" s="289"/>
      <c r="AKQ29" s="289"/>
      <c r="AKR29" s="289"/>
      <c r="AKS29" s="289"/>
      <c r="AKT29" s="289"/>
      <c r="AKU29" s="289"/>
      <c r="AKV29" s="289"/>
      <c r="AKW29" s="289"/>
      <c r="AKX29" s="289"/>
      <c r="AKY29" s="289"/>
      <c r="AKZ29" s="289"/>
      <c r="ALA29" s="289"/>
      <c r="ALB29" s="289"/>
      <c r="ALC29" s="289"/>
      <c r="ALD29" s="289"/>
      <c r="ALE29" s="289"/>
      <c r="ALF29" s="289"/>
      <c r="ALG29" s="289"/>
      <c r="ALH29" s="289"/>
      <c r="ALI29" s="289"/>
      <c r="ALJ29" s="289"/>
      <c r="ALK29" s="289"/>
      <c r="ALL29" s="289"/>
      <c r="ALM29" s="289"/>
      <c r="ALN29" s="289"/>
      <c r="ALO29" s="289"/>
      <c r="ALP29" s="289"/>
      <c r="ALQ29" s="289"/>
      <c r="ALR29" s="289"/>
      <c r="ALS29" s="289"/>
      <c r="ALT29" s="289"/>
      <c r="ALU29" s="289"/>
      <c r="ALV29" s="289"/>
      <c r="ALW29" s="289"/>
      <c r="ALX29" s="289"/>
      <c r="ALY29" s="289"/>
      <c r="ALZ29" s="289"/>
      <c r="AMA29" s="289"/>
      <c r="AMB29" s="289"/>
      <c r="AMC29" s="289"/>
      <c r="AMD29" s="289"/>
      <c r="AME29" s="289"/>
      <c r="AMF29" s="289"/>
      <c r="AMG29" s="289"/>
      <c r="AMH29" s="289"/>
      <c r="AMI29" s="289"/>
      <c r="AMJ29" s="289"/>
      <c r="AMK29" s="289"/>
      <c r="AML29" s="289"/>
      <c r="AMM29" s="289"/>
      <c r="AMN29" s="289"/>
      <c r="AMO29" s="289"/>
      <c r="AMP29" s="289"/>
      <c r="AMQ29" s="289"/>
      <c r="AMR29" s="289"/>
      <c r="AMS29" s="289"/>
      <c r="AMT29" s="289"/>
      <c r="AMU29" s="289"/>
      <c r="AMV29" s="289"/>
      <c r="AMW29" s="289"/>
      <c r="AMX29" s="289"/>
      <c r="AMY29" s="289"/>
      <c r="AMZ29" s="289"/>
      <c r="ANA29" s="289"/>
      <c r="ANB29" s="289"/>
      <c r="ANC29" s="289"/>
      <c r="AND29" s="289"/>
      <c r="ANE29" s="289"/>
      <c r="ANF29" s="289"/>
      <c r="ANG29" s="289"/>
      <c r="ANH29" s="289"/>
      <c r="ANI29" s="289"/>
      <c r="ANJ29" s="289"/>
      <c r="ANK29" s="289"/>
      <c r="ANL29" s="289"/>
      <c r="ANM29" s="289"/>
      <c r="ANN29" s="289"/>
      <c r="ANO29" s="289"/>
      <c r="ANP29" s="289"/>
      <c r="ANQ29" s="289"/>
      <c r="ANR29" s="289"/>
      <c r="ANS29" s="289"/>
      <c r="ANT29" s="289"/>
      <c r="ANU29" s="289"/>
      <c r="ANV29" s="289"/>
      <c r="ANW29" s="289"/>
      <c r="ANX29" s="289"/>
      <c r="ANY29" s="289"/>
      <c r="ANZ29" s="289"/>
      <c r="AOA29" s="289"/>
      <c r="AOB29" s="289"/>
      <c r="AOC29" s="289"/>
      <c r="AOD29" s="289"/>
      <c r="AOE29" s="289"/>
      <c r="AOF29" s="289"/>
      <c r="AOG29" s="289"/>
      <c r="AOH29" s="289"/>
      <c r="AOI29" s="289"/>
      <c r="AOJ29" s="289"/>
      <c r="AOK29" s="289"/>
      <c r="AOL29" s="289"/>
      <c r="AOM29" s="289"/>
      <c r="AON29" s="289"/>
      <c r="AOO29" s="289"/>
      <c r="AOP29" s="289"/>
      <c r="AOQ29" s="289"/>
      <c r="AOR29" s="289"/>
      <c r="AOS29" s="289"/>
      <c r="AOT29" s="289"/>
      <c r="AOU29" s="289"/>
      <c r="AOV29" s="289"/>
      <c r="AOW29" s="289"/>
      <c r="AOX29" s="289"/>
      <c r="AOY29" s="289"/>
      <c r="AOZ29" s="289"/>
      <c r="APA29" s="289"/>
      <c r="APB29" s="289"/>
      <c r="APC29" s="289"/>
      <c r="APD29" s="289"/>
      <c r="APE29" s="289"/>
      <c r="APF29" s="289"/>
      <c r="APG29" s="289"/>
      <c r="APH29" s="289"/>
      <c r="API29" s="289"/>
      <c r="APJ29" s="289"/>
      <c r="APK29" s="289"/>
      <c r="APL29" s="289"/>
      <c r="APM29" s="289"/>
      <c r="APN29" s="289"/>
      <c r="APO29" s="289"/>
      <c r="APP29" s="289"/>
      <c r="APQ29" s="289"/>
      <c r="APR29" s="289"/>
      <c r="APS29" s="289"/>
      <c r="APT29" s="289"/>
      <c r="APU29" s="289"/>
      <c r="APV29" s="289"/>
      <c r="APW29" s="289"/>
      <c r="APX29" s="289"/>
      <c r="APY29" s="289"/>
      <c r="APZ29" s="289"/>
      <c r="AQA29" s="289"/>
      <c r="AQB29" s="289"/>
      <c r="AQC29" s="289"/>
      <c r="AQD29" s="289"/>
      <c r="AQE29" s="289"/>
      <c r="AQF29" s="289"/>
      <c r="AQG29" s="289"/>
      <c r="AQH29" s="289"/>
      <c r="AQI29" s="289"/>
      <c r="AQJ29" s="289"/>
      <c r="AQK29" s="289"/>
      <c r="AQL29" s="289"/>
      <c r="AQM29" s="289"/>
      <c r="AQN29" s="289"/>
      <c r="AQO29" s="289"/>
      <c r="AQP29" s="289"/>
      <c r="AQQ29" s="289"/>
      <c r="AQR29" s="289"/>
      <c r="AQS29" s="289"/>
      <c r="AQT29" s="289"/>
      <c r="AQU29" s="289"/>
      <c r="AQV29" s="289"/>
      <c r="AQW29" s="289"/>
      <c r="AQX29" s="289"/>
      <c r="AQY29" s="289"/>
      <c r="AQZ29" s="289"/>
      <c r="ARA29" s="289"/>
      <c r="ARB29" s="289"/>
      <c r="ARC29" s="289"/>
      <c r="ARD29" s="289"/>
      <c r="ARE29" s="289"/>
      <c r="ARF29" s="289"/>
      <c r="ARG29" s="289"/>
      <c r="ARH29" s="289"/>
      <c r="ARI29" s="289"/>
      <c r="ARJ29" s="289"/>
      <c r="ARK29" s="289"/>
      <c r="ARL29" s="289"/>
      <c r="ARM29" s="289"/>
      <c r="ARN29" s="289"/>
      <c r="ARO29" s="289"/>
      <c r="ARP29" s="289"/>
      <c r="ARQ29" s="289"/>
      <c r="ARR29" s="289"/>
      <c r="ARS29" s="289"/>
      <c r="ART29" s="289"/>
      <c r="ARU29" s="289"/>
      <c r="ARV29" s="289"/>
      <c r="ARW29" s="289"/>
      <c r="ARX29" s="289"/>
      <c r="ARY29" s="289"/>
      <c r="ARZ29" s="289"/>
      <c r="ASA29" s="289"/>
      <c r="ASB29" s="289"/>
      <c r="ASC29" s="289"/>
      <c r="ASD29" s="289"/>
      <c r="ASE29" s="289"/>
      <c r="ASF29" s="289"/>
      <c r="ASG29" s="289"/>
      <c r="ASH29" s="289"/>
      <c r="ASI29" s="289"/>
      <c r="ASJ29" s="289"/>
      <c r="ASK29" s="289"/>
      <c r="ASL29" s="289"/>
      <c r="ASM29" s="289"/>
      <c r="ASN29" s="289"/>
      <c r="ASO29" s="289"/>
      <c r="ASP29" s="289"/>
      <c r="ASQ29" s="289"/>
      <c r="ASR29" s="289"/>
      <c r="ASS29" s="289"/>
      <c r="AST29" s="289"/>
      <c r="ASU29" s="289"/>
      <c r="ASV29" s="289"/>
      <c r="ASW29" s="289"/>
      <c r="ASX29" s="289"/>
      <c r="ASY29" s="289"/>
      <c r="ASZ29" s="289"/>
      <c r="ATA29" s="289"/>
      <c r="ATB29" s="289"/>
      <c r="ATC29" s="289"/>
      <c r="ATD29" s="289"/>
      <c r="ATE29" s="289"/>
      <c r="ATF29" s="289"/>
      <c r="ATG29" s="289"/>
      <c r="ATH29" s="289"/>
      <c r="ATI29" s="289"/>
      <c r="ATJ29" s="289"/>
      <c r="ATK29" s="289"/>
      <c r="ATL29" s="289"/>
      <c r="ATM29" s="289"/>
      <c r="ATN29" s="289"/>
      <c r="ATO29" s="289"/>
      <c r="ATP29" s="289"/>
      <c r="ATQ29" s="289"/>
      <c r="ATR29" s="289"/>
      <c r="ATS29" s="289"/>
      <c r="ATT29" s="289"/>
      <c r="ATU29" s="289"/>
      <c r="ATV29" s="289"/>
      <c r="ATW29" s="289"/>
      <c r="ATX29" s="289"/>
      <c r="ATY29" s="289"/>
      <c r="ATZ29" s="289"/>
      <c r="AUA29" s="289"/>
      <c r="AUB29" s="289"/>
      <c r="AUC29" s="289"/>
      <c r="AUD29" s="289"/>
      <c r="AUE29" s="289"/>
      <c r="AUF29" s="289"/>
      <c r="AUG29" s="289"/>
      <c r="AUH29" s="289"/>
      <c r="AUI29" s="289"/>
      <c r="AUJ29" s="289"/>
      <c r="AUK29" s="289"/>
      <c r="AUL29" s="289"/>
      <c r="AUM29" s="289"/>
      <c r="AUN29" s="289"/>
      <c r="AUO29" s="289"/>
      <c r="AUP29" s="289"/>
      <c r="AUQ29" s="289"/>
      <c r="AUR29" s="289"/>
      <c r="AUS29" s="289"/>
      <c r="AUT29" s="289"/>
      <c r="AUU29" s="289"/>
      <c r="AUV29" s="289"/>
      <c r="AUW29" s="289"/>
      <c r="AUX29" s="289"/>
      <c r="AUY29" s="289"/>
      <c r="AUZ29" s="289"/>
      <c r="AVA29" s="289"/>
      <c r="AVB29" s="289"/>
      <c r="AVC29" s="289"/>
      <c r="AVD29" s="289"/>
      <c r="AVE29" s="289"/>
      <c r="AVF29" s="289"/>
      <c r="AVG29" s="289"/>
      <c r="AVH29" s="289"/>
      <c r="AVI29" s="289"/>
      <c r="AVJ29" s="289"/>
      <c r="AVK29" s="289"/>
      <c r="AVL29" s="289"/>
      <c r="AVM29" s="289"/>
      <c r="AVN29" s="289"/>
      <c r="AVO29" s="289"/>
      <c r="AVP29" s="289"/>
      <c r="AVQ29" s="289"/>
      <c r="AVR29" s="289"/>
      <c r="AVS29" s="289"/>
      <c r="AVT29" s="289"/>
      <c r="AVU29" s="289"/>
      <c r="AVV29" s="289"/>
      <c r="AVW29" s="289"/>
      <c r="AVX29" s="289"/>
      <c r="AVY29" s="289"/>
      <c r="AVZ29" s="289"/>
      <c r="AWA29" s="289"/>
      <c r="AWB29" s="289"/>
      <c r="AWC29" s="289"/>
      <c r="AWD29" s="289"/>
      <c r="AWE29" s="289"/>
      <c r="AWF29" s="289"/>
      <c r="AWG29" s="289"/>
      <c r="AWH29" s="289"/>
      <c r="AWI29" s="289"/>
      <c r="AWJ29" s="289"/>
      <c r="AWK29" s="289"/>
      <c r="AWL29" s="289"/>
      <c r="AWM29" s="289"/>
      <c r="AWN29" s="289"/>
      <c r="AWO29" s="289"/>
      <c r="AWP29" s="289"/>
      <c r="AWQ29" s="289"/>
      <c r="AWR29" s="289"/>
      <c r="AWS29" s="289"/>
      <c r="AWT29" s="289"/>
      <c r="AWU29" s="289"/>
      <c r="AWV29" s="289"/>
      <c r="AWW29" s="289"/>
      <c r="AWX29" s="289"/>
      <c r="AWY29" s="289"/>
      <c r="AWZ29" s="289"/>
      <c r="AXA29" s="289"/>
      <c r="AXB29" s="289"/>
      <c r="AXC29" s="289"/>
      <c r="AXD29" s="289"/>
      <c r="AXE29" s="289"/>
      <c r="AXF29" s="289"/>
      <c r="AXG29" s="289"/>
      <c r="AXH29" s="289"/>
      <c r="AXI29" s="289"/>
      <c r="AXJ29" s="289"/>
      <c r="AXK29" s="289"/>
      <c r="AXL29" s="289"/>
      <c r="AXM29" s="289"/>
      <c r="AXN29" s="289"/>
      <c r="AXO29" s="289"/>
      <c r="AXP29" s="289"/>
      <c r="AXQ29" s="289"/>
      <c r="AXR29" s="289"/>
      <c r="AXS29" s="289"/>
      <c r="AXT29" s="289"/>
      <c r="AXU29" s="289"/>
      <c r="AXV29" s="289"/>
      <c r="AXW29" s="289"/>
      <c r="AXX29" s="289"/>
      <c r="AXY29" s="289"/>
      <c r="AXZ29" s="289"/>
      <c r="AYA29" s="289"/>
      <c r="AYB29" s="289"/>
      <c r="AYC29" s="289"/>
      <c r="AYD29" s="289"/>
      <c r="AYE29" s="289"/>
      <c r="AYF29" s="289"/>
      <c r="AYG29" s="289"/>
      <c r="AYH29" s="289"/>
      <c r="AYI29" s="289"/>
      <c r="AYJ29" s="289"/>
      <c r="AYK29" s="289"/>
      <c r="AYL29" s="289"/>
      <c r="AYM29" s="289"/>
      <c r="AYN29" s="289"/>
      <c r="AYO29" s="289"/>
      <c r="AYP29" s="289"/>
      <c r="AYQ29" s="289"/>
      <c r="AYR29" s="289"/>
      <c r="AYS29" s="289"/>
      <c r="AYT29" s="289"/>
      <c r="AYU29" s="289"/>
      <c r="AYV29" s="289"/>
      <c r="AYW29" s="289"/>
      <c r="AYX29" s="289"/>
      <c r="AYY29" s="289"/>
      <c r="AYZ29" s="289"/>
      <c r="AZA29" s="289"/>
      <c r="AZB29" s="289"/>
      <c r="AZC29" s="289"/>
      <c r="AZD29" s="289"/>
      <c r="AZE29" s="289"/>
      <c r="AZF29" s="289"/>
      <c r="AZG29" s="289"/>
      <c r="AZH29" s="289"/>
      <c r="AZI29" s="289"/>
      <c r="AZJ29" s="289"/>
      <c r="AZK29" s="289"/>
      <c r="AZL29" s="289"/>
      <c r="AZM29" s="289"/>
      <c r="AZN29" s="289"/>
      <c r="AZO29" s="289"/>
      <c r="AZP29" s="289"/>
      <c r="AZQ29" s="289"/>
      <c r="AZR29" s="289"/>
      <c r="AZS29" s="289"/>
      <c r="AZT29" s="289"/>
      <c r="AZU29" s="289"/>
      <c r="AZV29" s="289"/>
      <c r="AZW29" s="289"/>
      <c r="AZX29" s="289"/>
      <c r="AZY29" s="289"/>
      <c r="AZZ29" s="289"/>
      <c r="BAA29" s="289"/>
      <c r="BAB29" s="289"/>
      <c r="BAC29" s="289"/>
      <c r="BAD29" s="289"/>
      <c r="BAE29" s="289"/>
      <c r="BAF29" s="289"/>
      <c r="BAG29" s="289"/>
      <c r="BAH29" s="289"/>
      <c r="BAI29" s="289"/>
      <c r="BAJ29" s="289"/>
      <c r="BAK29" s="289"/>
      <c r="BAL29" s="289"/>
      <c r="BAM29" s="289"/>
      <c r="BAN29" s="289"/>
      <c r="BAO29" s="289"/>
      <c r="BAP29" s="289"/>
      <c r="BAQ29" s="289"/>
      <c r="BAR29" s="289"/>
      <c r="BAS29" s="289"/>
      <c r="BAT29" s="289"/>
      <c r="BAU29" s="289"/>
      <c r="BAV29" s="289"/>
      <c r="BAW29" s="289"/>
      <c r="BAX29" s="289"/>
      <c r="BAY29" s="289"/>
      <c r="BAZ29" s="289"/>
      <c r="BBA29" s="289"/>
      <c r="BBB29" s="289"/>
      <c r="BBC29" s="289"/>
      <c r="BBD29" s="289"/>
      <c r="BBE29" s="289"/>
      <c r="BBF29" s="289"/>
      <c r="BBG29" s="289"/>
      <c r="BBH29" s="289"/>
      <c r="BBI29" s="289"/>
      <c r="BBJ29" s="289"/>
      <c r="BBK29" s="289"/>
      <c r="BBL29" s="289"/>
      <c r="BBM29" s="289"/>
      <c r="BBN29" s="289"/>
      <c r="BBO29" s="289"/>
      <c r="BBP29" s="289"/>
      <c r="BBQ29" s="289"/>
      <c r="BBR29" s="289"/>
      <c r="BBS29" s="289"/>
      <c r="BBT29" s="289"/>
      <c r="BBU29" s="289"/>
      <c r="BBV29" s="289"/>
      <c r="BBW29" s="289"/>
      <c r="BBX29" s="289"/>
      <c r="BBY29" s="289"/>
      <c r="BBZ29" s="289"/>
      <c r="BCA29" s="289"/>
      <c r="BCB29" s="289"/>
      <c r="BCC29" s="289"/>
      <c r="BCD29" s="289"/>
      <c r="BCE29" s="289"/>
      <c r="BCF29" s="289"/>
      <c r="BCG29" s="289"/>
      <c r="BCH29" s="289"/>
      <c r="BCI29" s="289"/>
      <c r="BCJ29" s="289"/>
      <c r="BCK29" s="289"/>
      <c r="BCL29" s="289"/>
      <c r="BCM29" s="289"/>
      <c r="BCN29" s="289"/>
      <c r="BCO29" s="289"/>
      <c r="BCP29" s="289"/>
      <c r="BCQ29" s="289"/>
      <c r="BCR29" s="289"/>
      <c r="BCS29" s="289"/>
      <c r="BCT29" s="289"/>
      <c r="BCU29" s="289"/>
      <c r="BCV29" s="289"/>
      <c r="BCW29" s="289"/>
      <c r="BCX29" s="289"/>
      <c r="BCY29" s="289"/>
      <c r="BCZ29" s="289"/>
      <c r="BDA29" s="289"/>
      <c r="BDB29" s="289"/>
      <c r="BDC29" s="289"/>
      <c r="BDD29" s="289"/>
      <c r="BDE29" s="289"/>
      <c r="BDF29" s="289"/>
      <c r="BDG29" s="289"/>
      <c r="BDH29" s="289"/>
      <c r="BDI29" s="289"/>
      <c r="BDJ29" s="289"/>
      <c r="BDK29" s="289"/>
      <c r="BDL29" s="289"/>
      <c r="BDM29" s="289"/>
      <c r="BDN29" s="289"/>
      <c r="BDO29" s="289"/>
      <c r="BDP29" s="289"/>
      <c r="BDQ29" s="289"/>
      <c r="BDR29" s="289"/>
      <c r="BDS29" s="289"/>
      <c r="BDT29" s="289"/>
      <c r="BDU29" s="289"/>
      <c r="BDV29" s="289"/>
      <c r="BDW29" s="289"/>
      <c r="BDX29" s="289"/>
      <c r="BDY29" s="289"/>
      <c r="BDZ29" s="289"/>
      <c r="BEA29" s="289"/>
      <c r="BEB29" s="289"/>
      <c r="BEC29" s="289"/>
      <c r="BED29" s="289"/>
      <c r="BEE29" s="289"/>
      <c r="BEF29" s="289"/>
      <c r="BEG29" s="289"/>
      <c r="BEH29" s="289"/>
      <c r="BEI29" s="289"/>
      <c r="BEJ29" s="289"/>
      <c r="BEK29" s="289"/>
      <c r="BEL29" s="289"/>
      <c r="BEM29" s="289"/>
      <c r="BEN29" s="289"/>
      <c r="BEO29" s="289"/>
      <c r="BEP29" s="289"/>
      <c r="BEQ29" s="289"/>
      <c r="BER29" s="289"/>
      <c r="BES29" s="289"/>
      <c r="BET29" s="289"/>
      <c r="BEU29" s="289"/>
      <c r="BEV29" s="289"/>
      <c r="BEW29" s="289"/>
      <c r="BEX29" s="289"/>
      <c r="BEY29" s="289"/>
      <c r="BEZ29" s="289"/>
      <c r="BFA29" s="289"/>
      <c r="BFB29" s="289"/>
      <c r="BFC29" s="289"/>
      <c r="BFD29" s="289"/>
      <c r="BFE29" s="289"/>
      <c r="BFF29" s="289"/>
      <c r="BFG29" s="289"/>
      <c r="BFH29" s="289"/>
      <c r="BFI29" s="289"/>
      <c r="BFJ29" s="289"/>
      <c r="BFK29" s="289"/>
      <c r="BFL29" s="289"/>
      <c r="BFM29" s="289"/>
      <c r="BFN29" s="289"/>
      <c r="BFO29" s="289"/>
      <c r="BFP29" s="289"/>
      <c r="BFQ29" s="289"/>
      <c r="BFR29" s="289"/>
      <c r="BFS29" s="289"/>
      <c r="BFT29" s="289"/>
      <c r="BFU29" s="289"/>
      <c r="BFV29" s="289"/>
      <c r="BFW29" s="289"/>
      <c r="BFX29" s="289"/>
      <c r="BFY29" s="289"/>
      <c r="BFZ29" s="289"/>
      <c r="BGA29" s="289"/>
      <c r="BGB29" s="289"/>
      <c r="BGC29" s="289"/>
      <c r="BGD29" s="289"/>
      <c r="BGE29" s="289"/>
      <c r="BGF29" s="289"/>
      <c r="BGG29" s="289"/>
      <c r="BGH29" s="289"/>
      <c r="BGI29" s="289"/>
      <c r="BGJ29" s="289"/>
      <c r="BGK29" s="289"/>
      <c r="BGL29" s="289"/>
      <c r="BGM29" s="289"/>
      <c r="BGN29" s="289"/>
      <c r="BGO29" s="289"/>
      <c r="BGP29" s="289"/>
      <c r="BGQ29" s="289"/>
      <c r="BGR29" s="289"/>
      <c r="BGS29" s="289"/>
      <c r="BGT29" s="289"/>
      <c r="BGU29" s="289"/>
      <c r="BGV29" s="289"/>
      <c r="BGW29" s="289"/>
      <c r="BGX29" s="289"/>
      <c r="BGY29" s="289"/>
      <c r="BGZ29" s="289"/>
      <c r="BHA29" s="289"/>
      <c r="BHB29" s="289"/>
      <c r="BHC29" s="289"/>
      <c r="BHD29" s="289"/>
      <c r="BHE29" s="289"/>
      <c r="BHF29" s="289"/>
      <c r="BHG29" s="289"/>
      <c r="BHH29" s="289"/>
      <c r="BHI29" s="289"/>
      <c r="BHJ29" s="289"/>
      <c r="BHK29" s="289"/>
      <c r="BHL29" s="289"/>
      <c r="BHM29" s="289"/>
      <c r="BHN29" s="289"/>
      <c r="BHO29" s="289"/>
      <c r="BHP29" s="289"/>
      <c r="BHQ29" s="289"/>
      <c r="BHR29" s="289"/>
      <c r="BHS29" s="289"/>
      <c r="BHT29" s="289"/>
      <c r="BHU29" s="289"/>
      <c r="BHV29" s="289"/>
      <c r="BHW29" s="289"/>
      <c r="BHX29" s="289"/>
      <c r="BHY29" s="289"/>
      <c r="BHZ29" s="289"/>
      <c r="BIA29" s="289"/>
      <c r="BIB29" s="289"/>
      <c r="BIC29" s="289"/>
      <c r="BID29" s="289"/>
      <c r="BIE29" s="289"/>
      <c r="BIF29" s="289"/>
      <c r="BIG29" s="289"/>
      <c r="BIH29" s="289"/>
      <c r="BII29" s="289"/>
      <c r="BIJ29" s="289"/>
      <c r="BIK29" s="289"/>
      <c r="BIL29" s="289"/>
      <c r="BIM29" s="289"/>
      <c r="BIN29" s="289"/>
      <c r="BIO29" s="289"/>
      <c r="BIP29" s="289"/>
      <c r="BIQ29" s="289"/>
      <c r="BIR29" s="289"/>
      <c r="BIS29" s="289"/>
      <c r="BIT29" s="289"/>
      <c r="BIU29" s="289"/>
      <c r="BIV29" s="289"/>
      <c r="BIW29" s="289"/>
      <c r="BIX29" s="289"/>
      <c r="BIY29" s="289"/>
      <c r="BIZ29" s="289"/>
      <c r="BJA29" s="289"/>
      <c r="BJB29" s="289"/>
      <c r="BJC29" s="289"/>
      <c r="BJD29" s="289"/>
      <c r="BJE29" s="289"/>
      <c r="BJF29" s="289"/>
      <c r="BJG29" s="289"/>
      <c r="BJH29" s="289"/>
      <c r="BJI29" s="289"/>
      <c r="BJJ29" s="289"/>
      <c r="BJK29" s="289"/>
      <c r="BJL29" s="289"/>
      <c r="BJM29" s="289"/>
      <c r="BJN29" s="289"/>
      <c r="BJO29" s="289"/>
      <c r="BJP29" s="289"/>
      <c r="BJQ29" s="289"/>
      <c r="BJR29" s="289"/>
      <c r="BJS29" s="289"/>
      <c r="BJT29" s="289"/>
      <c r="BJU29" s="289"/>
      <c r="BJV29" s="289"/>
      <c r="BJW29" s="289"/>
      <c r="BJX29" s="289"/>
      <c r="BJY29" s="289"/>
      <c r="BJZ29" s="289"/>
      <c r="BKA29" s="289"/>
      <c r="BKB29" s="289"/>
      <c r="BKC29" s="289"/>
      <c r="BKD29" s="289"/>
      <c r="BKE29" s="289"/>
      <c r="BKF29" s="289"/>
      <c r="BKG29" s="289"/>
      <c r="BKH29" s="289"/>
      <c r="BKI29" s="289"/>
      <c r="BKJ29" s="289"/>
      <c r="BKK29" s="289"/>
      <c r="BKL29" s="289"/>
      <c r="BKM29" s="289"/>
      <c r="BKN29" s="289"/>
      <c r="BKO29" s="289"/>
      <c r="BKP29" s="289"/>
      <c r="BKQ29" s="289"/>
      <c r="BKR29" s="289"/>
      <c r="BKS29" s="289"/>
      <c r="BKT29" s="289"/>
      <c r="BKU29" s="289"/>
      <c r="BKV29" s="289"/>
      <c r="BKW29" s="289"/>
      <c r="BKX29" s="289"/>
      <c r="BKY29" s="289"/>
      <c r="BKZ29" s="289"/>
      <c r="BLA29" s="289"/>
      <c r="BLB29" s="289"/>
      <c r="BLC29" s="289"/>
      <c r="BLD29" s="289"/>
      <c r="BLE29" s="289"/>
      <c r="BLF29" s="289"/>
      <c r="BLG29" s="289"/>
      <c r="BLH29" s="289"/>
      <c r="BLI29" s="289"/>
      <c r="BLJ29" s="289"/>
      <c r="BLK29" s="289"/>
      <c r="BLL29" s="289"/>
      <c r="BLM29" s="289"/>
      <c r="BLN29" s="289"/>
      <c r="BLO29" s="289"/>
      <c r="BLP29" s="289"/>
      <c r="BLQ29" s="289"/>
      <c r="BLR29" s="289"/>
      <c r="BLS29" s="289"/>
      <c r="BLT29" s="289"/>
      <c r="BLU29" s="289"/>
      <c r="BLV29" s="289"/>
      <c r="BLW29" s="289"/>
      <c r="BLX29" s="289"/>
      <c r="BLY29" s="289"/>
      <c r="BLZ29" s="289"/>
      <c r="BMA29" s="289"/>
      <c r="BMB29" s="289"/>
      <c r="BMC29" s="289"/>
      <c r="BMD29" s="289"/>
      <c r="BME29" s="289"/>
      <c r="BMF29" s="289"/>
      <c r="BMG29" s="289"/>
      <c r="BMH29" s="289"/>
      <c r="BMI29" s="289"/>
      <c r="BMJ29" s="289"/>
      <c r="BMK29" s="289"/>
      <c r="BML29" s="289"/>
      <c r="BMM29" s="289"/>
      <c r="BMN29" s="289"/>
      <c r="BMO29" s="289"/>
      <c r="BMP29" s="289"/>
      <c r="BMQ29" s="289"/>
      <c r="BMR29" s="289"/>
      <c r="BMS29" s="289"/>
      <c r="BMT29" s="289"/>
      <c r="BMU29" s="289"/>
      <c r="BMV29" s="289"/>
      <c r="BMW29" s="289"/>
      <c r="BMX29" s="289"/>
      <c r="BMY29" s="289"/>
      <c r="BMZ29" s="289"/>
      <c r="BNA29" s="289"/>
      <c r="BNB29" s="289"/>
      <c r="BNC29" s="289"/>
      <c r="BND29" s="289"/>
      <c r="BNE29" s="289"/>
      <c r="BNF29" s="289"/>
      <c r="BNG29" s="289"/>
      <c r="BNH29" s="289"/>
      <c r="BNI29" s="289"/>
      <c r="BNJ29" s="289"/>
      <c r="BNK29" s="289"/>
      <c r="BNL29" s="289"/>
      <c r="BNM29" s="289"/>
      <c r="BNN29" s="289"/>
      <c r="BNO29" s="289"/>
      <c r="BNP29" s="289"/>
      <c r="BNQ29" s="289"/>
      <c r="BNR29" s="289"/>
      <c r="BNS29" s="289"/>
      <c r="BNT29" s="289"/>
      <c r="BNU29" s="289"/>
      <c r="BNV29" s="289"/>
      <c r="BNW29" s="289"/>
      <c r="BNX29" s="289"/>
      <c r="BNY29" s="289"/>
      <c r="BNZ29" s="289"/>
      <c r="BOA29" s="289"/>
      <c r="BOB29" s="289"/>
      <c r="BOC29" s="289"/>
      <c r="BOD29" s="289"/>
      <c r="BOE29" s="289"/>
      <c r="BOF29" s="289"/>
      <c r="BOG29" s="289"/>
      <c r="BOH29" s="289"/>
      <c r="BOI29" s="289"/>
      <c r="BOJ29" s="289"/>
      <c r="BOK29" s="289"/>
      <c r="BOL29" s="289"/>
      <c r="BOM29" s="289"/>
      <c r="BON29" s="289"/>
      <c r="BOO29" s="289"/>
      <c r="BOP29" s="289"/>
      <c r="BOQ29" s="289"/>
      <c r="BOR29" s="289"/>
      <c r="BOS29" s="289"/>
      <c r="BOT29" s="289"/>
      <c r="BOU29" s="289"/>
      <c r="BOV29" s="289"/>
      <c r="BOW29" s="289"/>
      <c r="BOX29" s="289"/>
      <c r="BOY29" s="289"/>
      <c r="BOZ29" s="289"/>
      <c r="BPA29" s="289"/>
      <c r="BPB29" s="289"/>
      <c r="BPC29" s="289"/>
      <c r="BPD29" s="289"/>
      <c r="BPE29" s="289"/>
      <c r="BPF29" s="289"/>
      <c r="BPG29" s="289"/>
      <c r="BPH29" s="289"/>
      <c r="BPI29" s="289"/>
      <c r="BPJ29" s="289"/>
      <c r="BPK29" s="289"/>
      <c r="BPL29" s="289"/>
      <c r="BPM29" s="289"/>
      <c r="BPN29" s="289"/>
      <c r="BPO29" s="289"/>
      <c r="BPP29" s="289"/>
      <c r="BPQ29" s="289"/>
      <c r="BPR29" s="289"/>
      <c r="BPS29" s="289"/>
      <c r="BPT29" s="289"/>
      <c r="BPU29" s="289"/>
      <c r="BPV29" s="289"/>
      <c r="BPW29" s="289"/>
      <c r="BPX29" s="289"/>
      <c r="BPY29" s="289"/>
      <c r="BPZ29" s="289"/>
      <c r="BQA29" s="289"/>
      <c r="BQB29" s="289"/>
      <c r="BQC29" s="289"/>
      <c r="BQD29" s="289"/>
      <c r="BQE29" s="289"/>
      <c r="BQF29" s="289"/>
      <c r="BQG29" s="289"/>
      <c r="BQH29" s="289"/>
      <c r="BQI29" s="289"/>
      <c r="BQJ29" s="289"/>
      <c r="BQK29" s="289"/>
      <c r="BQL29" s="289"/>
      <c r="BQM29" s="289"/>
      <c r="BQN29" s="289"/>
      <c r="BQO29" s="289"/>
      <c r="BQP29" s="289"/>
      <c r="BQQ29" s="289"/>
      <c r="BQR29" s="289"/>
      <c r="BQS29" s="289"/>
      <c r="BQT29" s="289"/>
      <c r="BQU29" s="289"/>
      <c r="BQV29" s="289"/>
      <c r="BQW29" s="289"/>
      <c r="BQX29" s="289"/>
      <c r="BQY29" s="289"/>
      <c r="BQZ29" s="289"/>
      <c r="BRA29" s="289"/>
      <c r="BRB29" s="289"/>
      <c r="BRC29" s="289"/>
      <c r="BRD29" s="289"/>
      <c r="BRE29" s="289"/>
      <c r="BRF29" s="289"/>
      <c r="BRG29" s="289"/>
      <c r="BRH29" s="289"/>
      <c r="BRI29" s="289"/>
      <c r="BRJ29" s="289"/>
      <c r="BRK29" s="289"/>
      <c r="BRL29" s="289"/>
      <c r="BRM29" s="289"/>
      <c r="BRN29" s="289"/>
      <c r="BRO29" s="289"/>
      <c r="BRP29" s="289"/>
      <c r="BRQ29" s="289"/>
      <c r="BRR29" s="289"/>
      <c r="BRS29" s="289"/>
      <c r="BRT29" s="289"/>
      <c r="BRU29" s="289"/>
      <c r="BRV29" s="289"/>
      <c r="BRW29" s="289"/>
      <c r="BRX29" s="289"/>
      <c r="BRY29" s="289"/>
      <c r="BRZ29" s="289"/>
      <c r="BSA29" s="289"/>
      <c r="BSB29" s="289"/>
      <c r="BSC29" s="289"/>
      <c r="BSD29" s="289"/>
      <c r="BSE29" s="289"/>
      <c r="BSF29" s="289"/>
      <c r="BSG29" s="289"/>
      <c r="BSH29" s="289"/>
      <c r="BSI29" s="289"/>
      <c r="BSJ29" s="289"/>
      <c r="BSK29" s="289"/>
      <c r="BSL29" s="289"/>
      <c r="BSM29" s="289"/>
      <c r="BSN29" s="289"/>
      <c r="BSO29" s="289"/>
      <c r="BSP29" s="289"/>
      <c r="BSQ29" s="289"/>
      <c r="BSR29" s="289"/>
      <c r="BSS29" s="289"/>
      <c r="BST29" s="289"/>
      <c r="BSU29" s="289"/>
      <c r="BSV29" s="289"/>
      <c r="BSW29" s="289"/>
      <c r="BSX29" s="289"/>
      <c r="BSY29" s="289"/>
      <c r="BSZ29" s="289"/>
      <c r="BTA29" s="289"/>
      <c r="BTB29" s="289"/>
      <c r="BTC29" s="289"/>
      <c r="BTD29" s="289"/>
      <c r="BTE29" s="289"/>
      <c r="BTF29" s="289"/>
      <c r="BTG29" s="289"/>
      <c r="BTH29" s="289"/>
      <c r="BTI29" s="289"/>
      <c r="BTJ29" s="289"/>
      <c r="BTK29" s="289"/>
      <c r="BTL29" s="289"/>
      <c r="BTM29" s="289"/>
      <c r="BTN29" s="289"/>
      <c r="BTO29" s="289"/>
      <c r="BTP29" s="289"/>
      <c r="BTQ29" s="289"/>
      <c r="BTR29" s="289"/>
      <c r="BTS29" s="289"/>
      <c r="BTT29" s="289"/>
      <c r="BTU29" s="289"/>
      <c r="BTV29" s="289"/>
      <c r="BTW29" s="289"/>
      <c r="BTX29" s="289"/>
      <c r="BTY29" s="289"/>
      <c r="BTZ29" s="289"/>
      <c r="BUA29" s="289"/>
      <c r="BUB29" s="289"/>
      <c r="BUC29" s="289"/>
      <c r="BUD29" s="289"/>
      <c r="BUE29" s="289"/>
      <c r="BUF29" s="289"/>
      <c r="BUG29" s="289"/>
      <c r="BUH29" s="289"/>
      <c r="BUI29" s="289"/>
      <c r="BUJ29" s="289"/>
      <c r="BUK29" s="289"/>
      <c r="BUL29" s="289"/>
      <c r="BUM29" s="289"/>
      <c r="BUN29" s="289"/>
      <c r="BUO29" s="289"/>
      <c r="BUP29" s="289"/>
      <c r="BUQ29" s="289"/>
      <c r="BUR29" s="289"/>
      <c r="BUS29" s="289"/>
      <c r="BUT29" s="289"/>
      <c r="BUU29" s="289"/>
      <c r="BUV29" s="289"/>
      <c r="BUW29" s="289"/>
      <c r="BUX29" s="289"/>
      <c r="BUY29" s="289"/>
      <c r="BUZ29" s="289"/>
      <c r="BVA29" s="289"/>
      <c r="BVB29" s="289"/>
      <c r="BVC29" s="289"/>
      <c r="BVD29" s="289"/>
      <c r="BVE29" s="289"/>
      <c r="BVF29" s="289"/>
      <c r="BVG29" s="289"/>
      <c r="BVH29" s="289"/>
      <c r="BVI29" s="289"/>
      <c r="BVJ29" s="289"/>
      <c r="BVK29" s="289"/>
      <c r="BVL29" s="289"/>
      <c r="BVM29" s="289"/>
      <c r="BVN29" s="289"/>
      <c r="BVO29" s="289"/>
      <c r="BVP29" s="289"/>
      <c r="BVQ29" s="289"/>
      <c r="BVR29" s="289"/>
      <c r="BVS29" s="289"/>
      <c r="BVT29" s="289"/>
      <c r="BVU29" s="289"/>
      <c r="BVV29" s="289"/>
      <c r="BVW29" s="289"/>
      <c r="BVX29" s="289"/>
      <c r="BVY29" s="289"/>
      <c r="BVZ29" s="289"/>
      <c r="BWA29" s="289"/>
      <c r="BWB29" s="289"/>
      <c r="BWC29" s="289"/>
      <c r="BWD29" s="289"/>
      <c r="BWE29" s="289"/>
      <c r="BWF29" s="289"/>
      <c r="BWG29" s="289"/>
      <c r="BWH29" s="289"/>
      <c r="BWI29" s="289"/>
      <c r="BWJ29" s="289"/>
      <c r="BWK29" s="289"/>
      <c r="BWL29" s="289"/>
      <c r="BWM29" s="289"/>
      <c r="BWN29" s="289"/>
      <c r="BWO29" s="289"/>
      <c r="BWP29" s="289"/>
      <c r="BWQ29" s="289"/>
      <c r="BWR29" s="289"/>
      <c r="BWS29" s="289"/>
      <c r="BWT29" s="289"/>
      <c r="BWU29" s="289"/>
      <c r="BWV29" s="289"/>
      <c r="BWW29" s="289"/>
      <c r="BWX29" s="289"/>
      <c r="BWY29" s="289"/>
      <c r="BWZ29" s="289"/>
      <c r="BXA29" s="289"/>
      <c r="BXB29" s="289"/>
      <c r="BXC29" s="289"/>
      <c r="BXD29" s="289"/>
      <c r="BXE29" s="289"/>
      <c r="BXF29" s="289"/>
      <c r="BXG29" s="289"/>
      <c r="BXH29" s="289"/>
      <c r="BXI29" s="289"/>
      <c r="BXJ29" s="289"/>
      <c r="BXK29" s="289"/>
      <c r="BXL29" s="289"/>
      <c r="BXM29" s="289"/>
      <c r="BXN29" s="289"/>
      <c r="BXO29" s="289"/>
      <c r="BXP29" s="289"/>
      <c r="BXQ29" s="289"/>
      <c r="BXR29" s="289"/>
      <c r="BXS29" s="289"/>
      <c r="BXT29" s="289"/>
      <c r="BXU29" s="289"/>
      <c r="BXV29" s="289"/>
      <c r="BXW29" s="289"/>
      <c r="BXX29" s="289"/>
      <c r="BXY29" s="289"/>
      <c r="BXZ29" s="289"/>
      <c r="BYA29" s="289"/>
      <c r="BYB29" s="289"/>
      <c r="BYC29" s="289"/>
      <c r="BYD29" s="289"/>
      <c r="BYE29" s="289"/>
      <c r="BYF29" s="289"/>
      <c r="BYG29" s="289"/>
      <c r="BYH29" s="289"/>
      <c r="BYI29" s="289"/>
      <c r="BYJ29" s="289"/>
      <c r="BYK29" s="289"/>
      <c r="BYL29" s="289"/>
      <c r="BYM29" s="289"/>
      <c r="BYN29" s="289"/>
      <c r="BYO29" s="289"/>
      <c r="BYP29" s="289"/>
      <c r="BYQ29" s="289"/>
      <c r="BYR29" s="289"/>
      <c r="BYS29" s="289"/>
      <c r="BYT29" s="289"/>
      <c r="BYU29" s="289"/>
      <c r="BYV29" s="289"/>
      <c r="BYW29" s="289"/>
      <c r="BYX29" s="289"/>
      <c r="BYY29" s="289"/>
      <c r="BYZ29" s="289"/>
      <c r="BZA29" s="289"/>
      <c r="BZB29" s="289"/>
      <c r="BZC29" s="289"/>
      <c r="BZD29" s="289"/>
      <c r="BZE29" s="289"/>
      <c r="BZF29" s="289"/>
      <c r="BZG29" s="289"/>
      <c r="BZH29" s="289"/>
      <c r="BZI29" s="289"/>
      <c r="BZJ29" s="289"/>
      <c r="BZK29" s="289"/>
      <c r="BZL29" s="289"/>
      <c r="BZM29" s="289"/>
      <c r="BZN29" s="289"/>
      <c r="BZO29" s="289"/>
      <c r="BZP29" s="289"/>
      <c r="BZQ29" s="289"/>
      <c r="BZR29" s="289"/>
      <c r="BZS29" s="289"/>
      <c r="BZT29" s="289"/>
      <c r="BZU29" s="289"/>
      <c r="BZV29" s="289"/>
      <c r="BZW29" s="289"/>
      <c r="BZX29" s="289"/>
      <c r="BZY29" s="289"/>
      <c r="BZZ29" s="289"/>
      <c r="CAA29" s="289"/>
      <c r="CAB29" s="289"/>
      <c r="CAC29" s="289"/>
      <c r="CAD29" s="289"/>
      <c r="CAE29" s="289"/>
      <c r="CAF29" s="289"/>
      <c r="CAG29" s="289"/>
      <c r="CAH29" s="289"/>
      <c r="CAI29" s="289"/>
      <c r="CAJ29" s="289"/>
      <c r="CAK29" s="289"/>
      <c r="CAL29" s="289"/>
      <c r="CAM29" s="289"/>
      <c r="CAN29" s="289"/>
      <c r="CAO29" s="289"/>
      <c r="CAP29" s="289"/>
      <c r="CAQ29" s="289"/>
      <c r="CAR29" s="289"/>
      <c r="CAS29" s="289"/>
      <c r="CAT29" s="289"/>
      <c r="CAU29" s="289"/>
      <c r="CAV29" s="289"/>
      <c r="CAW29" s="289"/>
      <c r="CAX29" s="289"/>
      <c r="CAY29" s="289"/>
      <c r="CAZ29" s="289"/>
      <c r="CBA29" s="289"/>
      <c r="CBB29" s="289"/>
      <c r="CBC29" s="289"/>
      <c r="CBD29" s="289"/>
      <c r="CBE29" s="289"/>
      <c r="CBF29" s="289"/>
      <c r="CBG29" s="289"/>
      <c r="CBH29" s="289"/>
      <c r="CBI29" s="289"/>
      <c r="CBJ29" s="289"/>
      <c r="CBK29" s="289"/>
      <c r="CBL29" s="289"/>
      <c r="CBM29" s="289"/>
      <c r="CBN29" s="289"/>
      <c r="CBO29" s="289"/>
      <c r="CBP29" s="289"/>
      <c r="CBQ29" s="289"/>
      <c r="CBR29" s="289"/>
      <c r="CBS29" s="289"/>
      <c r="CBT29" s="289"/>
      <c r="CBU29" s="289"/>
      <c r="CBV29" s="289"/>
      <c r="CBW29" s="289"/>
      <c r="CBX29" s="289"/>
      <c r="CBY29" s="289"/>
      <c r="CBZ29" s="289"/>
      <c r="CCA29" s="289"/>
      <c r="CCB29" s="289"/>
      <c r="CCC29" s="289"/>
      <c r="CCD29" s="289"/>
      <c r="CCE29" s="289"/>
      <c r="CCF29" s="289"/>
      <c r="CCG29" s="289"/>
      <c r="CCH29" s="289"/>
      <c r="CCI29" s="289"/>
      <c r="CCJ29" s="289"/>
      <c r="CCK29" s="289"/>
      <c r="CCL29" s="289"/>
      <c r="CCM29" s="289"/>
      <c r="CCN29" s="289"/>
      <c r="CCO29" s="289"/>
      <c r="CCP29" s="289"/>
      <c r="CCQ29" s="289"/>
      <c r="CCR29" s="289"/>
      <c r="CCS29" s="289"/>
      <c r="CCT29" s="289"/>
      <c r="CCU29" s="289"/>
      <c r="CCV29" s="289"/>
      <c r="CCW29" s="289"/>
      <c r="CCX29" s="289"/>
      <c r="CCY29" s="289"/>
      <c r="CCZ29" s="289"/>
      <c r="CDA29" s="289"/>
      <c r="CDB29" s="289"/>
      <c r="CDC29" s="289"/>
      <c r="CDD29" s="289"/>
      <c r="CDE29" s="289"/>
      <c r="CDF29" s="289"/>
      <c r="CDG29" s="289"/>
      <c r="CDH29" s="289"/>
      <c r="CDI29" s="289"/>
      <c r="CDJ29" s="289"/>
      <c r="CDK29" s="289"/>
      <c r="CDL29" s="289"/>
      <c r="CDM29" s="289"/>
      <c r="CDN29" s="289"/>
      <c r="CDO29" s="289"/>
      <c r="CDP29" s="289"/>
      <c r="CDQ29" s="289"/>
      <c r="CDR29" s="289"/>
      <c r="CDS29" s="289"/>
      <c r="CDT29" s="289"/>
      <c r="CDU29" s="289"/>
      <c r="CDV29" s="289"/>
      <c r="CDW29" s="289"/>
      <c r="CDX29" s="289"/>
      <c r="CDY29" s="289"/>
      <c r="CDZ29" s="289"/>
      <c r="CEA29" s="289"/>
      <c r="CEB29" s="289"/>
      <c r="CEC29" s="289"/>
      <c r="CED29" s="289"/>
      <c r="CEE29" s="289"/>
      <c r="CEF29" s="289"/>
      <c r="CEG29" s="289"/>
      <c r="CEH29" s="289"/>
      <c r="CEI29" s="289"/>
      <c r="CEJ29" s="289"/>
      <c r="CEK29" s="289"/>
      <c r="CEL29" s="289"/>
      <c r="CEM29" s="289"/>
      <c r="CEN29" s="289"/>
      <c r="CEO29" s="289"/>
      <c r="CEP29" s="289"/>
      <c r="CEQ29" s="289"/>
      <c r="CER29" s="289"/>
      <c r="CES29" s="289"/>
      <c r="CET29" s="289"/>
      <c r="CEU29" s="289"/>
      <c r="CEV29" s="289"/>
      <c r="CEW29" s="289"/>
      <c r="CEX29" s="289"/>
      <c r="CEY29" s="289"/>
      <c r="CEZ29" s="289"/>
      <c r="CFA29" s="289"/>
      <c r="CFB29" s="289"/>
      <c r="CFC29" s="289"/>
      <c r="CFD29" s="289"/>
      <c r="CFE29" s="289"/>
      <c r="CFF29" s="289"/>
      <c r="CFG29" s="289"/>
      <c r="CFH29" s="289"/>
      <c r="CFI29" s="289"/>
      <c r="CFJ29" s="289"/>
      <c r="CFK29" s="289"/>
      <c r="CFL29" s="289"/>
      <c r="CFM29" s="289"/>
      <c r="CFN29" s="289"/>
      <c r="CFO29" s="289"/>
      <c r="CFP29" s="289"/>
      <c r="CFQ29" s="289"/>
      <c r="CFR29" s="289"/>
      <c r="CFS29" s="289"/>
      <c r="CFT29" s="289"/>
      <c r="CFU29" s="289"/>
      <c r="CFV29" s="289"/>
      <c r="CFW29" s="289"/>
      <c r="CFX29" s="289"/>
      <c r="CFY29" s="289"/>
      <c r="CFZ29" s="289"/>
      <c r="CGA29" s="289"/>
      <c r="CGB29" s="289"/>
      <c r="CGC29" s="289"/>
      <c r="CGD29" s="289"/>
      <c r="CGE29" s="289"/>
      <c r="CGF29" s="289"/>
      <c r="CGG29" s="289"/>
      <c r="CGH29" s="289"/>
      <c r="CGI29" s="289"/>
      <c r="CGJ29" s="289"/>
      <c r="CGK29" s="289"/>
      <c r="CGL29" s="289"/>
      <c r="CGM29" s="289"/>
      <c r="CGN29" s="289"/>
      <c r="CGO29" s="289"/>
      <c r="CGP29" s="289"/>
      <c r="CGQ29" s="289"/>
      <c r="CGR29" s="289"/>
      <c r="CGS29" s="289"/>
      <c r="CGT29" s="289"/>
      <c r="CGU29" s="289"/>
      <c r="CGV29" s="289"/>
      <c r="CGW29" s="289"/>
      <c r="CGX29" s="289"/>
      <c r="CGY29" s="289"/>
      <c r="CGZ29" s="289"/>
      <c r="CHA29" s="289"/>
      <c r="CHB29" s="289"/>
      <c r="CHC29" s="289"/>
      <c r="CHD29" s="289"/>
      <c r="CHE29" s="289"/>
      <c r="CHF29" s="289"/>
      <c r="CHG29" s="289"/>
      <c r="CHH29" s="289"/>
      <c r="CHI29" s="289"/>
      <c r="CHJ29" s="289"/>
      <c r="CHK29" s="289"/>
      <c r="CHL29" s="289"/>
      <c r="CHM29" s="289"/>
      <c r="CHN29" s="289"/>
      <c r="CHO29" s="289"/>
      <c r="CHP29" s="289"/>
      <c r="CHQ29" s="289"/>
      <c r="CHR29" s="289"/>
      <c r="CHS29" s="289"/>
      <c r="CHT29" s="289"/>
      <c r="CHU29" s="289"/>
      <c r="CHV29" s="289"/>
      <c r="CHW29" s="289"/>
      <c r="CHX29" s="289"/>
      <c r="CHY29" s="289"/>
      <c r="CHZ29" s="289"/>
      <c r="CIA29" s="289"/>
      <c r="CIB29" s="289"/>
      <c r="CIC29" s="289"/>
      <c r="CID29" s="289"/>
      <c r="CIE29" s="289"/>
      <c r="CIF29" s="289"/>
      <c r="CIG29" s="289"/>
      <c r="CIH29" s="289"/>
      <c r="CII29" s="289"/>
      <c r="CIJ29" s="289"/>
      <c r="CIK29" s="289"/>
      <c r="CIL29" s="289"/>
      <c r="CIM29" s="289"/>
      <c r="CIN29" s="289"/>
      <c r="CIO29" s="289"/>
      <c r="CIP29" s="289"/>
      <c r="CIQ29" s="289"/>
      <c r="CIR29" s="289"/>
      <c r="CIS29" s="289"/>
      <c r="CIT29" s="289"/>
      <c r="CIU29" s="289"/>
      <c r="CIV29" s="289"/>
      <c r="CIW29" s="289"/>
      <c r="CIX29" s="289"/>
      <c r="CIY29" s="289"/>
      <c r="CIZ29" s="289"/>
      <c r="CJA29" s="289"/>
      <c r="CJB29" s="289"/>
      <c r="CJC29" s="289"/>
      <c r="CJD29" s="289"/>
      <c r="CJE29" s="289"/>
      <c r="CJF29" s="289"/>
      <c r="CJG29" s="289"/>
      <c r="CJH29" s="289"/>
      <c r="CJI29" s="289"/>
      <c r="CJJ29" s="289"/>
      <c r="CJK29" s="289"/>
      <c r="CJL29" s="289"/>
      <c r="CJM29" s="289"/>
      <c r="CJN29" s="289"/>
      <c r="CJO29" s="289"/>
      <c r="CJP29" s="289"/>
      <c r="CJQ29" s="289"/>
      <c r="CJR29" s="289"/>
      <c r="CJS29" s="289"/>
      <c r="CJT29" s="289"/>
      <c r="CJU29" s="289"/>
      <c r="CJV29" s="289"/>
      <c r="CJW29" s="289"/>
      <c r="CJX29" s="289"/>
      <c r="CJY29" s="289"/>
      <c r="CJZ29" s="289"/>
      <c r="CKA29" s="289"/>
      <c r="CKB29" s="289"/>
      <c r="CKC29" s="289"/>
      <c r="CKD29" s="289"/>
      <c r="CKE29" s="289"/>
      <c r="CKF29" s="289"/>
      <c r="CKG29" s="289"/>
      <c r="CKH29" s="289"/>
      <c r="CKI29" s="289"/>
      <c r="CKJ29" s="289"/>
      <c r="CKK29" s="289"/>
      <c r="CKL29" s="289"/>
      <c r="CKM29" s="289"/>
      <c r="CKN29" s="289"/>
      <c r="CKO29" s="289"/>
      <c r="CKP29" s="289"/>
      <c r="CKQ29" s="289"/>
      <c r="CKR29" s="289"/>
      <c r="CKS29" s="289"/>
      <c r="CKT29" s="289"/>
      <c r="CKU29" s="289"/>
      <c r="CKV29" s="289"/>
      <c r="CKW29" s="289"/>
      <c r="CKX29" s="289"/>
      <c r="CKY29" s="289"/>
      <c r="CKZ29" s="289"/>
      <c r="CLA29" s="289"/>
      <c r="CLB29" s="289"/>
      <c r="CLC29" s="289"/>
      <c r="CLD29" s="289"/>
      <c r="CLE29" s="289"/>
      <c r="CLF29" s="289"/>
      <c r="CLG29" s="289"/>
      <c r="CLH29" s="289"/>
      <c r="CLI29" s="289"/>
      <c r="CLJ29" s="289"/>
      <c r="CLK29" s="289"/>
      <c r="CLL29" s="289"/>
      <c r="CLM29" s="289"/>
      <c r="CLN29" s="289"/>
      <c r="CLO29" s="289"/>
      <c r="CLP29" s="289"/>
      <c r="CLQ29" s="289"/>
      <c r="CLR29" s="289"/>
      <c r="CLS29" s="289"/>
      <c r="CLT29" s="289"/>
      <c r="CLU29" s="289"/>
      <c r="CLV29" s="289"/>
      <c r="CLW29" s="289"/>
      <c r="CLX29" s="289"/>
      <c r="CLY29" s="289"/>
      <c r="CLZ29" s="289"/>
      <c r="CMA29" s="289"/>
      <c r="CMB29" s="289"/>
      <c r="CMC29" s="289"/>
      <c r="CMD29" s="289"/>
      <c r="CME29" s="289"/>
      <c r="CMF29" s="289"/>
      <c r="CMG29" s="289"/>
      <c r="CMH29" s="289"/>
      <c r="CMI29" s="289"/>
      <c r="CMJ29" s="289"/>
      <c r="CMK29" s="289"/>
      <c r="CML29" s="289"/>
      <c r="CMM29" s="289"/>
      <c r="CMN29" s="289"/>
      <c r="CMO29" s="289"/>
      <c r="CMP29" s="289"/>
      <c r="CMQ29" s="289"/>
      <c r="CMR29" s="289"/>
      <c r="CMS29" s="289"/>
      <c r="CMT29" s="289"/>
      <c r="CMU29" s="289"/>
      <c r="CMV29" s="289"/>
      <c r="CMW29" s="289"/>
      <c r="CMX29" s="289"/>
      <c r="CMY29" s="289"/>
      <c r="CMZ29" s="289"/>
      <c r="CNA29" s="289"/>
      <c r="CNB29" s="289"/>
      <c r="CNC29" s="289"/>
      <c r="CND29" s="289"/>
      <c r="CNE29" s="289"/>
      <c r="CNF29" s="289"/>
      <c r="CNG29" s="289"/>
      <c r="CNH29" s="289"/>
      <c r="CNI29" s="289"/>
      <c r="CNJ29" s="289"/>
      <c r="CNK29" s="289"/>
      <c r="CNL29" s="289"/>
      <c r="CNM29" s="289"/>
      <c r="CNN29" s="289"/>
      <c r="CNO29" s="289"/>
      <c r="CNP29" s="289"/>
      <c r="CNQ29" s="289"/>
      <c r="CNR29" s="289"/>
      <c r="CNS29" s="289"/>
      <c r="CNT29" s="289"/>
      <c r="CNU29" s="289"/>
      <c r="CNV29" s="289"/>
      <c r="CNW29" s="289"/>
      <c r="CNX29" s="289"/>
      <c r="CNY29" s="289"/>
      <c r="CNZ29" s="289"/>
      <c r="COA29" s="289"/>
      <c r="COB29" s="289"/>
      <c r="COC29" s="289"/>
      <c r="COD29" s="289"/>
      <c r="COE29" s="289"/>
      <c r="COF29" s="289"/>
      <c r="COG29" s="289"/>
      <c r="COH29" s="289"/>
      <c r="COI29" s="289"/>
      <c r="COJ29" s="289"/>
      <c r="COK29" s="289"/>
      <c r="COL29" s="289"/>
      <c r="COM29" s="289"/>
      <c r="CON29" s="289"/>
      <c r="COO29" s="289"/>
      <c r="COP29" s="289"/>
      <c r="COQ29" s="289"/>
      <c r="COR29" s="289"/>
      <c r="COS29" s="289"/>
      <c r="COT29" s="289"/>
      <c r="COU29" s="289"/>
      <c r="COV29" s="289"/>
      <c r="COW29" s="289"/>
      <c r="COX29" s="289"/>
      <c r="COY29" s="289"/>
      <c r="COZ29" s="289"/>
      <c r="CPA29" s="289"/>
      <c r="CPB29" s="289"/>
      <c r="CPC29" s="289"/>
      <c r="CPD29" s="289"/>
      <c r="CPE29" s="289"/>
      <c r="CPF29" s="289"/>
      <c r="CPG29" s="289"/>
      <c r="CPH29" s="289"/>
      <c r="CPI29" s="289"/>
      <c r="CPJ29" s="289"/>
      <c r="CPK29" s="289"/>
      <c r="CPL29" s="289"/>
      <c r="CPM29" s="289"/>
      <c r="CPN29" s="289"/>
      <c r="CPO29" s="289"/>
      <c r="CPP29" s="289"/>
      <c r="CPQ29" s="289"/>
      <c r="CPR29" s="289"/>
      <c r="CPS29" s="289"/>
      <c r="CPT29" s="289"/>
      <c r="CPU29" s="289"/>
      <c r="CPV29" s="289"/>
      <c r="CPW29" s="289"/>
      <c r="CPX29" s="289"/>
      <c r="CPY29" s="289"/>
      <c r="CPZ29" s="289"/>
      <c r="CQA29" s="289"/>
      <c r="CQB29" s="289"/>
      <c r="CQC29" s="289"/>
      <c r="CQD29" s="289"/>
      <c r="CQE29" s="289"/>
      <c r="CQF29" s="289"/>
      <c r="CQG29" s="289"/>
      <c r="CQH29" s="289"/>
      <c r="CQI29" s="289"/>
      <c r="CQJ29" s="289"/>
      <c r="CQK29" s="289"/>
      <c r="CQL29" s="289"/>
      <c r="CQM29" s="289"/>
      <c r="CQN29" s="289"/>
      <c r="CQO29" s="289"/>
      <c r="CQP29" s="289"/>
      <c r="CQQ29" s="289"/>
      <c r="CQR29" s="289"/>
      <c r="CQS29" s="289"/>
      <c r="CQT29" s="289"/>
      <c r="CQU29" s="289"/>
      <c r="CQV29" s="289"/>
      <c r="CQW29" s="289"/>
      <c r="CQX29" s="289"/>
      <c r="CQY29" s="289"/>
      <c r="CQZ29" s="289"/>
      <c r="CRA29" s="289"/>
      <c r="CRB29" s="289"/>
      <c r="CRC29" s="289"/>
      <c r="CRD29" s="289"/>
      <c r="CRE29" s="289"/>
      <c r="CRF29" s="289"/>
      <c r="CRG29" s="289"/>
      <c r="CRH29" s="289"/>
      <c r="CRI29" s="289"/>
      <c r="CRJ29" s="289"/>
      <c r="CRK29" s="289"/>
      <c r="CRL29" s="289"/>
      <c r="CRM29" s="289"/>
      <c r="CRN29" s="289"/>
      <c r="CRO29" s="289"/>
      <c r="CRP29" s="289"/>
      <c r="CRQ29" s="289"/>
      <c r="CRR29" s="289"/>
      <c r="CRS29" s="289"/>
      <c r="CRT29" s="289"/>
      <c r="CRU29" s="289"/>
      <c r="CRV29" s="289"/>
      <c r="CRW29" s="289"/>
      <c r="CRX29" s="289"/>
      <c r="CRY29" s="289"/>
      <c r="CRZ29" s="289"/>
      <c r="CSA29" s="289"/>
      <c r="CSB29" s="289"/>
      <c r="CSC29" s="289"/>
      <c r="CSD29" s="289"/>
      <c r="CSE29" s="289"/>
      <c r="CSF29" s="289"/>
      <c r="CSG29" s="289"/>
      <c r="CSH29" s="289"/>
      <c r="CSI29" s="289"/>
      <c r="CSJ29" s="289"/>
      <c r="CSK29" s="289"/>
      <c r="CSL29" s="289"/>
      <c r="CSM29" s="289"/>
      <c r="CSN29" s="289"/>
      <c r="CSO29" s="289"/>
      <c r="CSP29" s="289"/>
      <c r="CSQ29" s="289"/>
      <c r="CSR29" s="289"/>
      <c r="CSS29" s="289"/>
      <c r="CST29" s="289"/>
      <c r="CSU29" s="289"/>
      <c r="CSV29" s="289"/>
      <c r="CSW29" s="289"/>
      <c r="CSX29" s="289"/>
      <c r="CSY29" s="289"/>
      <c r="CSZ29" s="289"/>
      <c r="CTA29" s="289"/>
      <c r="CTB29" s="289"/>
      <c r="CTC29" s="289"/>
      <c r="CTD29" s="289"/>
      <c r="CTE29" s="289"/>
      <c r="CTF29" s="289"/>
      <c r="CTG29" s="289"/>
      <c r="CTH29" s="289"/>
      <c r="CTI29" s="289"/>
      <c r="CTJ29" s="289"/>
      <c r="CTK29" s="289"/>
      <c r="CTL29" s="289"/>
      <c r="CTM29" s="289"/>
      <c r="CTN29" s="289"/>
      <c r="CTO29" s="289"/>
      <c r="CTP29" s="289"/>
      <c r="CTQ29" s="289"/>
      <c r="CTR29" s="289"/>
      <c r="CTS29" s="289"/>
      <c r="CTT29" s="289"/>
      <c r="CTU29" s="289"/>
      <c r="CTV29" s="289"/>
      <c r="CTW29" s="289"/>
      <c r="CTX29" s="289"/>
      <c r="CTY29" s="289"/>
      <c r="CTZ29" s="289"/>
      <c r="CUA29" s="289"/>
      <c r="CUB29" s="289"/>
      <c r="CUC29" s="289"/>
      <c r="CUD29" s="289"/>
      <c r="CUE29" s="289"/>
      <c r="CUF29" s="289"/>
      <c r="CUG29" s="289"/>
      <c r="CUH29" s="289"/>
      <c r="CUI29" s="289"/>
      <c r="CUJ29" s="289"/>
      <c r="CUK29" s="289"/>
      <c r="CUL29" s="289"/>
      <c r="CUM29" s="289"/>
      <c r="CUN29" s="289"/>
      <c r="CUO29" s="289"/>
      <c r="CUP29" s="289"/>
      <c r="CUQ29" s="289"/>
      <c r="CUR29" s="289"/>
      <c r="CUS29" s="289"/>
      <c r="CUT29" s="289"/>
      <c r="CUU29" s="289"/>
      <c r="CUV29" s="289"/>
      <c r="CUW29" s="289"/>
      <c r="CUX29" s="289"/>
      <c r="CUY29" s="289"/>
      <c r="CUZ29" s="289"/>
      <c r="CVA29" s="289"/>
      <c r="CVB29" s="289"/>
      <c r="CVC29" s="289"/>
      <c r="CVD29" s="289"/>
      <c r="CVE29" s="289"/>
      <c r="CVF29" s="289"/>
      <c r="CVG29" s="289"/>
      <c r="CVH29" s="289"/>
      <c r="CVI29" s="289"/>
      <c r="CVJ29" s="289"/>
      <c r="CVK29" s="289"/>
      <c r="CVL29" s="289"/>
      <c r="CVM29" s="289"/>
      <c r="CVN29" s="289"/>
      <c r="CVO29" s="289"/>
      <c r="CVP29" s="289"/>
      <c r="CVQ29" s="289"/>
      <c r="CVR29" s="289"/>
      <c r="CVS29" s="289"/>
      <c r="CVT29" s="289"/>
      <c r="CVU29" s="289"/>
      <c r="CVV29" s="289"/>
      <c r="CVW29" s="289"/>
      <c r="CVX29" s="289"/>
      <c r="CVY29" s="289"/>
      <c r="CVZ29" s="289"/>
      <c r="CWA29" s="289"/>
      <c r="CWB29" s="289"/>
      <c r="CWC29" s="289"/>
      <c r="CWD29" s="289"/>
      <c r="CWE29" s="289"/>
      <c r="CWF29" s="289"/>
      <c r="CWG29" s="289"/>
      <c r="CWH29" s="289"/>
      <c r="CWI29" s="289"/>
      <c r="CWJ29" s="289"/>
      <c r="CWK29" s="289"/>
      <c r="CWL29" s="289"/>
      <c r="CWM29" s="289"/>
      <c r="CWN29" s="289"/>
      <c r="CWO29" s="289"/>
      <c r="CWP29" s="289"/>
      <c r="CWQ29" s="289"/>
      <c r="CWR29" s="289"/>
      <c r="CWS29" s="289"/>
      <c r="CWT29" s="289"/>
      <c r="CWU29" s="289"/>
      <c r="CWV29" s="289"/>
      <c r="CWW29" s="289"/>
      <c r="CWX29" s="289"/>
      <c r="CWY29" s="289"/>
      <c r="CWZ29" s="289"/>
      <c r="CXA29" s="289"/>
      <c r="CXB29" s="289"/>
      <c r="CXC29" s="289"/>
      <c r="CXD29" s="289"/>
      <c r="CXE29" s="289"/>
      <c r="CXF29" s="289"/>
      <c r="CXG29" s="289"/>
      <c r="CXH29" s="289"/>
      <c r="CXI29" s="289"/>
      <c r="CXJ29" s="289"/>
      <c r="CXK29" s="289"/>
      <c r="CXL29" s="289"/>
      <c r="CXM29" s="289"/>
      <c r="CXN29" s="289"/>
      <c r="CXO29" s="289"/>
      <c r="CXP29" s="289"/>
      <c r="CXQ29" s="289"/>
      <c r="CXR29" s="289"/>
      <c r="CXS29" s="289"/>
      <c r="CXT29" s="289"/>
      <c r="CXU29" s="289"/>
      <c r="CXV29" s="289"/>
      <c r="CXW29" s="289"/>
      <c r="CXX29" s="289"/>
      <c r="CXY29" s="289"/>
      <c r="CXZ29" s="289"/>
      <c r="CYA29" s="289"/>
      <c r="CYB29" s="289"/>
      <c r="CYC29" s="289"/>
      <c r="CYD29" s="289"/>
      <c r="CYE29" s="289"/>
      <c r="CYF29" s="289"/>
      <c r="CYG29" s="289"/>
      <c r="CYH29" s="289"/>
      <c r="CYI29" s="289"/>
      <c r="CYJ29" s="289"/>
      <c r="CYK29" s="289"/>
      <c r="CYL29" s="289"/>
      <c r="CYM29" s="289"/>
      <c r="CYN29" s="289"/>
      <c r="CYO29" s="289"/>
      <c r="CYP29" s="289"/>
      <c r="CYQ29" s="289"/>
      <c r="CYR29" s="289"/>
      <c r="CYS29" s="289"/>
      <c r="CYT29" s="289"/>
      <c r="CYU29" s="289"/>
      <c r="CYV29" s="289"/>
      <c r="CYW29" s="289"/>
      <c r="CYX29" s="289"/>
      <c r="CYY29" s="289"/>
      <c r="CYZ29" s="289"/>
      <c r="CZA29" s="289"/>
      <c r="CZB29" s="289"/>
      <c r="CZC29" s="289"/>
      <c r="CZD29" s="289"/>
      <c r="CZE29" s="289"/>
      <c r="CZF29" s="289"/>
      <c r="CZG29" s="289"/>
      <c r="CZH29" s="289"/>
      <c r="CZI29" s="289"/>
      <c r="CZJ29" s="289"/>
      <c r="CZK29" s="289"/>
      <c r="CZL29" s="289"/>
      <c r="CZM29" s="289"/>
      <c r="CZN29" s="289"/>
      <c r="CZO29" s="289"/>
      <c r="CZP29" s="289"/>
      <c r="CZQ29" s="289"/>
      <c r="CZR29" s="289"/>
      <c r="CZS29" s="289"/>
      <c r="CZT29" s="289"/>
      <c r="CZU29" s="289"/>
      <c r="CZV29" s="289"/>
      <c r="CZW29" s="289"/>
      <c r="CZX29" s="289"/>
      <c r="CZY29" s="289"/>
      <c r="CZZ29" s="289"/>
      <c r="DAA29" s="289"/>
      <c r="DAB29" s="289"/>
      <c r="DAC29" s="289"/>
      <c r="DAD29" s="289"/>
      <c r="DAE29" s="289"/>
      <c r="DAF29" s="289"/>
      <c r="DAG29" s="289"/>
      <c r="DAH29" s="289"/>
      <c r="DAI29" s="289"/>
      <c r="DAJ29" s="289"/>
      <c r="DAK29" s="289"/>
      <c r="DAL29" s="289"/>
      <c r="DAM29" s="289"/>
      <c r="DAN29" s="289"/>
      <c r="DAO29" s="289"/>
      <c r="DAP29" s="289"/>
      <c r="DAQ29" s="289"/>
      <c r="DAR29" s="289"/>
      <c r="DAS29" s="289"/>
      <c r="DAT29" s="289"/>
      <c r="DAU29" s="289"/>
      <c r="DAV29" s="289"/>
      <c r="DAW29" s="289"/>
      <c r="DAX29" s="289"/>
      <c r="DAY29" s="289"/>
      <c r="DAZ29" s="289"/>
      <c r="DBA29" s="289"/>
      <c r="DBB29" s="289"/>
      <c r="DBC29" s="289"/>
      <c r="DBD29" s="289"/>
      <c r="DBE29" s="289"/>
      <c r="DBF29" s="289"/>
      <c r="DBG29" s="289"/>
      <c r="DBH29" s="289"/>
      <c r="DBI29" s="289"/>
      <c r="DBJ29" s="289"/>
      <c r="DBK29" s="289"/>
      <c r="DBL29" s="289"/>
      <c r="DBM29" s="289"/>
      <c r="DBN29" s="289"/>
      <c r="DBO29" s="289"/>
      <c r="DBP29" s="289"/>
      <c r="DBQ29" s="289"/>
      <c r="DBR29" s="289"/>
      <c r="DBS29" s="289"/>
      <c r="DBT29" s="289"/>
      <c r="DBU29" s="289"/>
      <c r="DBV29" s="289"/>
      <c r="DBW29" s="289"/>
      <c r="DBX29" s="289"/>
      <c r="DBY29" s="289"/>
      <c r="DBZ29" s="289"/>
      <c r="DCA29" s="289"/>
      <c r="DCB29" s="289"/>
      <c r="DCC29" s="289"/>
      <c r="DCD29" s="289"/>
      <c r="DCE29" s="289"/>
      <c r="DCF29" s="289"/>
      <c r="DCG29" s="289"/>
      <c r="DCH29" s="289"/>
      <c r="DCI29" s="289"/>
      <c r="DCJ29" s="289"/>
      <c r="DCK29" s="289"/>
      <c r="DCL29" s="289"/>
      <c r="DCM29" s="289"/>
      <c r="DCN29" s="289"/>
      <c r="DCO29" s="289"/>
      <c r="DCP29" s="289"/>
      <c r="DCQ29" s="289"/>
      <c r="DCR29" s="289"/>
      <c r="DCS29" s="289"/>
      <c r="DCT29" s="289"/>
      <c r="DCU29" s="289"/>
      <c r="DCV29" s="289"/>
      <c r="DCW29" s="289"/>
      <c r="DCX29" s="289"/>
      <c r="DCY29" s="289"/>
      <c r="DCZ29" s="289"/>
      <c r="DDA29" s="289"/>
      <c r="DDB29" s="289"/>
      <c r="DDC29" s="289"/>
      <c r="DDD29" s="289"/>
      <c r="DDE29" s="289"/>
      <c r="DDF29" s="289"/>
      <c r="DDG29" s="289"/>
      <c r="DDH29" s="289"/>
      <c r="DDI29" s="289"/>
      <c r="DDJ29" s="289"/>
      <c r="DDK29" s="289"/>
      <c r="DDL29" s="289"/>
      <c r="DDM29" s="289"/>
      <c r="DDN29" s="289"/>
      <c r="DDO29" s="289"/>
      <c r="DDP29" s="289"/>
      <c r="DDQ29" s="289"/>
      <c r="DDR29" s="289"/>
      <c r="DDS29" s="289"/>
      <c r="DDT29" s="289"/>
      <c r="DDU29" s="289"/>
      <c r="DDV29" s="289"/>
      <c r="DDW29" s="289"/>
      <c r="DDX29" s="289"/>
      <c r="DDY29" s="289"/>
      <c r="DDZ29" s="289"/>
      <c r="DEA29" s="289"/>
      <c r="DEB29" s="289"/>
      <c r="DEC29" s="289"/>
      <c r="DED29" s="289"/>
      <c r="DEE29" s="289"/>
      <c r="DEF29" s="289"/>
      <c r="DEG29" s="289"/>
      <c r="DEH29" s="289"/>
      <c r="DEI29" s="289"/>
      <c r="DEJ29" s="289"/>
      <c r="DEK29" s="289"/>
      <c r="DEL29" s="289"/>
      <c r="DEM29" s="289"/>
      <c r="DEN29" s="289"/>
      <c r="DEO29" s="289"/>
      <c r="DEP29" s="289"/>
      <c r="DEQ29" s="289"/>
      <c r="DER29" s="289"/>
      <c r="DES29" s="289"/>
      <c r="DET29" s="289"/>
      <c r="DEU29" s="289"/>
      <c r="DEV29" s="289"/>
      <c r="DEW29" s="289"/>
      <c r="DEX29" s="289"/>
      <c r="DEY29" s="289"/>
      <c r="DEZ29" s="289"/>
      <c r="DFA29" s="289"/>
      <c r="DFB29" s="289"/>
      <c r="DFC29" s="289"/>
      <c r="DFD29" s="289"/>
      <c r="DFE29" s="289"/>
      <c r="DFF29" s="289"/>
      <c r="DFG29" s="289"/>
      <c r="DFH29" s="289"/>
      <c r="DFI29" s="289"/>
      <c r="DFJ29" s="289"/>
      <c r="DFK29" s="289"/>
      <c r="DFL29" s="289"/>
      <c r="DFM29" s="289"/>
      <c r="DFN29" s="289"/>
      <c r="DFO29" s="289"/>
      <c r="DFP29" s="289"/>
      <c r="DFQ29" s="289"/>
      <c r="DFR29" s="289"/>
      <c r="DFS29" s="289"/>
      <c r="DFT29" s="289"/>
      <c r="DFU29" s="289"/>
      <c r="DFV29" s="289"/>
      <c r="DFW29" s="289"/>
      <c r="DFX29" s="289"/>
      <c r="DFY29" s="289"/>
      <c r="DFZ29" s="289"/>
      <c r="DGA29" s="289"/>
      <c r="DGB29" s="289"/>
      <c r="DGC29" s="289"/>
      <c r="DGD29" s="289"/>
      <c r="DGE29" s="289"/>
      <c r="DGF29" s="289"/>
      <c r="DGG29" s="289"/>
      <c r="DGH29" s="289"/>
      <c r="DGI29" s="289"/>
      <c r="DGJ29" s="289"/>
      <c r="DGK29" s="289"/>
      <c r="DGL29" s="289"/>
      <c r="DGM29" s="289"/>
      <c r="DGN29" s="289"/>
      <c r="DGO29" s="289"/>
      <c r="DGP29" s="289"/>
      <c r="DGQ29" s="289"/>
      <c r="DGR29" s="289"/>
      <c r="DGS29" s="289"/>
      <c r="DGT29" s="289"/>
      <c r="DGU29" s="289"/>
      <c r="DGV29" s="289"/>
      <c r="DGW29" s="289"/>
      <c r="DGX29" s="289"/>
      <c r="DGY29" s="289"/>
      <c r="DGZ29" s="289"/>
      <c r="DHA29" s="289"/>
      <c r="DHB29" s="289"/>
      <c r="DHC29" s="289"/>
      <c r="DHD29" s="289"/>
      <c r="DHE29" s="289"/>
      <c r="DHF29" s="289"/>
      <c r="DHG29" s="289"/>
      <c r="DHH29" s="289"/>
      <c r="DHI29" s="289"/>
      <c r="DHJ29" s="289"/>
      <c r="DHK29" s="289"/>
      <c r="DHL29" s="289"/>
      <c r="DHM29" s="289"/>
      <c r="DHN29" s="289"/>
      <c r="DHO29" s="289"/>
      <c r="DHP29" s="289"/>
      <c r="DHQ29" s="289"/>
      <c r="DHR29" s="289"/>
      <c r="DHS29" s="289"/>
      <c r="DHT29" s="289"/>
      <c r="DHU29" s="289"/>
      <c r="DHV29" s="289"/>
      <c r="DHW29" s="289"/>
      <c r="DHX29" s="289"/>
      <c r="DHY29" s="289"/>
      <c r="DHZ29" s="289"/>
      <c r="DIA29" s="289"/>
      <c r="DIB29" s="289"/>
      <c r="DIC29" s="289"/>
      <c r="DID29" s="289"/>
      <c r="DIE29" s="289"/>
      <c r="DIF29" s="289"/>
      <c r="DIG29" s="289"/>
      <c r="DIH29" s="289"/>
      <c r="DII29" s="289"/>
      <c r="DIJ29" s="289"/>
      <c r="DIK29" s="289"/>
      <c r="DIL29" s="289"/>
      <c r="DIM29" s="289"/>
      <c r="DIN29" s="289"/>
      <c r="DIO29" s="289"/>
      <c r="DIP29" s="289"/>
      <c r="DIQ29" s="289"/>
      <c r="DIR29" s="289"/>
      <c r="DIS29" s="289"/>
      <c r="DIT29" s="289"/>
      <c r="DIU29" s="289"/>
      <c r="DIV29" s="289"/>
      <c r="DIW29" s="289"/>
      <c r="DIX29" s="289"/>
      <c r="DIY29" s="289"/>
      <c r="DIZ29" s="289"/>
      <c r="DJA29" s="289"/>
      <c r="DJB29" s="289"/>
      <c r="DJC29" s="289"/>
      <c r="DJD29" s="289"/>
      <c r="DJE29" s="289"/>
      <c r="DJF29" s="289"/>
      <c r="DJG29" s="289"/>
      <c r="DJH29" s="289"/>
      <c r="DJI29" s="289"/>
      <c r="DJJ29" s="289"/>
      <c r="DJK29" s="289"/>
      <c r="DJL29" s="289"/>
      <c r="DJM29" s="289"/>
      <c r="DJN29" s="289"/>
      <c r="DJO29" s="289"/>
      <c r="DJP29" s="289"/>
      <c r="DJQ29" s="289"/>
      <c r="DJR29" s="289"/>
      <c r="DJS29" s="289"/>
      <c r="DJT29" s="289"/>
      <c r="DJU29" s="289"/>
      <c r="DJV29" s="289"/>
      <c r="DJW29" s="289"/>
      <c r="DJX29" s="289"/>
      <c r="DJY29" s="289"/>
      <c r="DJZ29" s="289"/>
      <c r="DKA29" s="289"/>
      <c r="DKB29" s="289"/>
      <c r="DKC29" s="289"/>
      <c r="DKD29" s="289"/>
      <c r="DKE29" s="289"/>
      <c r="DKF29" s="289"/>
      <c r="DKG29" s="289"/>
      <c r="DKH29" s="289"/>
      <c r="DKI29" s="289"/>
      <c r="DKJ29" s="289"/>
      <c r="DKK29" s="289"/>
      <c r="DKL29" s="289"/>
      <c r="DKM29" s="289"/>
      <c r="DKN29" s="289"/>
      <c r="DKO29" s="289"/>
      <c r="DKP29" s="289"/>
      <c r="DKQ29" s="289"/>
      <c r="DKR29" s="289"/>
      <c r="DKS29" s="289"/>
      <c r="DKT29" s="289"/>
      <c r="DKU29" s="289"/>
      <c r="DKV29" s="289"/>
      <c r="DKW29" s="289"/>
      <c r="DKX29" s="289"/>
      <c r="DKY29" s="289"/>
      <c r="DKZ29" s="289"/>
      <c r="DLA29" s="289"/>
      <c r="DLB29" s="289"/>
      <c r="DLC29" s="289"/>
      <c r="DLD29" s="289"/>
      <c r="DLE29" s="289"/>
      <c r="DLF29" s="289"/>
      <c r="DLG29" s="289"/>
      <c r="DLH29" s="289"/>
      <c r="DLI29" s="289"/>
      <c r="DLJ29" s="289"/>
      <c r="DLK29" s="289"/>
      <c r="DLL29" s="289"/>
      <c r="DLM29" s="289"/>
      <c r="DLN29" s="289"/>
      <c r="DLO29" s="289"/>
      <c r="DLP29" s="289"/>
      <c r="DLQ29" s="289"/>
      <c r="DLR29" s="289"/>
      <c r="DLS29" s="289"/>
      <c r="DLT29" s="289"/>
      <c r="DLU29" s="289"/>
      <c r="DLV29" s="289"/>
      <c r="DLW29" s="289"/>
      <c r="DLX29" s="289"/>
      <c r="DLY29" s="289"/>
      <c r="DLZ29" s="289"/>
      <c r="DMA29" s="289"/>
      <c r="DMB29" s="289"/>
      <c r="DMC29" s="289"/>
      <c r="DMD29" s="289"/>
      <c r="DME29" s="289"/>
      <c r="DMF29" s="289"/>
      <c r="DMG29" s="289"/>
      <c r="DMH29" s="289"/>
      <c r="DMI29" s="289"/>
      <c r="DMJ29" s="289"/>
      <c r="DMK29" s="289"/>
      <c r="DML29" s="289"/>
      <c r="DMM29" s="289"/>
      <c r="DMN29" s="289"/>
      <c r="DMO29" s="289"/>
      <c r="DMP29" s="289"/>
      <c r="DMQ29" s="289"/>
      <c r="DMR29" s="289"/>
      <c r="DMS29" s="289"/>
      <c r="DMT29" s="289"/>
      <c r="DMU29" s="289"/>
      <c r="DMV29" s="289"/>
      <c r="DMW29" s="289"/>
      <c r="DMX29" s="289"/>
      <c r="DMY29" s="289"/>
      <c r="DMZ29" s="289"/>
      <c r="DNA29" s="289"/>
      <c r="DNB29" s="289"/>
      <c r="DNC29" s="289"/>
      <c r="DND29" s="289"/>
      <c r="DNE29" s="289"/>
      <c r="DNF29" s="289"/>
      <c r="DNG29" s="289"/>
      <c r="DNH29" s="289"/>
      <c r="DNI29" s="289"/>
      <c r="DNJ29" s="289"/>
      <c r="DNK29" s="289"/>
      <c r="DNL29" s="289"/>
      <c r="DNM29" s="289"/>
      <c r="DNN29" s="289"/>
      <c r="DNO29" s="289"/>
      <c r="DNP29" s="289"/>
      <c r="DNQ29" s="289"/>
      <c r="DNR29" s="289"/>
      <c r="DNS29" s="289"/>
      <c r="DNT29" s="289"/>
      <c r="DNU29" s="289"/>
      <c r="DNV29" s="289"/>
      <c r="DNW29" s="289"/>
      <c r="DNX29" s="289"/>
      <c r="DNY29" s="289"/>
      <c r="DNZ29" s="289"/>
      <c r="DOA29" s="289"/>
      <c r="DOB29" s="289"/>
      <c r="DOC29" s="289"/>
      <c r="DOD29" s="289"/>
      <c r="DOE29" s="289"/>
      <c r="DOF29" s="289"/>
      <c r="DOG29" s="289"/>
      <c r="DOH29" s="289"/>
      <c r="DOI29" s="289"/>
      <c r="DOJ29" s="289"/>
      <c r="DOK29" s="289"/>
      <c r="DOL29" s="289"/>
      <c r="DOM29" s="289"/>
      <c r="DON29" s="289"/>
      <c r="DOO29" s="289"/>
      <c r="DOP29" s="289"/>
      <c r="DOQ29" s="289"/>
      <c r="DOR29" s="289"/>
      <c r="DOS29" s="289"/>
      <c r="DOT29" s="289"/>
      <c r="DOU29" s="289"/>
      <c r="DOV29" s="289"/>
      <c r="DOW29" s="289"/>
      <c r="DOX29" s="289"/>
      <c r="DOY29" s="289"/>
      <c r="DOZ29" s="289"/>
      <c r="DPA29" s="289"/>
      <c r="DPB29" s="289"/>
      <c r="DPC29" s="289"/>
      <c r="DPD29" s="289"/>
      <c r="DPE29" s="289"/>
      <c r="DPF29" s="289"/>
      <c r="DPG29" s="289"/>
      <c r="DPH29" s="289"/>
      <c r="DPI29" s="289"/>
      <c r="DPJ29" s="289"/>
      <c r="DPK29" s="289"/>
      <c r="DPL29" s="289"/>
      <c r="DPM29" s="289"/>
      <c r="DPN29" s="289"/>
      <c r="DPO29" s="289"/>
      <c r="DPP29" s="289"/>
      <c r="DPQ29" s="289"/>
      <c r="DPR29" s="289"/>
      <c r="DPS29" s="289"/>
      <c r="DPT29" s="289"/>
      <c r="DPU29" s="289"/>
      <c r="DPV29" s="289"/>
      <c r="DPW29" s="289"/>
      <c r="DPX29" s="289"/>
      <c r="DPY29" s="289"/>
      <c r="DPZ29" s="289"/>
      <c r="DQA29" s="289"/>
      <c r="DQB29" s="289"/>
      <c r="DQC29" s="289"/>
      <c r="DQD29" s="289"/>
      <c r="DQE29" s="289"/>
      <c r="DQF29" s="289"/>
      <c r="DQG29" s="289"/>
      <c r="DQH29" s="289"/>
      <c r="DQI29" s="289"/>
      <c r="DQJ29" s="289"/>
      <c r="DQK29" s="289"/>
      <c r="DQL29" s="289"/>
      <c r="DQM29" s="289"/>
      <c r="DQN29" s="289"/>
      <c r="DQO29" s="289"/>
      <c r="DQP29" s="289"/>
      <c r="DQQ29" s="289"/>
      <c r="DQR29" s="289"/>
      <c r="DQS29" s="289"/>
      <c r="DQT29" s="289"/>
      <c r="DQU29" s="289"/>
      <c r="DQV29" s="289"/>
      <c r="DQW29" s="289"/>
      <c r="DQX29" s="289"/>
      <c r="DQY29" s="289"/>
      <c r="DQZ29" s="289"/>
      <c r="DRA29" s="289"/>
      <c r="DRB29" s="289"/>
      <c r="DRC29" s="289"/>
      <c r="DRD29" s="289"/>
      <c r="DRE29" s="289"/>
      <c r="DRF29" s="289"/>
      <c r="DRG29" s="289"/>
      <c r="DRH29" s="289"/>
      <c r="DRI29" s="289"/>
      <c r="DRJ29" s="289"/>
      <c r="DRK29" s="289"/>
      <c r="DRL29" s="289"/>
      <c r="DRM29" s="289"/>
      <c r="DRN29" s="289"/>
      <c r="DRO29" s="289"/>
      <c r="DRP29" s="289"/>
      <c r="DRQ29" s="289"/>
      <c r="DRR29" s="289"/>
      <c r="DRS29" s="289"/>
      <c r="DRT29" s="289"/>
      <c r="DRU29" s="289"/>
      <c r="DRV29" s="289"/>
      <c r="DRW29" s="289"/>
      <c r="DRX29" s="289"/>
      <c r="DRY29" s="289"/>
      <c r="DRZ29" s="289"/>
      <c r="DSA29" s="289"/>
      <c r="DSB29" s="289"/>
      <c r="DSC29" s="289"/>
      <c r="DSD29" s="289"/>
      <c r="DSE29" s="289"/>
      <c r="DSF29" s="289"/>
      <c r="DSG29" s="289"/>
      <c r="DSH29" s="289"/>
      <c r="DSI29" s="289"/>
      <c r="DSJ29" s="289"/>
      <c r="DSK29" s="289"/>
      <c r="DSL29" s="289"/>
      <c r="DSM29" s="289"/>
      <c r="DSN29" s="289"/>
      <c r="DSO29" s="289"/>
      <c r="DSP29" s="289"/>
      <c r="DSQ29" s="289"/>
      <c r="DSR29" s="289"/>
      <c r="DSS29" s="289"/>
      <c r="DST29" s="289"/>
      <c r="DSU29" s="289"/>
      <c r="DSV29" s="289"/>
      <c r="DSW29" s="289"/>
      <c r="DSX29" s="289"/>
      <c r="DSY29" s="289"/>
      <c r="DSZ29" s="289"/>
      <c r="DTA29" s="289"/>
      <c r="DTB29" s="289"/>
      <c r="DTC29" s="289"/>
      <c r="DTD29" s="289"/>
      <c r="DTE29" s="289"/>
      <c r="DTF29" s="289"/>
      <c r="DTG29" s="289"/>
      <c r="DTH29" s="289"/>
      <c r="DTI29" s="289"/>
      <c r="DTJ29" s="289"/>
      <c r="DTK29" s="289"/>
      <c r="DTL29" s="289"/>
      <c r="DTM29" s="289"/>
      <c r="DTN29" s="289"/>
      <c r="DTO29" s="289"/>
      <c r="DTP29" s="289"/>
      <c r="DTQ29" s="289"/>
      <c r="DTR29" s="289"/>
      <c r="DTS29" s="289"/>
      <c r="DTT29" s="289"/>
      <c r="DTU29" s="289"/>
      <c r="DTV29" s="289"/>
      <c r="DTW29" s="289"/>
      <c r="DTX29" s="289"/>
      <c r="DTY29" s="289"/>
      <c r="DTZ29" s="289"/>
      <c r="DUA29" s="289"/>
      <c r="DUB29" s="289"/>
      <c r="DUC29" s="289"/>
      <c r="DUD29" s="289"/>
      <c r="DUE29" s="289"/>
      <c r="DUF29" s="289"/>
      <c r="DUG29" s="289"/>
      <c r="DUH29" s="289"/>
      <c r="DUI29" s="289"/>
      <c r="DUJ29" s="289"/>
      <c r="DUK29" s="289"/>
      <c r="DUL29" s="289"/>
      <c r="DUM29" s="289"/>
      <c r="DUN29" s="289"/>
      <c r="DUO29" s="289"/>
      <c r="DUP29" s="289"/>
      <c r="DUQ29" s="289"/>
      <c r="DUR29" s="289"/>
      <c r="DUS29" s="289"/>
      <c r="DUT29" s="289"/>
      <c r="DUU29" s="289"/>
      <c r="DUV29" s="289"/>
      <c r="DUW29" s="289"/>
      <c r="DUX29" s="289"/>
      <c r="DUY29" s="289"/>
      <c r="DUZ29" s="289"/>
      <c r="DVA29" s="289"/>
      <c r="DVB29" s="289"/>
      <c r="DVC29" s="289"/>
      <c r="DVD29" s="289"/>
      <c r="DVE29" s="289"/>
      <c r="DVF29" s="289"/>
      <c r="DVG29" s="289"/>
      <c r="DVH29" s="289"/>
      <c r="DVI29" s="289"/>
      <c r="DVJ29" s="289"/>
      <c r="DVK29" s="289"/>
      <c r="DVL29" s="289"/>
      <c r="DVM29" s="289"/>
      <c r="DVN29" s="289"/>
      <c r="DVO29" s="289"/>
      <c r="DVP29" s="289"/>
      <c r="DVQ29" s="289"/>
      <c r="DVR29" s="289"/>
      <c r="DVS29" s="289"/>
      <c r="DVT29" s="289"/>
      <c r="DVU29" s="289"/>
      <c r="DVV29" s="289"/>
      <c r="DVW29" s="289"/>
      <c r="DVX29" s="289"/>
      <c r="DVY29" s="289"/>
      <c r="DVZ29" s="289"/>
      <c r="DWA29" s="289"/>
      <c r="DWB29" s="289"/>
      <c r="DWC29" s="289"/>
      <c r="DWD29" s="289"/>
      <c r="DWE29" s="289"/>
      <c r="DWF29" s="289"/>
      <c r="DWG29" s="289"/>
      <c r="DWH29" s="289"/>
      <c r="DWI29" s="289"/>
      <c r="DWJ29" s="289"/>
      <c r="DWK29" s="289"/>
      <c r="DWL29" s="289"/>
      <c r="DWM29" s="289"/>
      <c r="DWN29" s="289"/>
      <c r="DWO29" s="289"/>
      <c r="DWP29" s="289"/>
      <c r="DWQ29" s="289"/>
      <c r="DWR29" s="289"/>
      <c r="DWS29" s="289"/>
      <c r="DWT29" s="289"/>
      <c r="DWU29" s="289"/>
      <c r="DWV29" s="289"/>
      <c r="DWW29" s="289"/>
      <c r="DWX29" s="289"/>
      <c r="DWY29" s="289"/>
      <c r="DWZ29" s="289"/>
      <c r="DXA29" s="289"/>
      <c r="DXB29" s="289"/>
      <c r="DXC29" s="289"/>
      <c r="DXD29" s="289"/>
      <c r="DXE29" s="289"/>
      <c r="DXF29" s="289"/>
      <c r="DXG29" s="289"/>
      <c r="DXH29" s="289"/>
      <c r="DXI29" s="289"/>
      <c r="DXJ29" s="289"/>
      <c r="DXK29" s="289"/>
      <c r="DXL29" s="289"/>
      <c r="DXM29" s="289"/>
      <c r="DXN29" s="289"/>
      <c r="DXO29" s="289"/>
      <c r="DXP29" s="289"/>
      <c r="DXQ29" s="289"/>
      <c r="DXR29" s="289"/>
      <c r="DXS29" s="289"/>
      <c r="DXT29" s="289"/>
      <c r="DXU29" s="289"/>
      <c r="DXV29" s="289"/>
      <c r="DXW29" s="289"/>
      <c r="DXX29" s="289"/>
      <c r="DXY29" s="289"/>
      <c r="DXZ29" s="289"/>
      <c r="DYA29" s="289"/>
      <c r="DYB29" s="289"/>
      <c r="DYC29" s="289"/>
      <c r="DYD29" s="289"/>
      <c r="DYE29" s="289"/>
      <c r="DYF29" s="289"/>
      <c r="DYG29" s="289"/>
      <c r="DYH29" s="289"/>
      <c r="DYI29" s="289"/>
      <c r="DYJ29" s="289"/>
      <c r="DYK29" s="289"/>
      <c r="DYL29" s="289"/>
      <c r="DYM29" s="289"/>
      <c r="DYN29" s="289"/>
      <c r="DYO29" s="289"/>
      <c r="DYP29" s="289"/>
      <c r="DYQ29" s="289"/>
      <c r="DYR29" s="289"/>
      <c r="DYS29" s="289"/>
      <c r="DYT29" s="289"/>
      <c r="DYU29" s="289"/>
      <c r="DYV29" s="289"/>
      <c r="DYW29" s="289"/>
      <c r="DYX29" s="289"/>
      <c r="DYY29" s="289"/>
      <c r="DYZ29" s="289"/>
      <c r="DZA29" s="289"/>
      <c r="DZB29" s="289"/>
      <c r="DZC29" s="289"/>
      <c r="DZD29" s="289"/>
      <c r="DZE29" s="289"/>
      <c r="DZF29" s="289"/>
      <c r="DZG29" s="289"/>
      <c r="DZH29" s="289"/>
      <c r="DZI29" s="289"/>
      <c r="DZJ29" s="289"/>
      <c r="DZK29" s="289"/>
      <c r="DZL29" s="289"/>
      <c r="DZM29" s="289"/>
      <c r="DZN29" s="289"/>
      <c r="DZO29" s="289"/>
      <c r="DZP29" s="289"/>
      <c r="DZQ29" s="289"/>
      <c r="DZR29" s="289"/>
      <c r="DZS29" s="289"/>
      <c r="DZT29" s="289"/>
      <c r="DZU29" s="289"/>
      <c r="DZV29" s="289"/>
      <c r="DZW29" s="289"/>
      <c r="DZX29" s="289"/>
      <c r="DZY29" s="289"/>
      <c r="DZZ29" s="289"/>
      <c r="EAA29" s="289"/>
      <c r="EAB29" s="289"/>
      <c r="EAC29" s="289"/>
      <c r="EAD29" s="289"/>
      <c r="EAE29" s="289"/>
      <c r="EAF29" s="289"/>
      <c r="EAG29" s="289"/>
      <c r="EAH29" s="289"/>
      <c r="EAI29" s="289"/>
      <c r="EAJ29" s="289"/>
      <c r="EAK29" s="289"/>
      <c r="EAL29" s="289"/>
      <c r="EAM29" s="289"/>
      <c r="EAN29" s="289"/>
      <c r="EAO29" s="289"/>
      <c r="EAP29" s="289"/>
      <c r="EAQ29" s="289"/>
      <c r="EAR29" s="289"/>
      <c r="EAS29" s="289"/>
      <c r="EAT29" s="289"/>
      <c r="EAU29" s="289"/>
      <c r="EAV29" s="289"/>
      <c r="EAW29" s="289"/>
      <c r="EAX29" s="289"/>
      <c r="EAY29" s="289"/>
      <c r="EAZ29" s="289"/>
      <c r="EBA29" s="289"/>
      <c r="EBB29" s="289"/>
      <c r="EBC29" s="289"/>
      <c r="EBD29" s="289"/>
      <c r="EBE29" s="289"/>
      <c r="EBF29" s="289"/>
      <c r="EBG29" s="289"/>
      <c r="EBH29" s="289"/>
      <c r="EBI29" s="289"/>
      <c r="EBJ29" s="289"/>
      <c r="EBK29" s="289"/>
      <c r="EBL29" s="289"/>
      <c r="EBM29" s="289"/>
      <c r="EBN29" s="289"/>
      <c r="EBO29" s="289"/>
      <c r="EBP29" s="289"/>
      <c r="EBQ29" s="289"/>
      <c r="EBR29" s="289"/>
      <c r="EBS29" s="289"/>
      <c r="EBT29" s="289"/>
      <c r="EBU29" s="289"/>
      <c r="EBV29" s="289"/>
      <c r="EBW29" s="289"/>
      <c r="EBX29" s="289"/>
      <c r="EBY29" s="289"/>
      <c r="EBZ29" s="289"/>
      <c r="ECA29" s="289"/>
      <c r="ECB29" s="289"/>
      <c r="ECC29" s="289"/>
      <c r="ECD29" s="289"/>
      <c r="ECE29" s="289"/>
      <c r="ECF29" s="289"/>
      <c r="ECG29" s="289"/>
      <c r="ECH29" s="289"/>
      <c r="ECI29" s="289"/>
      <c r="ECJ29" s="289"/>
      <c r="ECK29" s="289"/>
      <c r="ECL29" s="289"/>
      <c r="ECM29" s="289"/>
      <c r="ECN29" s="289"/>
      <c r="ECO29" s="289"/>
      <c r="ECP29" s="289"/>
      <c r="ECQ29" s="289"/>
      <c r="ECR29" s="289"/>
      <c r="ECS29" s="289"/>
      <c r="ECT29" s="289"/>
      <c r="ECU29" s="289"/>
      <c r="ECV29" s="289"/>
      <c r="ECW29" s="289"/>
      <c r="ECX29" s="289"/>
      <c r="ECY29" s="289"/>
      <c r="ECZ29" s="289"/>
      <c r="EDA29" s="289"/>
      <c r="EDB29" s="289"/>
      <c r="EDC29" s="289"/>
      <c r="EDD29" s="289"/>
      <c r="EDE29" s="289"/>
      <c r="EDF29" s="289"/>
      <c r="EDG29" s="289"/>
      <c r="EDH29" s="289"/>
      <c r="EDI29" s="289"/>
      <c r="EDJ29" s="289"/>
      <c r="EDK29" s="289"/>
      <c r="EDL29" s="289"/>
      <c r="EDM29" s="289"/>
      <c r="EDN29" s="289"/>
      <c r="EDO29" s="289"/>
      <c r="EDP29" s="289"/>
      <c r="EDQ29" s="289"/>
      <c r="EDR29" s="289"/>
      <c r="EDS29" s="289"/>
      <c r="EDT29" s="289"/>
      <c r="EDU29" s="289"/>
      <c r="EDV29" s="289"/>
      <c r="EDW29" s="289"/>
      <c r="EDX29" s="289"/>
      <c r="EDY29" s="289"/>
      <c r="EDZ29" s="289"/>
      <c r="EEA29" s="289"/>
      <c r="EEB29" s="289"/>
      <c r="EEC29" s="289"/>
      <c r="EED29" s="289"/>
      <c r="EEE29" s="289"/>
      <c r="EEF29" s="289"/>
      <c r="EEG29" s="289"/>
      <c r="EEH29" s="289"/>
      <c r="EEI29" s="289"/>
      <c r="EEJ29" s="289"/>
      <c r="EEK29" s="289"/>
      <c r="EEL29" s="289"/>
      <c r="EEM29" s="289"/>
      <c r="EEN29" s="289"/>
      <c r="EEO29" s="289"/>
      <c r="EEP29" s="289"/>
      <c r="EEQ29" s="289"/>
      <c r="EER29" s="289"/>
      <c r="EES29" s="289"/>
      <c r="EET29" s="289"/>
      <c r="EEU29" s="289"/>
      <c r="EEV29" s="289"/>
      <c r="EEW29" s="289"/>
      <c r="EEX29" s="289"/>
      <c r="EEY29" s="289"/>
      <c r="EEZ29" s="289"/>
      <c r="EFA29" s="289"/>
      <c r="EFB29" s="289"/>
      <c r="EFC29" s="289"/>
      <c r="EFD29" s="289"/>
      <c r="EFE29" s="289"/>
      <c r="EFF29" s="289"/>
      <c r="EFG29" s="289"/>
      <c r="EFH29" s="289"/>
      <c r="EFI29" s="289"/>
      <c r="EFJ29" s="289"/>
      <c r="EFK29" s="289"/>
      <c r="EFL29" s="289"/>
      <c r="EFM29" s="289"/>
      <c r="EFN29" s="289"/>
      <c r="EFO29" s="289"/>
      <c r="EFP29" s="289"/>
      <c r="EFQ29" s="289"/>
      <c r="EFR29" s="289"/>
      <c r="EFS29" s="289"/>
      <c r="EFT29" s="289"/>
      <c r="EFU29" s="289"/>
      <c r="EFV29" s="289"/>
      <c r="EFW29" s="289"/>
      <c r="EFX29" s="289"/>
      <c r="EFY29" s="289"/>
      <c r="EFZ29" s="289"/>
      <c r="EGA29" s="289"/>
      <c r="EGB29" s="289"/>
      <c r="EGC29" s="289"/>
      <c r="EGD29" s="289"/>
      <c r="EGE29" s="289"/>
      <c r="EGF29" s="289"/>
      <c r="EGG29" s="289"/>
      <c r="EGH29" s="289"/>
      <c r="EGI29" s="289"/>
      <c r="EGJ29" s="289"/>
      <c r="EGK29" s="289"/>
      <c r="EGL29" s="289"/>
      <c r="EGM29" s="289"/>
      <c r="EGN29" s="289"/>
      <c r="EGO29" s="289"/>
      <c r="EGP29" s="289"/>
      <c r="EGQ29" s="289"/>
      <c r="EGR29" s="289"/>
      <c r="EGS29" s="289"/>
      <c r="EGT29" s="289"/>
      <c r="EGU29" s="289"/>
      <c r="EGV29" s="289"/>
      <c r="EGW29" s="289"/>
      <c r="EGX29" s="289"/>
      <c r="EGY29" s="289"/>
      <c r="EGZ29" s="289"/>
      <c r="EHA29" s="289"/>
      <c r="EHB29" s="289"/>
      <c r="EHC29" s="289"/>
      <c r="EHD29" s="289"/>
      <c r="EHE29" s="289"/>
      <c r="EHF29" s="289"/>
      <c r="EHG29" s="289"/>
      <c r="EHH29" s="289"/>
      <c r="EHI29" s="289"/>
      <c r="EHJ29" s="289"/>
      <c r="EHK29" s="289"/>
      <c r="EHL29" s="289"/>
      <c r="EHM29" s="289"/>
      <c r="EHN29" s="289"/>
      <c r="EHO29" s="289"/>
      <c r="EHP29" s="289"/>
      <c r="EHQ29" s="289"/>
      <c r="EHR29" s="289"/>
      <c r="EHS29" s="289"/>
      <c r="EHT29" s="289"/>
      <c r="EHU29" s="289"/>
      <c r="EHV29" s="289"/>
      <c r="EHW29" s="289"/>
      <c r="EHX29" s="289"/>
      <c r="EHY29" s="289"/>
      <c r="EHZ29" s="289"/>
      <c r="EIA29" s="289"/>
      <c r="EIB29" s="289"/>
      <c r="EIC29" s="289"/>
      <c r="EID29" s="289"/>
      <c r="EIE29" s="289"/>
      <c r="EIF29" s="289"/>
      <c r="EIG29" s="289"/>
      <c r="EIH29" s="289"/>
      <c r="EII29" s="289"/>
      <c r="EIJ29" s="289"/>
      <c r="EIK29" s="289"/>
      <c r="EIL29" s="289"/>
      <c r="EIM29" s="289"/>
      <c r="EIN29" s="289"/>
      <c r="EIO29" s="289"/>
      <c r="EIP29" s="289"/>
      <c r="EIQ29" s="289"/>
      <c r="EIR29" s="289"/>
      <c r="EIS29" s="289"/>
      <c r="EIT29" s="289"/>
      <c r="EIU29" s="289"/>
      <c r="EIV29" s="289"/>
      <c r="EIW29" s="289"/>
      <c r="EIX29" s="289"/>
      <c r="EIY29" s="289"/>
      <c r="EIZ29" s="289"/>
      <c r="EJA29" s="289"/>
      <c r="EJB29" s="289"/>
      <c r="EJC29" s="289"/>
      <c r="EJD29" s="289"/>
      <c r="EJE29" s="289"/>
      <c r="EJF29" s="289"/>
      <c r="EJG29" s="289"/>
      <c r="EJH29" s="289"/>
      <c r="EJI29" s="289"/>
      <c r="EJJ29" s="289"/>
      <c r="EJK29" s="289"/>
      <c r="EJL29" s="289"/>
      <c r="EJM29" s="289"/>
      <c r="EJN29" s="289"/>
      <c r="EJO29" s="289"/>
      <c r="EJP29" s="289"/>
      <c r="EJQ29" s="289"/>
      <c r="EJR29" s="289"/>
      <c r="EJS29" s="289"/>
      <c r="EJT29" s="289"/>
      <c r="EJU29" s="289"/>
      <c r="EJV29" s="289"/>
      <c r="EJW29" s="289"/>
      <c r="EJX29" s="289"/>
      <c r="EJY29" s="289"/>
      <c r="EJZ29" s="289"/>
      <c r="EKA29" s="289"/>
      <c r="EKB29" s="289"/>
      <c r="EKC29" s="289"/>
      <c r="EKD29" s="289"/>
      <c r="EKE29" s="289"/>
      <c r="EKF29" s="289"/>
      <c r="EKG29" s="289"/>
      <c r="EKH29" s="289"/>
      <c r="EKI29" s="289"/>
      <c r="EKJ29" s="289"/>
      <c r="EKK29" s="289"/>
      <c r="EKL29" s="289"/>
      <c r="EKM29" s="289"/>
      <c r="EKN29" s="289"/>
      <c r="EKO29" s="289"/>
      <c r="EKP29" s="289"/>
      <c r="EKQ29" s="289"/>
      <c r="EKR29" s="289"/>
      <c r="EKS29" s="289"/>
      <c r="EKT29" s="289"/>
      <c r="EKU29" s="289"/>
      <c r="EKV29" s="289"/>
      <c r="EKW29" s="289"/>
      <c r="EKX29" s="289"/>
      <c r="EKY29" s="289"/>
      <c r="EKZ29" s="289"/>
      <c r="ELA29" s="289"/>
      <c r="ELB29" s="289"/>
      <c r="ELC29" s="289"/>
      <c r="ELD29" s="289"/>
      <c r="ELE29" s="289"/>
      <c r="ELF29" s="289"/>
      <c r="ELG29" s="289"/>
      <c r="ELH29" s="289"/>
      <c r="ELI29" s="289"/>
      <c r="ELJ29" s="289"/>
      <c r="ELK29" s="289"/>
      <c r="ELL29" s="289"/>
      <c r="ELM29" s="289"/>
      <c r="ELN29" s="289"/>
      <c r="ELO29" s="289"/>
      <c r="ELP29" s="289"/>
      <c r="ELQ29" s="289"/>
      <c r="ELR29" s="289"/>
      <c r="ELS29" s="289"/>
      <c r="ELT29" s="289"/>
      <c r="ELU29" s="289"/>
      <c r="ELV29" s="289"/>
      <c r="ELW29" s="289"/>
      <c r="ELX29" s="289"/>
      <c r="ELY29" s="289"/>
      <c r="ELZ29" s="289"/>
      <c r="EMA29" s="289"/>
      <c r="EMB29" s="289"/>
      <c r="EMC29" s="289"/>
      <c r="EMD29" s="289"/>
      <c r="EME29" s="289"/>
      <c r="EMF29" s="289"/>
      <c r="EMG29" s="289"/>
      <c r="EMH29" s="289"/>
      <c r="EMI29" s="289"/>
      <c r="EMJ29" s="289"/>
      <c r="EMK29" s="289"/>
      <c r="EML29" s="289"/>
      <c r="EMM29" s="289"/>
      <c r="EMN29" s="289"/>
      <c r="EMO29" s="289"/>
      <c r="EMP29" s="289"/>
      <c r="EMQ29" s="289"/>
      <c r="EMR29" s="289"/>
      <c r="EMS29" s="289"/>
      <c r="EMT29" s="289"/>
      <c r="EMU29" s="289"/>
      <c r="EMV29" s="289"/>
      <c r="EMW29" s="289"/>
      <c r="EMX29" s="289"/>
      <c r="EMY29" s="289"/>
      <c r="EMZ29" s="289"/>
      <c r="ENA29" s="289"/>
      <c r="ENB29" s="289"/>
      <c r="ENC29" s="289"/>
      <c r="END29" s="289"/>
      <c r="ENE29" s="289"/>
      <c r="ENF29" s="289"/>
      <c r="ENG29" s="289"/>
      <c r="ENH29" s="289"/>
      <c r="ENI29" s="289"/>
      <c r="ENJ29" s="289"/>
      <c r="ENK29" s="289"/>
      <c r="ENL29" s="289"/>
      <c r="ENM29" s="289"/>
      <c r="ENN29" s="289"/>
      <c r="ENO29" s="289"/>
      <c r="ENP29" s="289"/>
      <c r="ENQ29" s="289"/>
      <c r="ENR29" s="289"/>
      <c r="ENS29" s="289"/>
      <c r="ENT29" s="289"/>
      <c r="ENU29" s="289"/>
      <c r="ENV29" s="289"/>
      <c r="ENW29" s="289"/>
      <c r="ENX29" s="289"/>
      <c r="ENY29" s="289"/>
      <c r="ENZ29" s="289"/>
      <c r="EOA29" s="289"/>
      <c r="EOB29" s="289"/>
      <c r="EOC29" s="289"/>
      <c r="EOD29" s="289"/>
      <c r="EOE29" s="289"/>
      <c r="EOF29" s="289"/>
      <c r="EOG29" s="289"/>
      <c r="EOH29" s="289"/>
      <c r="EOI29" s="289"/>
      <c r="EOJ29" s="289"/>
      <c r="EOK29" s="289"/>
      <c r="EOL29" s="289"/>
      <c r="EOM29" s="289"/>
      <c r="EON29" s="289"/>
      <c r="EOO29" s="289"/>
      <c r="EOP29" s="289"/>
      <c r="EOQ29" s="289"/>
      <c r="EOR29" s="289"/>
      <c r="EOS29" s="289"/>
      <c r="EOT29" s="289"/>
      <c r="EOU29" s="289"/>
      <c r="EOV29" s="289"/>
      <c r="EOW29" s="289"/>
      <c r="EOX29" s="289"/>
      <c r="EOY29" s="289"/>
      <c r="EOZ29" s="289"/>
      <c r="EPA29" s="289"/>
      <c r="EPB29" s="289"/>
      <c r="EPC29" s="289"/>
      <c r="EPD29" s="289"/>
      <c r="EPE29" s="289"/>
      <c r="EPF29" s="289"/>
      <c r="EPG29" s="289"/>
      <c r="EPH29" s="289"/>
      <c r="EPI29" s="289"/>
      <c r="EPJ29" s="289"/>
      <c r="EPK29" s="289"/>
      <c r="EPL29" s="289"/>
      <c r="EPM29" s="289"/>
      <c r="EPN29" s="289"/>
      <c r="EPO29" s="289"/>
      <c r="EPP29" s="289"/>
      <c r="EPQ29" s="289"/>
      <c r="EPR29" s="289"/>
      <c r="EPS29" s="289"/>
      <c r="EPT29" s="289"/>
      <c r="EPU29" s="289"/>
      <c r="EPV29" s="289"/>
      <c r="EPW29" s="289"/>
      <c r="EPX29" s="289"/>
      <c r="EPY29" s="289"/>
      <c r="EPZ29" s="289"/>
      <c r="EQA29" s="289"/>
      <c r="EQB29" s="289"/>
      <c r="EQC29" s="289"/>
      <c r="EQD29" s="289"/>
      <c r="EQE29" s="289"/>
      <c r="EQF29" s="289"/>
      <c r="EQG29" s="289"/>
      <c r="EQH29" s="289"/>
      <c r="EQI29" s="289"/>
      <c r="EQJ29" s="289"/>
      <c r="EQK29" s="289"/>
      <c r="EQL29" s="289"/>
      <c r="EQM29" s="289"/>
      <c r="EQN29" s="289"/>
      <c r="EQO29" s="289"/>
      <c r="EQP29" s="289"/>
      <c r="EQQ29" s="289"/>
      <c r="EQR29" s="289"/>
      <c r="EQS29" s="289"/>
      <c r="EQT29" s="289"/>
      <c r="EQU29" s="289"/>
      <c r="EQV29" s="289"/>
      <c r="EQW29" s="289"/>
      <c r="EQX29" s="289"/>
      <c r="EQY29" s="289"/>
      <c r="EQZ29" s="289"/>
      <c r="ERA29" s="289"/>
      <c r="ERB29" s="289"/>
      <c r="ERC29" s="289"/>
      <c r="ERD29" s="289"/>
      <c r="ERE29" s="289"/>
      <c r="ERF29" s="289"/>
      <c r="ERG29" s="289"/>
      <c r="ERH29" s="289"/>
      <c r="ERI29" s="289"/>
      <c r="ERJ29" s="289"/>
      <c r="ERK29" s="289"/>
      <c r="ERL29" s="289"/>
      <c r="ERM29" s="289"/>
      <c r="ERN29" s="289"/>
      <c r="ERO29" s="289"/>
      <c r="ERP29" s="289"/>
      <c r="ERQ29" s="289"/>
      <c r="ERR29" s="289"/>
      <c r="ERS29" s="289"/>
      <c r="ERT29" s="289"/>
      <c r="ERU29" s="289"/>
      <c r="ERV29" s="289"/>
      <c r="ERW29" s="289"/>
      <c r="ERX29" s="289"/>
      <c r="ERY29" s="289"/>
      <c r="ERZ29" s="289"/>
      <c r="ESA29" s="289"/>
      <c r="ESB29" s="289"/>
      <c r="ESC29" s="289"/>
      <c r="ESD29" s="289"/>
      <c r="ESE29" s="289"/>
      <c r="ESF29" s="289"/>
      <c r="ESG29" s="289"/>
      <c r="ESH29" s="289"/>
      <c r="ESI29" s="289"/>
      <c r="ESJ29" s="289"/>
      <c r="ESK29" s="289"/>
      <c r="ESL29" s="289"/>
      <c r="ESM29" s="289"/>
      <c r="ESN29" s="289"/>
      <c r="ESO29" s="289"/>
      <c r="ESP29" s="289"/>
      <c r="ESQ29" s="289"/>
      <c r="ESR29" s="289"/>
      <c r="ESS29" s="289"/>
      <c r="EST29" s="289"/>
      <c r="ESU29" s="289"/>
      <c r="ESV29" s="289"/>
      <c r="ESW29" s="289"/>
      <c r="ESX29" s="289"/>
      <c r="ESY29" s="289"/>
      <c r="ESZ29" s="289"/>
      <c r="ETA29" s="289"/>
      <c r="ETB29" s="289"/>
      <c r="ETC29" s="289"/>
      <c r="ETD29" s="289"/>
      <c r="ETE29" s="289"/>
      <c r="ETF29" s="289"/>
      <c r="ETG29" s="289"/>
      <c r="ETH29" s="289"/>
      <c r="ETI29" s="289"/>
      <c r="ETJ29" s="289"/>
      <c r="ETK29" s="289"/>
      <c r="ETL29" s="289"/>
      <c r="ETM29" s="289"/>
      <c r="ETN29" s="289"/>
      <c r="ETO29" s="289"/>
      <c r="ETP29" s="289"/>
      <c r="ETQ29" s="289"/>
      <c r="ETR29" s="289"/>
      <c r="ETS29" s="289"/>
      <c r="ETT29" s="289"/>
      <c r="ETU29" s="289"/>
      <c r="ETV29" s="289"/>
      <c r="ETW29" s="289"/>
      <c r="ETX29" s="289"/>
      <c r="ETY29" s="289"/>
      <c r="ETZ29" s="289"/>
      <c r="EUA29" s="289"/>
      <c r="EUB29" s="289"/>
      <c r="EUC29" s="289"/>
      <c r="EUD29" s="289"/>
      <c r="EUE29" s="289"/>
      <c r="EUF29" s="289"/>
      <c r="EUG29" s="289"/>
      <c r="EUH29" s="289"/>
      <c r="EUI29" s="289"/>
      <c r="EUJ29" s="289"/>
      <c r="EUK29" s="289"/>
      <c r="EUL29" s="289"/>
      <c r="EUM29" s="289"/>
      <c r="EUN29" s="289"/>
      <c r="EUO29" s="289"/>
      <c r="EUP29" s="289"/>
      <c r="EUQ29" s="289"/>
      <c r="EUR29" s="289"/>
      <c r="EUS29" s="289"/>
      <c r="EUT29" s="289"/>
      <c r="EUU29" s="289"/>
      <c r="EUV29" s="289"/>
      <c r="EUW29" s="289"/>
      <c r="EUX29" s="289"/>
      <c r="EUY29" s="289"/>
      <c r="EUZ29" s="289"/>
      <c r="EVA29" s="289"/>
      <c r="EVB29" s="289"/>
      <c r="EVC29" s="289"/>
      <c r="EVD29" s="289"/>
      <c r="EVE29" s="289"/>
      <c r="EVF29" s="289"/>
      <c r="EVG29" s="289"/>
      <c r="EVH29" s="289"/>
      <c r="EVI29" s="289"/>
      <c r="EVJ29" s="289"/>
      <c r="EVK29" s="289"/>
      <c r="EVL29" s="289"/>
      <c r="EVM29" s="289"/>
      <c r="EVN29" s="289"/>
      <c r="EVO29" s="289"/>
      <c r="EVP29" s="289"/>
      <c r="EVQ29" s="289"/>
      <c r="EVR29" s="289"/>
      <c r="EVS29" s="289"/>
      <c r="EVT29" s="289"/>
      <c r="EVU29" s="289"/>
      <c r="EVV29" s="289"/>
      <c r="EVW29" s="289"/>
      <c r="EVX29" s="289"/>
      <c r="EVY29" s="289"/>
      <c r="EVZ29" s="289"/>
      <c r="EWA29" s="289"/>
      <c r="EWB29" s="289"/>
      <c r="EWC29" s="289"/>
      <c r="EWD29" s="289"/>
      <c r="EWE29" s="289"/>
      <c r="EWF29" s="289"/>
      <c r="EWG29" s="289"/>
      <c r="EWH29" s="289"/>
      <c r="EWI29" s="289"/>
      <c r="EWJ29" s="289"/>
      <c r="EWK29" s="289"/>
      <c r="EWL29" s="289"/>
      <c r="EWM29" s="289"/>
      <c r="EWN29" s="289"/>
      <c r="EWO29" s="289"/>
      <c r="EWP29" s="289"/>
      <c r="EWQ29" s="289"/>
      <c r="EWR29" s="289"/>
      <c r="EWS29" s="289"/>
      <c r="EWT29" s="289"/>
      <c r="EWU29" s="289"/>
      <c r="EWV29" s="289"/>
      <c r="EWW29" s="289"/>
      <c r="EWX29" s="289"/>
      <c r="EWY29" s="289"/>
      <c r="EWZ29" s="289"/>
      <c r="EXA29" s="289"/>
      <c r="EXB29" s="289"/>
      <c r="EXC29" s="289"/>
      <c r="EXD29" s="289"/>
      <c r="EXE29" s="289"/>
      <c r="EXF29" s="289"/>
      <c r="EXG29" s="289"/>
      <c r="EXH29" s="289"/>
      <c r="EXI29" s="289"/>
      <c r="EXJ29" s="289"/>
      <c r="EXK29" s="289"/>
      <c r="EXL29" s="289"/>
      <c r="EXM29" s="289"/>
      <c r="EXN29" s="289"/>
      <c r="EXO29" s="289"/>
      <c r="EXP29" s="289"/>
      <c r="EXQ29" s="289"/>
      <c r="EXR29" s="289"/>
      <c r="EXS29" s="289"/>
      <c r="EXT29" s="289"/>
      <c r="EXU29" s="289"/>
      <c r="EXV29" s="289"/>
      <c r="EXW29" s="289"/>
      <c r="EXX29" s="289"/>
      <c r="EXY29" s="289"/>
      <c r="EXZ29" s="289"/>
      <c r="EYA29" s="289"/>
      <c r="EYB29" s="289"/>
      <c r="EYC29" s="289"/>
      <c r="EYD29" s="289"/>
      <c r="EYE29" s="289"/>
      <c r="EYF29" s="289"/>
      <c r="EYG29" s="289"/>
      <c r="EYH29" s="289"/>
      <c r="EYI29" s="289"/>
      <c r="EYJ29" s="289"/>
      <c r="EYK29" s="289"/>
      <c r="EYL29" s="289"/>
      <c r="EYM29" s="289"/>
      <c r="EYN29" s="289"/>
      <c r="EYO29" s="289"/>
      <c r="EYP29" s="289"/>
      <c r="EYQ29" s="289"/>
      <c r="EYR29" s="289"/>
      <c r="EYS29" s="289"/>
      <c r="EYT29" s="289"/>
      <c r="EYU29" s="289"/>
      <c r="EYV29" s="289"/>
      <c r="EYW29" s="289"/>
      <c r="EYX29" s="289"/>
      <c r="EYY29" s="289"/>
      <c r="EYZ29" s="289"/>
      <c r="EZA29" s="289"/>
      <c r="EZB29" s="289"/>
      <c r="EZC29" s="289"/>
      <c r="EZD29" s="289"/>
      <c r="EZE29" s="289"/>
      <c r="EZF29" s="289"/>
      <c r="EZG29" s="289"/>
      <c r="EZH29" s="289"/>
      <c r="EZI29" s="289"/>
      <c r="EZJ29" s="289"/>
      <c r="EZK29" s="289"/>
      <c r="EZL29" s="289"/>
      <c r="EZM29" s="289"/>
      <c r="EZN29" s="289"/>
      <c r="EZO29" s="289"/>
      <c r="EZP29" s="289"/>
      <c r="EZQ29" s="289"/>
      <c r="EZR29" s="289"/>
      <c r="EZS29" s="289"/>
      <c r="EZT29" s="289"/>
      <c r="EZU29" s="289"/>
      <c r="EZV29" s="289"/>
      <c r="EZW29" s="289"/>
      <c r="EZX29" s="289"/>
      <c r="EZY29" s="289"/>
      <c r="EZZ29" s="289"/>
      <c r="FAA29" s="289"/>
      <c r="FAB29" s="289"/>
      <c r="FAC29" s="289"/>
      <c r="FAD29" s="289"/>
      <c r="FAE29" s="289"/>
      <c r="FAF29" s="289"/>
      <c r="FAG29" s="289"/>
      <c r="FAH29" s="289"/>
      <c r="FAI29" s="289"/>
      <c r="FAJ29" s="289"/>
      <c r="FAK29" s="289"/>
      <c r="FAL29" s="289"/>
      <c r="FAM29" s="289"/>
      <c r="FAN29" s="289"/>
      <c r="FAO29" s="289"/>
      <c r="FAP29" s="289"/>
      <c r="FAQ29" s="289"/>
      <c r="FAR29" s="289"/>
      <c r="FAS29" s="289"/>
      <c r="FAT29" s="289"/>
      <c r="FAU29" s="289"/>
      <c r="FAV29" s="289"/>
      <c r="FAW29" s="289"/>
      <c r="FAX29" s="289"/>
      <c r="FAY29" s="289"/>
      <c r="FAZ29" s="289"/>
      <c r="FBA29" s="289"/>
      <c r="FBB29" s="289"/>
      <c r="FBC29" s="289"/>
      <c r="FBD29" s="289"/>
      <c r="FBE29" s="289"/>
      <c r="FBF29" s="289"/>
      <c r="FBG29" s="289"/>
      <c r="FBH29" s="289"/>
      <c r="FBI29" s="289"/>
      <c r="FBJ29" s="289"/>
      <c r="FBK29" s="289"/>
      <c r="FBL29" s="289"/>
      <c r="FBM29" s="289"/>
      <c r="FBN29" s="289"/>
      <c r="FBO29" s="289"/>
      <c r="FBP29" s="289"/>
      <c r="FBQ29" s="289"/>
      <c r="FBR29" s="289"/>
      <c r="FBS29" s="289"/>
      <c r="FBT29" s="289"/>
      <c r="FBU29" s="289"/>
      <c r="FBV29" s="289"/>
      <c r="FBW29" s="289"/>
      <c r="FBX29" s="289"/>
      <c r="FBY29" s="289"/>
      <c r="FBZ29" s="289"/>
      <c r="FCA29" s="289"/>
      <c r="FCB29" s="289"/>
      <c r="FCC29" s="289"/>
      <c r="FCD29" s="289"/>
      <c r="FCE29" s="289"/>
      <c r="FCF29" s="289"/>
      <c r="FCG29" s="289"/>
      <c r="FCH29" s="289"/>
      <c r="FCI29" s="289"/>
      <c r="FCJ29" s="289"/>
      <c r="FCK29" s="289"/>
      <c r="FCL29" s="289"/>
      <c r="FCM29" s="289"/>
      <c r="FCN29" s="289"/>
      <c r="FCO29" s="289"/>
      <c r="FCP29" s="289"/>
      <c r="FCQ29" s="289"/>
      <c r="FCR29" s="289"/>
      <c r="FCS29" s="289"/>
      <c r="FCT29" s="289"/>
      <c r="FCU29" s="289"/>
      <c r="FCV29" s="289"/>
      <c r="FCW29" s="289"/>
      <c r="FCX29" s="289"/>
      <c r="FCY29" s="289"/>
      <c r="FCZ29" s="289"/>
      <c r="FDA29" s="289"/>
      <c r="FDB29" s="289"/>
      <c r="FDC29" s="289"/>
      <c r="FDD29" s="289"/>
      <c r="FDE29" s="289"/>
      <c r="FDF29" s="289"/>
      <c r="FDG29" s="289"/>
      <c r="FDH29" s="289"/>
      <c r="FDI29" s="289"/>
      <c r="FDJ29" s="289"/>
      <c r="FDK29" s="289"/>
      <c r="FDL29" s="289"/>
      <c r="FDM29" s="289"/>
      <c r="FDN29" s="289"/>
      <c r="FDO29" s="289"/>
      <c r="FDP29" s="289"/>
      <c r="FDQ29" s="289"/>
      <c r="FDR29" s="289"/>
      <c r="FDS29" s="289"/>
      <c r="FDT29" s="289"/>
      <c r="FDU29" s="289"/>
      <c r="FDV29" s="289"/>
      <c r="FDW29" s="289"/>
      <c r="FDX29" s="289"/>
      <c r="FDY29" s="289"/>
      <c r="FDZ29" s="289"/>
      <c r="FEA29" s="289"/>
      <c r="FEB29" s="289"/>
      <c r="FEC29" s="289"/>
      <c r="FED29" s="289"/>
      <c r="FEE29" s="289"/>
      <c r="FEF29" s="289"/>
      <c r="FEG29" s="289"/>
      <c r="FEH29" s="289"/>
      <c r="FEI29" s="289"/>
      <c r="FEJ29" s="289"/>
      <c r="FEK29" s="289"/>
      <c r="FEL29" s="289"/>
      <c r="FEM29" s="289"/>
      <c r="FEN29" s="289"/>
      <c r="FEO29" s="289"/>
      <c r="FEP29" s="289"/>
      <c r="FEQ29" s="289"/>
      <c r="FER29" s="289"/>
      <c r="FES29" s="289"/>
      <c r="FET29" s="289"/>
      <c r="FEU29" s="289"/>
      <c r="FEV29" s="289"/>
      <c r="FEW29" s="289"/>
      <c r="FEX29" s="289"/>
      <c r="FEY29" s="289"/>
      <c r="FEZ29" s="289"/>
      <c r="FFA29" s="289"/>
      <c r="FFB29" s="289"/>
      <c r="FFC29" s="289"/>
      <c r="FFD29" s="289"/>
      <c r="FFE29" s="289"/>
      <c r="FFF29" s="289"/>
      <c r="FFG29" s="289"/>
      <c r="FFH29" s="289"/>
      <c r="FFI29" s="289"/>
      <c r="FFJ29" s="289"/>
      <c r="FFK29" s="289"/>
      <c r="FFL29" s="289"/>
      <c r="FFM29" s="289"/>
      <c r="FFN29" s="289"/>
      <c r="FFO29" s="289"/>
      <c r="FFP29" s="289"/>
      <c r="FFQ29" s="289"/>
      <c r="FFR29" s="289"/>
      <c r="FFS29" s="289"/>
      <c r="FFT29" s="289"/>
      <c r="FFU29" s="289"/>
      <c r="FFV29" s="289"/>
      <c r="FFW29" s="289"/>
      <c r="FFX29" s="289"/>
      <c r="FFY29" s="289"/>
      <c r="FFZ29" s="289"/>
      <c r="FGA29" s="289"/>
      <c r="FGB29" s="289"/>
      <c r="FGC29" s="289"/>
      <c r="FGD29" s="289"/>
      <c r="FGE29" s="289"/>
      <c r="FGF29" s="289"/>
      <c r="FGG29" s="289"/>
      <c r="FGH29" s="289"/>
      <c r="FGI29" s="289"/>
      <c r="FGJ29" s="289"/>
      <c r="FGK29" s="289"/>
      <c r="FGL29" s="289"/>
      <c r="FGM29" s="289"/>
      <c r="FGN29" s="289"/>
      <c r="FGO29" s="289"/>
      <c r="FGP29" s="289"/>
      <c r="FGQ29" s="289"/>
      <c r="FGR29" s="289"/>
      <c r="FGS29" s="289"/>
      <c r="FGT29" s="289"/>
      <c r="FGU29" s="289"/>
      <c r="FGV29" s="289"/>
      <c r="FGW29" s="289"/>
      <c r="FGX29" s="289"/>
      <c r="FGY29" s="289"/>
      <c r="FGZ29" s="289"/>
      <c r="FHA29" s="289"/>
      <c r="FHB29" s="289"/>
      <c r="FHC29" s="289"/>
      <c r="FHD29" s="289"/>
      <c r="FHE29" s="289"/>
      <c r="FHF29" s="289"/>
      <c r="FHG29" s="289"/>
      <c r="FHH29" s="289"/>
      <c r="FHI29" s="289"/>
      <c r="FHJ29" s="289"/>
      <c r="FHK29" s="289"/>
      <c r="FHL29" s="289"/>
      <c r="FHM29" s="289"/>
      <c r="FHN29" s="289"/>
      <c r="FHO29" s="289"/>
      <c r="FHP29" s="289"/>
      <c r="FHQ29" s="289"/>
      <c r="FHR29" s="289"/>
      <c r="FHS29" s="289"/>
      <c r="FHT29" s="289"/>
      <c r="FHU29" s="289"/>
      <c r="FHV29" s="289"/>
      <c r="FHW29" s="289"/>
      <c r="FHX29" s="289"/>
      <c r="FHY29" s="289"/>
      <c r="FHZ29" s="289"/>
      <c r="FIA29" s="289"/>
      <c r="FIB29" s="289"/>
      <c r="FIC29" s="289"/>
      <c r="FID29" s="289"/>
      <c r="FIE29" s="289"/>
      <c r="FIF29" s="289"/>
      <c r="FIG29" s="289"/>
      <c r="FIH29" s="289"/>
      <c r="FII29" s="289"/>
      <c r="FIJ29" s="289"/>
      <c r="FIK29" s="289"/>
      <c r="FIL29" s="289"/>
      <c r="FIM29" s="289"/>
      <c r="FIN29" s="289"/>
      <c r="FIO29" s="289"/>
      <c r="FIP29" s="289"/>
      <c r="FIQ29" s="289"/>
      <c r="FIR29" s="289"/>
      <c r="FIS29" s="289"/>
      <c r="FIT29" s="289"/>
      <c r="FIU29" s="289"/>
      <c r="FIV29" s="289"/>
      <c r="FIW29" s="289"/>
      <c r="FIX29" s="289"/>
      <c r="FIY29" s="289"/>
      <c r="FIZ29" s="289"/>
      <c r="FJA29" s="289"/>
      <c r="FJB29" s="289"/>
      <c r="FJC29" s="289"/>
      <c r="FJD29" s="289"/>
      <c r="FJE29" s="289"/>
      <c r="FJF29" s="289"/>
      <c r="FJG29" s="289"/>
      <c r="FJH29" s="289"/>
      <c r="FJI29" s="289"/>
      <c r="FJJ29" s="289"/>
      <c r="FJK29" s="289"/>
      <c r="FJL29" s="289"/>
      <c r="FJM29" s="289"/>
      <c r="FJN29" s="289"/>
      <c r="FJO29" s="289"/>
      <c r="FJP29" s="289"/>
      <c r="FJQ29" s="289"/>
      <c r="FJR29" s="289"/>
      <c r="FJS29" s="289"/>
      <c r="FJT29" s="289"/>
      <c r="FJU29" s="289"/>
      <c r="FJV29" s="289"/>
      <c r="FJW29" s="289"/>
      <c r="FJX29" s="289"/>
      <c r="FJY29" s="289"/>
      <c r="FJZ29" s="289"/>
      <c r="FKA29" s="289"/>
      <c r="FKB29" s="289"/>
      <c r="FKC29" s="289"/>
      <c r="FKD29" s="289"/>
      <c r="FKE29" s="289"/>
      <c r="FKF29" s="289"/>
      <c r="FKG29" s="289"/>
      <c r="FKH29" s="289"/>
      <c r="FKI29" s="289"/>
      <c r="FKJ29" s="289"/>
      <c r="FKK29" s="289"/>
      <c r="FKL29" s="289"/>
      <c r="FKM29" s="289"/>
      <c r="FKN29" s="289"/>
      <c r="FKO29" s="289"/>
      <c r="FKP29" s="289"/>
      <c r="FKQ29" s="289"/>
      <c r="FKR29" s="289"/>
      <c r="FKS29" s="289"/>
      <c r="FKT29" s="289"/>
      <c r="FKU29" s="289"/>
      <c r="FKV29" s="289"/>
      <c r="FKW29" s="289"/>
      <c r="FKX29" s="289"/>
      <c r="FKY29" s="289"/>
      <c r="FKZ29" s="289"/>
      <c r="FLA29" s="289"/>
      <c r="FLB29" s="289"/>
      <c r="FLC29" s="289"/>
      <c r="FLD29" s="289"/>
      <c r="FLE29" s="289"/>
      <c r="FLF29" s="289"/>
      <c r="FLG29" s="289"/>
      <c r="FLH29" s="289"/>
      <c r="FLI29" s="289"/>
      <c r="FLJ29" s="289"/>
      <c r="FLK29" s="289"/>
      <c r="FLL29" s="289"/>
      <c r="FLM29" s="289"/>
      <c r="FLN29" s="289"/>
      <c r="FLO29" s="289"/>
      <c r="FLP29" s="289"/>
      <c r="FLQ29" s="289"/>
      <c r="FLR29" s="289"/>
      <c r="FLS29" s="289"/>
      <c r="FLT29" s="289"/>
      <c r="FLU29" s="289"/>
      <c r="FLV29" s="289"/>
      <c r="FLW29" s="289"/>
      <c r="FLX29" s="289"/>
      <c r="FLY29" s="289"/>
      <c r="FLZ29" s="289"/>
      <c r="FMA29" s="289"/>
      <c r="FMB29" s="289"/>
      <c r="FMC29" s="289"/>
      <c r="FMD29" s="289"/>
      <c r="FME29" s="289"/>
      <c r="FMF29" s="289"/>
      <c r="FMG29" s="289"/>
      <c r="FMH29" s="289"/>
      <c r="FMI29" s="289"/>
      <c r="FMJ29" s="289"/>
      <c r="FMK29" s="289"/>
      <c r="FML29" s="289"/>
      <c r="FMM29" s="289"/>
      <c r="FMN29" s="289"/>
      <c r="FMO29" s="289"/>
      <c r="FMP29" s="289"/>
      <c r="FMQ29" s="289"/>
      <c r="FMR29" s="289"/>
      <c r="FMS29" s="289"/>
      <c r="FMT29" s="289"/>
      <c r="FMU29" s="289"/>
      <c r="FMV29" s="289"/>
      <c r="FMW29" s="289"/>
      <c r="FMX29" s="289"/>
      <c r="FMY29" s="289"/>
      <c r="FMZ29" s="289"/>
      <c r="FNA29" s="289"/>
      <c r="FNB29" s="289"/>
      <c r="FNC29" s="289"/>
      <c r="FND29" s="289"/>
      <c r="FNE29" s="289"/>
      <c r="FNF29" s="289"/>
      <c r="FNG29" s="289"/>
      <c r="FNH29" s="289"/>
      <c r="FNI29" s="289"/>
      <c r="FNJ29" s="289"/>
      <c r="FNK29" s="289"/>
      <c r="FNL29" s="289"/>
      <c r="FNM29" s="289"/>
      <c r="FNN29" s="289"/>
      <c r="FNO29" s="289"/>
      <c r="FNP29" s="289"/>
      <c r="FNQ29" s="289"/>
      <c r="FNR29" s="289"/>
      <c r="FNS29" s="289"/>
      <c r="FNT29" s="289"/>
      <c r="FNU29" s="289"/>
      <c r="FNV29" s="289"/>
      <c r="FNW29" s="289"/>
      <c r="FNX29" s="289"/>
      <c r="FNY29" s="289"/>
      <c r="FNZ29" s="289"/>
      <c r="FOA29" s="289"/>
      <c r="FOB29" s="289"/>
      <c r="FOC29" s="289"/>
      <c r="FOD29" s="289"/>
      <c r="FOE29" s="289"/>
      <c r="FOF29" s="289"/>
      <c r="FOG29" s="289"/>
      <c r="FOH29" s="289"/>
      <c r="FOI29" s="289"/>
      <c r="FOJ29" s="289"/>
      <c r="FOK29" s="289"/>
      <c r="FOL29" s="289"/>
      <c r="FOM29" s="289"/>
      <c r="FON29" s="289"/>
      <c r="FOO29" s="289"/>
      <c r="FOP29" s="289"/>
      <c r="FOQ29" s="289"/>
      <c r="FOR29" s="289"/>
      <c r="FOS29" s="289"/>
      <c r="FOT29" s="289"/>
      <c r="FOU29" s="289"/>
      <c r="FOV29" s="289"/>
      <c r="FOW29" s="289"/>
      <c r="FOX29" s="289"/>
      <c r="FOY29" s="289"/>
      <c r="FOZ29" s="289"/>
      <c r="FPA29" s="289"/>
      <c r="FPB29" s="289"/>
      <c r="FPC29" s="289"/>
      <c r="FPD29" s="289"/>
      <c r="FPE29" s="289"/>
      <c r="FPF29" s="289"/>
      <c r="FPG29" s="289"/>
      <c r="FPH29" s="289"/>
      <c r="FPI29" s="289"/>
      <c r="FPJ29" s="289"/>
      <c r="FPK29" s="289"/>
      <c r="FPL29" s="289"/>
      <c r="FPM29" s="289"/>
      <c r="FPN29" s="289"/>
      <c r="FPO29" s="289"/>
      <c r="FPP29" s="289"/>
      <c r="FPQ29" s="289"/>
      <c r="FPR29" s="289"/>
      <c r="FPS29" s="289"/>
      <c r="FPT29" s="289"/>
      <c r="FPU29" s="289"/>
      <c r="FPV29" s="289"/>
      <c r="FPW29" s="289"/>
      <c r="FPX29" s="289"/>
      <c r="FPY29" s="289"/>
      <c r="FPZ29" s="289"/>
      <c r="FQA29" s="289"/>
      <c r="FQB29" s="289"/>
      <c r="FQC29" s="289"/>
      <c r="FQD29" s="289"/>
      <c r="FQE29" s="289"/>
      <c r="FQF29" s="289"/>
      <c r="FQG29" s="289"/>
      <c r="FQH29" s="289"/>
      <c r="FQI29" s="289"/>
      <c r="FQJ29" s="289"/>
      <c r="FQK29" s="289"/>
      <c r="FQL29" s="289"/>
      <c r="FQM29" s="289"/>
      <c r="FQN29" s="289"/>
      <c r="FQO29" s="289"/>
      <c r="FQP29" s="289"/>
      <c r="FQQ29" s="289"/>
      <c r="FQR29" s="289"/>
      <c r="FQS29" s="289"/>
      <c r="FQT29" s="289"/>
      <c r="FQU29" s="289"/>
      <c r="FQV29" s="289"/>
      <c r="FQW29" s="289"/>
      <c r="FQX29" s="289"/>
      <c r="FQY29" s="289"/>
      <c r="FQZ29" s="289"/>
      <c r="FRA29" s="289"/>
      <c r="FRB29" s="289"/>
      <c r="FRC29" s="289"/>
      <c r="FRD29" s="289"/>
      <c r="FRE29" s="289"/>
      <c r="FRF29" s="289"/>
      <c r="FRG29" s="289"/>
      <c r="FRH29" s="289"/>
      <c r="FRI29" s="289"/>
      <c r="FRJ29" s="289"/>
      <c r="FRK29" s="289"/>
      <c r="FRL29" s="289"/>
      <c r="FRM29" s="289"/>
      <c r="FRN29" s="289"/>
      <c r="FRO29" s="289"/>
      <c r="FRP29" s="289"/>
      <c r="FRQ29" s="289"/>
      <c r="FRR29" s="289"/>
      <c r="FRS29" s="289"/>
      <c r="FRT29" s="289"/>
      <c r="FRU29" s="289"/>
      <c r="FRV29" s="289"/>
      <c r="FRW29" s="289"/>
      <c r="FRX29" s="289"/>
      <c r="FRY29" s="289"/>
      <c r="FRZ29" s="289"/>
      <c r="FSA29" s="289"/>
      <c r="FSB29" s="289"/>
      <c r="FSC29" s="289"/>
      <c r="FSD29" s="289"/>
      <c r="FSE29" s="289"/>
      <c r="FSF29" s="289"/>
      <c r="FSG29" s="289"/>
      <c r="FSH29" s="289"/>
      <c r="FSI29" s="289"/>
      <c r="FSJ29" s="289"/>
      <c r="FSK29" s="289"/>
      <c r="FSL29" s="289"/>
      <c r="FSM29" s="289"/>
      <c r="FSN29" s="289"/>
      <c r="FSO29" s="289"/>
      <c r="FSP29" s="289"/>
      <c r="FSQ29" s="289"/>
      <c r="FSR29" s="289"/>
      <c r="FSS29" s="289"/>
      <c r="FST29" s="289"/>
      <c r="FSU29" s="289"/>
      <c r="FSV29" s="289"/>
      <c r="FSW29" s="289"/>
      <c r="FSX29" s="289"/>
      <c r="FSY29" s="289"/>
      <c r="FSZ29" s="289"/>
      <c r="FTA29" s="289"/>
      <c r="FTB29" s="289"/>
      <c r="FTC29" s="289"/>
      <c r="FTD29" s="289"/>
      <c r="FTE29" s="289"/>
      <c r="FTF29" s="289"/>
      <c r="FTG29" s="289"/>
      <c r="FTH29" s="289"/>
      <c r="FTI29" s="289"/>
      <c r="FTJ29" s="289"/>
      <c r="FTK29" s="289"/>
      <c r="FTL29" s="289"/>
      <c r="FTM29" s="289"/>
      <c r="FTN29" s="289"/>
      <c r="FTO29" s="289"/>
      <c r="FTP29" s="289"/>
      <c r="FTQ29" s="289"/>
      <c r="FTR29" s="289"/>
      <c r="FTS29" s="289"/>
      <c r="FTT29" s="289"/>
      <c r="FTU29" s="289"/>
      <c r="FTV29" s="289"/>
      <c r="FTW29" s="289"/>
      <c r="FTX29" s="289"/>
      <c r="FTY29" s="289"/>
      <c r="FTZ29" s="289"/>
      <c r="FUA29" s="289"/>
      <c r="FUB29" s="289"/>
      <c r="FUC29" s="289"/>
      <c r="FUD29" s="289"/>
      <c r="FUE29" s="289"/>
      <c r="FUF29" s="289"/>
      <c r="FUG29" s="289"/>
      <c r="FUH29" s="289"/>
      <c r="FUI29" s="289"/>
      <c r="FUJ29" s="289"/>
      <c r="FUK29" s="289"/>
      <c r="FUL29" s="289"/>
      <c r="FUM29" s="289"/>
      <c r="FUN29" s="289"/>
      <c r="FUO29" s="289"/>
      <c r="FUP29" s="289"/>
      <c r="FUQ29" s="289"/>
      <c r="FUR29" s="289"/>
      <c r="FUS29" s="289"/>
      <c r="FUT29" s="289"/>
      <c r="FUU29" s="289"/>
      <c r="FUV29" s="289"/>
      <c r="FUW29" s="289"/>
      <c r="FUX29" s="289"/>
      <c r="FUY29" s="289"/>
      <c r="FUZ29" s="289"/>
      <c r="FVA29" s="289"/>
      <c r="FVB29" s="289"/>
      <c r="FVC29" s="289"/>
      <c r="FVD29" s="289"/>
      <c r="FVE29" s="289"/>
      <c r="FVF29" s="289"/>
      <c r="FVG29" s="289"/>
      <c r="FVH29" s="289"/>
      <c r="FVI29" s="289"/>
      <c r="FVJ29" s="289"/>
      <c r="FVK29" s="289"/>
      <c r="FVL29" s="289"/>
      <c r="FVM29" s="289"/>
      <c r="FVN29" s="289"/>
      <c r="FVO29" s="289"/>
      <c r="FVP29" s="289"/>
      <c r="FVQ29" s="289"/>
      <c r="FVR29" s="289"/>
      <c r="FVS29" s="289"/>
      <c r="FVT29" s="289"/>
      <c r="FVU29" s="289"/>
      <c r="FVV29" s="289"/>
      <c r="FVW29" s="289"/>
      <c r="FVX29" s="289"/>
      <c r="FVY29" s="289"/>
      <c r="FVZ29" s="289"/>
      <c r="FWA29" s="289"/>
      <c r="FWB29" s="289"/>
      <c r="FWC29" s="289"/>
      <c r="FWD29" s="289"/>
      <c r="FWE29" s="289"/>
      <c r="FWF29" s="289"/>
      <c r="FWG29" s="289"/>
      <c r="FWH29" s="289"/>
      <c r="FWI29" s="289"/>
      <c r="FWJ29" s="289"/>
      <c r="FWK29" s="289"/>
      <c r="FWL29" s="289"/>
      <c r="FWM29" s="289"/>
      <c r="FWN29" s="289"/>
      <c r="FWO29" s="289"/>
      <c r="FWP29" s="289"/>
      <c r="FWQ29" s="289"/>
      <c r="FWR29" s="289"/>
      <c r="FWS29" s="289"/>
      <c r="FWT29" s="289"/>
      <c r="FWU29" s="289"/>
      <c r="FWV29" s="289"/>
      <c r="FWW29" s="289"/>
      <c r="FWX29" s="289"/>
      <c r="FWY29" s="289"/>
      <c r="FWZ29" s="289"/>
      <c r="FXA29" s="289"/>
      <c r="FXB29" s="289"/>
      <c r="FXC29" s="289"/>
      <c r="FXD29" s="289"/>
      <c r="FXE29" s="289"/>
      <c r="FXF29" s="289"/>
      <c r="FXG29" s="289"/>
      <c r="FXH29" s="289"/>
      <c r="FXI29" s="289"/>
      <c r="FXJ29" s="289"/>
      <c r="FXK29" s="289"/>
      <c r="FXL29" s="289"/>
      <c r="FXM29" s="289"/>
      <c r="FXN29" s="289"/>
      <c r="FXO29" s="289"/>
      <c r="FXP29" s="289"/>
      <c r="FXQ29" s="289"/>
      <c r="FXR29" s="289"/>
      <c r="FXS29" s="289"/>
      <c r="FXT29" s="289"/>
      <c r="FXU29" s="289"/>
      <c r="FXV29" s="289"/>
      <c r="FXW29" s="289"/>
      <c r="FXX29" s="289"/>
      <c r="FXY29" s="289"/>
      <c r="FXZ29" s="289"/>
      <c r="FYA29" s="289"/>
      <c r="FYB29" s="289"/>
      <c r="FYC29" s="289"/>
      <c r="FYD29" s="289"/>
      <c r="FYE29" s="289"/>
      <c r="FYF29" s="289"/>
      <c r="FYG29" s="289"/>
      <c r="FYH29" s="289"/>
      <c r="FYI29" s="289"/>
      <c r="FYJ29" s="289"/>
      <c r="FYK29" s="289"/>
      <c r="FYL29" s="289"/>
      <c r="FYM29" s="289"/>
      <c r="FYN29" s="289"/>
      <c r="FYO29" s="289"/>
      <c r="FYP29" s="289"/>
      <c r="FYQ29" s="289"/>
      <c r="FYR29" s="289"/>
      <c r="FYS29" s="289"/>
      <c r="FYT29" s="289"/>
      <c r="FYU29" s="289"/>
      <c r="FYV29" s="289"/>
      <c r="FYW29" s="289"/>
      <c r="FYX29" s="289"/>
      <c r="FYY29" s="289"/>
      <c r="FYZ29" s="289"/>
      <c r="FZA29" s="289"/>
      <c r="FZB29" s="289"/>
      <c r="FZC29" s="289"/>
      <c r="FZD29" s="289"/>
      <c r="FZE29" s="289"/>
      <c r="FZF29" s="289"/>
      <c r="FZG29" s="289"/>
      <c r="FZH29" s="289"/>
      <c r="FZI29" s="289"/>
      <c r="FZJ29" s="289"/>
      <c r="FZK29" s="289"/>
      <c r="FZL29" s="289"/>
      <c r="FZM29" s="289"/>
      <c r="FZN29" s="289"/>
      <c r="FZO29" s="289"/>
      <c r="FZP29" s="289"/>
      <c r="FZQ29" s="289"/>
      <c r="FZR29" s="289"/>
      <c r="FZS29" s="289"/>
      <c r="FZT29" s="289"/>
      <c r="FZU29" s="289"/>
      <c r="FZV29" s="289"/>
      <c r="FZW29" s="289"/>
      <c r="FZX29" s="289"/>
      <c r="FZY29" s="289"/>
      <c r="FZZ29" s="289"/>
      <c r="GAA29" s="289"/>
      <c r="GAB29" s="289"/>
      <c r="GAC29" s="289"/>
      <c r="GAD29" s="289"/>
      <c r="GAE29" s="289"/>
      <c r="GAF29" s="289"/>
      <c r="GAG29" s="289"/>
      <c r="GAH29" s="289"/>
      <c r="GAI29" s="289"/>
      <c r="GAJ29" s="289"/>
      <c r="GAK29" s="289"/>
      <c r="GAL29" s="289"/>
      <c r="GAM29" s="289"/>
      <c r="GAN29" s="289"/>
      <c r="GAO29" s="289"/>
      <c r="GAP29" s="289"/>
      <c r="GAQ29" s="289"/>
      <c r="GAR29" s="289"/>
      <c r="GAS29" s="289"/>
      <c r="GAT29" s="289"/>
      <c r="GAU29" s="289"/>
      <c r="GAV29" s="289"/>
      <c r="GAW29" s="289"/>
      <c r="GAX29" s="289"/>
      <c r="GAY29" s="289"/>
      <c r="GAZ29" s="289"/>
      <c r="GBA29" s="289"/>
      <c r="GBB29" s="289"/>
      <c r="GBC29" s="289"/>
      <c r="GBD29" s="289"/>
      <c r="GBE29" s="289"/>
      <c r="GBF29" s="289"/>
      <c r="GBG29" s="289"/>
      <c r="GBH29" s="289"/>
      <c r="GBI29" s="289"/>
      <c r="GBJ29" s="289"/>
      <c r="GBK29" s="289"/>
      <c r="GBL29" s="289"/>
      <c r="GBM29" s="289"/>
      <c r="GBN29" s="289"/>
      <c r="GBO29" s="289"/>
      <c r="GBP29" s="289"/>
      <c r="GBQ29" s="289"/>
      <c r="GBR29" s="289"/>
      <c r="GBS29" s="289"/>
      <c r="GBT29" s="289"/>
      <c r="GBU29" s="289"/>
      <c r="GBV29" s="289"/>
      <c r="GBW29" s="289"/>
      <c r="GBX29" s="289"/>
      <c r="GBY29" s="289"/>
      <c r="GBZ29" s="289"/>
      <c r="GCA29" s="289"/>
      <c r="GCB29" s="289"/>
      <c r="GCC29" s="289"/>
      <c r="GCD29" s="289"/>
      <c r="GCE29" s="289"/>
      <c r="GCF29" s="289"/>
      <c r="GCG29" s="289"/>
      <c r="GCH29" s="289"/>
      <c r="GCI29" s="289"/>
      <c r="GCJ29" s="289"/>
      <c r="GCK29" s="289"/>
      <c r="GCL29" s="289"/>
      <c r="GCM29" s="289"/>
      <c r="GCN29" s="289"/>
      <c r="GCO29" s="289"/>
      <c r="GCP29" s="289"/>
      <c r="GCQ29" s="289"/>
      <c r="GCR29" s="289"/>
      <c r="GCS29" s="289"/>
      <c r="GCT29" s="289"/>
      <c r="GCU29" s="289"/>
      <c r="GCV29" s="289"/>
      <c r="GCW29" s="289"/>
      <c r="GCX29" s="289"/>
      <c r="GCY29" s="289"/>
      <c r="GCZ29" s="289"/>
      <c r="GDA29" s="289"/>
      <c r="GDB29" s="289"/>
      <c r="GDC29" s="289"/>
      <c r="GDD29" s="289"/>
      <c r="GDE29" s="289"/>
      <c r="GDF29" s="289"/>
      <c r="GDG29" s="289"/>
      <c r="GDH29" s="289"/>
      <c r="GDI29" s="289"/>
      <c r="GDJ29" s="289"/>
      <c r="GDK29" s="289"/>
      <c r="GDL29" s="289"/>
      <c r="GDM29" s="289"/>
      <c r="GDN29" s="289"/>
      <c r="GDO29" s="289"/>
      <c r="GDP29" s="289"/>
      <c r="GDQ29" s="289"/>
      <c r="GDR29" s="289"/>
      <c r="GDS29" s="289"/>
      <c r="GDT29" s="289"/>
      <c r="GDU29" s="289"/>
      <c r="GDV29" s="289"/>
      <c r="GDW29" s="289"/>
      <c r="GDX29" s="289"/>
      <c r="GDY29" s="289"/>
      <c r="GDZ29" s="289"/>
      <c r="GEA29" s="289"/>
      <c r="GEB29" s="289"/>
      <c r="GEC29" s="289"/>
      <c r="GED29" s="289"/>
      <c r="GEE29" s="289"/>
      <c r="GEF29" s="289"/>
      <c r="GEG29" s="289"/>
      <c r="GEH29" s="289"/>
      <c r="GEI29" s="289"/>
      <c r="GEJ29" s="289"/>
      <c r="GEK29" s="289"/>
      <c r="GEL29" s="289"/>
      <c r="GEM29" s="289"/>
      <c r="GEN29" s="289"/>
      <c r="GEO29" s="289"/>
      <c r="GEP29" s="289"/>
      <c r="GEQ29" s="289"/>
      <c r="GER29" s="289"/>
      <c r="GES29" s="289"/>
      <c r="GET29" s="289"/>
      <c r="GEU29" s="289"/>
      <c r="GEV29" s="289"/>
      <c r="GEW29" s="289"/>
      <c r="GEX29" s="289"/>
      <c r="GEY29" s="289"/>
      <c r="GEZ29" s="289"/>
      <c r="GFA29" s="289"/>
      <c r="GFB29" s="289"/>
      <c r="GFC29" s="289"/>
      <c r="GFD29" s="289"/>
      <c r="GFE29" s="289"/>
      <c r="GFF29" s="289"/>
      <c r="GFG29" s="289"/>
      <c r="GFH29" s="289"/>
      <c r="GFI29" s="289"/>
      <c r="GFJ29" s="289"/>
      <c r="GFK29" s="289"/>
      <c r="GFL29" s="289"/>
      <c r="GFM29" s="289"/>
      <c r="GFN29" s="289"/>
      <c r="GFO29" s="289"/>
      <c r="GFP29" s="289"/>
      <c r="GFQ29" s="289"/>
      <c r="GFR29" s="289"/>
      <c r="GFS29" s="289"/>
      <c r="GFT29" s="289"/>
      <c r="GFU29" s="289"/>
      <c r="GFV29" s="289"/>
      <c r="GFW29" s="289"/>
      <c r="GFX29" s="289"/>
      <c r="GFY29" s="289"/>
      <c r="GFZ29" s="289"/>
      <c r="GGA29" s="289"/>
      <c r="GGB29" s="289"/>
      <c r="GGC29" s="289"/>
      <c r="GGD29" s="289"/>
      <c r="GGE29" s="289"/>
      <c r="GGF29" s="289"/>
      <c r="GGG29" s="289"/>
      <c r="GGH29" s="289"/>
      <c r="GGI29" s="289"/>
      <c r="GGJ29" s="289"/>
      <c r="GGK29" s="289"/>
      <c r="GGL29" s="289"/>
      <c r="GGM29" s="289"/>
      <c r="GGN29" s="289"/>
      <c r="GGO29" s="289"/>
      <c r="GGP29" s="289"/>
      <c r="GGQ29" s="289"/>
      <c r="GGR29" s="289"/>
      <c r="GGS29" s="289"/>
      <c r="GGT29" s="289"/>
      <c r="GGU29" s="289"/>
      <c r="GGV29" s="289"/>
      <c r="GGW29" s="289"/>
      <c r="GGX29" s="289"/>
      <c r="GGY29" s="289"/>
      <c r="GGZ29" s="289"/>
      <c r="GHA29" s="289"/>
      <c r="GHB29" s="289"/>
      <c r="GHC29" s="289"/>
      <c r="GHD29" s="289"/>
      <c r="GHE29" s="289"/>
      <c r="GHF29" s="289"/>
      <c r="GHG29" s="289"/>
      <c r="GHH29" s="289"/>
      <c r="GHI29" s="289"/>
      <c r="GHJ29" s="289"/>
      <c r="GHK29" s="289"/>
      <c r="GHL29" s="289"/>
      <c r="GHM29" s="289"/>
      <c r="GHN29" s="289"/>
      <c r="GHO29" s="289"/>
      <c r="GHP29" s="289"/>
      <c r="GHQ29" s="289"/>
      <c r="GHR29" s="289"/>
      <c r="GHS29" s="289"/>
      <c r="GHT29" s="289"/>
      <c r="GHU29" s="289"/>
      <c r="GHV29" s="289"/>
      <c r="GHW29" s="289"/>
      <c r="GHX29" s="289"/>
      <c r="GHY29" s="289"/>
      <c r="GHZ29" s="289"/>
      <c r="GIA29" s="289"/>
      <c r="GIB29" s="289"/>
      <c r="GIC29" s="289"/>
      <c r="GID29" s="289"/>
      <c r="GIE29" s="289"/>
      <c r="GIF29" s="289"/>
      <c r="GIG29" s="289"/>
      <c r="GIH29" s="289"/>
      <c r="GII29" s="289"/>
      <c r="GIJ29" s="289"/>
      <c r="GIK29" s="289"/>
      <c r="GIL29" s="289"/>
      <c r="GIM29" s="289"/>
      <c r="GIN29" s="289"/>
      <c r="GIO29" s="289"/>
      <c r="GIP29" s="289"/>
      <c r="GIQ29" s="289"/>
      <c r="GIR29" s="289"/>
      <c r="GIS29" s="289"/>
      <c r="GIT29" s="289"/>
      <c r="GIU29" s="289"/>
      <c r="GIV29" s="289"/>
      <c r="GIW29" s="289"/>
      <c r="GIX29" s="289"/>
      <c r="GIY29" s="289"/>
      <c r="GIZ29" s="289"/>
      <c r="GJA29" s="289"/>
      <c r="GJB29" s="289"/>
      <c r="GJC29" s="289"/>
      <c r="GJD29" s="289"/>
      <c r="GJE29" s="289"/>
      <c r="GJF29" s="289"/>
      <c r="GJG29" s="289"/>
      <c r="GJH29" s="289"/>
      <c r="GJI29" s="289"/>
      <c r="GJJ29" s="289"/>
      <c r="GJK29" s="289"/>
      <c r="GJL29" s="289"/>
      <c r="GJM29" s="289"/>
      <c r="GJN29" s="289"/>
      <c r="GJO29" s="289"/>
      <c r="GJP29" s="289"/>
      <c r="GJQ29" s="289"/>
      <c r="GJR29" s="289"/>
      <c r="GJS29" s="289"/>
      <c r="GJT29" s="289"/>
      <c r="GJU29" s="289"/>
      <c r="GJV29" s="289"/>
      <c r="GJW29" s="289"/>
      <c r="GJX29" s="289"/>
      <c r="GJY29" s="289"/>
      <c r="GJZ29" s="289"/>
      <c r="GKA29" s="289"/>
      <c r="GKB29" s="289"/>
      <c r="GKC29" s="289"/>
      <c r="GKD29" s="289"/>
      <c r="GKE29" s="289"/>
      <c r="GKF29" s="289"/>
      <c r="GKG29" s="289"/>
      <c r="GKH29" s="289"/>
      <c r="GKI29" s="289"/>
      <c r="GKJ29" s="289"/>
      <c r="GKK29" s="289"/>
      <c r="GKL29" s="289"/>
      <c r="GKM29" s="289"/>
      <c r="GKN29" s="289"/>
      <c r="GKO29" s="289"/>
      <c r="GKP29" s="289"/>
      <c r="GKQ29" s="289"/>
      <c r="GKR29" s="289"/>
      <c r="GKS29" s="289"/>
      <c r="GKT29" s="289"/>
      <c r="GKU29" s="289"/>
      <c r="GKV29" s="289"/>
      <c r="GKW29" s="289"/>
      <c r="GKX29" s="289"/>
      <c r="GKY29" s="289"/>
      <c r="GKZ29" s="289"/>
      <c r="GLA29" s="289"/>
      <c r="GLB29" s="289"/>
      <c r="GLC29" s="289"/>
      <c r="GLD29" s="289"/>
      <c r="GLE29" s="289"/>
      <c r="GLF29" s="289"/>
      <c r="GLG29" s="289"/>
      <c r="GLH29" s="289"/>
      <c r="GLI29" s="289"/>
      <c r="GLJ29" s="289"/>
      <c r="GLK29" s="289"/>
      <c r="GLL29" s="289"/>
      <c r="GLM29" s="289"/>
      <c r="GLN29" s="289"/>
      <c r="GLO29" s="289"/>
      <c r="GLP29" s="289"/>
      <c r="GLQ29" s="289"/>
      <c r="GLR29" s="289"/>
      <c r="GLS29" s="289"/>
      <c r="GLT29" s="289"/>
      <c r="GLU29" s="289"/>
      <c r="GLV29" s="289"/>
      <c r="GLW29" s="289"/>
      <c r="GLX29" s="289"/>
      <c r="GLY29" s="289"/>
      <c r="GLZ29" s="289"/>
      <c r="GMA29" s="289"/>
      <c r="GMB29" s="289"/>
      <c r="GMC29" s="289"/>
      <c r="GMD29" s="289"/>
      <c r="GME29" s="289"/>
      <c r="GMF29" s="289"/>
      <c r="GMG29" s="289"/>
      <c r="GMH29" s="289"/>
      <c r="GMI29" s="289"/>
      <c r="GMJ29" s="289"/>
      <c r="GMK29" s="289"/>
      <c r="GML29" s="289"/>
      <c r="GMM29" s="289"/>
      <c r="GMN29" s="289"/>
      <c r="GMO29" s="289"/>
      <c r="GMP29" s="289"/>
      <c r="GMQ29" s="289"/>
      <c r="GMR29" s="289"/>
      <c r="GMS29" s="289"/>
      <c r="GMT29" s="289"/>
      <c r="GMU29" s="289"/>
      <c r="GMV29" s="289"/>
      <c r="GMW29" s="289"/>
      <c r="GMX29" s="289"/>
      <c r="GMY29" s="289"/>
      <c r="GMZ29" s="289"/>
      <c r="GNA29" s="289"/>
      <c r="GNB29" s="289"/>
      <c r="GNC29" s="289"/>
      <c r="GND29" s="289"/>
      <c r="GNE29" s="289"/>
      <c r="GNF29" s="289"/>
      <c r="GNG29" s="289"/>
      <c r="GNH29" s="289"/>
      <c r="GNI29" s="289"/>
      <c r="GNJ29" s="289"/>
      <c r="GNK29" s="289"/>
      <c r="GNL29" s="289"/>
      <c r="GNM29" s="289"/>
      <c r="GNN29" s="289"/>
      <c r="GNO29" s="289"/>
      <c r="GNP29" s="289"/>
      <c r="GNQ29" s="289"/>
      <c r="GNR29" s="289"/>
      <c r="GNS29" s="289"/>
      <c r="GNT29" s="289"/>
      <c r="GNU29" s="289"/>
      <c r="GNV29" s="289"/>
      <c r="GNW29" s="289"/>
      <c r="GNX29" s="289"/>
      <c r="GNY29" s="289"/>
      <c r="GNZ29" s="289"/>
      <c r="GOA29" s="289"/>
      <c r="GOB29" s="289"/>
      <c r="GOC29" s="289"/>
      <c r="GOD29" s="289"/>
      <c r="GOE29" s="289"/>
      <c r="GOF29" s="289"/>
      <c r="GOG29" s="289"/>
      <c r="GOH29" s="289"/>
      <c r="GOI29" s="289"/>
      <c r="GOJ29" s="289"/>
      <c r="GOK29" s="289"/>
      <c r="GOL29" s="289"/>
      <c r="GOM29" s="289"/>
      <c r="GON29" s="289"/>
      <c r="GOO29" s="289"/>
      <c r="GOP29" s="289"/>
      <c r="GOQ29" s="289"/>
      <c r="GOR29" s="289"/>
      <c r="GOS29" s="289"/>
      <c r="GOT29" s="289"/>
      <c r="GOU29" s="289"/>
      <c r="GOV29" s="289"/>
      <c r="GOW29" s="289"/>
      <c r="GOX29" s="289"/>
      <c r="GOY29" s="289"/>
      <c r="GOZ29" s="289"/>
      <c r="GPA29" s="289"/>
      <c r="GPB29" s="289"/>
      <c r="GPC29" s="289"/>
      <c r="GPD29" s="289"/>
      <c r="GPE29" s="289"/>
      <c r="GPF29" s="289"/>
      <c r="GPG29" s="289"/>
      <c r="GPH29" s="289"/>
      <c r="GPI29" s="289"/>
      <c r="GPJ29" s="289"/>
      <c r="GPK29" s="289"/>
      <c r="GPL29" s="289"/>
      <c r="GPM29" s="289"/>
      <c r="GPN29" s="289"/>
      <c r="GPO29" s="289"/>
      <c r="GPP29" s="289"/>
      <c r="GPQ29" s="289"/>
      <c r="GPR29" s="289"/>
      <c r="GPS29" s="289"/>
      <c r="GPT29" s="289"/>
      <c r="GPU29" s="289"/>
      <c r="GPV29" s="289"/>
      <c r="GPW29" s="289"/>
      <c r="GPX29" s="289"/>
      <c r="GPY29" s="289"/>
      <c r="GPZ29" s="289"/>
      <c r="GQA29" s="289"/>
      <c r="GQB29" s="289"/>
      <c r="GQC29" s="289"/>
      <c r="GQD29" s="289"/>
      <c r="GQE29" s="289"/>
      <c r="GQF29" s="289"/>
      <c r="GQG29" s="289"/>
      <c r="GQH29" s="289"/>
      <c r="GQI29" s="289"/>
      <c r="GQJ29" s="289"/>
      <c r="GQK29" s="289"/>
      <c r="GQL29" s="289"/>
      <c r="GQM29" s="289"/>
      <c r="GQN29" s="289"/>
      <c r="GQO29" s="289"/>
      <c r="GQP29" s="289"/>
      <c r="GQQ29" s="289"/>
      <c r="GQR29" s="289"/>
      <c r="GQS29" s="289"/>
      <c r="GQT29" s="289"/>
      <c r="GQU29" s="289"/>
      <c r="GQV29" s="289"/>
      <c r="GQW29" s="289"/>
      <c r="GQX29" s="289"/>
      <c r="GQY29" s="289"/>
      <c r="GQZ29" s="289"/>
      <c r="GRA29" s="289"/>
      <c r="GRB29" s="289"/>
      <c r="GRC29" s="289"/>
      <c r="GRD29" s="289"/>
      <c r="GRE29" s="289"/>
      <c r="GRF29" s="289"/>
      <c r="GRG29" s="289"/>
      <c r="GRH29" s="289"/>
      <c r="GRI29" s="289"/>
      <c r="GRJ29" s="289"/>
      <c r="GRK29" s="289"/>
      <c r="GRL29" s="289"/>
      <c r="GRM29" s="289"/>
      <c r="GRN29" s="289"/>
      <c r="GRO29" s="289"/>
      <c r="GRP29" s="289"/>
      <c r="GRQ29" s="289"/>
      <c r="GRR29" s="289"/>
      <c r="GRS29" s="289"/>
      <c r="GRT29" s="289"/>
      <c r="GRU29" s="289"/>
      <c r="GRV29" s="289"/>
      <c r="GRW29" s="289"/>
      <c r="GRX29" s="289"/>
      <c r="GRY29" s="289"/>
      <c r="GRZ29" s="289"/>
      <c r="GSA29" s="289"/>
      <c r="GSB29" s="289"/>
      <c r="GSC29" s="289"/>
      <c r="GSD29" s="289"/>
      <c r="GSE29" s="289"/>
      <c r="GSF29" s="289"/>
      <c r="GSG29" s="289"/>
      <c r="GSH29" s="289"/>
      <c r="GSI29" s="289"/>
      <c r="GSJ29" s="289"/>
      <c r="GSK29" s="289"/>
      <c r="GSL29" s="289"/>
      <c r="GSM29" s="289"/>
      <c r="GSN29" s="289"/>
      <c r="GSO29" s="289"/>
      <c r="GSP29" s="289"/>
      <c r="GSQ29" s="289"/>
      <c r="GSR29" s="289"/>
      <c r="GSS29" s="289"/>
      <c r="GST29" s="289"/>
      <c r="GSU29" s="289"/>
      <c r="GSV29" s="289"/>
      <c r="GSW29" s="289"/>
      <c r="GSX29" s="289"/>
      <c r="GSY29" s="289"/>
      <c r="GSZ29" s="289"/>
      <c r="GTA29" s="289"/>
      <c r="GTB29" s="289"/>
      <c r="GTC29" s="289"/>
      <c r="GTD29" s="289"/>
      <c r="GTE29" s="289"/>
      <c r="GTF29" s="289"/>
      <c r="GTG29" s="289"/>
      <c r="GTH29" s="289"/>
      <c r="GTI29" s="289"/>
      <c r="GTJ29" s="289"/>
      <c r="GTK29" s="289"/>
      <c r="GTL29" s="289"/>
      <c r="GTM29" s="289"/>
      <c r="GTN29" s="289"/>
      <c r="GTO29" s="289"/>
      <c r="GTP29" s="289"/>
      <c r="GTQ29" s="289"/>
      <c r="GTR29" s="289"/>
      <c r="GTS29" s="289"/>
      <c r="GTT29" s="289"/>
      <c r="GTU29" s="289"/>
      <c r="GTV29" s="289"/>
      <c r="GTW29" s="289"/>
      <c r="GTX29" s="289"/>
      <c r="GTY29" s="289"/>
      <c r="GTZ29" s="289"/>
      <c r="GUA29" s="289"/>
      <c r="GUB29" s="289"/>
      <c r="GUC29" s="289"/>
      <c r="GUD29" s="289"/>
      <c r="GUE29" s="289"/>
      <c r="GUF29" s="289"/>
      <c r="GUG29" s="289"/>
      <c r="GUH29" s="289"/>
      <c r="GUI29" s="289"/>
      <c r="GUJ29" s="289"/>
      <c r="GUK29" s="289"/>
      <c r="GUL29" s="289"/>
      <c r="GUM29" s="289"/>
      <c r="GUN29" s="289"/>
      <c r="GUO29" s="289"/>
      <c r="GUP29" s="289"/>
      <c r="GUQ29" s="289"/>
      <c r="GUR29" s="289"/>
      <c r="GUS29" s="289"/>
      <c r="GUT29" s="289"/>
      <c r="GUU29" s="289"/>
      <c r="GUV29" s="289"/>
      <c r="GUW29" s="289"/>
      <c r="GUX29" s="289"/>
      <c r="GUY29" s="289"/>
      <c r="GUZ29" s="289"/>
      <c r="GVA29" s="289"/>
      <c r="GVB29" s="289"/>
      <c r="GVC29" s="289"/>
      <c r="GVD29" s="289"/>
      <c r="GVE29" s="289"/>
      <c r="GVF29" s="289"/>
      <c r="GVG29" s="289"/>
      <c r="GVH29" s="289"/>
      <c r="GVI29" s="289"/>
      <c r="GVJ29" s="289"/>
      <c r="GVK29" s="289"/>
      <c r="GVL29" s="289"/>
      <c r="GVM29" s="289"/>
      <c r="GVN29" s="289"/>
      <c r="GVO29" s="289"/>
      <c r="GVP29" s="289"/>
      <c r="GVQ29" s="289"/>
      <c r="GVR29" s="289"/>
      <c r="GVS29" s="289"/>
      <c r="GVT29" s="289"/>
      <c r="GVU29" s="289"/>
      <c r="GVV29" s="289"/>
      <c r="GVW29" s="289"/>
      <c r="GVX29" s="289"/>
      <c r="GVY29" s="289"/>
      <c r="GVZ29" s="289"/>
      <c r="GWA29" s="289"/>
      <c r="GWB29" s="289"/>
      <c r="GWC29" s="289"/>
      <c r="GWD29" s="289"/>
      <c r="GWE29" s="289"/>
      <c r="GWF29" s="289"/>
      <c r="GWG29" s="289"/>
      <c r="GWH29" s="289"/>
      <c r="GWI29" s="289"/>
      <c r="GWJ29" s="289"/>
      <c r="GWK29" s="289"/>
      <c r="GWL29" s="289"/>
      <c r="GWM29" s="289"/>
      <c r="GWN29" s="289"/>
      <c r="GWO29" s="289"/>
      <c r="GWP29" s="289"/>
      <c r="GWQ29" s="289"/>
      <c r="GWR29" s="289"/>
      <c r="GWS29" s="289"/>
      <c r="GWT29" s="289"/>
      <c r="GWU29" s="289"/>
      <c r="GWV29" s="289"/>
      <c r="GWW29" s="289"/>
      <c r="GWX29" s="289"/>
      <c r="GWY29" s="289"/>
      <c r="GWZ29" s="289"/>
      <c r="GXA29" s="289"/>
      <c r="GXB29" s="289"/>
      <c r="GXC29" s="289"/>
      <c r="GXD29" s="289"/>
      <c r="GXE29" s="289"/>
      <c r="GXF29" s="289"/>
      <c r="GXG29" s="289"/>
      <c r="GXH29" s="289"/>
      <c r="GXI29" s="289"/>
      <c r="GXJ29" s="289"/>
      <c r="GXK29" s="289"/>
      <c r="GXL29" s="289"/>
      <c r="GXM29" s="289"/>
      <c r="GXN29" s="289"/>
      <c r="GXO29" s="289"/>
      <c r="GXP29" s="289"/>
      <c r="GXQ29" s="289"/>
      <c r="GXR29" s="289"/>
      <c r="GXS29" s="289"/>
      <c r="GXT29" s="289"/>
      <c r="GXU29" s="289"/>
      <c r="GXV29" s="289"/>
      <c r="GXW29" s="289"/>
      <c r="GXX29" s="289"/>
      <c r="GXY29" s="289"/>
      <c r="GXZ29" s="289"/>
      <c r="GYA29" s="289"/>
      <c r="GYB29" s="289"/>
      <c r="GYC29" s="289"/>
      <c r="GYD29" s="289"/>
      <c r="GYE29" s="289"/>
      <c r="GYF29" s="289"/>
      <c r="GYG29" s="289"/>
      <c r="GYH29" s="289"/>
      <c r="GYI29" s="289"/>
      <c r="GYJ29" s="289"/>
      <c r="GYK29" s="289"/>
      <c r="GYL29" s="289"/>
      <c r="GYM29" s="289"/>
      <c r="GYN29" s="289"/>
      <c r="GYO29" s="289"/>
      <c r="GYP29" s="289"/>
      <c r="GYQ29" s="289"/>
      <c r="GYR29" s="289"/>
      <c r="GYS29" s="289"/>
      <c r="GYT29" s="289"/>
      <c r="GYU29" s="289"/>
      <c r="GYV29" s="289"/>
      <c r="GYW29" s="289"/>
      <c r="GYX29" s="289"/>
      <c r="GYY29" s="289"/>
      <c r="GYZ29" s="289"/>
      <c r="GZA29" s="289"/>
      <c r="GZB29" s="289"/>
      <c r="GZC29" s="289"/>
      <c r="GZD29" s="289"/>
      <c r="GZE29" s="289"/>
      <c r="GZF29" s="289"/>
      <c r="GZG29" s="289"/>
      <c r="GZH29" s="289"/>
      <c r="GZI29" s="289"/>
      <c r="GZJ29" s="289"/>
      <c r="GZK29" s="289"/>
      <c r="GZL29" s="289"/>
      <c r="GZM29" s="289"/>
      <c r="GZN29" s="289"/>
      <c r="GZO29" s="289"/>
      <c r="GZP29" s="289"/>
      <c r="GZQ29" s="289"/>
      <c r="GZR29" s="289"/>
      <c r="GZS29" s="289"/>
      <c r="GZT29" s="289"/>
      <c r="GZU29" s="289"/>
      <c r="GZV29" s="289"/>
      <c r="GZW29" s="289"/>
      <c r="GZX29" s="289"/>
      <c r="GZY29" s="289"/>
      <c r="GZZ29" s="289"/>
      <c r="HAA29" s="289"/>
      <c r="HAB29" s="289"/>
      <c r="HAC29" s="289"/>
      <c r="HAD29" s="289"/>
      <c r="HAE29" s="289"/>
      <c r="HAF29" s="289"/>
      <c r="HAG29" s="289"/>
      <c r="HAH29" s="289"/>
      <c r="HAI29" s="289"/>
      <c r="HAJ29" s="289"/>
      <c r="HAK29" s="289"/>
      <c r="HAL29" s="289"/>
      <c r="HAM29" s="289"/>
      <c r="HAN29" s="289"/>
      <c r="HAO29" s="289"/>
      <c r="HAP29" s="289"/>
      <c r="HAQ29" s="289"/>
      <c r="HAR29" s="289"/>
      <c r="HAS29" s="289"/>
      <c r="HAT29" s="289"/>
      <c r="HAU29" s="289"/>
      <c r="HAV29" s="289"/>
      <c r="HAW29" s="289"/>
      <c r="HAX29" s="289"/>
      <c r="HAY29" s="289"/>
      <c r="HAZ29" s="289"/>
      <c r="HBA29" s="289"/>
      <c r="HBB29" s="289"/>
      <c r="HBC29" s="289"/>
      <c r="HBD29" s="289"/>
      <c r="HBE29" s="289"/>
      <c r="HBF29" s="289"/>
      <c r="HBG29" s="289"/>
      <c r="HBH29" s="289"/>
      <c r="HBI29" s="289"/>
      <c r="HBJ29" s="289"/>
      <c r="HBK29" s="289"/>
      <c r="HBL29" s="289"/>
      <c r="HBM29" s="289"/>
      <c r="HBN29" s="289"/>
      <c r="HBO29" s="289"/>
      <c r="HBP29" s="289"/>
      <c r="HBQ29" s="289"/>
      <c r="HBR29" s="289"/>
      <c r="HBS29" s="289"/>
      <c r="HBT29" s="289"/>
      <c r="HBU29" s="289"/>
      <c r="HBV29" s="289"/>
      <c r="HBW29" s="289"/>
      <c r="HBX29" s="289"/>
      <c r="HBY29" s="289"/>
      <c r="HBZ29" s="289"/>
      <c r="HCA29" s="289"/>
      <c r="HCB29" s="289"/>
      <c r="HCC29" s="289"/>
      <c r="HCD29" s="289"/>
      <c r="HCE29" s="289"/>
      <c r="HCF29" s="289"/>
      <c r="HCG29" s="289"/>
      <c r="HCH29" s="289"/>
      <c r="HCI29" s="289"/>
      <c r="HCJ29" s="289"/>
      <c r="HCK29" s="289"/>
      <c r="HCL29" s="289"/>
      <c r="HCM29" s="289"/>
      <c r="HCN29" s="289"/>
      <c r="HCO29" s="289"/>
      <c r="HCP29" s="289"/>
      <c r="HCQ29" s="289"/>
      <c r="HCR29" s="289"/>
      <c r="HCS29" s="289"/>
      <c r="HCT29" s="289"/>
      <c r="HCU29" s="289"/>
      <c r="HCV29" s="289"/>
      <c r="HCW29" s="289"/>
      <c r="HCX29" s="289"/>
      <c r="HCY29" s="289"/>
      <c r="HCZ29" s="289"/>
      <c r="HDA29" s="289"/>
      <c r="HDB29" s="289"/>
      <c r="HDC29" s="289"/>
      <c r="HDD29" s="289"/>
      <c r="HDE29" s="289"/>
      <c r="HDF29" s="289"/>
      <c r="HDG29" s="289"/>
      <c r="HDH29" s="289"/>
      <c r="HDI29" s="289"/>
      <c r="HDJ29" s="289"/>
      <c r="HDK29" s="289"/>
      <c r="HDL29" s="289"/>
      <c r="HDM29" s="289"/>
      <c r="HDN29" s="289"/>
      <c r="HDO29" s="289"/>
      <c r="HDP29" s="289"/>
      <c r="HDQ29" s="289"/>
      <c r="HDR29" s="289"/>
      <c r="HDS29" s="289"/>
      <c r="HDT29" s="289"/>
      <c r="HDU29" s="289"/>
      <c r="HDV29" s="289"/>
      <c r="HDW29" s="289"/>
      <c r="HDX29" s="289"/>
      <c r="HDY29" s="289"/>
      <c r="HDZ29" s="289"/>
      <c r="HEA29" s="289"/>
      <c r="HEB29" s="289"/>
      <c r="HEC29" s="289"/>
      <c r="HED29" s="289"/>
      <c r="HEE29" s="289"/>
      <c r="HEF29" s="289"/>
      <c r="HEG29" s="289"/>
      <c r="HEH29" s="289"/>
      <c r="HEI29" s="289"/>
      <c r="HEJ29" s="289"/>
      <c r="HEK29" s="289"/>
      <c r="HEL29" s="289"/>
      <c r="HEM29" s="289"/>
      <c r="HEN29" s="289"/>
      <c r="HEO29" s="289"/>
      <c r="HEP29" s="289"/>
      <c r="HEQ29" s="289"/>
      <c r="HER29" s="289"/>
      <c r="HES29" s="289"/>
      <c r="HET29" s="289"/>
      <c r="HEU29" s="289"/>
      <c r="HEV29" s="289"/>
      <c r="HEW29" s="289"/>
      <c r="HEX29" s="289"/>
      <c r="HEY29" s="289"/>
      <c r="HEZ29" s="289"/>
      <c r="HFA29" s="289"/>
      <c r="HFB29" s="289"/>
      <c r="HFC29" s="289"/>
      <c r="HFD29" s="289"/>
      <c r="HFE29" s="289"/>
      <c r="HFF29" s="289"/>
      <c r="HFG29" s="289"/>
      <c r="HFH29" s="289"/>
      <c r="HFI29" s="289"/>
      <c r="HFJ29" s="289"/>
      <c r="HFK29" s="289"/>
      <c r="HFL29" s="289"/>
      <c r="HFM29" s="289"/>
      <c r="HFN29" s="289"/>
      <c r="HFO29" s="289"/>
      <c r="HFP29" s="289"/>
      <c r="HFQ29" s="289"/>
      <c r="HFR29" s="289"/>
      <c r="HFS29" s="289"/>
      <c r="HFT29" s="289"/>
      <c r="HFU29" s="289"/>
      <c r="HFV29" s="289"/>
      <c r="HFW29" s="289"/>
      <c r="HFX29" s="289"/>
      <c r="HFY29" s="289"/>
      <c r="HFZ29" s="289"/>
      <c r="HGA29" s="289"/>
      <c r="HGB29" s="289"/>
      <c r="HGC29" s="289"/>
      <c r="HGD29" s="289"/>
      <c r="HGE29" s="289"/>
      <c r="HGF29" s="289"/>
      <c r="HGG29" s="289"/>
      <c r="HGH29" s="289"/>
      <c r="HGI29" s="289"/>
      <c r="HGJ29" s="289"/>
      <c r="HGK29" s="289"/>
      <c r="HGL29" s="289"/>
      <c r="HGM29" s="289"/>
      <c r="HGN29" s="289"/>
      <c r="HGO29" s="289"/>
      <c r="HGP29" s="289"/>
      <c r="HGQ29" s="289"/>
      <c r="HGR29" s="289"/>
      <c r="HGS29" s="289"/>
      <c r="HGT29" s="289"/>
      <c r="HGU29" s="289"/>
      <c r="HGV29" s="289"/>
      <c r="HGW29" s="289"/>
      <c r="HGX29" s="289"/>
      <c r="HGY29" s="289"/>
      <c r="HGZ29" s="289"/>
      <c r="HHA29" s="289"/>
      <c r="HHB29" s="289"/>
      <c r="HHC29" s="289"/>
      <c r="HHD29" s="289"/>
      <c r="HHE29" s="289"/>
      <c r="HHF29" s="289"/>
      <c r="HHG29" s="289"/>
      <c r="HHH29" s="289"/>
      <c r="HHI29" s="289"/>
      <c r="HHJ29" s="289"/>
      <c r="HHK29" s="289"/>
      <c r="HHL29" s="289"/>
      <c r="HHM29" s="289"/>
      <c r="HHN29" s="289"/>
      <c r="HHO29" s="289"/>
      <c r="HHP29" s="289"/>
      <c r="HHQ29" s="289"/>
      <c r="HHR29" s="289"/>
      <c r="HHS29" s="289"/>
      <c r="HHT29" s="289"/>
      <c r="HHU29" s="289"/>
      <c r="HHV29" s="289"/>
      <c r="HHW29" s="289"/>
      <c r="HHX29" s="289"/>
      <c r="HHY29" s="289"/>
      <c r="HHZ29" s="289"/>
      <c r="HIA29" s="289"/>
      <c r="HIB29" s="289"/>
      <c r="HIC29" s="289"/>
      <c r="HID29" s="289"/>
      <c r="HIE29" s="289"/>
      <c r="HIF29" s="289"/>
      <c r="HIG29" s="289"/>
      <c r="HIH29" s="289"/>
      <c r="HII29" s="289"/>
      <c r="HIJ29" s="289"/>
      <c r="HIK29" s="289"/>
      <c r="HIL29" s="289"/>
      <c r="HIM29" s="289"/>
      <c r="HIN29" s="289"/>
      <c r="HIO29" s="289"/>
      <c r="HIP29" s="289"/>
      <c r="HIQ29" s="289"/>
      <c r="HIR29" s="289"/>
      <c r="HIS29" s="289"/>
      <c r="HIT29" s="289"/>
      <c r="HIU29" s="289"/>
      <c r="HIV29" s="289"/>
      <c r="HIW29" s="289"/>
      <c r="HIX29" s="289"/>
      <c r="HIY29" s="289"/>
      <c r="HIZ29" s="289"/>
      <c r="HJA29" s="289"/>
      <c r="HJB29" s="289"/>
      <c r="HJC29" s="289"/>
      <c r="HJD29" s="289"/>
      <c r="HJE29" s="289"/>
      <c r="HJF29" s="289"/>
      <c r="HJG29" s="289"/>
      <c r="HJH29" s="289"/>
      <c r="HJI29" s="289"/>
      <c r="HJJ29" s="289"/>
      <c r="HJK29" s="289"/>
      <c r="HJL29" s="289"/>
      <c r="HJM29" s="289"/>
      <c r="HJN29" s="289"/>
      <c r="HJO29" s="289"/>
      <c r="HJP29" s="289"/>
      <c r="HJQ29" s="289"/>
      <c r="HJR29" s="289"/>
      <c r="HJS29" s="289"/>
      <c r="HJT29" s="289"/>
      <c r="HJU29" s="289"/>
      <c r="HJV29" s="289"/>
      <c r="HJW29" s="289"/>
      <c r="HJX29" s="289"/>
      <c r="HJY29" s="289"/>
      <c r="HJZ29" s="289"/>
      <c r="HKA29" s="289"/>
      <c r="HKB29" s="289"/>
      <c r="HKC29" s="289"/>
      <c r="HKD29" s="289"/>
      <c r="HKE29" s="289"/>
      <c r="HKF29" s="289"/>
      <c r="HKG29" s="289"/>
      <c r="HKH29" s="289"/>
      <c r="HKI29" s="289"/>
      <c r="HKJ29" s="289"/>
      <c r="HKK29" s="289"/>
      <c r="HKL29" s="289"/>
      <c r="HKM29" s="289"/>
      <c r="HKN29" s="289"/>
      <c r="HKO29" s="289"/>
      <c r="HKP29" s="289"/>
      <c r="HKQ29" s="289"/>
      <c r="HKR29" s="289"/>
      <c r="HKS29" s="289"/>
      <c r="HKT29" s="289"/>
      <c r="HKU29" s="289"/>
      <c r="HKV29" s="289"/>
      <c r="HKW29" s="289"/>
      <c r="HKX29" s="289"/>
      <c r="HKY29" s="289"/>
      <c r="HKZ29" s="289"/>
      <c r="HLA29" s="289"/>
      <c r="HLB29" s="289"/>
      <c r="HLC29" s="289"/>
      <c r="HLD29" s="289"/>
      <c r="HLE29" s="289"/>
      <c r="HLF29" s="289"/>
      <c r="HLG29" s="289"/>
      <c r="HLH29" s="289"/>
      <c r="HLI29" s="289"/>
      <c r="HLJ29" s="289"/>
      <c r="HLK29" s="289"/>
      <c r="HLL29" s="289"/>
      <c r="HLM29" s="289"/>
      <c r="HLN29" s="289"/>
      <c r="HLO29" s="289"/>
      <c r="HLP29" s="289"/>
      <c r="HLQ29" s="289"/>
      <c r="HLR29" s="289"/>
      <c r="HLS29" s="289"/>
      <c r="HLT29" s="289"/>
      <c r="HLU29" s="289"/>
      <c r="HLV29" s="289"/>
      <c r="HLW29" s="289"/>
      <c r="HLX29" s="289"/>
      <c r="HLY29" s="289"/>
      <c r="HLZ29" s="289"/>
      <c r="HMA29" s="289"/>
      <c r="HMB29" s="289"/>
      <c r="HMC29" s="289"/>
      <c r="HMD29" s="289"/>
      <c r="HME29" s="289"/>
      <c r="HMF29" s="289"/>
      <c r="HMG29" s="289"/>
      <c r="HMH29" s="289"/>
      <c r="HMI29" s="289"/>
      <c r="HMJ29" s="289"/>
      <c r="HMK29" s="289"/>
      <c r="HML29" s="289"/>
      <c r="HMM29" s="289"/>
      <c r="HMN29" s="289"/>
      <c r="HMO29" s="289"/>
      <c r="HMP29" s="289"/>
      <c r="HMQ29" s="289"/>
      <c r="HMR29" s="289"/>
      <c r="HMS29" s="289"/>
      <c r="HMT29" s="289"/>
      <c r="HMU29" s="289"/>
      <c r="HMV29" s="289"/>
      <c r="HMW29" s="289"/>
      <c r="HMX29" s="289"/>
      <c r="HMY29" s="289"/>
      <c r="HMZ29" s="289"/>
      <c r="HNA29" s="289"/>
      <c r="HNB29" s="289"/>
      <c r="HNC29" s="289"/>
      <c r="HND29" s="289"/>
      <c r="HNE29" s="289"/>
      <c r="HNF29" s="289"/>
      <c r="HNG29" s="289"/>
      <c r="HNH29" s="289"/>
      <c r="HNI29" s="289"/>
      <c r="HNJ29" s="289"/>
      <c r="HNK29" s="289"/>
      <c r="HNL29" s="289"/>
      <c r="HNM29" s="289"/>
      <c r="HNN29" s="289"/>
      <c r="HNO29" s="289"/>
      <c r="HNP29" s="289"/>
      <c r="HNQ29" s="289"/>
      <c r="HNR29" s="289"/>
      <c r="HNS29" s="289"/>
      <c r="HNT29" s="289"/>
      <c r="HNU29" s="289"/>
      <c r="HNV29" s="289"/>
      <c r="HNW29" s="289"/>
      <c r="HNX29" s="289"/>
      <c r="HNY29" s="289"/>
      <c r="HNZ29" s="289"/>
      <c r="HOA29" s="289"/>
      <c r="HOB29" s="289"/>
      <c r="HOC29" s="289"/>
      <c r="HOD29" s="289"/>
      <c r="HOE29" s="289"/>
      <c r="HOF29" s="289"/>
      <c r="HOG29" s="289"/>
      <c r="HOH29" s="289"/>
      <c r="HOI29" s="289"/>
      <c r="HOJ29" s="289"/>
      <c r="HOK29" s="289"/>
      <c r="HOL29" s="289"/>
      <c r="HOM29" s="289"/>
      <c r="HON29" s="289"/>
      <c r="HOO29" s="289"/>
      <c r="HOP29" s="289"/>
      <c r="HOQ29" s="289"/>
      <c r="HOR29" s="289"/>
      <c r="HOS29" s="289"/>
      <c r="HOT29" s="289"/>
      <c r="HOU29" s="289"/>
      <c r="HOV29" s="289"/>
      <c r="HOW29" s="289"/>
      <c r="HOX29" s="289"/>
      <c r="HOY29" s="289"/>
      <c r="HOZ29" s="289"/>
      <c r="HPA29" s="289"/>
      <c r="HPB29" s="289"/>
      <c r="HPC29" s="289"/>
      <c r="HPD29" s="289"/>
      <c r="HPE29" s="289"/>
      <c r="HPF29" s="289"/>
      <c r="HPG29" s="289"/>
      <c r="HPH29" s="289"/>
      <c r="HPI29" s="289"/>
      <c r="HPJ29" s="289"/>
      <c r="HPK29" s="289"/>
      <c r="HPL29" s="289"/>
      <c r="HPM29" s="289"/>
      <c r="HPN29" s="289"/>
      <c r="HPO29" s="289"/>
      <c r="HPP29" s="289"/>
      <c r="HPQ29" s="289"/>
      <c r="HPR29" s="289"/>
      <c r="HPS29" s="289"/>
      <c r="HPT29" s="289"/>
      <c r="HPU29" s="289"/>
      <c r="HPV29" s="289"/>
      <c r="HPW29" s="289"/>
      <c r="HPX29" s="289"/>
      <c r="HPY29" s="289"/>
      <c r="HPZ29" s="289"/>
      <c r="HQA29" s="289"/>
      <c r="HQB29" s="289"/>
      <c r="HQC29" s="289"/>
      <c r="HQD29" s="289"/>
      <c r="HQE29" s="289"/>
      <c r="HQF29" s="289"/>
      <c r="HQG29" s="289"/>
      <c r="HQH29" s="289"/>
      <c r="HQI29" s="289"/>
      <c r="HQJ29" s="289"/>
      <c r="HQK29" s="289"/>
      <c r="HQL29" s="289"/>
      <c r="HQM29" s="289"/>
      <c r="HQN29" s="289"/>
      <c r="HQO29" s="289"/>
      <c r="HQP29" s="289"/>
      <c r="HQQ29" s="289"/>
      <c r="HQR29" s="289"/>
      <c r="HQS29" s="289"/>
      <c r="HQT29" s="289"/>
      <c r="HQU29" s="289"/>
      <c r="HQV29" s="289"/>
      <c r="HQW29" s="289"/>
      <c r="HQX29" s="289"/>
      <c r="HQY29" s="289"/>
      <c r="HQZ29" s="289"/>
      <c r="HRA29" s="289"/>
      <c r="HRB29" s="289"/>
      <c r="HRC29" s="289"/>
      <c r="HRD29" s="289"/>
      <c r="HRE29" s="289"/>
      <c r="HRF29" s="289"/>
      <c r="HRG29" s="289"/>
      <c r="HRH29" s="289"/>
      <c r="HRI29" s="289"/>
      <c r="HRJ29" s="289"/>
      <c r="HRK29" s="289"/>
      <c r="HRL29" s="289"/>
      <c r="HRM29" s="289"/>
      <c r="HRN29" s="289"/>
      <c r="HRO29" s="289"/>
      <c r="HRP29" s="289"/>
      <c r="HRQ29" s="289"/>
      <c r="HRR29" s="289"/>
      <c r="HRS29" s="289"/>
      <c r="HRT29" s="289"/>
      <c r="HRU29" s="289"/>
      <c r="HRV29" s="289"/>
      <c r="HRW29" s="289"/>
      <c r="HRX29" s="289"/>
      <c r="HRY29" s="289"/>
      <c r="HRZ29" s="289"/>
      <c r="HSA29" s="289"/>
      <c r="HSB29" s="289"/>
      <c r="HSC29" s="289"/>
      <c r="HSD29" s="289"/>
      <c r="HSE29" s="289"/>
      <c r="HSF29" s="289"/>
      <c r="HSG29" s="289"/>
      <c r="HSH29" s="289"/>
      <c r="HSI29" s="289"/>
      <c r="HSJ29" s="289"/>
      <c r="HSK29" s="289"/>
      <c r="HSL29" s="289"/>
      <c r="HSM29" s="289"/>
      <c r="HSN29" s="289"/>
      <c r="HSO29" s="289"/>
      <c r="HSP29" s="289"/>
      <c r="HSQ29" s="289"/>
      <c r="HSR29" s="289"/>
      <c r="HSS29" s="289"/>
      <c r="HST29" s="289"/>
      <c r="HSU29" s="289"/>
      <c r="HSV29" s="289"/>
      <c r="HSW29" s="289"/>
      <c r="HSX29" s="289"/>
      <c r="HSY29" s="289"/>
      <c r="HSZ29" s="289"/>
      <c r="HTA29" s="289"/>
      <c r="HTB29" s="289"/>
      <c r="HTC29" s="289"/>
      <c r="HTD29" s="289"/>
      <c r="HTE29" s="289"/>
      <c r="HTF29" s="289"/>
      <c r="HTG29" s="289"/>
      <c r="HTH29" s="289"/>
      <c r="HTI29" s="289"/>
      <c r="HTJ29" s="289"/>
      <c r="HTK29" s="289"/>
      <c r="HTL29" s="289"/>
      <c r="HTM29" s="289"/>
      <c r="HTN29" s="289"/>
      <c r="HTO29" s="289"/>
      <c r="HTP29" s="289"/>
      <c r="HTQ29" s="289"/>
      <c r="HTR29" s="289"/>
      <c r="HTS29" s="289"/>
      <c r="HTT29" s="289"/>
      <c r="HTU29" s="289"/>
      <c r="HTV29" s="289"/>
      <c r="HTW29" s="289"/>
      <c r="HTX29" s="289"/>
      <c r="HTY29" s="289"/>
      <c r="HTZ29" s="289"/>
      <c r="HUA29" s="289"/>
      <c r="HUB29" s="289"/>
      <c r="HUC29" s="289"/>
      <c r="HUD29" s="289"/>
      <c r="HUE29" s="289"/>
      <c r="HUF29" s="289"/>
      <c r="HUG29" s="289"/>
      <c r="HUH29" s="289"/>
      <c r="HUI29" s="289"/>
      <c r="HUJ29" s="289"/>
      <c r="HUK29" s="289"/>
      <c r="HUL29" s="289"/>
      <c r="HUM29" s="289"/>
      <c r="HUN29" s="289"/>
      <c r="HUO29" s="289"/>
      <c r="HUP29" s="289"/>
      <c r="HUQ29" s="289"/>
      <c r="HUR29" s="289"/>
      <c r="HUS29" s="289"/>
      <c r="HUT29" s="289"/>
      <c r="HUU29" s="289"/>
      <c r="HUV29" s="289"/>
      <c r="HUW29" s="289"/>
      <c r="HUX29" s="289"/>
      <c r="HUY29" s="289"/>
      <c r="HUZ29" s="289"/>
      <c r="HVA29" s="289"/>
      <c r="HVB29" s="289"/>
      <c r="HVC29" s="289"/>
      <c r="HVD29" s="289"/>
      <c r="HVE29" s="289"/>
      <c r="HVF29" s="289"/>
      <c r="HVG29" s="289"/>
      <c r="HVH29" s="289"/>
      <c r="HVI29" s="289"/>
      <c r="HVJ29" s="289"/>
      <c r="HVK29" s="289"/>
      <c r="HVL29" s="289"/>
      <c r="HVM29" s="289"/>
      <c r="HVN29" s="289"/>
      <c r="HVO29" s="289"/>
      <c r="HVP29" s="289"/>
      <c r="HVQ29" s="289"/>
      <c r="HVR29" s="289"/>
      <c r="HVS29" s="289"/>
      <c r="HVT29" s="289"/>
      <c r="HVU29" s="289"/>
      <c r="HVV29" s="289"/>
      <c r="HVW29" s="289"/>
      <c r="HVX29" s="289"/>
      <c r="HVY29" s="289"/>
      <c r="HVZ29" s="289"/>
      <c r="HWA29" s="289"/>
      <c r="HWB29" s="289"/>
      <c r="HWC29" s="289"/>
      <c r="HWD29" s="289"/>
      <c r="HWE29" s="289"/>
      <c r="HWF29" s="289"/>
      <c r="HWG29" s="289"/>
      <c r="HWH29" s="289"/>
      <c r="HWI29" s="289"/>
      <c r="HWJ29" s="289"/>
      <c r="HWK29" s="289"/>
      <c r="HWL29" s="289"/>
      <c r="HWM29" s="289"/>
      <c r="HWN29" s="289"/>
      <c r="HWO29" s="289"/>
      <c r="HWP29" s="289"/>
      <c r="HWQ29" s="289"/>
      <c r="HWR29" s="289"/>
      <c r="HWS29" s="289"/>
      <c r="HWT29" s="289"/>
      <c r="HWU29" s="289"/>
      <c r="HWV29" s="289"/>
      <c r="HWW29" s="289"/>
      <c r="HWX29" s="289"/>
      <c r="HWY29" s="289"/>
      <c r="HWZ29" s="289"/>
      <c r="HXA29" s="289"/>
      <c r="HXB29" s="289"/>
      <c r="HXC29" s="289"/>
      <c r="HXD29" s="289"/>
      <c r="HXE29" s="289"/>
      <c r="HXF29" s="289"/>
      <c r="HXG29" s="289"/>
      <c r="HXH29" s="289"/>
      <c r="HXI29" s="289"/>
      <c r="HXJ29" s="289"/>
      <c r="HXK29" s="289"/>
      <c r="HXL29" s="289"/>
      <c r="HXM29" s="289"/>
      <c r="HXN29" s="289"/>
      <c r="HXO29" s="289"/>
      <c r="HXP29" s="289"/>
      <c r="HXQ29" s="289"/>
      <c r="HXR29" s="289"/>
      <c r="HXS29" s="289"/>
      <c r="HXT29" s="289"/>
      <c r="HXU29" s="289"/>
      <c r="HXV29" s="289"/>
      <c r="HXW29" s="289"/>
      <c r="HXX29" s="289"/>
      <c r="HXY29" s="289"/>
      <c r="HXZ29" s="289"/>
      <c r="HYA29" s="289"/>
      <c r="HYB29" s="289"/>
      <c r="HYC29" s="289"/>
      <c r="HYD29" s="289"/>
      <c r="HYE29" s="289"/>
      <c r="HYF29" s="289"/>
      <c r="HYG29" s="289"/>
      <c r="HYH29" s="289"/>
      <c r="HYI29" s="289"/>
      <c r="HYJ29" s="289"/>
      <c r="HYK29" s="289"/>
      <c r="HYL29" s="289"/>
      <c r="HYM29" s="289"/>
      <c r="HYN29" s="289"/>
      <c r="HYO29" s="289"/>
      <c r="HYP29" s="289"/>
      <c r="HYQ29" s="289"/>
      <c r="HYR29" s="289"/>
      <c r="HYS29" s="289"/>
      <c r="HYT29" s="289"/>
      <c r="HYU29" s="289"/>
      <c r="HYV29" s="289"/>
      <c r="HYW29" s="289"/>
      <c r="HYX29" s="289"/>
      <c r="HYY29" s="289"/>
      <c r="HYZ29" s="289"/>
      <c r="HZA29" s="289"/>
      <c r="HZB29" s="289"/>
      <c r="HZC29" s="289"/>
      <c r="HZD29" s="289"/>
      <c r="HZE29" s="289"/>
      <c r="HZF29" s="289"/>
      <c r="HZG29" s="289"/>
      <c r="HZH29" s="289"/>
      <c r="HZI29" s="289"/>
      <c r="HZJ29" s="289"/>
      <c r="HZK29" s="289"/>
      <c r="HZL29" s="289"/>
      <c r="HZM29" s="289"/>
      <c r="HZN29" s="289"/>
      <c r="HZO29" s="289"/>
      <c r="HZP29" s="289"/>
      <c r="HZQ29" s="289"/>
      <c r="HZR29" s="289"/>
      <c r="HZS29" s="289"/>
      <c r="HZT29" s="289"/>
      <c r="HZU29" s="289"/>
      <c r="HZV29" s="289"/>
      <c r="HZW29" s="289"/>
      <c r="HZX29" s="289"/>
      <c r="HZY29" s="289"/>
      <c r="HZZ29" s="289"/>
      <c r="IAA29" s="289"/>
      <c r="IAB29" s="289"/>
      <c r="IAC29" s="289"/>
      <c r="IAD29" s="289"/>
      <c r="IAE29" s="289"/>
      <c r="IAF29" s="289"/>
      <c r="IAG29" s="289"/>
      <c r="IAH29" s="289"/>
      <c r="IAI29" s="289"/>
      <c r="IAJ29" s="289"/>
      <c r="IAK29" s="289"/>
      <c r="IAL29" s="289"/>
      <c r="IAM29" s="289"/>
      <c r="IAN29" s="289"/>
      <c r="IAO29" s="289"/>
      <c r="IAP29" s="289"/>
      <c r="IAQ29" s="289"/>
      <c r="IAR29" s="289"/>
      <c r="IAS29" s="289"/>
      <c r="IAT29" s="289"/>
      <c r="IAU29" s="289"/>
      <c r="IAV29" s="289"/>
      <c r="IAW29" s="289"/>
      <c r="IAX29" s="289"/>
      <c r="IAY29" s="289"/>
      <c r="IAZ29" s="289"/>
      <c r="IBA29" s="289"/>
      <c r="IBB29" s="289"/>
      <c r="IBC29" s="289"/>
      <c r="IBD29" s="289"/>
      <c r="IBE29" s="289"/>
      <c r="IBF29" s="289"/>
      <c r="IBG29" s="289"/>
      <c r="IBH29" s="289"/>
      <c r="IBI29" s="289"/>
      <c r="IBJ29" s="289"/>
      <c r="IBK29" s="289"/>
      <c r="IBL29" s="289"/>
      <c r="IBM29" s="289"/>
      <c r="IBN29" s="289"/>
      <c r="IBO29" s="289"/>
      <c r="IBP29" s="289"/>
      <c r="IBQ29" s="289"/>
      <c r="IBR29" s="289"/>
      <c r="IBS29" s="289"/>
      <c r="IBT29" s="289"/>
      <c r="IBU29" s="289"/>
      <c r="IBV29" s="289"/>
      <c r="IBW29" s="289"/>
      <c r="IBX29" s="289"/>
      <c r="IBY29" s="289"/>
      <c r="IBZ29" s="289"/>
      <c r="ICA29" s="289"/>
      <c r="ICB29" s="289"/>
      <c r="ICC29" s="289"/>
      <c r="ICD29" s="289"/>
      <c r="ICE29" s="289"/>
      <c r="ICF29" s="289"/>
      <c r="ICG29" s="289"/>
      <c r="ICH29" s="289"/>
      <c r="ICI29" s="289"/>
      <c r="ICJ29" s="289"/>
      <c r="ICK29" s="289"/>
      <c r="ICL29" s="289"/>
      <c r="ICM29" s="289"/>
      <c r="ICN29" s="289"/>
      <c r="ICO29" s="289"/>
      <c r="ICP29" s="289"/>
      <c r="ICQ29" s="289"/>
      <c r="ICR29" s="289"/>
      <c r="ICS29" s="289"/>
      <c r="ICT29" s="289"/>
      <c r="ICU29" s="289"/>
      <c r="ICV29" s="289"/>
      <c r="ICW29" s="289"/>
      <c r="ICX29" s="289"/>
      <c r="ICY29" s="289"/>
      <c r="ICZ29" s="289"/>
      <c r="IDA29" s="289"/>
      <c r="IDB29" s="289"/>
      <c r="IDC29" s="289"/>
      <c r="IDD29" s="289"/>
      <c r="IDE29" s="289"/>
      <c r="IDF29" s="289"/>
      <c r="IDG29" s="289"/>
      <c r="IDH29" s="289"/>
      <c r="IDI29" s="289"/>
      <c r="IDJ29" s="289"/>
      <c r="IDK29" s="289"/>
      <c r="IDL29" s="289"/>
      <c r="IDM29" s="289"/>
      <c r="IDN29" s="289"/>
      <c r="IDO29" s="289"/>
      <c r="IDP29" s="289"/>
      <c r="IDQ29" s="289"/>
      <c r="IDR29" s="289"/>
      <c r="IDS29" s="289"/>
      <c r="IDT29" s="289"/>
      <c r="IDU29" s="289"/>
      <c r="IDV29" s="289"/>
      <c r="IDW29" s="289"/>
      <c r="IDX29" s="289"/>
      <c r="IDY29" s="289"/>
      <c r="IDZ29" s="289"/>
      <c r="IEA29" s="289"/>
      <c r="IEB29" s="289"/>
      <c r="IEC29" s="289"/>
      <c r="IED29" s="289"/>
      <c r="IEE29" s="289"/>
      <c r="IEF29" s="289"/>
      <c r="IEG29" s="289"/>
      <c r="IEH29" s="289"/>
      <c r="IEI29" s="289"/>
      <c r="IEJ29" s="289"/>
      <c r="IEK29" s="289"/>
      <c r="IEL29" s="289"/>
      <c r="IEM29" s="289"/>
      <c r="IEN29" s="289"/>
      <c r="IEO29" s="289"/>
      <c r="IEP29" s="289"/>
      <c r="IEQ29" s="289"/>
      <c r="IER29" s="289"/>
      <c r="IES29" s="289"/>
      <c r="IET29" s="289"/>
      <c r="IEU29" s="289"/>
      <c r="IEV29" s="289"/>
      <c r="IEW29" s="289"/>
      <c r="IEX29" s="289"/>
      <c r="IEY29" s="289"/>
      <c r="IEZ29" s="289"/>
      <c r="IFA29" s="289"/>
      <c r="IFB29" s="289"/>
      <c r="IFC29" s="289"/>
      <c r="IFD29" s="289"/>
      <c r="IFE29" s="289"/>
      <c r="IFF29" s="289"/>
      <c r="IFG29" s="289"/>
      <c r="IFH29" s="289"/>
      <c r="IFI29" s="289"/>
      <c r="IFJ29" s="289"/>
      <c r="IFK29" s="289"/>
      <c r="IFL29" s="289"/>
      <c r="IFM29" s="289"/>
      <c r="IFN29" s="289"/>
      <c r="IFO29" s="289"/>
      <c r="IFP29" s="289"/>
      <c r="IFQ29" s="289"/>
      <c r="IFR29" s="289"/>
      <c r="IFS29" s="289"/>
      <c r="IFT29" s="289"/>
      <c r="IFU29" s="289"/>
      <c r="IFV29" s="289"/>
      <c r="IFW29" s="289"/>
      <c r="IFX29" s="289"/>
      <c r="IFY29" s="289"/>
      <c r="IFZ29" s="289"/>
      <c r="IGA29" s="289"/>
      <c r="IGB29" s="289"/>
      <c r="IGC29" s="289"/>
      <c r="IGD29" s="289"/>
      <c r="IGE29" s="289"/>
      <c r="IGF29" s="289"/>
      <c r="IGG29" s="289"/>
      <c r="IGH29" s="289"/>
      <c r="IGI29" s="289"/>
      <c r="IGJ29" s="289"/>
      <c r="IGK29" s="289"/>
      <c r="IGL29" s="289"/>
      <c r="IGM29" s="289"/>
      <c r="IGN29" s="289"/>
      <c r="IGO29" s="289"/>
      <c r="IGP29" s="289"/>
      <c r="IGQ29" s="289"/>
      <c r="IGR29" s="289"/>
      <c r="IGS29" s="289"/>
      <c r="IGT29" s="289"/>
      <c r="IGU29" s="289"/>
      <c r="IGV29" s="289"/>
      <c r="IGW29" s="289"/>
      <c r="IGX29" s="289"/>
      <c r="IGY29" s="289"/>
      <c r="IGZ29" s="289"/>
      <c r="IHA29" s="289"/>
      <c r="IHB29" s="289"/>
      <c r="IHC29" s="289"/>
      <c r="IHD29" s="289"/>
      <c r="IHE29" s="289"/>
      <c r="IHF29" s="289"/>
      <c r="IHG29" s="289"/>
      <c r="IHH29" s="289"/>
      <c r="IHI29" s="289"/>
      <c r="IHJ29" s="289"/>
      <c r="IHK29" s="289"/>
      <c r="IHL29" s="289"/>
      <c r="IHM29" s="289"/>
      <c r="IHN29" s="289"/>
      <c r="IHO29" s="289"/>
      <c r="IHP29" s="289"/>
      <c r="IHQ29" s="289"/>
      <c r="IHR29" s="289"/>
      <c r="IHS29" s="289"/>
      <c r="IHT29" s="289"/>
      <c r="IHU29" s="289"/>
      <c r="IHV29" s="289"/>
      <c r="IHW29" s="289"/>
      <c r="IHX29" s="289"/>
      <c r="IHY29" s="289"/>
      <c r="IHZ29" s="289"/>
      <c r="IIA29" s="289"/>
      <c r="IIB29" s="289"/>
      <c r="IIC29" s="289"/>
      <c r="IID29" s="289"/>
      <c r="IIE29" s="289"/>
      <c r="IIF29" s="289"/>
      <c r="IIG29" s="289"/>
      <c r="IIH29" s="289"/>
      <c r="III29" s="289"/>
      <c r="IIJ29" s="289"/>
      <c r="IIK29" s="289"/>
      <c r="IIL29" s="289"/>
      <c r="IIM29" s="289"/>
      <c r="IIN29" s="289"/>
      <c r="IIO29" s="289"/>
      <c r="IIP29" s="289"/>
      <c r="IIQ29" s="289"/>
      <c r="IIR29" s="289"/>
      <c r="IIS29" s="289"/>
      <c r="IIT29" s="289"/>
      <c r="IIU29" s="289"/>
      <c r="IIV29" s="289"/>
      <c r="IIW29" s="289"/>
      <c r="IIX29" s="289"/>
      <c r="IIY29" s="289"/>
      <c r="IIZ29" s="289"/>
      <c r="IJA29" s="289"/>
      <c r="IJB29" s="289"/>
      <c r="IJC29" s="289"/>
      <c r="IJD29" s="289"/>
      <c r="IJE29" s="289"/>
      <c r="IJF29" s="289"/>
      <c r="IJG29" s="289"/>
      <c r="IJH29" s="289"/>
      <c r="IJI29" s="289"/>
      <c r="IJJ29" s="289"/>
      <c r="IJK29" s="289"/>
      <c r="IJL29" s="289"/>
      <c r="IJM29" s="289"/>
      <c r="IJN29" s="289"/>
      <c r="IJO29" s="289"/>
      <c r="IJP29" s="289"/>
      <c r="IJQ29" s="289"/>
      <c r="IJR29" s="289"/>
      <c r="IJS29" s="289"/>
      <c r="IJT29" s="289"/>
      <c r="IJU29" s="289"/>
      <c r="IJV29" s="289"/>
      <c r="IJW29" s="289"/>
      <c r="IJX29" s="289"/>
      <c r="IJY29" s="289"/>
      <c r="IJZ29" s="289"/>
      <c r="IKA29" s="289"/>
      <c r="IKB29" s="289"/>
      <c r="IKC29" s="289"/>
      <c r="IKD29" s="289"/>
      <c r="IKE29" s="289"/>
      <c r="IKF29" s="289"/>
      <c r="IKG29" s="289"/>
      <c r="IKH29" s="289"/>
      <c r="IKI29" s="289"/>
      <c r="IKJ29" s="289"/>
      <c r="IKK29" s="289"/>
      <c r="IKL29" s="289"/>
      <c r="IKM29" s="289"/>
      <c r="IKN29" s="289"/>
      <c r="IKO29" s="289"/>
      <c r="IKP29" s="289"/>
      <c r="IKQ29" s="289"/>
      <c r="IKR29" s="289"/>
      <c r="IKS29" s="289"/>
      <c r="IKT29" s="289"/>
      <c r="IKU29" s="289"/>
      <c r="IKV29" s="289"/>
      <c r="IKW29" s="289"/>
      <c r="IKX29" s="289"/>
      <c r="IKY29" s="289"/>
      <c r="IKZ29" s="289"/>
      <c r="ILA29" s="289"/>
      <c r="ILB29" s="289"/>
      <c r="ILC29" s="289"/>
      <c r="ILD29" s="289"/>
      <c r="ILE29" s="289"/>
      <c r="ILF29" s="289"/>
      <c r="ILG29" s="289"/>
      <c r="ILH29" s="289"/>
      <c r="ILI29" s="289"/>
      <c r="ILJ29" s="289"/>
      <c r="ILK29" s="289"/>
      <c r="ILL29" s="289"/>
      <c r="ILM29" s="289"/>
      <c r="ILN29" s="289"/>
      <c r="ILO29" s="289"/>
      <c r="ILP29" s="289"/>
      <c r="ILQ29" s="289"/>
      <c r="ILR29" s="289"/>
      <c r="ILS29" s="289"/>
      <c r="ILT29" s="289"/>
      <c r="ILU29" s="289"/>
      <c r="ILV29" s="289"/>
      <c r="ILW29" s="289"/>
      <c r="ILX29" s="289"/>
      <c r="ILY29" s="289"/>
      <c r="ILZ29" s="289"/>
      <c r="IMA29" s="289"/>
      <c r="IMB29" s="289"/>
      <c r="IMC29" s="289"/>
      <c r="IMD29" s="289"/>
      <c r="IME29" s="289"/>
      <c r="IMF29" s="289"/>
      <c r="IMG29" s="289"/>
      <c r="IMH29" s="289"/>
      <c r="IMI29" s="289"/>
      <c r="IMJ29" s="289"/>
      <c r="IMK29" s="289"/>
      <c r="IML29" s="289"/>
      <c r="IMM29" s="289"/>
      <c r="IMN29" s="289"/>
      <c r="IMO29" s="289"/>
      <c r="IMP29" s="289"/>
      <c r="IMQ29" s="289"/>
      <c r="IMR29" s="289"/>
      <c r="IMS29" s="289"/>
      <c r="IMT29" s="289"/>
      <c r="IMU29" s="289"/>
      <c r="IMV29" s="289"/>
      <c r="IMW29" s="289"/>
      <c r="IMX29" s="289"/>
      <c r="IMY29" s="289"/>
      <c r="IMZ29" s="289"/>
      <c r="INA29" s="289"/>
      <c r="INB29" s="289"/>
      <c r="INC29" s="289"/>
      <c r="IND29" s="289"/>
      <c r="INE29" s="289"/>
      <c r="INF29" s="289"/>
      <c r="ING29" s="289"/>
      <c r="INH29" s="289"/>
      <c r="INI29" s="289"/>
      <c r="INJ29" s="289"/>
      <c r="INK29" s="289"/>
      <c r="INL29" s="289"/>
      <c r="INM29" s="289"/>
      <c r="INN29" s="289"/>
      <c r="INO29" s="289"/>
      <c r="INP29" s="289"/>
      <c r="INQ29" s="289"/>
      <c r="INR29" s="289"/>
      <c r="INS29" s="289"/>
      <c r="INT29" s="289"/>
      <c r="INU29" s="289"/>
      <c r="INV29" s="289"/>
      <c r="INW29" s="289"/>
      <c r="INX29" s="289"/>
      <c r="INY29" s="289"/>
      <c r="INZ29" s="289"/>
      <c r="IOA29" s="289"/>
      <c r="IOB29" s="289"/>
      <c r="IOC29" s="289"/>
      <c r="IOD29" s="289"/>
      <c r="IOE29" s="289"/>
      <c r="IOF29" s="289"/>
      <c r="IOG29" s="289"/>
      <c r="IOH29" s="289"/>
      <c r="IOI29" s="289"/>
      <c r="IOJ29" s="289"/>
      <c r="IOK29" s="289"/>
      <c r="IOL29" s="289"/>
      <c r="IOM29" s="289"/>
      <c r="ION29" s="289"/>
      <c r="IOO29" s="289"/>
      <c r="IOP29" s="289"/>
      <c r="IOQ29" s="289"/>
      <c r="IOR29" s="289"/>
      <c r="IOS29" s="289"/>
      <c r="IOT29" s="289"/>
      <c r="IOU29" s="289"/>
      <c r="IOV29" s="289"/>
      <c r="IOW29" s="289"/>
      <c r="IOX29" s="289"/>
      <c r="IOY29" s="289"/>
      <c r="IOZ29" s="289"/>
      <c r="IPA29" s="289"/>
      <c r="IPB29" s="289"/>
      <c r="IPC29" s="289"/>
      <c r="IPD29" s="289"/>
      <c r="IPE29" s="289"/>
      <c r="IPF29" s="289"/>
      <c r="IPG29" s="289"/>
      <c r="IPH29" s="289"/>
      <c r="IPI29" s="289"/>
      <c r="IPJ29" s="289"/>
      <c r="IPK29" s="289"/>
      <c r="IPL29" s="289"/>
      <c r="IPM29" s="289"/>
      <c r="IPN29" s="289"/>
      <c r="IPO29" s="289"/>
      <c r="IPP29" s="289"/>
      <c r="IPQ29" s="289"/>
      <c r="IPR29" s="289"/>
      <c r="IPS29" s="289"/>
      <c r="IPT29" s="289"/>
      <c r="IPU29" s="289"/>
      <c r="IPV29" s="289"/>
      <c r="IPW29" s="289"/>
      <c r="IPX29" s="289"/>
      <c r="IPY29" s="289"/>
      <c r="IPZ29" s="289"/>
      <c r="IQA29" s="289"/>
      <c r="IQB29" s="289"/>
      <c r="IQC29" s="289"/>
      <c r="IQD29" s="289"/>
      <c r="IQE29" s="289"/>
      <c r="IQF29" s="289"/>
      <c r="IQG29" s="289"/>
      <c r="IQH29" s="289"/>
      <c r="IQI29" s="289"/>
      <c r="IQJ29" s="289"/>
      <c r="IQK29" s="289"/>
      <c r="IQL29" s="289"/>
      <c r="IQM29" s="289"/>
      <c r="IQN29" s="289"/>
      <c r="IQO29" s="289"/>
      <c r="IQP29" s="289"/>
      <c r="IQQ29" s="289"/>
      <c r="IQR29" s="289"/>
      <c r="IQS29" s="289"/>
      <c r="IQT29" s="289"/>
      <c r="IQU29" s="289"/>
      <c r="IQV29" s="289"/>
      <c r="IQW29" s="289"/>
      <c r="IQX29" s="289"/>
      <c r="IQY29" s="289"/>
      <c r="IQZ29" s="289"/>
      <c r="IRA29" s="289"/>
      <c r="IRB29" s="289"/>
      <c r="IRC29" s="289"/>
      <c r="IRD29" s="289"/>
      <c r="IRE29" s="289"/>
      <c r="IRF29" s="289"/>
      <c r="IRG29" s="289"/>
      <c r="IRH29" s="289"/>
      <c r="IRI29" s="289"/>
      <c r="IRJ29" s="289"/>
      <c r="IRK29" s="289"/>
      <c r="IRL29" s="289"/>
      <c r="IRM29" s="289"/>
      <c r="IRN29" s="289"/>
      <c r="IRO29" s="289"/>
      <c r="IRP29" s="289"/>
      <c r="IRQ29" s="289"/>
      <c r="IRR29" s="289"/>
      <c r="IRS29" s="289"/>
      <c r="IRT29" s="289"/>
      <c r="IRU29" s="289"/>
      <c r="IRV29" s="289"/>
      <c r="IRW29" s="289"/>
      <c r="IRX29" s="289"/>
      <c r="IRY29" s="289"/>
      <c r="IRZ29" s="289"/>
      <c r="ISA29" s="289"/>
      <c r="ISB29" s="289"/>
      <c r="ISC29" s="289"/>
      <c r="ISD29" s="289"/>
      <c r="ISE29" s="289"/>
      <c r="ISF29" s="289"/>
      <c r="ISG29" s="289"/>
      <c r="ISH29" s="289"/>
      <c r="ISI29" s="289"/>
      <c r="ISJ29" s="289"/>
      <c r="ISK29" s="289"/>
      <c r="ISL29" s="289"/>
      <c r="ISM29" s="289"/>
      <c r="ISN29" s="289"/>
      <c r="ISO29" s="289"/>
      <c r="ISP29" s="289"/>
      <c r="ISQ29" s="289"/>
      <c r="ISR29" s="289"/>
      <c r="ISS29" s="289"/>
      <c r="IST29" s="289"/>
      <c r="ISU29" s="289"/>
      <c r="ISV29" s="289"/>
      <c r="ISW29" s="289"/>
      <c r="ISX29" s="289"/>
      <c r="ISY29" s="289"/>
      <c r="ISZ29" s="289"/>
      <c r="ITA29" s="289"/>
      <c r="ITB29" s="289"/>
      <c r="ITC29" s="289"/>
      <c r="ITD29" s="289"/>
      <c r="ITE29" s="289"/>
      <c r="ITF29" s="289"/>
      <c r="ITG29" s="289"/>
      <c r="ITH29" s="289"/>
      <c r="ITI29" s="289"/>
      <c r="ITJ29" s="289"/>
      <c r="ITK29" s="289"/>
      <c r="ITL29" s="289"/>
      <c r="ITM29" s="289"/>
      <c r="ITN29" s="289"/>
      <c r="ITO29" s="289"/>
      <c r="ITP29" s="289"/>
      <c r="ITQ29" s="289"/>
      <c r="ITR29" s="289"/>
      <c r="ITS29" s="289"/>
      <c r="ITT29" s="289"/>
      <c r="ITU29" s="289"/>
      <c r="ITV29" s="289"/>
      <c r="ITW29" s="289"/>
      <c r="ITX29" s="289"/>
      <c r="ITY29" s="289"/>
      <c r="ITZ29" s="289"/>
      <c r="IUA29" s="289"/>
      <c r="IUB29" s="289"/>
      <c r="IUC29" s="289"/>
      <c r="IUD29" s="289"/>
      <c r="IUE29" s="289"/>
      <c r="IUF29" s="289"/>
      <c r="IUG29" s="289"/>
      <c r="IUH29" s="289"/>
      <c r="IUI29" s="289"/>
      <c r="IUJ29" s="289"/>
      <c r="IUK29" s="289"/>
      <c r="IUL29" s="289"/>
      <c r="IUM29" s="289"/>
      <c r="IUN29" s="289"/>
      <c r="IUO29" s="289"/>
      <c r="IUP29" s="289"/>
      <c r="IUQ29" s="289"/>
      <c r="IUR29" s="289"/>
      <c r="IUS29" s="289"/>
      <c r="IUT29" s="289"/>
      <c r="IUU29" s="289"/>
      <c r="IUV29" s="289"/>
      <c r="IUW29" s="289"/>
      <c r="IUX29" s="289"/>
      <c r="IUY29" s="289"/>
      <c r="IUZ29" s="289"/>
      <c r="IVA29" s="289"/>
      <c r="IVB29" s="289"/>
      <c r="IVC29" s="289"/>
      <c r="IVD29" s="289"/>
      <c r="IVE29" s="289"/>
      <c r="IVF29" s="289"/>
      <c r="IVG29" s="289"/>
      <c r="IVH29" s="289"/>
      <c r="IVI29" s="289"/>
      <c r="IVJ29" s="289"/>
      <c r="IVK29" s="289"/>
      <c r="IVL29" s="289"/>
      <c r="IVM29" s="289"/>
      <c r="IVN29" s="289"/>
      <c r="IVO29" s="289"/>
      <c r="IVP29" s="289"/>
      <c r="IVQ29" s="289"/>
      <c r="IVR29" s="289"/>
      <c r="IVS29" s="289"/>
      <c r="IVT29" s="289"/>
      <c r="IVU29" s="289"/>
      <c r="IVV29" s="289"/>
      <c r="IVW29" s="289"/>
      <c r="IVX29" s="289"/>
      <c r="IVY29" s="289"/>
      <c r="IVZ29" s="289"/>
      <c r="IWA29" s="289"/>
      <c r="IWB29" s="289"/>
      <c r="IWC29" s="289"/>
      <c r="IWD29" s="289"/>
      <c r="IWE29" s="289"/>
      <c r="IWF29" s="289"/>
      <c r="IWG29" s="289"/>
      <c r="IWH29" s="289"/>
      <c r="IWI29" s="289"/>
      <c r="IWJ29" s="289"/>
      <c r="IWK29" s="289"/>
      <c r="IWL29" s="289"/>
      <c r="IWM29" s="289"/>
      <c r="IWN29" s="289"/>
      <c r="IWO29" s="289"/>
      <c r="IWP29" s="289"/>
      <c r="IWQ29" s="289"/>
      <c r="IWR29" s="289"/>
      <c r="IWS29" s="289"/>
      <c r="IWT29" s="289"/>
      <c r="IWU29" s="289"/>
      <c r="IWV29" s="289"/>
      <c r="IWW29" s="289"/>
      <c r="IWX29" s="289"/>
      <c r="IWY29" s="289"/>
      <c r="IWZ29" s="289"/>
      <c r="IXA29" s="289"/>
      <c r="IXB29" s="289"/>
      <c r="IXC29" s="289"/>
      <c r="IXD29" s="289"/>
      <c r="IXE29" s="289"/>
      <c r="IXF29" s="289"/>
      <c r="IXG29" s="289"/>
      <c r="IXH29" s="289"/>
      <c r="IXI29" s="289"/>
      <c r="IXJ29" s="289"/>
      <c r="IXK29" s="289"/>
      <c r="IXL29" s="289"/>
      <c r="IXM29" s="289"/>
      <c r="IXN29" s="289"/>
      <c r="IXO29" s="289"/>
      <c r="IXP29" s="289"/>
      <c r="IXQ29" s="289"/>
      <c r="IXR29" s="289"/>
      <c r="IXS29" s="289"/>
      <c r="IXT29" s="289"/>
      <c r="IXU29" s="289"/>
      <c r="IXV29" s="289"/>
      <c r="IXW29" s="289"/>
      <c r="IXX29" s="289"/>
      <c r="IXY29" s="289"/>
      <c r="IXZ29" s="289"/>
      <c r="IYA29" s="289"/>
      <c r="IYB29" s="289"/>
      <c r="IYC29" s="289"/>
      <c r="IYD29" s="289"/>
      <c r="IYE29" s="289"/>
      <c r="IYF29" s="289"/>
      <c r="IYG29" s="289"/>
      <c r="IYH29" s="289"/>
      <c r="IYI29" s="289"/>
      <c r="IYJ29" s="289"/>
      <c r="IYK29" s="289"/>
      <c r="IYL29" s="289"/>
      <c r="IYM29" s="289"/>
      <c r="IYN29" s="289"/>
      <c r="IYO29" s="289"/>
      <c r="IYP29" s="289"/>
      <c r="IYQ29" s="289"/>
      <c r="IYR29" s="289"/>
      <c r="IYS29" s="289"/>
      <c r="IYT29" s="289"/>
      <c r="IYU29" s="289"/>
      <c r="IYV29" s="289"/>
      <c r="IYW29" s="289"/>
      <c r="IYX29" s="289"/>
      <c r="IYY29" s="289"/>
      <c r="IYZ29" s="289"/>
      <c r="IZA29" s="289"/>
      <c r="IZB29" s="289"/>
      <c r="IZC29" s="289"/>
      <c r="IZD29" s="289"/>
      <c r="IZE29" s="289"/>
      <c r="IZF29" s="289"/>
      <c r="IZG29" s="289"/>
      <c r="IZH29" s="289"/>
      <c r="IZI29" s="289"/>
      <c r="IZJ29" s="289"/>
      <c r="IZK29" s="289"/>
      <c r="IZL29" s="289"/>
      <c r="IZM29" s="289"/>
      <c r="IZN29" s="289"/>
      <c r="IZO29" s="289"/>
      <c r="IZP29" s="289"/>
      <c r="IZQ29" s="289"/>
      <c r="IZR29" s="289"/>
      <c r="IZS29" s="289"/>
      <c r="IZT29" s="289"/>
      <c r="IZU29" s="289"/>
      <c r="IZV29" s="289"/>
      <c r="IZW29" s="289"/>
      <c r="IZX29" s="289"/>
      <c r="IZY29" s="289"/>
      <c r="IZZ29" s="289"/>
      <c r="JAA29" s="289"/>
      <c r="JAB29" s="289"/>
      <c r="JAC29" s="289"/>
      <c r="JAD29" s="289"/>
      <c r="JAE29" s="289"/>
      <c r="JAF29" s="289"/>
      <c r="JAG29" s="289"/>
      <c r="JAH29" s="289"/>
      <c r="JAI29" s="289"/>
      <c r="JAJ29" s="289"/>
      <c r="JAK29" s="289"/>
      <c r="JAL29" s="289"/>
      <c r="JAM29" s="289"/>
      <c r="JAN29" s="289"/>
      <c r="JAO29" s="289"/>
      <c r="JAP29" s="289"/>
      <c r="JAQ29" s="289"/>
      <c r="JAR29" s="289"/>
      <c r="JAS29" s="289"/>
      <c r="JAT29" s="289"/>
      <c r="JAU29" s="289"/>
      <c r="JAV29" s="289"/>
      <c r="JAW29" s="289"/>
      <c r="JAX29" s="289"/>
      <c r="JAY29" s="289"/>
      <c r="JAZ29" s="289"/>
      <c r="JBA29" s="289"/>
      <c r="JBB29" s="289"/>
      <c r="JBC29" s="289"/>
      <c r="JBD29" s="289"/>
      <c r="JBE29" s="289"/>
      <c r="JBF29" s="289"/>
      <c r="JBG29" s="289"/>
      <c r="JBH29" s="289"/>
      <c r="JBI29" s="289"/>
      <c r="JBJ29" s="289"/>
      <c r="JBK29" s="289"/>
      <c r="JBL29" s="289"/>
      <c r="JBM29" s="289"/>
      <c r="JBN29" s="289"/>
      <c r="JBO29" s="289"/>
      <c r="JBP29" s="289"/>
      <c r="JBQ29" s="289"/>
      <c r="JBR29" s="289"/>
      <c r="JBS29" s="289"/>
      <c r="JBT29" s="289"/>
      <c r="JBU29" s="289"/>
      <c r="JBV29" s="289"/>
      <c r="JBW29" s="289"/>
      <c r="JBX29" s="289"/>
      <c r="JBY29" s="289"/>
      <c r="JBZ29" s="289"/>
      <c r="JCA29" s="289"/>
      <c r="JCB29" s="289"/>
      <c r="JCC29" s="289"/>
      <c r="JCD29" s="289"/>
      <c r="JCE29" s="289"/>
      <c r="JCF29" s="289"/>
      <c r="JCG29" s="289"/>
      <c r="JCH29" s="289"/>
      <c r="JCI29" s="289"/>
      <c r="JCJ29" s="289"/>
      <c r="JCK29" s="289"/>
      <c r="JCL29" s="289"/>
      <c r="JCM29" s="289"/>
      <c r="JCN29" s="289"/>
      <c r="JCO29" s="289"/>
      <c r="JCP29" s="289"/>
      <c r="JCQ29" s="289"/>
      <c r="JCR29" s="289"/>
      <c r="JCS29" s="289"/>
      <c r="JCT29" s="289"/>
      <c r="JCU29" s="289"/>
      <c r="JCV29" s="289"/>
      <c r="JCW29" s="289"/>
      <c r="JCX29" s="289"/>
      <c r="JCY29" s="289"/>
      <c r="JCZ29" s="289"/>
      <c r="JDA29" s="289"/>
      <c r="JDB29" s="289"/>
      <c r="JDC29" s="289"/>
      <c r="JDD29" s="289"/>
      <c r="JDE29" s="289"/>
      <c r="JDF29" s="289"/>
      <c r="JDG29" s="289"/>
      <c r="JDH29" s="289"/>
      <c r="JDI29" s="289"/>
      <c r="JDJ29" s="289"/>
      <c r="JDK29" s="289"/>
      <c r="JDL29" s="289"/>
      <c r="JDM29" s="289"/>
      <c r="JDN29" s="289"/>
      <c r="JDO29" s="289"/>
      <c r="JDP29" s="289"/>
      <c r="JDQ29" s="289"/>
      <c r="JDR29" s="289"/>
      <c r="JDS29" s="289"/>
      <c r="JDT29" s="289"/>
      <c r="JDU29" s="289"/>
      <c r="JDV29" s="289"/>
      <c r="JDW29" s="289"/>
      <c r="JDX29" s="289"/>
      <c r="JDY29" s="289"/>
      <c r="JDZ29" s="289"/>
      <c r="JEA29" s="289"/>
      <c r="JEB29" s="289"/>
      <c r="JEC29" s="289"/>
      <c r="JED29" s="289"/>
      <c r="JEE29" s="289"/>
      <c r="JEF29" s="289"/>
      <c r="JEG29" s="289"/>
      <c r="JEH29" s="289"/>
      <c r="JEI29" s="289"/>
      <c r="JEJ29" s="289"/>
      <c r="JEK29" s="289"/>
      <c r="JEL29" s="289"/>
      <c r="JEM29" s="289"/>
      <c r="JEN29" s="289"/>
      <c r="JEO29" s="289"/>
      <c r="JEP29" s="289"/>
      <c r="JEQ29" s="289"/>
      <c r="JER29" s="289"/>
      <c r="JES29" s="289"/>
      <c r="JET29" s="289"/>
      <c r="JEU29" s="289"/>
      <c r="JEV29" s="289"/>
      <c r="JEW29" s="289"/>
      <c r="JEX29" s="289"/>
      <c r="JEY29" s="289"/>
      <c r="JEZ29" s="289"/>
      <c r="JFA29" s="289"/>
      <c r="JFB29" s="289"/>
      <c r="JFC29" s="289"/>
      <c r="JFD29" s="289"/>
      <c r="JFE29" s="289"/>
      <c r="JFF29" s="289"/>
      <c r="JFG29" s="289"/>
      <c r="JFH29" s="289"/>
      <c r="JFI29" s="289"/>
      <c r="JFJ29" s="289"/>
      <c r="JFK29" s="289"/>
      <c r="JFL29" s="289"/>
      <c r="JFM29" s="289"/>
      <c r="JFN29" s="289"/>
      <c r="JFO29" s="289"/>
      <c r="JFP29" s="289"/>
      <c r="JFQ29" s="289"/>
      <c r="JFR29" s="289"/>
      <c r="JFS29" s="289"/>
      <c r="JFT29" s="289"/>
      <c r="JFU29" s="289"/>
      <c r="JFV29" s="289"/>
      <c r="JFW29" s="289"/>
      <c r="JFX29" s="289"/>
      <c r="JFY29" s="289"/>
      <c r="JFZ29" s="289"/>
      <c r="JGA29" s="289"/>
      <c r="JGB29" s="289"/>
      <c r="JGC29" s="289"/>
      <c r="JGD29" s="289"/>
      <c r="JGE29" s="289"/>
      <c r="JGF29" s="289"/>
      <c r="JGG29" s="289"/>
      <c r="JGH29" s="289"/>
      <c r="JGI29" s="289"/>
      <c r="JGJ29" s="289"/>
      <c r="JGK29" s="289"/>
      <c r="JGL29" s="289"/>
      <c r="JGM29" s="289"/>
      <c r="JGN29" s="289"/>
      <c r="JGO29" s="289"/>
      <c r="JGP29" s="289"/>
      <c r="JGQ29" s="289"/>
      <c r="JGR29" s="289"/>
      <c r="JGS29" s="289"/>
      <c r="JGT29" s="289"/>
      <c r="JGU29" s="289"/>
      <c r="JGV29" s="289"/>
      <c r="JGW29" s="289"/>
      <c r="JGX29" s="289"/>
      <c r="JGY29" s="289"/>
      <c r="JGZ29" s="289"/>
      <c r="JHA29" s="289"/>
      <c r="JHB29" s="289"/>
      <c r="JHC29" s="289"/>
      <c r="JHD29" s="289"/>
      <c r="JHE29" s="289"/>
      <c r="JHF29" s="289"/>
      <c r="JHG29" s="289"/>
      <c r="JHH29" s="289"/>
      <c r="JHI29" s="289"/>
      <c r="JHJ29" s="289"/>
      <c r="JHK29" s="289"/>
      <c r="JHL29" s="289"/>
      <c r="JHM29" s="289"/>
      <c r="JHN29" s="289"/>
      <c r="JHO29" s="289"/>
      <c r="JHP29" s="289"/>
      <c r="JHQ29" s="289"/>
      <c r="JHR29" s="289"/>
      <c r="JHS29" s="289"/>
      <c r="JHT29" s="289"/>
      <c r="JHU29" s="289"/>
      <c r="JHV29" s="289"/>
      <c r="JHW29" s="289"/>
      <c r="JHX29" s="289"/>
      <c r="JHY29" s="289"/>
      <c r="JHZ29" s="289"/>
      <c r="JIA29" s="289"/>
      <c r="JIB29" s="289"/>
      <c r="JIC29" s="289"/>
      <c r="JID29" s="289"/>
      <c r="JIE29" s="289"/>
      <c r="JIF29" s="289"/>
      <c r="JIG29" s="289"/>
      <c r="JIH29" s="289"/>
      <c r="JII29" s="289"/>
      <c r="JIJ29" s="289"/>
      <c r="JIK29" s="289"/>
      <c r="JIL29" s="289"/>
      <c r="JIM29" s="289"/>
      <c r="JIN29" s="289"/>
      <c r="JIO29" s="289"/>
      <c r="JIP29" s="289"/>
      <c r="JIQ29" s="289"/>
      <c r="JIR29" s="289"/>
      <c r="JIS29" s="289"/>
      <c r="JIT29" s="289"/>
      <c r="JIU29" s="289"/>
      <c r="JIV29" s="289"/>
      <c r="JIW29" s="289"/>
      <c r="JIX29" s="289"/>
      <c r="JIY29" s="289"/>
      <c r="JIZ29" s="289"/>
      <c r="JJA29" s="289"/>
      <c r="JJB29" s="289"/>
      <c r="JJC29" s="289"/>
      <c r="JJD29" s="289"/>
      <c r="JJE29" s="289"/>
      <c r="JJF29" s="289"/>
      <c r="JJG29" s="289"/>
      <c r="JJH29" s="289"/>
      <c r="JJI29" s="289"/>
      <c r="JJJ29" s="289"/>
      <c r="JJK29" s="289"/>
      <c r="JJL29" s="289"/>
      <c r="JJM29" s="289"/>
      <c r="JJN29" s="289"/>
      <c r="JJO29" s="289"/>
      <c r="JJP29" s="289"/>
      <c r="JJQ29" s="289"/>
      <c r="JJR29" s="289"/>
      <c r="JJS29" s="289"/>
      <c r="JJT29" s="289"/>
      <c r="JJU29" s="289"/>
      <c r="JJV29" s="289"/>
      <c r="JJW29" s="289"/>
      <c r="JJX29" s="289"/>
      <c r="JJY29" s="289"/>
      <c r="JJZ29" s="289"/>
      <c r="JKA29" s="289"/>
      <c r="JKB29" s="289"/>
      <c r="JKC29" s="289"/>
      <c r="JKD29" s="289"/>
      <c r="JKE29" s="289"/>
      <c r="JKF29" s="289"/>
      <c r="JKG29" s="289"/>
      <c r="JKH29" s="289"/>
      <c r="JKI29" s="289"/>
      <c r="JKJ29" s="289"/>
      <c r="JKK29" s="289"/>
      <c r="JKL29" s="289"/>
      <c r="JKM29" s="289"/>
      <c r="JKN29" s="289"/>
      <c r="JKO29" s="289"/>
      <c r="JKP29" s="289"/>
      <c r="JKQ29" s="289"/>
      <c r="JKR29" s="289"/>
      <c r="JKS29" s="289"/>
      <c r="JKT29" s="289"/>
      <c r="JKU29" s="289"/>
      <c r="JKV29" s="289"/>
      <c r="JKW29" s="289"/>
      <c r="JKX29" s="289"/>
      <c r="JKY29" s="289"/>
      <c r="JKZ29" s="289"/>
      <c r="JLA29" s="289"/>
      <c r="JLB29" s="289"/>
      <c r="JLC29" s="289"/>
      <c r="JLD29" s="289"/>
      <c r="JLE29" s="289"/>
      <c r="JLF29" s="289"/>
      <c r="JLG29" s="289"/>
      <c r="JLH29" s="289"/>
      <c r="JLI29" s="289"/>
      <c r="JLJ29" s="289"/>
      <c r="JLK29" s="289"/>
      <c r="JLL29" s="289"/>
      <c r="JLM29" s="289"/>
      <c r="JLN29" s="289"/>
      <c r="JLO29" s="289"/>
      <c r="JLP29" s="289"/>
      <c r="JLQ29" s="289"/>
      <c r="JLR29" s="289"/>
      <c r="JLS29" s="289"/>
      <c r="JLT29" s="289"/>
      <c r="JLU29" s="289"/>
      <c r="JLV29" s="289"/>
      <c r="JLW29" s="289"/>
      <c r="JLX29" s="289"/>
      <c r="JLY29" s="289"/>
      <c r="JLZ29" s="289"/>
      <c r="JMA29" s="289"/>
      <c r="JMB29" s="289"/>
      <c r="JMC29" s="289"/>
      <c r="JMD29" s="289"/>
      <c r="JME29" s="289"/>
      <c r="JMF29" s="289"/>
      <c r="JMG29" s="289"/>
      <c r="JMH29" s="289"/>
      <c r="JMI29" s="289"/>
      <c r="JMJ29" s="289"/>
      <c r="JMK29" s="289"/>
      <c r="JML29" s="289"/>
      <c r="JMM29" s="289"/>
      <c r="JMN29" s="289"/>
      <c r="JMO29" s="289"/>
      <c r="JMP29" s="289"/>
      <c r="JMQ29" s="289"/>
      <c r="JMR29" s="289"/>
      <c r="JMS29" s="289"/>
      <c r="JMT29" s="289"/>
      <c r="JMU29" s="289"/>
      <c r="JMV29" s="289"/>
      <c r="JMW29" s="289"/>
      <c r="JMX29" s="289"/>
      <c r="JMY29" s="289"/>
      <c r="JMZ29" s="289"/>
      <c r="JNA29" s="289"/>
      <c r="JNB29" s="289"/>
      <c r="JNC29" s="289"/>
      <c r="JND29" s="289"/>
      <c r="JNE29" s="289"/>
      <c r="JNF29" s="289"/>
      <c r="JNG29" s="289"/>
      <c r="JNH29" s="289"/>
      <c r="JNI29" s="289"/>
      <c r="JNJ29" s="289"/>
      <c r="JNK29" s="289"/>
      <c r="JNL29" s="289"/>
      <c r="JNM29" s="289"/>
      <c r="JNN29" s="289"/>
      <c r="JNO29" s="289"/>
      <c r="JNP29" s="289"/>
      <c r="JNQ29" s="289"/>
      <c r="JNR29" s="289"/>
      <c r="JNS29" s="289"/>
      <c r="JNT29" s="289"/>
      <c r="JNU29" s="289"/>
      <c r="JNV29" s="289"/>
      <c r="JNW29" s="289"/>
      <c r="JNX29" s="289"/>
      <c r="JNY29" s="289"/>
      <c r="JNZ29" s="289"/>
      <c r="JOA29" s="289"/>
      <c r="JOB29" s="289"/>
      <c r="JOC29" s="289"/>
      <c r="JOD29" s="289"/>
      <c r="JOE29" s="289"/>
      <c r="JOF29" s="289"/>
      <c r="JOG29" s="289"/>
      <c r="JOH29" s="289"/>
      <c r="JOI29" s="289"/>
      <c r="JOJ29" s="289"/>
      <c r="JOK29" s="289"/>
      <c r="JOL29" s="289"/>
      <c r="JOM29" s="289"/>
      <c r="JON29" s="289"/>
      <c r="JOO29" s="289"/>
      <c r="JOP29" s="289"/>
      <c r="JOQ29" s="289"/>
      <c r="JOR29" s="289"/>
      <c r="JOS29" s="289"/>
      <c r="JOT29" s="289"/>
      <c r="JOU29" s="289"/>
      <c r="JOV29" s="289"/>
      <c r="JOW29" s="289"/>
      <c r="JOX29" s="289"/>
      <c r="JOY29" s="289"/>
      <c r="JOZ29" s="289"/>
      <c r="JPA29" s="289"/>
      <c r="JPB29" s="289"/>
      <c r="JPC29" s="289"/>
      <c r="JPD29" s="289"/>
      <c r="JPE29" s="289"/>
      <c r="JPF29" s="289"/>
      <c r="JPG29" s="289"/>
      <c r="JPH29" s="289"/>
      <c r="JPI29" s="289"/>
      <c r="JPJ29" s="289"/>
      <c r="JPK29" s="289"/>
      <c r="JPL29" s="289"/>
      <c r="JPM29" s="289"/>
      <c r="JPN29" s="289"/>
      <c r="JPO29" s="289"/>
      <c r="JPP29" s="289"/>
      <c r="JPQ29" s="289"/>
      <c r="JPR29" s="289"/>
      <c r="JPS29" s="289"/>
      <c r="JPT29" s="289"/>
      <c r="JPU29" s="289"/>
      <c r="JPV29" s="289"/>
      <c r="JPW29" s="289"/>
      <c r="JPX29" s="289"/>
      <c r="JPY29" s="289"/>
      <c r="JPZ29" s="289"/>
      <c r="JQA29" s="289"/>
      <c r="JQB29" s="289"/>
      <c r="JQC29" s="289"/>
      <c r="JQD29" s="289"/>
      <c r="JQE29" s="289"/>
      <c r="JQF29" s="289"/>
      <c r="JQG29" s="289"/>
      <c r="JQH29" s="289"/>
      <c r="JQI29" s="289"/>
      <c r="JQJ29" s="289"/>
      <c r="JQK29" s="289"/>
      <c r="JQL29" s="289"/>
      <c r="JQM29" s="289"/>
      <c r="JQN29" s="289"/>
      <c r="JQO29" s="289"/>
      <c r="JQP29" s="289"/>
      <c r="JQQ29" s="289"/>
      <c r="JQR29" s="289"/>
      <c r="JQS29" s="289"/>
      <c r="JQT29" s="289"/>
      <c r="JQU29" s="289"/>
      <c r="JQV29" s="289"/>
      <c r="JQW29" s="289"/>
      <c r="JQX29" s="289"/>
      <c r="JQY29" s="289"/>
      <c r="JQZ29" s="289"/>
      <c r="JRA29" s="289"/>
      <c r="JRB29" s="289"/>
      <c r="JRC29" s="289"/>
      <c r="JRD29" s="289"/>
      <c r="JRE29" s="289"/>
      <c r="JRF29" s="289"/>
      <c r="JRG29" s="289"/>
      <c r="JRH29" s="289"/>
      <c r="JRI29" s="289"/>
      <c r="JRJ29" s="289"/>
      <c r="JRK29" s="289"/>
      <c r="JRL29" s="289"/>
      <c r="JRM29" s="289"/>
      <c r="JRN29" s="289"/>
      <c r="JRO29" s="289"/>
      <c r="JRP29" s="289"/>
      <c r="JRQ29" s="289"/>
      <c r="JRR29" s="289"/>
      <c r="JRS29" s="289"/>
      <c r="JRT29" s="289"/>
      <c r="JRU29" s="289"/>
      <c r="JRV29" s="289"/>
      <c r="JRW29" s="289"/>
      <c r="JRX29" s="289"/>
      <c r="JRY29" s="289"/>
      <c r="JRZ29" s="289"/>
      <c r="JSA29" s="289"/>
      <c r="JSB29" s="289"/>
      <c r="JSC29" s="289"/>
      <c r="JSD29" s="289"/>
      <c r="JSE29" s="289"/>
      <c r="JSF29" s="289"/>
      <c r="JSG29" s="289"/>
      <c r="JSH29" s="289"/>
      <c r="JSI29" s="289"/>
      <c r="JSJ29" s="289"/>
      <c r="JSK29" s="289"/>
      <c r="JSL29" s="289"/>
      <c r="JSM29" s="289"/>
      <c r="JSN29" s="289"/>
      <c r="JSO29" s="289"/>
      <c r="JSP29" s="289"/>
      <c r="JSQ29" s="289"/>
      <c r="JSR29" s="289"/>
      <c r="JSS29" s="289"/>
      <c r="JST29" s="289"/>
      <c r="JSU29" s="289"/>
      <c r="JSV29" s="289"/>
      <c r="JSW29" s="289"/>
      <c r="JSX29" s="289"/>
      <c r="JSY29" s="289"/>
      <c r="JSZ29" s="289"/>
      <c r="JTA29" s="289"/>
      <c r="JTB29" s="289"/>
      <c r="JTC29" s="289"/>
      <c r="JTD29" s="289"/>
      <c r="JTE29" s="289"/>
      <c r="JTF29" s="289"/>
      <c r="JTG29" s="289"/>
      <c r="JTH29" s="289"/>
      <c r="JTI29" s="289"/>
      <c r="JTJ29" s="289"/>
      <c r="JTK29" s="289"/>
      <c r="JTL29" s="289"/>
      <c r="JTM29" s="289"/>
      <c r="JTN29" s="289"/>
      <c r="JTO29" s="289"/>
      <c r="JTP29" s="289"/>
      <c r="JTQ29" s="289"/>
      <c r="JTR29" s="289"/>
      <c r="JTS29" s="289"/>
      <c r="JTT29" s="289"/>
      <c r="JTU29" s="289"/>
      <c r="JTV29" s="289"/>
      <c r="JTW29" s="289"/>
      <c r="JTX29" s="289"/>
      <c r="JTY29" s="289"/>
      <c r="JTZ29" s="289"/>
      <c r="JUA29" s="289"/>
      <c r="JUB29" s="289"/>
      <c r="JUC29" s="289"/>
      <c r="JUD29" s="289"/>
      <c r="JUE29" s="289"/>
      <c r="JUF29" s="289"/>
      <c r="JUG29" s="289"/>
      <c r="JUH29" s="289"/>
      <c r="JUI29" s="289"/>
      <c r="JUJ29" s="289"/>
      <c r="JUK29" s="289"/>
      <c r="JUL29" s="289"/>
      <c r="JUM29" s="289"/>
      <c r="JUN29" s="289"/>
      <c r="JUO29" s="289"/>
      <c r="JUP29" s="289"/>
      <c r="JUQ29" s="289"/>
      <c r="JUR29" s="289"/>
      <c r="JUS29" s="289"/>
      <c r="JUT29" s="289"/>
      <c r="JUU29" s="289"/>
      <c r="JUV29" s="289"/>
      <c r="JUW29" s="289"/>
      <c r="JUX29" s="289"/>
      <c r="JUY29" s="289"/>
      <c r="JUZ29" s="289"/>
      <c r="JVA29" s="289"/>
      <c r="JVB29" s="289"/>
      <c r="JVC29" s="289"/>
      <c r="JVD29" s="289"/>
      <c r="JVE29" s="289"/>
      <c r="JVF29" s="289"/>
      <c r="JVG29" s="289"/>
      <c r="JVH29" s="289"/>
      <c r="JVI29" s="289"/>
      <c r="JVJ29" s="289"/>
      <c r="JVK29" s="289"/>
      <c r="JVL29" s="289"/>
      <c r="JVM29" s="289"/>
      <c r="JVN29" s="289"/>
      <c r="JVO29" s="289"/>
      <c r="JVP29" s="289"/>
      <c r="JVQ29" s="289"/>
      <c r="JVR29" s="289"/>
      <c r="JVS29" s="289"/>
      <c r="JVT29" s="289"/>
      <c r="JVU29" s="289"/>
      <c r="JVV29" s="289"/>
      <c r="JVW29" s="289"/>
      <c r="JVX29" s="289"/>
      <c r="JVY29" s="289"/>
      <c r="JVZ29" s="289"/>
      <c r="JWA29" s="289"/>
      <c r="JWB29" s="289"/>
      <c r="JWC29" s="289"/>
      <c r="JWD29" s="289"/>
      <c r="JWE29" s="289"/>
      <c r="JWF29" s="289"/>
      <c r="JWG29" s="289"/>
      <c r="JWH29" s="289"/>
      <c r="JWI29" s="289"/>
      <c r="JWJ29" s="289"/>
      <c r="JWK29" s="289"/>
      <c r="JWL29" s="289"/>
      <c r="JWM29" s="289"/>
      <c r="JWN29" s="289"/>
      <c r="JWO29" s="289"/>
      <c r="JWP29" s="289"/>
      <c r="JWQ29" s="289"/>
      <c r="JWR29" s="289"/>
      <c r="JWS29" s="289"/>
      <c r="JWT29" s="289"/>
      <c r="JWU29" s="289"/>
      <c r="JWV29" s="289"/>
      <c r="JWW29" s="289"/>
      <c r="JWX29" s="289"/>
      <c r="JWY29" s="289"/>
      <c r="JWZ29" s="289"/>
      <c r="JXA29" s="289"/>
      <c r="JXB29" s="289"/>
      <c r="JXC29" s="289"/>
      <c r="JXD29" s="289"/>
      <c r="JXE29" s="289"/>
      <c r="JXF29" s="289"/>
      <c r="JXG29" s="289"/>
      <c r="JXH29" s="289"/>
      <c r="JXI29" s="289"/>
      <c r="JXJ29" s="289"/>
      <c r="JXK29" s="289"/>
      <c r="JXL29" s="289"/>
      <c r="JXM29" s="289"/>
      <c r="JXN29" s="289"/>
      <c r="JXO29" s="289"/>
      <c r="JXP29" s="289"/>
      <c r="JXQ29" s="289"/>
      <c r="JXR29" s="289"/>
      <c r="JXS29" s="289"/>
      <c r="JXT29" s="289"/>
      <c r="JXU29" s="289"/>
      <c r="JXV29" s="289"/>
      <c r="JXW29" s="289"/>
      <c r="JXX29" s="289"/>
      <c r="JXY29" s="289"/>
      <c r="JXZ29" s="289"/>
      <c r="JYA29" s="289"/>
      <c r="JYB29" s="289"/>
      <c r="JYC29" s="289"/>
      <c r="JYD29" s="289"/>
      <c r="JYE29" s="289"/>
      <c r="JYF29" s="289"/>
      <c r="JYG29" s="289"/>
      <c r="JYH29" s="289"/>
      <c r="JYI29" s="289"/>
      <c r="JYJ29" s="289"/>
      <c r="JYK29" s="289"/>
      <c r="JYL29" s="289"/>
      <c r="JYM29" s="289"/>
      <c r="JYN29" s="289"/>
      <c r="JYO29" s="289"/>
      <c r="JYP29" s="289"/>
      <c r="JYQ29" s="289"/>
      <c r="JYR29" s="289"/>
      <c r="JYS29" s="289"/>
      <c r="JYT29" s="289"/>
      <c r="JYU29" s="289"/>
      <c r="JYV29" s="289"/>
      <c r="JYW29" s="289"/>
      <c r="JYX29" s="289"/>
      <c r="JYY29" s="289"/>
      <c r="JYZ29" s="289"/>
      <c r="JZA29" s="289"/>
      <c r="JZB29" s="289"/>
      <c r="JZC29" s="289"/>
      <c r="JZD29" s="289"/>
      <c r="JZE29" s="289"/>
      <c r="JZF29" s="289"/>
      <c r="JZG29" s="289"/>
      <c r="JZH29" s="289"/>
      <c r="JZI29" s="289"/>
      <c r="JZJ29" s="289"/>
      <c r="JZK29" s="289"/>
      <c r="JZL29" s="289"/>
      <c r="JZM29" s="289"/>
      <c r="JZN29" s="289"/>
      <c r="JZO29" s="289"/>
      <c r="JZP29" s="289"/>
      <c r="JZQ29" s="289"/>
      <c r="JZR29" s="289"/>
      <c r="JZS29" s="289"/>
      <c r="JZT29" s="289"/>
      <c r="JZU29" s="289"/>
      <c r="JZV29" s="289"/>
      <c r="JZW29" s="289"/>
      <c r="JZX29" s="289"/>
      <c r="JZY29" s="289"/>
      <c r="JZZ29" s="289"/>
      <c r="KAA29" s="289"/>
      <c r="KAB29" s="289"/>
      <c r="KAC29" s="289"/>
      <c r="KAD29" s="289"/>
      <c r="KAE29" s="289"/>
      <c r="KAF29" s="289"/>
      <c r="KAG29" s="289"/>
      <c r="KAH29" s="289"/>
      <c r="KAI29" s="289"/>
      <c r="KAJ29" s="289"/>
      <c r="KAK29" s="289"/>
      <c r="KAL29" s="289"/>
      <c r="KAM29" s="289"/>
      <c r="KAN29" s="289"/>
      <c r="KAO29" s="289"/>
      <c r="KAP29" s="289"/>
      <c r="KAQ29" s="289"/>
      <c r="KAR29" s="289"/>
      <c r="KAS29" s="289"/>
      <c r="KAT29" s="289"/>
      <c r="KAU29" s="289"/>
      <c r="KAV29" s="289"/>
      <c r="KAW29" s="289"/>
      <c r="KAX29" s="289"/>
      <c r="KAY29" s="289"/>
      <c r="KAZ29" s="289"/>
      <c r="KBA29" s="289"/>
      <c r="KBB29" s="289"/>
      <c r="KBC29" s="289"/>
      <c r="KBD29" s="289"/>
      <c r="KBE29" s="289"/>
      <c r="KBF29" s="289"/>
      <c r="KBG29" s="289"/>
      <c r="KBH29" s="289"/>
      <c r="KBI29" s="289"/>
      <c r="KBJ29" s="289"/>
      <c r="KBK29" s="289"/>
      <c r="KBL29" s="289"/>
      <c r="KBM29" s="289"/>
      <c r="KBN29" s="289"/>
      <c r="KBO29" s="289"/>
      <c r="KBP29" s="289"/>
      <c r="KBQ29" s="289"/>
      <c r="KBR29" s="289"/>
      <c r="KBS29" s="289"/>
      <c r="KBT29" s="289"/>
      <c r="KBU29" s="289"/>
      <c r="KBV29" s="289"/>
      <c r="KBW29" s="289"/>
      <c r="KBX29" s="289"/>
      <c r="KBY29" s="289"/>
      <c r="KBZ29" s="289"/>
      <c r="KCA29" s="289"/>
      <c r="KCB29" s="289"/>
      <c r="KCC29" s="289"/>
      <c r="KCD29" s="289"/>
      <c r="KCE29" s="289"/>
      <c r="KCF29" s="289"/>
      <c r="KCG29" s="289"/>
      <c r="KCH29" s="289"/>
      <c r="KCI29" s="289"/>
      <c r="KCJ29" s="289"/>
      <c r="KCK29" s="289"/>
      <c r="KCL29" s="289"/>
      <c r="KCM29" s="289"/>
      <c r="KCN29" s="289"/>
      <c r="KCO29" s="289"/>
      <c r="KCP29" s="289"/>
      <c r="KCQ29" s="289"/>
      <c r="KCR29" s="289"/>
      <c r="KCS29" s="289"/>
      <c r="KCT29" s="289"/>
      <c r="KCU29" s="289"/>
      <c r="KCV29" s="289"/>
      <c r="KCW29" s="289"/>
      <c r="KCX29" s="289"/>
      <c r="KCY29" s="289"/>
      <c r="KCZ29" s="289"/>
      <c r="KDA29" s="289"/>
      <c r="KDB29" s="289"/>
      <c r="KDC29" s="289"/>
      <c r="KDD29" s="289"/>
      <c r="KDE29" s="289"/>
      <c r="KDF29" s="289"/>
      <c r="KDG29" s="289"/>
      <c r="KDH29" s="289"/>
      <c r="KDI29" s="289"/>
      <c r="KDJ29" s="289"/>
      <c r="KDK29" s="289"/>
      <c r="KDL29" s="289"/>
      <c r="KDM29" s="289"/>
      <c r="KDN29" s="289"/>
      <c r="KDO29" s="289"/>
      <c r="KDP29" s="289"/>
      <c r="KDQ29" s="289"/>
      <c r="KDR29" s="289"/>
      <c r="KDS29" s="289"/>
      <c r="KDT29" s="289"/>
      <c r="KDU29" s="289"/>
      <c r="KDV29" s="289"/>
      <c r="KDW29" s="289"/>
      <c r="KDX29" s="289"/>
      <c r="KDY29" s="289"/>
      <c r="KDZ29" s="289"/>
      <c r="KEA29" s="289"/>
      <c r="KEB29" s="289"/>
      <c r="KEC29" s="289"/>
      <c r="KED29" s="289"/>
      <c r="KEE29" s="289"/>
      <c r="KEF29" s="289"/>
      <c r="KEG29" s="289"/>
      <c r="KEH29" s="289"/>
      <c r="KEI29" s="289"/>
      <c r="KEJ29" s="289"/>
      <c r="KEK29" s="289"/>
      <c r="KEL29" s="289"/>
      <c r="KEM29" s="289"/>
      <c r="KEN29" s="289"/>
      <c r="KEO29" s="289"/>
      <c r="KEP29" s="289"/>
      <c r="KEQ29" s="289"/>
      <c r="KER29" s="289"/>
      <c r="KES29" s="289"/>
      <c r="KET29" s="289"/>
      <c r="KEU29" s="289"/>
      <c r="KEV29" s="289"/>
      <c r="KEW29" s="289"/>
      <c r="KEX29" s="289"/>
      <c r="KEY29" s="289"/>
      <c r="KEZ29" s="289"/>
      <c r="KFA29" s="289"/>
      <c r="KFB29" s="289"/>
      <c r="KFC29" s="289"/>
      <c r="KFD29" s="289"/>
      <c r="KFE29" s="289"/>
      <c r="KFF29" s="289"/>
      <c r="KFG29" s="289"/>
      <c r="KFH29" s="289"/>
      <c r="KFI29" s="289"/>
      <c r="KFJ29" s="289"/>
      <c r="KFK29" s="289"/>
      <c r="KFL29" s="289"/>
      <c r="KFM29" s="289"/>
      <c r="KFN29" s="289"/>
      <c r="KFO29" s="289"/>
      <c r="KFP29" s="289"/>
      <c r="KFQ29" s="289"/>
      <c r="KFR29" s="289"/>
      <c r="KFS29" s="289"/>
      <c r="KFT29" s="289"/>
      <c r="KFU29" s="289"/>
      <c r="KFV29" s="289"/>
      <c r="KFW29" s="289"/>
      <c r="KFX29" s="289"/>
      <c r="KFY29" s="289"/>
      <c r="KFZ29" s="289"/>
      <c r="KGA29" s="289"/>
      <c r="KGB29" s="289"/>
      <c r="KGC29" s="289"/>
      <c r="KGD29" s="289"/>
      <c r="KGE29" s="289"/>
      <c r="KGF29" s="289"/>
      <c r="KGG29" s="289"/>
      <c r="KGH29" s="289"/>
      <c r="KGI29" s="289"/>
      <c r="KGJ29" s="289"/>
      <c r="KGK29" s="289"/>
      <c r="KGL29" s="289"/>
      <c r="KGM29" s="289"/>
      <c r="KGN29" s="289"/>
      <c r="KGO29" s="289"/>
      <c r="KGP29" s="289"/>
      <c r="KGQ29" s="289"/>
      <c r="KGR29" s="289"/>
      <c r="KGS29" s="289"/>
      <c r="KGT29" s="289"/>
      <c r="KGU29" s="289"/>
      <c r="KGV29" s="289"/>
      <c r="KGW29" s="289"/>
      <c r="KGX29" s="289"/>
      <c r="KGY29" s="289"/>
      <c r="KGZ29" s="289"/>
      <c r="KHA29" s="289"/>
      <c r="KHB29" s="289"/>
      <c r="KHC29" s="289"/>
      <c r="KHD29" s="289"/>
      <c r="KHE29" s="289"/>
      <c r="KHF29" s="289"/>
      <c r="KHG29" s="289"/>
      <c r="KHH29" s="289"/>
      <c r="KHI29" s="289"/>
      <c r="KHJ29" s="289"/>
      <c r="KHK29" s="289"/>
      <c r="KHL29" s="289"/>
      <c r="KHM29" s="289"/>
      <c r="KHN29" s="289"/>
      <c r="KHO29" s="289"/>
      <c r="KHP29" s="289"/>
      <c r="KHQ29" s="289"/>
      <c r="KHR29" s="289"/>
      <c r="KHS29" s="289"/>
      <c r="KHT29" s="289"/>
      <c r="KHU29" s="289"/>
      <c r="KHV29" s="289"/>
      <c r="KHW29" s="289"/>
      <c r="KHX29" s="289"/>
      <c r="KHY29" s="289"/>
      <c r="KHZ29" s="289"/>
      <c r="KIA29" s="289"/>
      <c r="KIB29" s="289"/>
      <c r="KIC29" s="289"/>
      <c r="KID29" s="289"/>
      <c r="KIE29" s="289"/>
      <c r="KIF29" s="289"/>
      <c r="KIG29" s="289"/>
      <c r="KIH29" s="289"/>
      <c r="KII29" s="289"/>
      <c r="KIJ29" s="289"/>
      <c r="KIK29" s="289"/>
      <c r="KIL29" s="289"/>
      <c r="KIM29" s="289"/>
      <c r="KIN29" s="289"/>
      <c r="KIO29" s="289"/>
      <c r="KIP29" s="289"/>
      <c r="KIQ29" s="289"/>
      <c r="KIR29" s="289"/>
      <c r="KIS29" s="289"/>
      <c r="KIT29" s="289"/>
      <c r="KIU29" s="289"/>
      <c r="KIV29" s="289"/>
      <c r="KIW29" s="289"/>
      <c r="KIX29" s="289"/>
      <c r="KIY29" s="289"/>
      <c r="KIZ29" s="289"/>
      <c r="KJA29" s="289"/>
      <c r="KJB29" s="289"/>
      <c r="KJC29" s="289"/>
      <c r="KJD29" s="289"/>
      <c r="KJE29" s="289"/>
      <c r="KJF29" s="289"/>
      <c r="KJG29" s="289"/>
      <c r="KJH29" s="289"/>
      <c r="KJI29" s="289"/>
      <c r="KJJ29" s="289"/>
      <c r="KJK29" s="289"/>
      <c r="KJL29" s="289"/>
      <c r="KJM29" s="289"/>
      <c r="KJN29" s="289"/>
      <c r="KJO29" s="289"/>
      <c r="KJP29" s="289"/>
      <c r="KJQ29" s="289"/>
      <c r="KJR29" s="289"/>
      <c r="KJS29" s="289"/>
      <c r="KJT29" s="289"/>
      <c r="KJU29" s="289"/>
      <c r="KJV29" s="289"/>
      <c r="KJW29" s="289"/>
      <c r="KJX29" s="289"/>
      <c r="KJY29" s="289"/>
      <c r="KJZ29" s="289"/>
      <c r="KKA29" s="289"/>
      <c r="KKB29" s="289"/>
      <c r="KKC29" s="289"/>
      <c r="KKD29" s="289"/>
      <c r="KKE29" s="289"/>
      <c r="KKF29" s="289"/>
      <c r="KKG29" s="289"/>
      <c r="KKH29" s="289"/>
      <c r="KKI29" s="289"/>
      <c r="KKJ29" s="289"/>
      <c r="KKK29" s="289"/>
      <c r="KKL29" s="289"/>
      <c r="KKM29" s="289"/>
      <c r="KKN29" s="289"/>
      <c r="KKO29" s="289"/>
      <c r="KKP29" s="289"/>
      <c r="KKQ29" s="289"/>
      <c r="KKR29" s="289"/>
      <c r="KKS29" s="289"/>
      <c r="KKT29" s="289"/>
      <c r="KKU29" s="289"/>
      <c r="KKV29" s="289"/>
      <c r="KKW29" s="289"/>
      <c r="KKX29" s="289"/>
      <c r="KKY29" s="289"/>
      <c r="KKZ29" s="289"/>
      <c r="KLA29" s="289"/>
      <c r="KLB29" s="289"/>
      <c r="KLC29" s="289"/>
      <c r="KLD29" s="289"/>
      <c r="KLE29" s="289"/>
      <c r="KLF29" s="289"/>
      <c r="KLG29" s="289"/>
      <c r="KLH29" s="289"/>
      <c r="KLI29" s="289"/>
      <c r="KLJ29" s="289"/>
      <c r="KLK29" s="289"/>
      <c r="KLL29" s="289"/>
      <c r="KLM29" s="289"/>
      <c r="KLN29" s="289"/>
      <c r="KLO29" s="289"/>
      <c r="KLP29" s="289"/>
      <c r="KLQ29" s="289"/>
      <c r="KLR29" s="289"/>
      <c r="KLS29" s="289"/>
      <c r="KLT29" s="289"/>
      <c r="KLU29" s="289"/>
      <c r="KLV29" s="289"/>
      <c r="KLW29" s="289"/>
      <c r="KLX29" s="289"/>
      <c r="KLY29" s="289"/>
      <c r="KLZ29" s="289"/>
      <c r="KMA29" s="289"/>
      <c r="KMB29" s="289"/>
      <c r="KMC29" s="289"/>
      <c r="KMD29" s="289"/>
      <c r="KME29" s="289"/>
      <c r="KMF29" s="289"/>
      <c r="KMG29" s="289"/>
      <c r="KMH29" s="289"/>
      <c r="KMI29" s="289"/>
      <c r="KMJ29" s="289"/>
      <c r="KMK29" s="289"/>
      <c r="KML29" s="289"/>
      <c r="KMM29" s="289"/>
      <c r="KMN29" s="289"/>
      <c r="KMO29" s="289"/>
      <c r="KMP29" s="289"/>
      <c r="KMQ29" s="289"/>
      <c r="KMR29" s="289"/>
      <c r="KMS29" s="289"/>
      <c r="KMT29" s="289"/>
      <c r="KMU29" s="289"/>
      <c r="KMV29" s="289"/>
      <c r="KMW29" s="289"/>
      <c r="KMX29" s="289"/>
      <c r="KMY29" s="289"/>
      <c r="KMZ29" s="289"/>
      <c r="KNA29" s="289"/>
      <c r="KNB29" s="289"/>
      <c r="KNC29" s="289"/>
      <c r="KND29" s="289"/>
      <c r="KNE29" s="289"/>
      <c r="KNF29" s="289"/>
      <c r="KNG29" s="289"/>
      <c r="KNH29" s="289"/>
      <c r="KNI29" s="289"/>
      <c r="KNJ29" s="289"/>
      <c r="KNK29" s="289"/>
      <c r="KNL29" s="289"/>
      <c r="KNM29" s="289"/>
      <c r="KNN29" s="289"/>
      <c r="KNO29" s="289"/>
      <c r="KNP29" s="289"/>
      <c r="KNQ29" s="289"/>
      <c r="KNR29" s="289"/>
      <c r="KNS29" s="289"/>
      <c r="KNT29" s="289"/>
      <c r="KNU29" s="289"/>
      <c r="KNV29" s="289"/>
      <c r="KNW29" s="289"/>
      <c r="KNX29" s="289"/>
      <c r="KNY29" s="289"/>
      <c r="KNZ29" s="289"/>
      <c r="KOA29" s="289"/>
      <c r="KOB29" s="289"/>
      <c r="KOC29" s="289"/>
      <c r="KOD29" s="289"/>
      <c r="KOE29" s="289"/>
      <c r="KOF29" s="289"/>
      <c r="KOG29" s="289"/>
      <c r="KOH29" s="289"/>
      <c r="KOI29" s="289"/>
      <c r="KOJ29" s="289"/>
      <c r="KOK29" s="289"/>
      <c r="KOL29" s="289"/>
      <c r="KOM29" s="289"/>
      <c r="KON29" s="289"/>
      <c r="KOO29" s="289"/>
      <c r="KOP29" s="289"/>
      <c r="KOQ29" s="289"/>
      <c r="KOR29" s="289"/>
      <c r="KOS29" s="289"/>
      <c r="KOT29" s="289"/>
      <c r="KOU29" s="289"/>
      <c r="KOV29" s="289"/>
      <c r="KOW29" s="289"/>
      <c r="KOX29" s="289"/>
      <c r="KOY29" s="289"/>
      <c r="KOZ29" s="289"/>
      <c r="KPA29" s="289"/>
      <c r="KPB29" s="289"/>
      <c r="KPC29" s="289"/>
      <c r="KPD29" s="289"/>
      <c r="KPE29" s="289"/>
      <c r="KPF29" s="289"/>
      <c r="KPG29" s="289"/>
      <c r="KPH29" s="289"/>
      <c r="KPI29" s="289"/>
      <c r="KPJ29" s="289"/>
      <c r="KPK29" s="289"/>
      <c r="KPL29" s="289"/>
      <c r="KPM29" s="289"/>
      <c r="KPN29" s="289"/>
      <c r="KPO29" s="289"/>
      <c r="KPP29" s="289"/>
      <c r="KPQ29" s="289"/>
      <c r="KPR29" s="289"/>
      <c r="KPS29" s="289"/>
      <c r="KPT29" s="289"/>
      <c r="KPU29" s="289"/>
      <c r="KPV29" s="289"/>
      <c r="KPW29" s="289"/>
      <c r="KPX29" s="289"/>
      <c r="KPY29" s="289"/>
      <c r="KPZ29" s="289"/>
      <c r="KQA29" s="289"/>
      <c r="KQB29" s="289"/>
      <c r="KQC29" s="289"/>
      <c r="KQD29" s="289"/>
      <c r="KQE29" s="289"/>
      <c r="KQF29" s="289"/>
      <c r="KQG29" s="289"/>
      <c r="KQH29" s="289"/>
      <c r="KQI29" s="289"/>
      <c r="KQJ29" s="289"/>
      <c r="KQK29" s="289"/>
      <c r="KQL29" s="289"/>
      <c r="KQM29" s="289"/>
      <c r="KQN29" s="289"/>
      <c r="KQO29" s="289"/>
      <c r="KQP29" s="289"/>
      <c r="KQQ29" s="289"/>
      <c r="KQR29" s="289"/>
      <c r="KQS29" s="289"/>
      <c r="KQT29" s="289"/>
      <c r="KQU29" s="289"/>
      <c r="KQV29" s="289"/>
      <c r="KQW29" s="289"/>
      <c r="KQX29" s="289"/>
      <c r="KQY29" s="289"/>
      <c r="KQZ29" s="289"/>
      <c r="KRA29" s="289"/>
      <c r="KRB29" s="289"/>
      <c r="KRC29" s="289"/>
      <c r="KRD29" s="289"/>
      <c r="KRE29" s="289"/>
      <c r="KRF29" s="289"/>
      <c r="KRG29" s="289"/>
      <c r="KRH29" s="289"/>
      <c r="KRI29" s="289"/>
      <c r="KRJ29" s="289"/>
      <c r="KRK29" s="289"/>
      <c r="KRL29" s="289"/>
      <c r="KRM29" s="289"/>
      <c r="KRN29" s="289"/>
      <c r="KRO29" s="289"/>
      <c r="KRP29" s="289"/>
      <c r="KRQ29" s="289"/>
      <c r="KRR29" s="289"/>
      <c r="KRS29" s="289"/>
      <c r="KRT29" s="289"/>
      <c r="KRU29" s="289"/>
      <c r="KRV29" s="289"/>
      <c r="KRW29" s="289"/>
      <c r="KRX29" s="289"/>
      <c r="KRY29" s="289"/>
      <c r="KRZ29" s="289"/>
      <c r="KSA29" s="289"/>
      <c r="KSB29" s="289"/>
      <c r="KSC29" s="289"/>
      <c r="KSD29" s="289"/>
      <c r="KSE29" s="289"/>
      <c r="KSF29" s="289"/>
      <c r="KSG29" s="289"/>
      <c r="KSH29" s="289"/>
      <c r="KSI29" s="289"/>
      <c r="KSJ29" s="289"/>
      <c r="KSK29" s="289"/>
      <c r="KSL29" s="289"/>
      <c r="KSM29" s="289"/>
      <c r="KSN29" s="289"/>
      <c r="KSO29" s="289"/>
      <c r="KSP29" s="289"/>
      <c r="KSQ29" s="289"/>
      <c r="KSR29" s="289"/>
      <c r="KSS29" s="289"/>
      <c r="KST29" s="289"/>
      <c r="KSU29" s="289"/>
      <c r="KSV29" s="289"/>
      <c r="KSW29" s="289"/>
      <c r="KSX29" s="289"/>
      <c r="KSY29" s="289"/>
      <c r="KSZ29" s="289"/>
      <c r="KTA29" s="289"/>
      <c r="KTB29" s="289"/>
      <c r="KTC29" s="289"/>
      <c r="KTD29" s="289"/>
      <c r="KTE29" s="289"/>
      <c r="KTF29" s="289"/>
      <c r="KTG29" s="289"/>
      <c r="KTH29" s="289"/>
      <c r="KTI29" s="289"/>
      <c r="KTJ29" s="289"/>
      <c r="KTK29" s="289"/>
      <c r="KTL29" s="289"/>
      <c r="KTM29" s="289"/>
      <c r="KTN29" s="289"/>
      <c r="KTO29" s="289"/>
      <c r="KTP29" s="289"/>
      <c r="KTQ29" s="289"/>
      <c r="KTR29" s="289"/>
      <c r="KTS29" s="289"/>
      <c r="KTT29" s="289"/>
      <c r="KTU29" s="289"/>
      <c r="KTV29" s="289"/>
      <c r="KTW29" s="289"/>
      <c r="KTX29" s="289"/>
      <c r="KTY29" s="289"/>
      <c r="KTZ29" s="289"/>
      <c r="KUA29" s="289"/>
      <c r="KUB29" s="289"/>
      <c r="KUC29" s="289"/>
      <c r="KUD29" s="289"/>
      <c r="KUE29" s="289"/>
      <c r="KUF29" s="289"/>
      <c r="KUG29" s="289"/>
      <c r="KUH29" s="289"/>
      <c r="KUI29" s="289"/>
      <c r="KUJ29" s="289"/>
      <c r="KUK29" s="289"/>
      <c r="KUL29" s="289"/>
      <c r="KUM29" s="289"/>
      <c r="KUN29" s="289"/>
      <c r="KUO29" s="289"/>
      <c r="KUP29" s="289"/>
      <c r="KUQ29" s="289"/>
      <c r="KUR29" s="289"/>
      <c r="KUS29" s="289"/>
      <c r="KUT29" s="289"/>
      <c r="KUU29" s="289"/>
      <c r="KUV29" s="289"/>
      <c r="KUW29" s="289"/>
      <c r="KUX29" s="289"/>
      <c r="KUY29" s="289"/>
      <c r="KUZ29" s="289"/>
      <c r="KVA29" s="289"/>
      <c r="KVB29" s="289"/>
      <c r="KVC29" s="289"/>
      <c r="KVD29" s="289"/>
      <c r="KVE29" s="289"/>
      <c r="KVF29" s="289"/>
      <c r="KVG29" s="289"/>
      <c r="KVH29" s="289"/>
      <c r="KVI29" s="289"/>
      <c r="KVJ29" s="289"/>
      <c r="KVK29" s="289"/>
      <c r="KVL29" s="289"/>
      <c r="KVM29" s="289"/>
      <c r="KVN29" s="289"/>
      <c r="KVO29" s="289"/>
      <c r="KVP29" s="289"/>
      <c r="KVQ29" s="289"/>
      <c r="KVR29" s="289"/>
      <c r="KVS29" s="289"/>
      <c r="KVT29" s="289"/>
      <c r="KVU29" s="289"/>
      <c r="KVV29" s="289"/>
      <c r="KVW29" s="289"/>
      <c r="KVX29" s="289"/>
      <c r="KVY29" s="289"/>
      <c r="KVZ29" s="289"/>
      <c r="KWA29" s="289"/>
      <c r="KWB29" s="289"/>
      <c r="KWC29" s="289"/>
      <c r="KWD29" s="289"/>
      <c r="KWE29" s="289"/>
      <c r="KWF29" s="289"/>
      <c r="KWG29" s="289"/>
      <c r="KWH29" s="289"/>
      <c r="KWI29" s="289"/>
      <c r="KWJ29" s="289"/>
      <c r="KWK29" s="289"/>
      <c r="KWL29" s="289"/>
      <c r="KWM29" s="289"/>
      <c r="KWN29" s="289"/>
      <c r="KWO29" s="289"/>
      <c r="KWP29" s="289"/>
      <c r="KWQ29" s="289"/>
      <c r="KWR29" s="289"/>
      <c r="KWS29" s="289"/>
      <c r="KWT29" s="289"/>
      <c r="KWU29" s="289"/>
      <c r="KWV29" s="289"/>
      <c r="KWW29" s="289"/>
      <c r="KWX29" s="289"/>
      <c r="KWY29" s="289"/>
      <c r="KWZ29" s="289"/>
      <c r="KXA29" s="289"/>
      <c r="KXB29" s="289"/>
      <c r="KXC29" s="289"/>
      <c r="KXD29" s="289"/>
      <c r="KXE29" s="289"/>
      <c r="KXF29" s="289"/>
      <c r="KXG29" s="289"/>
      <c r="KXH29" s="289"/>
      <c r="KXI29" s="289"/>
      <c r="KXJ29" s="289"/>
      <c r="KXK29" s="289"/>
      <c r="KXL29" s="289"/>
      <c r="KXM29" s="289"/>
      <c r="KXN29" s="289"/>
      <c r="KXO29" s="289"/>
      <c r="KXP29" s="289"/>
      <c r="KXQ29" s="289"/>
      <c r="KXR29" s="289"/>
      <c r="KXS29" s="289"/>
      <c r="KXT29" s="289"/>
      <c r="KXU29" s="289"/>
      <c r="KXV29" s="289"/>
      <c r="KXW29" s="289"/>
      <c r="KXX29" s="289"/>
      <c r="KXY29" s="289"/>
      <c r="KXZ29" s="289"/>
      <c r="KYA29" s="289"/>
      <c r="KYB29" s="289"/>
      <c r="KYC29" s="289"/>
      <c r="KYD29" s="289"/>
      <c r="KYE29" s="289"/>
      <c r="KYF29" s="289"/>
      <c r="KYG29" s="289"/>
      <c r="KYH29" s="289"/>
      <c r="KYI29" s="289"/>
      <c r="KYJ29" s="289"/>
      <c r="KYK29" s="289"/>
      <c r="KYL29" s="289"/>
      <c r="KYM29" s="289"/>
      <c r="KYN29" s="289"/>
      <c r="KYO29" s="289"/>
      <c r="KYP29" s="289"/>
      <c r="KYQ29" s="289"/>
      <c r="KYR29" s="289"/>
      <c r="KYS29" s="289"/>
      <c r="KYT29" s="289"/>
      <c r="KYU29" s="289"/>
      <c r="KYV29" s="289"/>
      <c r="KYW29" s="289"/>
      <c r="KYX29" s="289"/>
      <c r="KYY29" s="289"/>
      <c r="KYZ29" s="289"/>
      <c r="KZA29" s="289"/>
      <c r="KZB29" s="289"/>
      <c r="KZC29" s="289"/>
      <c r="KZD29" s="289"/>
      <c r="KZE29" s="289"/>
      <c r="KZF29" s="289"/>
      <c r="KZG29" s="289"/>
      <c r="KZH29" s="289"/>
      <c r="KZI29" s="289"/>
      <c r="KZJ29" s="289"/>
      <c r="KZK29" s="289"/>
      <c r="KZL29" s="289"/>
      <c r="KZM29" s="289"/>
      <c r="KZN29" s="289"/>
      <c r="KZO29" s="289"/>
      <c r="KZP29" s="289"/>
      <c r="KZQ29" s="289"/>
      <c r="KZR29" s="289"/>
      <c r="KZS29" s="289"/>
      <c r="KZT29" s="289"/>
      <c r="KZU29" s="289"/>
      <c r="KZV29" s="289"/>
      <c r="KZW29" s="289"/>
      <c r="KZX29" s="289"/>
      <c r="KZY29" s="289"/>
      <c r="KZZ29" s="289"/>
      <c r="LAA29" s="289"/>
      <c r="LAB29" s="289"/>
      <c r="LAC29" s="289"/>
      <c r="LAD29" s="289"/>
      <c r="LAE29" s="289"/>
      <c r="LAF29" s="289"/>
      <c r="LAG29" s="289"/>
      <c r="LAH29" s="289"/>
      <c r="LAI29" s="289"/>
      <c r="LAJ29" s="289"/>
      <c r="LAK29" s="289"/>
      <c r="LAL29" s="289"/>
      <c r="LAM29" s="289"/>
      <c r="LAN29" s="289"/>
      <c r="LAO29" s="289"/>
      <c r="LAP29" s="289"/>
      <c r="LAQ29" s="289"/>
      <c r="LAR29" s="289"/>
      <c r="LAS29" s="289"/>
      <c r="LAT29" s="289"/>
      <c r="LAU29" s="289"/>
      <c r="LAV29" s="289"/>
      <c r="LAW29" s="289"/>
      <c r="LAX29" s="289"/>
      <c r="LAY29" s="289"/>
      <c r="LAZ29" s="289"/>
      <c r="LBA29" s="289"/>
      <c r="LBB29" s="289"/>
      <c r="LBC29" s="289"/>
      <c r="LBD29" s="289"/>
      <c r="LBE29" s="289"/>
      <c r="LBF29" s="289"/>
      <c r="LBG29" s="289"/>
      <c r="LBH29" s="289"/>
      <c r="LBI29" s="289"/>
      <c r="LBJ29" s="289"/>
      <c r="LBK29" s="289"/>
      <c r="LBL29" s="289"/>
      <c r="LBM29" s="289"/>
      <c r="LBN29" s="289"/>
      <c r="LBO29" s="289"/>
      <c r="LBP29" s="289"/>
      <c r="LBQ29" s="289"/>
      <c r="LBR29" s="289"/>
      <c r="LBS29" s="289"/>
      <c r="LBT29" s="289"/>
      <c r="LBU29" s="289"/>
      <c r="LBV29" s="289"/>
      <c r="LBW29" s="289"/>
      <c r="LBX29" s="289"/>
      <c r="LBY29" s="289"/>
      <c r="LBZ29" s="289"/>
      <c r="LCA29" s="289"/>
      <c r="LCB29" s="289"/>
      <c r="LCC29" s="289"/>
      <c r="LCD29" s="289"/>
      <c r="LCE29" s="289"/>
      <c r="LCF29" s="289"/>
      <c r="LCG29" s="289"/>
      <c r="LCH29" s="289"/>
      <c r="LCI29" s="289"/>
      <c r="LCJ29" s="289"/>
      <c r="LCK29" s="289"/>
      <c r="LCL29" s="289"/>
      <c r="LCM29" s="289"/>
      <c r="LCN29" s="289"/>
      <c r="LCO29" s="289"/>
      <c r="LCP29" s="289"/>
      <c r="LCQ29" s="289"/>
      <c r="LCR29" s="289"/>
      <c r="LCS29" s="289"/>
      <c r="LCT29" s="289"/>
      <c r="LCU29" s="289"/>
      <c r="LCV29" s="289"/>
      <c r="LCW29" s="289"/>
      <c r="LCX29" s="289"/>
      <c r="LCY29" s="289"/>
      <c r="LCZ29" s="289"/>
      <c r="LDA29" s="289"/>
      <c r="LDB29" s="289"/>
      <c r="LDC29" s="289"/>
      <c r="LDD29" s="289"/>
      <c r="LDE29" s="289"/>
      <c r="LDF29" s="289"/>
      <c r="LDG29" s="289"/>
      <c r="LDH29" s="289"/>
      <c r="LDI29" s="289"/>
      <c r="LDJ29" s="289"/>
      <c r="LDK29" s="289"/>
      <c r="LDL29" s="289"/>
      <c r="LDM29" s="289"/>
      <c r="LDN29" s="289"/>
      <c r="LDO29" s="289"/>
      <c r="LDP29" s="289"/>
      <c r="LDQ29" s="289"/>
      <c r="LDR29" s="289"/>
      <c r="LDS29" s="289"/>
      <c r="LDT29" s="289"/>
      <c r="LDU29" s="289"/>
      <c r="LDV29" s="289"/>
      <c r="LDW29" s="289"/>
      <c r="LDX29" s="289"/>
      <c r="LDY29" s="289"/>
      <c r="LDZ29" s="289"/>
      <c r="LEA29" s="289"/>
      <c r="LEB29" s="289"/>
      <c r="LEC29" s="289"/>
      <c r="LED29" s="289"/>
      <c r="LEE29" s="289"/>
      <c r="LEF29" s="289"/>
      <c r="LEG29" s="289"/>
      <c r="LEH29" s="289"/>
      <c r="LEI29" s="289"/>
      <c r="LEJ29" s="289"/>
      <c r="LEK29" s="289"/>
      <c r="LEL29" s="289"/>
      <c r="LEM29" s="289"/>
      <c r="LEN29" s="289"/>
      <c r="LEO29" s="289"/>
      <c r="LEP29" s="289"/>
      <c r="LEQ29" s="289"/>
      <c r="LER29" s="289"/>
      <c r="LES29" s="289"/>
      <c r="LET29" s="289"/>
      <c r="LEU29" s="289"/>
      <c r="LEV29" s="289"/>
      <c r="LEW29" s="289"/>
      <c r="LEX29" s="289"/>
      <c r="LEY29" s="289"/>
      <c r="LEZ29" s="289"/>
      <c r="LFA29" s="289"/>
      <c r="LFB29" s="289"/>
      <c r="LFC29" s="289"/>
      <c r="LFD29" s="289"/>
      <c r="LFE29" s="289"/>
      <c r="LFF29" s="289"/>
      <c r="LFG29" s="289"/>
      <c r="LFH29" s="289"/>
      <c r="LFI29" s="289"/>
      <c r="LFJ29" s="289"/>
      <c r="LFK29" s="289"/>
      <c r="LFL29" s="289"/>
      <c r="LFM29" s="289"/>
      <c r="LFN29" s="289"/>
      <c r="LFO29" s="289"/>
      <c r="LFP29" s="289"/>
      <c r="LFQ29" s="289"/>
      <c r="LFR29" s="289"/>
      <c r="LFS29" s="289"/>
      <c r="LFT29" s="289"/>
      <c r="LFU29" s="289"/>
      <c r="LFV29" s="289"/>
      <c r="LFW29" s="289"/>
      <c r="LFX29" s="289"/>
      <c r="LFY29" s="289"/>
      <c r="LFZ29" s="289"/>
      <c r="LGA29" s="289"/>
      <c r="LGB29" s="289"/>
      <c r="LGC29" s="289"/>
      <c r="LGD29" s="289"/>
      <c r="LGE29" s="289"/>
      <c r="LGF29" s="289"/>
      <c r="LGG29" s="289"/>
      <c r="LGH29" s="289"/>
      <c r="LGI29" s="289"/>
      <c r="LGJ29" s="289"/>
      <c r="LGK29" s="289"/>
      <c r="LGL29" s="289"/>
      <c r="LGM29" s="289"/>
      <c r="LGN29" s="289"/>
      <c r="LGO29" s="289"/>
      <c r="LGP29" s="289"/>
      <c r="LGQ29" s="289"/>
      <c r="LGR29" s="289"/>
      <c r="LGS29" s="289"/>
      <c r="LGT29" s="289"/>
      <c r="LGU29" s="289"/>
      <c r="LGV29" s="289"/>
      <c r="LGW29" s="289"/>
      <c r="LGX29" s="289"/>
      <c r="LGY29" s="289"/>
      <c r="LGZ29" s="289"/>
      <c r="LHA29" s="289"/>
      <c r="LHB29" s="289"/>
      <c r="LHC29" s="289"/>
      <c r="LHD29" s="289"/>
      <c r="LHE29" s="289"/>
      <c r="LHF29" s="289"/>
      <c r="LHG29" s="289"/>
      <c r="LHH29" s="289"/>
      <c r="LHI29" s="289"/>
      <c r="LHJ29" s="289"/>
      <c r="LHK29" s="289"/>
      <c r="LHL29" s="289"/>
      <c r="LHM29" s="289"/>
      <c r="LHN29" s="289"/>
      <c r="LHO29" s="289"/>
      <c r="LHP29" s="289"/>
      <c r="LHQ29" s="289"/>
      <c r="LHR29" s="289"/>
      <c r="LHS29" s="289"/>
      <c r="LHT29" s="289"/>
      <c r="LHU29" s="289"/>
      <c r="LHV29" s="289"/>
      <c r="LHW29" s="289"/>
      <c r="LHX29" s="289"/>
      <c r="LHY29" s="289"/>
      <c r="LHZ29" s="289"/>
      <c r="LIA29" s="289"/>
      <c r="LIB29" s="289"/>
      <c r="LIC29" s="289"/>
      <c r="LID29" s="289"/>
      <c r="LIE29" s="289"/>
      <c r="LIF29" s="289"/>
      <c r="LIG29" s="289"/>
      <c r="LIH29" s="289"/>
      <c r="LII29" s="289"/>
      <c r="LIJ29" s="289"/>
      <c r="LIK29" s="289"/>
      <c r="LIL29" s="289"/>
      <c r="LIM29" s="289"/>
      <c r="LIN29" s="289"/>
      <c r="LIO29" s="289"/>
      <c r="LIP29" s="289"/>
      <c r="LIQ29" s="289"/>
      <c r="LIR29" s="289"/>
      <c r="LIS29" s="289"/>
      <c r="LIT29" s="289"/>
      <c r="LIU29" s="289"/>
      <c r="LIV29" s="289"/>
      <c r="LIW29" s="289"/>
      <c r="LIX29" s="289"/>
      <c r="LIY29" s="289"/>
      <c r="LIZ29" s="289"/>
      <c r="LJA29" s="289"/>
      <c r="LJB29" s="289"/>
      <c r="LJC29" s="289"/>
      <c r="LJD29" s="289"/>
      <c r="LJE29" s="289"/>
      <c r="LJF29" s="289"/>
      <c r="LJG29" s="289"/>
      <c r="LJH29" s="289"/>
      <c r="LJI29" s="289"/>
      <c r="LJJ29" s="289"/>
      <c r="LJK29" s="289"/>
      <c r="LJL29" s="289"/>
      <c r="LJM29" s="289"/>
      <c r="LJN29" s="289"/>
      <c r="LJO29" s="289"/>
      <c r="LJP29" s="289"/>
      <c r="LJQ29" s="289"/>
      <c r="LJR29" s="289"/>
      <c r="LJS29" s="289"/>
      <c r="LJT29" s="289"/>
      <c r="LJU29" s="289"/>
      <c r="LJV29" s="289"/>
      <c r="LJW29" s="289"/>
      <c r="LJX29" s="289"/>
      <c r="LJY29" s="289"/>
      <c r="LJZ29" s="289"/>
      <c r="LKA29" s="289"/>
      <c r="LKB29" s="289"/>
      <c r="LKC29" s="289"/>
      <c r="LKD29" s="289"/>
      <c r="LKE29" s="289"/>
      <c r="LKF29" s="289"/>
      <c r="LKG29" s="289"/>
      <c r="LKH29" s="289"/>
      <c r="LKI29" s="289"/>
      <c r="LKJ29" s="289"/>
      <c r="LKK29" s="289"/>
      <c r="LKL29" s="289"/>
      <c r="LKM29" s="289"/>
      <c r="LKN29" s="289"/>
      <c r="LKO29" s="289"/>
      <c r="LKP29" s="289"/>
      <c r="LKQ29" s="289"/>
      <c r="LKR29" s="289"/>
      <c r="LKS29" s="289"/>
      <c r="LKT29" s="289"/>
      <c r="LKU29" s="289"/>
      <c r="LKV29" s="289"/>
      <c r="LKW29" s="289"/>
      <c r="LKX29" s="289"/>
      <c r="LKY29" s="289"/>
      <c r="LKZ29" s="289"/>
      <c r="LLA29" s="289"/>
      <c r="LLB29" s="289"/>
      <c r="LLC29" s="289"/>
      <c r="LLD29" s="289"/>
      <c r="LLE29" s="289"/>
      <c r="LLF29" s="289"/>
      <c r="LLG29" s="289"/>
      <c r="LLH29" s="289"/>
      <c r="LLI29" s="289"/>
      <c r="LLJ29" s="289"/>
      <c r="LLK29" s="289"/>
      <c r="LLL29" s="289"/>
      <c r="LLM29" s="289"/>
      <c r="LLN29" s="289"/>
      <c r="LLO29" s="289"/>
      <c r="LLP29" s="289"/>
      <c r="LLQ29" s="289"/>
      <c r="LLR29" s="289"/>
      <c r="LLS29" s="289"/>
      <c r="LLT29" s="289"/>
      <c r="LLU29" s="289"/>
      <c r="LLV29" s="289"/>
      <c r="LLW29" s="289"/>
      <c r="LLX29" s="289"/>
      <c r="LLY29" s="289"/>
      <c r="LLZ29" s="289"/>
      <c r="LMA29" s="289"/>
      <c r="LMB29" s="289"/>
      <c r="LMC29" s="289"/>
      <c r="LMD29" s="289"/>
      <c r="LME29" s="289"/>
      <c r="LMF29" s="289"/>
      <c r="LMG29" s="289"/>
      <c r="LMH29" s="289"/>
      <c r="LMI29" s="289"/>
      <c r="LMJ29" s="289"/>
      <c r="LMK29" s="289"/>
      <c r="LML29" s="289"/>
      <c r="LMM29" s="289"/>
      <c r="LMN29" s="289"/>
      <c r="LMO29" s="289"/>
      <c r="LMP29" s="289"/>
      <c r="LMQ29" s="289"/>
      <c r="LMR29" s="289"/>
      <c r="LMS29" s="289"/>
      <c r="LMT29" s="289"/>
      <c r="LMU29" s="289"/>
      <c r="LMV29" s="289"/>
      <c r="LMW29" s="289"/>
      <c r="LMX29" s="289"/>
      <c r="LMY29" s="289"/>
      <c r="LMZ29" s="289"/>
      <c r="LNA29" s="289"/>
      <c r="LNB29" s="289"/>
      <c r="LNC29" s="289"/>
      <c r="LND29" s="289"/>
      <c r="LNE29" s="289"/>
      <c r="LNF29" s="289"/>
      <c r="LNG29" s="289"/>
      <c r="LNH29" s="289"/>
      <c r="LNI29" s="289"/>
      <c r="LNJ29" s="289"/>
      <c r="LNK29" s="289"/>
      <c r="LNL29" s="289"/>
      <c r="LNM29" s="289"/>
      <c r="LNN29" s="289"/>
      <c r="LNO29" s="289"/>
      <c r="LNP29" s="289"/>
      <c r="LNQ29" s="289"/>
      <c r="LNR29" s="289"/>
      <c r="LNS29" s="289"/>
      <c r="LNT29" s="289"/>
      <c r="LNU29" s="289"/>
      <c r="LNV29" s="289"/>
      <c r="LNW29" s="289"/>
      <c r="LNX29" s="289"/>
      <c r="LNY29" s="289"/>
      <c r="LNZ29" s="289"/>
      <c r="LOA29" s="289"/>
      <c r="LOB29" s="289"/>
      <c r="LOC29" s="289"/>
      <c r="LOD29" s="289"/>
      <c r="LOE29" s="289"/>
      <c r="LOF29" s="289"/>
      <c r="LOG29" s="289"/>
      <c r="LOH29" s="289"/>
      <c r="LOI29" s="289"/>
      <c r="LOJ29" s="289"/>
      <c r="LOK29" s="289"/>
      <c r="LOL29" s="289"/>
      <c r="LOM29" s="289"/>
      <c r="LON29" s="289"/>
      <c r="LOO29" s="289"/>
      <c r="LOP29" s="289"/>
      <c r="LOQ29" s="289"/>
      <c r="LOR29" s="289"/>
      <c r="LOS29" s="289"/>
      <c r="LOT29" s="289"/>
      <c r="LOU29" s="289"/>
      <c r="LOV29" s="289"/>
      <c r="LOW29" s="289"/>
      <c r="LOX29" s="289"/>
      <c r="LOY29" s="289"/>
      <c r="LOZ29" s="289"/>
      <c r="LPA29" s="289"/>
      <c r="LPB29" s="289"/>
      <c r="LPC29" s="289"/>
      <c r="LPD29" s="289"/>
      <c r="LPE29" s="289"/>
      <c r="LPF29" s="289"/>
      <c r="LPG29" s="289"/>
      <c r="LPH29" s="289"/>
      <c r="LPI29" s="289"/>
      <c r="LPJ29" s="289"/>
      <c r="LPK29" s="289"/>
      <c r="LPL29" s="289"/>
      <c r="LPM29" s="289"/>
      <c r="LPN29" s="289"/>
      <c r="LPO29" s="289"/>
      <c r="LPP29" s="289"/>
      <c r="LPQ29" s="289"/>
      <c r="LPR29" s="289"/>
      <c r="LPS29" s="289"/>
      <c r="LPT29" s="289"/>
      <c r="LPU29" s="289"/>
      <c r="LPV29" s="289"/>
      <c r="LPW29" s="289"/>
      <c r="LPX29" s="289"/>
      <c r="LPY29" s="289"/>
      <c r="LPZ29" s="289"/>
      <c r="LQA29" s="289"/>
      <c r="LQB29" s="289"/>
      <c r="LQC29" s="289"/>
      <c r="LQD29" s="289"/>
      <c r="LQE29" s="289"/>
      <c r="LQF29" s="289"/>
      <c r="LQG29" s="289"/>
      <c r="LQH29" s="289"/>
      <c r="LQI29" s="289"/>
      <c r="LQJ29" s="289"/>
      <c r="LQK29" s="289"/>
      <c r="LQL29" s="289"/>
      <c r="LQM29" s="289"/>
      <c r="LQN29" s="289"/>
      <c r="LQO29" s="289"/>
      <c r="LQP29" s="289"/>
      <c r="LQQ29" s="289"/>
      <c r="LQR29" s="289"/>
      <c r="LQS29" s="289"/>
      <c r="LQT29" s="289"/>
      <c r="LQU29" s="289"/>
      <c r="LQV29" s="289"/>
      <c r="LQW29" s="289"/>
      <c r="LQX29" s="289"/>
      <c r="LQY29" s="289"/>
      <c r="LQZ29" s="289"/>
      <c r="LRA29" s="289"/>
      <c r="LRB29" s="289"/>
      <c r="LRC29" s="289"/>
      <c r="LRD29" s="289"/>
      <c r="LRE29" s="289"/>
      <c r="LRF29" s="289"/>
      <c r="LRG29" s="289"/>
      <c r="LRH29" s="289"/>
      <c r="LRI29" s="289"/>
      <c r="LRJ29" s="289"/>
      <c r="LRK29" s="289"/>
      <c r="LRL29" s="289"/>
      <c r="LRM29" s="289"/>
      <c r="LRN29" s="289"/>
      <c r="LRO29" s="289"/>
      <c r="LRP29" s="289"/>
      <c r="LRQ29" s="289"/>
      <c r="LRR29" s="289"/>
      <c r="LRS29" s="289"/>
      <c r="LRT29" s="289"/>
      <c r="LRU29" s="289"/>
      <c r="LRV29" s="289"/>
      <c r="LRW29" s="289"/>
      <c r="LRX29" s="289"/>
      <c r="LRY29" s="289"/>
      <c r="LRZ29" s="289"/>
      <c r="LSA29" s="289"/>
      <c r="LSB29" s="289"/>
      <c r="LSC29" s="289"/>
      <c r="LSD29" s="289"/>
      <c r="LSE29" s="289"/>
      <c r="LSF29" s="289"/>
      <c r="LSG29" s="289"/>
      <c r="LSH29" s="289"/>
      <c r="LSI29" s="289"/>
      <c r="LSJ29" s="289"/>
      <c r="LSK29" s="289"/>
      <c r="LSL29" s="289"/>
      <c r="LSM29" s="289"/>
      <c r="LSN29" s="289"/>
      <c r="LSO29" s="289"/>
      <c r="LSP29" s="289"/>
      <c r="LSQ29" s="289"/>
      <c r="LSR29" s="289"/>
      <c r="LSS29" s="289"/>
      <c r="LST29" s="289"/>
      <c r="LSU29" s="289"/>
      <c r="LSV29" s="289"/>
      <c r="LSW29" s="289"/>
      <c r="LSX29" s="289"/>
      <c r="LSY29" s="289"/>
      <c r="LSZ29" s="289"/>
      <c r="LTA29" s="289"/>
      <c r="LTB29" s="289"/>
      <c r="LTC29" s="289"/>
      <c r="LTD29" s="289"/>
      <c r="LTE29" s="289"/>
      <c r="LTF29" s="289"/>
      <c r="LTG29" s="289"/>
      <c r="LTH29" s="289"/>
      <c r="LTI29" s="289"/>
      <c r="LTJ29" s="289"/>
      <c r="LTK29" s="289"/>
      <c r="LTL29" s="289"/>
      <c r="LTM29" s="289"/>
      <c r="LTN29" s="289"/>
      <c r="LTO29" s="289"/>
      <c r="LTP29" s="289"/>
      <c r="LTQ29" s="289"/>
      <c r="LTR29" s="289"/>
      <c r="LTS29" s="289"/>
      <c r="LTT29" s="289"/>
      <c r="LTU29" s="289"/>
      <c r="LTV29" s="289"/>
      <c r="LTW29" s="289"/>
      <c r="LTX29" s="289"/>
      <c r="LTY29" s="289"/>
      <c r="LTZ29" s="289"/>
      <c r="LUA29" s="289"/>
      <c r="LUB29" s="289"/>
      <c r="LUC29" s="289"/>
      <c r="LUD29" s="289"/>
      <c r="LUE29" s="289"/>
      <c r="LUF29" s="289"/>
      <c r="LUG29" s="289"/>
      <c r="LUH29" s="289"/>
      <c r="LUI29" s="289"/>
      <c r="LUJ29" s="289"/>
      <c r="LUK29" s="289"/>
      <c r="LUL29" s="289"/>
      <c r="LUM29" s="289"/>
      <c r="LUN29" s="289"/>
      <c r="LUO29" s="289"/>
      <c r="LUP29" s="289"/>
      <c r="LUQ29" s="289"/>
      <c r="LUR29" s="289"/>
      <c r="LUS29" s="289"/>
      <c r="LUT29" s="289"/>
      <c r="LUU29" s="289"/>
      <c r="LUV29" s="289"/>
      <c r="LUW29" s="289"/>
      <c r="LUX29" s="289"/>
      <c r="LUY29" s="289"/>
      <c r="LUZ29" s="289"/>
      <c r="LVA29" s="289"/>
      <c r="LVB29" s="289"/>
      <c r="LVC29" s="289"/>
      <c r="LVD29" s="289"/>
      <c r="LVE29" s="289"/>
      <c r="LVF29" s="289"/>
      <c r="LVG29" s="289"/>
      <c r="LVH29" s="289"/>
      <c r="LVI29" s="289"/>
      <c r="LVJ29" s="289"/>
      <c r="LVK29" s="289"/>
      <c r="LVL29" s="289"/>
      <c r="LVM29" s="289"/>
      <c r="LVN29" s="289"/>
      <c r="LVO29" s="289"/>
      <c r="LVP29" s="289"/>
      <c r="LVQ29" s="289"/>
      <c r="LVR29" s="289"/>
      <c r="LVS29" s="289"/>
      <c r="LVT29" s="289"/>
      <c r="LVU29" s="289"/>
      <c r="LVV29" s="289"/>
      <c r="LVW29" s="289"/>
      <c r="LVX29" s="289"/>
      <c r="LVY29" s="289"/>
      <c r="LVZ29" s="289"/>
      <c r="LWA29" s="289"/>
      <c r="LWB29" s="289"/>
      <c r="LWC29" s="289"/>
      <c r="LWD29" s="289"/>
      <c r="LWE29" s="289"/>
      <c r="LWF29" s="289"/>
      <c r="LWG29" s="289"/>
      <c r="LWH29" s="289"/>
      <c r="LWI29" s="289"/>
      <c r="LWJ29" s="289"/>
      <c r="LWK29" s="289"/>
      <c r="LWL29" s="289"/>
      <c r="LWM29" s="289"/>
      <c r="LWN29" s="289"/>
      <c r="LWO29" s="289"/>
      <c r="LWP29" s="289"/>
      <c r="LWQ29" s="289"/>
      <c r="LWR29" s="289"/>
      <c r="LWS29" s="289"/>
      <c r="LWT29" s="289"/>
      <c r="LWU29" s="289"/>
      <c r="LWV29" s="289"/>
      <c r="LWW29" s="289"/>
      <c r="LWX29" s="289"/>
      <c r="LWY29" s="289"/>
      <c r="LWZ29" s="289"/>
      <c r="LXA29" s="289"/>
      <c r="LXB29" s="289"/>
      <c r="LXC29" s="289"/>
      <c r="LXD29" s="289"/>
      <c r="LXE29" s="289"/>
      <c r="LXF29" s="289"/>
      <c r="LXG29" s="289"/>
      <c r="LXH29" s="289"/>
      <c r="LXI29" s="289"/>
      <c r="LXJ29" s="289"/>
      <c r="LXK29" s="289"/>
      <c r="LXL29" s="289"/>
      <c r="LXM29" s="289"/>
      <c r="LXN29" s="289"/>
      <c r="LXO29" s="289"/>
      <c r="LXP29" s="289"/>
      <c r="LXQ29" s="289"/>
      <c r="LXR29" s="289"/>
      <c r="LXS29" s="289"/>
      <c r="LXT29" s="289"/>
      <c r="LXU29" s="289"/>
      <c r="LXV29" s="289"/>
      <c r="LXW29" s="289"/>
      <c r="LXX29" s="289"/>
      <c r="LXY29" s="289"/>
      <c r="LXZ29" s="289"/>
      <c r="LYA29" s="289"/>
      <c r="LYB29" s="289"/>
      <c r="LYC29" s="289"/>
      <c r="LYD29" s="289"/>
      <c r="LYE29" s="289"/>
      <c r="LYF29" s="289"/>
      <c r="LYG29" s="289"/>
      <c r="LYH29" s="289"/>
      <c r="LYI29" s="289"/>
      <c r="LYJ29" s="289"/>
      <c r="LYK29" s="289"/>
      <c r="LYL29" s="289"/>
      <c r="LYM29" s="289"/>
      <c r="LYN29" s="289"/>
      <c r="LYO29" s="289"/>
      <c r="LYP29" s="289"/>
      <c r="LYQ29" s="289"/>
      <c r="LYR29" s="289"/>
      <c r="LYS29" s="289"/>
      <c r="LYT29" s="289"/>
      <c r="LYU29" s="289"/>
      <c r="LYV29" s="289"/>
      <c r="LYW29" s="289"/>
      <c r="LYX29" s="289"/>
      <c r="LYY29" s="289"/>
      <c r="LYZ29" s="289"/>
      <c r="LZA29" s="289"/>
      <c r="LZB29" s="289"/>
      <c r="LZC29" s="289"/>
      <c r="LZD29" s="289"/>
      <c r="LZE29" s="289"/>
      <c r="LZF29" s="289"/>
      <c r="LZG29" s="289"/>
      <c r="LZH29" s="289"/>
      <c r="LZI29" s="289"/>
      <c r="LZJ29" s="289"/>
      <c r="LZK29" s="289"/>
      <c r="LZL29" s="289"/>
      <c r="LZM29" s="289"/>
      <c r="LZN29" s="289"/>
      <c r="LZO29" s="289"/>
      <c r="LZP29" s="289"/>
      <c r="LZQ29" s="289"/>
      <c r="LZR29" s="289"/>
      <c r="LZS29" s="289"/>
      <c r="LZT29" s="289"/>
      <c r="LZU29" s="289"/>
      <c r="LZV29" s="289"/>
      <c r="LZW29" s="289"/>
      <c r="LZX29" s="289"/>
      <c r="LZY29" s="289"/>
      <c r="LZZ29" s="289"/>
      <c r="MAA29" s="289"/>
      <c r="MAB29" s="289"/>
      <c r="MAC29" s="289"/>
      <c r="MAD29" s="289"/>
      <c r="MAE29" s="289"/>
      <c r="MAF29" s="289"/>
      <c r="MAG29" s="289"/>
      <c r="MAH29" s="289"/>
      <c r="MAI29" s="289"/>
      <c r="MAJ29" s="289"/>
      <c r="MAK29" s="289"/>
      <c r="MAL29" s="289"/>
      <c r="MAM29" s="289"/>
      <c r="MAN29" s="289"/>
      <c r="MAO29" s="289"/>
      <c r="MAP29" s="289"/>
      <c r="MAQ29" s="289"/>
      <c r="MAR29" s="289"/>
      <c r="MAS29" s="289"/>
      <c r="MAT29" s="289"/>
      <c r="MAU29" s="289"/>
      <c r="MAV29" s="289"/>
      <c r="MAW29" s="289"/>
      <c r="MAX29" s="289"/>
      <c r="MAY29" s="289"/>
      <c r="MAZ29" s="289"/>
      <c r="MBA29" s="289"/>
      <c r="MBB29" s="289"/>
      <c r="MBC29" s="289"/>
      <c r="MBD29" s="289"/>
      <c r="MBE29" s="289"/>
      <c r="MBF29" s="289"/>
      <c r="MBG29" s="289"/>
      <c r="MBH29" s="289"/>
      <c r="MBI29" s="289"/>
      <c r="MBJ29" s="289"/>
      <c r="MBK29" s="289"/>
      <c r="MBL29" s="289"/>
      <c r="MBM29" s="289"/>
      <c r="MBN29" s="289"/>
      <c r="MBO29" s="289"/>
      <c r="MBP29" s="289"/>
      <c r="MBQ29" s="289"/>
      <c r="MBR29" s="289"/>
      <c r="MBS29" s="289"/>
      <c r="MBT29" s="289"/>
      <c r="MBU29" s="289"/>
      <c r="MBV29" s="289"/>
      <c r="MBW29" s="289"/>
      <c r="MBX29" s="289"/>
      <c r="MBY29" s="289"/>
      <c r="MBZ29" s="289"/>
      <c r="MCA29" s="289"/>
      <c r="MCB29" s="289"/>
      <c r="MCC29" s="289"/>
      <c r="MCD29" s="289"/>
      <c r="MCE29" s="289"/>
      <c r="MCF29" s="289"/>
      <c r="MCG29" s="289"/>
      <c r="MCH29" s="289"/>
      <c r="MCI29" s="289"/>
      <c r="MCJ29" s="289"/>
      <c r="MCK29" s="289"/>
      <c r="MCL29" s="289"/>
      <c r="MCM29" s="289"/>
      <c r="MCN29" s="289"/>
      <c r="MCO29" s="289"/>
      <c r="MCP29" s="289"/>
      <c r="MCQ29" s="289"/>
      <c r="MCR29" s="289"/>
      <c r="MCS29" s="289"/>
      <c r="MCT29" s="289"/>
      <c r="MCU29" s="289"/>
      <c r="MCV29" s="289"/>
      <c r="MCW29" s="289"/>
      <c r="MCX29" s="289"/>
      <c r="MCY29" s="289"/>
      <c r="MCZ29" s="289"/>
      <c r="MDA29" s="289"/>
      <c r="MDB29" s="289"/>
      <c r="MDC29" s="289"/>
      <c r="MDD29" s="289"/>
      <c r="MDE29" s="289"/>
      <c r="MDF29" s="289"/>
      <c r="MDG29" s="289"/>
      <c r="MDH29" s="289"/>
      <c r="MDI29" s="289"/>
      <c r="MDJ29" s="289"/>
      <c r="MDK29" s="289"/>
      <c r="MDL29" s="289"/>
      <c r="MDM29" s="289"/>
      <c r="MDN29" s="289"/>
      <c r="MDO29" s="289"/>
      <c r="MDP29" s="289"/>
      <c r="MDQ29" s="289"/>
      <c r="MDR29" s="289"/>
      <c r="MDS29" s="289"/>
      <c r="MDT29" s="289"/>
      <c r="MDU29" s="289"/>
      <c r="MDV29" s="289"/>
      <c r="MDW29" s="289"/>
      <c r="MDX29" s="289"/>
      <c r="MDY29" s="289"/>
      <c r="MDZ29" s="289"/>
      <c r="MEA29" s="289"/>
      <c r="MEB29" s="289"/>
      <c r="MEC29" s="289"/>
      <c r="MED29" s="289"/>
      <c r="MEE29" s="289"/>
      <c r="MEF29" s="289"/>
      <c r="MEG29" s="289"/>
      <c r="MEH29" s="289"/>
      <c r="MEI29" s="289"/>
      <c r="MEJ29" s="289"/>
      <c r="MEK29" s="289"/>
      <c r="MEL29" s="289"/>
      <c r="MEM29" s="289"/>
      <c r="MEN29" s="289"/>
      <c r="MEO29" s="289"/>
      <c r="MEP29" s="289"/>
      <c r="MEQ29" s="289"/>
      <c r="MER29" s="289"/>
      <c r="MES29" s="289"/>
      <c r="MET29" s="289"/>
      <c r="MEU29" s="289"/>
      <c r="MEV29" s="289"/>
      <c r="MEW29" s="289"/>
      <c r="MEX29" s="289"/>
      <c r="MEY29" s="289"/>
      <c r="MEZ29" s="289"/>
      <c r="MFA29" s="289"/>
      <c r="MFB29" s="289"/>
      <c r="MFC29" s="289"/>
      <c r="MFD29" s="289"/>
      <c r="MFE29" s="289"/>
      <c r="MFF29" s="289"/>
      <c r="MFG29" s="289"/>
      <c r="MFH29" s="289"/>
      <c r="MFI29" s="289"/>
      <c r="MFJ29" s="289"/>
      <c r="MFK29" s="289"/>
      <c r="MFL29" s="289"/>
      <c r="MFM29" s="289"/>
      <c r="MFN29" s="289"/>
      <c r="MFO29" s="289"/>
      <c r="MFP29" s="289"/>
      <c r="MFQ29" s="289"/>
      <c r="MFR29" s="289"/>
      <c r="MFS29" s="289"/>
      <c r="MFT29" s="289"/>
      <c r="MFU29" s="289"/>
      <c r="MFV29" s="289"/>
      <c r="MFW29" s="289"/>
      <c r="MFX29" s="289"/>
      <c r="MFY29" s="289"/>
      <c r="MFZ29" s="289"/>
      <c r="MGA29" s="289"/>
      <c r="MGB29" s="289"/>
      <c r="MGC29" s="289"/>
      <c r="MGD29" s="289"/>
      <c r="MGE29" s="289"/>
      <c r="MGF29" s="289"/>
      <c r="MGG29" s="289"/>
      <c r="MGH29" s="289"/>
      <c r="MGI29" s="289"/>
      <c r="MGJ29" s="289"/>
      <c r="MGK29" s="289"/>
      <c r="MGL29" s="289"/>
      <c r="MGM29" s="289"/>
      <c r="MGN29" s="289"/>
      <c r="MGO29" s="289"/>
      <c r="MGP29" s="289"/>
      <c r="MGQ29" s="289"/>
      <c r="MGR29" s="289"/>
      <c r="MGS29" s="289"/>
      <c r="MGT29" s="289"/>
      <c r="MGU29" s="289"/>
      <c r="MGV29" s="289"/>
      <c r="MGW29" s="289"/>
      <c r="MGX29" s="289"/>
      <c r="MGY29" s="289"/>
      <c r="MGZ29" s="289"/>
      <c r="MHA29" s="289"/>
      <c r="MHB29" s="289"/>
      <c r="MHC29" s="289"/>
      <c r="MHD29" s="289"/>
      <c r="MHE29" s="289"/>
      <c r="MHF29" s="289"/>
      <c r="MHG29" s="289"/>
      <c r="MHH29" s="289"/>
      <c r="MHI29" s="289"/>
      <c r="MHJ29" s="289"/>
      <c r="MHK29" s="289"/>
      <c r="MHL29" s="289"/>
      <c r="MHM29" s="289"/>
      <c r="MHN29" s="289"/>
      <c r="MHO29" s="289"/>
      <c r="MHP29" s="289"/>
      <c r="MHQ29" s="289"/>
      <c r="MHR29" s="289"/>
      <c r="MHS29" s="289"/>
      <c r="MHT29" s="289"/>
      <c r="MHU29" s="289"/>
      <c r="MHV29" s="289"/>
      <c r="MHW29" s="289"/>
      <c r="MHX29" s="289"/>
      <c r="MHY29" s="289"/>
      <c r="MHZ29" s="289"/>
      <c r="MIA29" s="289"/>
      <c r="MIB29" s="289"/>
      <c r="MIC29" s="289"/>
      <c r="MID29" s="289"/>
      <c r="MIE29" s="289"/>
      <c r="MIF29" s="289"/>
      <c r="MIG29" s="289"/>
      <c r="MIH29" s="289"/>
      <c r="MII29" s="289"/>
      <c r="MIJ29" s="289"/>
      <c r="MIK29" s="289"/>
      <c r="MIL29" s="289"/>
      <c r="MIM29" s="289"/>
      <c r="MIN29" s="289"/>
      <c r="MIO29" s="289"/>
      <c r="MIP29" s="289"/>
      <c r="MIQ29" s="289"/>
      <c r="MIR29" s="289"/>
      <c r="MIS29" s="289"/>
      <c r="MIT29" s="289"/>
      <c r="MIU29" s="289"/>
      <c r="MIV29" s="289"/>
      <c r="MIW29" s="289"/>
      <c r="MIX29" s="289"/>
      <c r="MIY29" s="289"/>
      <c r="MIZ29" s="289"/>
      <c r="MJA29" s="289"/>
      <c r="MJB29" s="289"/>
      <c r="MJC29" s="289"/>
      <c r="MJD29" s="289"/>
      <c r="MJE29" s="289"/>
      <c r="MJF29" s="289"/>
      <c r="MJG29" s="289"/>
      <c r="MJH29" s="289"/>
      <c r="MJI29" s="289"/>
      <c r="MJJ29" s="289"/>
      <c r="MJK29" s="289"/>
      <c r="MJL29" s="289"/>
      <c r="MJM29" s="289"/>
      <c r="MJN29" s="289"/>
      <c r="MJO29" s="289"/>
      <c r="MJP29" s="289"/>
      <c r="MJQ29" s="289"/>
      <c r="MJR29" s="289"/>
      <c r="MJS29" s="289"/>
      <c r="MJT29" s="289"/>
      <c r="MJU29" s="289"/>
      <c r="MJV29" s="289"/>
      <c r="MJW29" s="289"/>
      <c r="MJX29" s="289"/>
      <c r="MJY29" s="289"/>
      <c r="MJZ29" s="289"/>
      <c r="MKA29" s="289"/>
      <c r="MKB29" s="289"/>
      <c r="MKC29" s="289"/>
      <c r="MKD29" s="289"/>
      <c r="MKE29" s="289"/>
      <c r="MKF29" s="289"/>
      <c r="MKG29" s="289"/>
      <c r="MKH29" s="289"/>
      <c r="MKI29" s="289"/>
      <c r="MKJ29" s="289"/>
      <c r="MKK29" s="289"/>
      <c r="MKL29" s="289"/>
      <c r="MKM29" s="289"/>
      <c r="MKN29" s="289"/>
      <c r="MKO29" s="289"/>
      <c r="MKP29" s="289"/>
      <c r="MKQ29" s="289"/>
      <c r="MKR29" s="289"/>
      <c r="MKS29" s="289"/>
      <c r="MKT29" s="289"/>
      <c r="MKU29" s="289"/>
      <c r="MKV29" s="289"/>
      <c r="MKW29" s="289"/>
      <c r="MKX29" s="289"/>
      <c r="MKY29" s="289"/>
      <c r="MKZ29" s="289"/>
      <c r="MLA29" s="289"/>
      <c r="MLB29" s="289"/>
      <c r="MLC29" s="289"/>
      <c r="MLD29" s="289"/>
      <c r="MLE29" s="289"/>
      <c r="MLF29" s="289"/>
      <c r="MLG29" s="289"/>
      <c r="MLH29" s="289"/>
      <c r="MLI29" s="289"/>
      <c r="MLJ29" s="289"/>
      <c r="MLK29" s="289"/>
      <c r="MLL29" s="289"/>
      <c r="MLM29" s="289"/>
      <c r="MLN29" s="289"/>
      <c r="MLO29" s="289"/>
      <c r="MLP29" s="289"/>
      <c r="MLQ29" s="289"/>
      <c r="MLR29" s="289"/>
      <c r="MLS29" s="289"/>
      <c r="MLT29" s="289"/>
      <c r="MLU29" s="289"/>
      <c r="MLV29" s="289"/>
      <c r="MLW29" s="289"/>
      <c r="MLX29" s="289"/>
      <c r="MLY29" s="289"/>
      <c r="MLZ29" s="289"/>
      <c r="MMA29" s="289"/>
      <c r="MMB29" s="289"/>
      <c r="MMC29" s="289"/>
      <c r="MMD29" s="289"/>
      <c r="MME29" s="289"/>
      <c r="MMF29" s="289"/>
      <c r="MMG29" s="289"/>
      <c r="MMH29" s="289"/>
      <c r="MMI29" s="289"/>
      <c r="MMJ29" s="289"/>
      <c r="MMK29" s="289"/>
      <c r="MML29" s="289"/>
      <c r="MMM29" s="289"/>
      <c r="MMN29" s="289"/>
      <c r="MMO29" s="289"/>
      <c r="MMP29" s="289"/>
      <c r="MMQ29" s="289"/>
      <c r="MMR29" s="289"/>
      <c r="MMS29" s="289"/>
      <c r="MMT29" s="289"/>
      <c r="MMU29" s="289"/>
      <c r="MMV29" s="289"/>
      <c r="MMW29" s="289"/>
      <c r="MMX29" s="289"/>
      <c r="MMY29" s="289"/>
      <c r="MMZ29" s="289"/>
      <c r="MNA29" s="289"/>
      <c r="MNB29" s="289"/>
      <c r="MNC29" s="289"/>
      <c r="MND29" s="289"/>
      <c r="MNE29" s="289"/>
      <c r="MNF29" s="289"/>
      <c r="MNG29" s="289"/>
      <c r="MNH29" s="289"/>
      <c r="MNI29" s="289"/>
      <c r="MNJ29" s="289"/>
      <c r="MNK29" s="289"/>
      <c r="MNL29" s="289"/>
      <c r="MNM29" s="289"/>
      <c r="MNN29" s="289"/>
      <c r="MNO29" s="289"/>
      <c r="MNP29" s="289"/>
      <c r="MNQ29" s="289"/>
      <c r="MNR29" s="289"/>
      <c r="MNS29" s="289"/>
      <c r="MNT29" s="289"/>
      <c r="MNU29" s="289"/>
      <c r="MNV29" s="289"/>
      <c r="MNW29" s="289"/>
      <c r="MNX29" s="289"/>
      <c r="MNY29" s="289"/>
      <c r="MNZ29" s="289"/>
      <c r="MOA29" s="289"/>
      <c r="MOB29" s="289"/>
      <c r="MOC29" s="289"/>
      <c r="MOD29" s="289"/>
      <c r="MOE29" s="289"/>
      <c r="MOF29" s="289"/>
      <c r="MOG29" s="289"/>
      <c r="MOH29" s="289"/>
      <c r="MOI29" s="289"/>
      <c r="MOJ29" s="289"/>
      <c r="MOK29" s="289"/>
      <c r="MOL29" s="289"/>
      <c r="MOM29" s="289"/>
      <c r="MON29" s="289"/>
      <c r="MOO29" s="289"/>
      <c r="MOP29" s="289"/>
      <c r="MOQ29" s="289"/>
      <c r="MOR29" s="289"/>
      <c r="MOS29" s="289"/>
      <c r="MOT29" s="289"/>
      <c r="MOU29" s="289"/>
      <c r="MOV29" s="289"/>
      <c r="MOW29" s="289"/>
      <c r="MOX29" s="289"/>
      <c r="MOY29" s="289"/>
      <c r="MOZ29" s="289"/>
      <c r="MPA29" s="289"/>
      <c r="MPB29" s="289"/>
      <c r="MPC29" s="289"/>
      <c r="MPD29" s="289"/>
      <c r="MPE29" s="289"/>
      <c r="MPF29" s="289"/>
      <c r="MPG29" s="289"/>
      <c r="MPH29" s="289"/>
      <c r="MPI29" s="289"/>
      <c r="MPJ29" s="289"/>
      <c r="MPK29" s="289"/>
      <c r="MPL29" s="289"/>
      <c r="MPM29" s="289"/>
      <c r="MPN29" s="289"/>
      <c r="MPO29" s="289"/>
      <c r="MPP29" s="289"/>
      <c r="MPQ29" s="289"/>
      <c r="MPR29" s="289"/>
      <c r="MPS29" s="289"/>
      <c r="MPT29" s="289"/>
      <c r="MPU29" s="289"/>
      <c r="MPV29" s="289"/>
      <c r="MPW29" s="289"/>
      <c r="MPX29" s="289"/>
      <c r="MPY29" s="289"/>
      <c r="MPZ29" s="289"/>
      <c r="MQA29" s="289"/>
      <c r="MQB29" s="289"/>
      <c r="MQC29" s="289"/>
      <c r="MQD29" s="289"/>
      <c r="MQE29" s="289"/>
      <c r="MQF29" s="289"/>
      <c r="MQG29" s="289"/>
      <c r="MQH29" s="289"/>
      <c r="MQI29" s="289"/>
      <c r="MQJ29" s="289"/>
      <c r="MQK29" s="289"/>
      <c r="MQL29" s="289"/>
      <c r="MQM29" s="289"/>
      <c r="MQN29" s="289"/>
      <c r="MQO29" s="289"/>
      <c r="MQP29" s="289"/>
      <c r="MQQ29" s="289"/>
      <c r="MQR29" s="289"/>
      <c r="MQS29" s="289"/>
      <c r="MQT29" s="289"/>
      <c r="MQU29" s="289"/>
      <c r="MQV29" s="289"/>
      <c r="MQW29" s="289"/>
      <c r="MQX29" s="289"/>
      <c r="MQY29" s="289"/>
      <c r="MQZ29" s="289"/>
      <c r="MRA29" s="289"/>
      <c r="MRB29" s="289"/>
      <c r="MRC29" s="289"/>
      <c r="MRD29" s="289"/>
      <c r="MRE29" s="289"/>
      <c r="MRF29" s="289"/>
      <c r="MRG29" s="289"/>
      <c r="MRH29" s="289"/>
      <c r="MRI29" s="289"/>
      <c r="MRJ29" s="289"/>
      <c r="MRK29" s="289"/>
      <c r="MRL29" s="289"/>
      <c r="MRM29" s="289"/>
      <c r="MRN29" s="289"/>
      <c r="MRO29" s="289"/>
      <c r="MRP29" s="289"/>
      <c r="MRQ29" s="289"/>
      <c r="MRR29" s="289"/>
      <c r="MRS29" s="289"/>
      <c r="MRT29" s="289"/>
      <c r="MRU29" s="289"/>
      <c r="MRV29" s="289"/>
      <c r="MRW29" s="289"/>
      <c r="MRX29" s="289"/>
      <c r="MRY29" s="289"/>
      <c r="MRZ29" s="289"/>
      <c r="MSA29" s="289"/>
      <c r="MSB29" s="289"/>
      <c r="MSC29" s="289"/>
      <c r="MSD29" s="289"/>
      <c r="MSE29" s="289"/>
      <c r="MSF29" s="289"/>
      <c r="MSG29" s="289"/>
      <c r="MSH29" s="289"/>
      <c r="MSI29" s="289"/>
      <c r="MSJ29" s="289"/>
      <c r="MSK29" s="289"/>
      <c r="MSL29" s="289"/>
      <c r="MSM29" s="289"/>
      <c r="MSN29" s="289"/>
      <c r="MSO29" s="289"/>
      <c r="MSP29" s="289"/>
      <c r="MSQ29" s="289"/>
      <c r="MSR29" s="289"/>
      <c r="MSS29" s="289"/>
      <c r="MST29" s="289"/>
      <c r="MSU29" s="289"/>
      <c r="MSV29" s="289"/>
      <c r="MSW29" s="289"/>
      <c r="MSX29" s="289"/>
      <c r="MSY29" s="289"/>
      <c r="MSZ29" s="289"/>
      <c r="MTA29" s="289"/>
      <c r="MTB29" s="289"/>
      <c r="MTC29" s="289"/>
      <c r="MTD29" s="289"/>
      <c r="MTE29" s="289"/>
      <c r="MTF29" s="289"/>
      <c r="MTG29" s="289"/>
      <c r="MTH29" s="289"/>
      <c r="MTI29" s="289"/>
      <c r="MTJ29" s="289"/>
      <c r="MTK29" s="289"/>
      <c r="MTL29" s="289"/>
      <c r="MTM29" s="289"/>
      <c r="MTN29" s="289"/>
      <c r="MTO29" s="289"/>
      <c r="MTP29" s="289"/>
      <c r="MTQ29" s="289"/>
      <c r="MTR29" s="289"/>
      <c r="MTS29" s="289"/>
      <c r="MTT29" s="289"/>
      <c r="MTU29" s="289"/>
      <c r="MTV29" s="289"/>
      <c r="MTW29" s="289"/>
      <c r="MTX29" s="289"/>
      <c r="MTY29" s="289"/>
      <c r="MTZ29" s="289"/>
      <c r="MUA29" s="289"/>
      <c r="MUB29" s="289"/>
      <c r="MUC29" s="289"/>
      <c r="MUD29" s="289"/>
      <c r="MUE29" s="289"/>
      <c r="MUF29" s="289"/>
      <c r="MUG29" s="289"/>
      <c r="MUH29" s="289"/>
      <c r="MUI29" s="289"/>
      <c r="MUJ29" s="289"/>
      <c r="MUK29" s="289"/>
      <c r="MUL29" s="289"/>
      <c r="MUM29" s="289"/>
      <c r="MUN29" s="289"/>
      <c r="MUO29" s="289"/>
      <c r="MUP29" s="289"/>
      <c r="MUQ29" s="289"/>
      <c r="MUR29" s="289"/>
      <c r="MUS29" s="289"/>
      <c r="MUT29" s="289"/>
      <c r="MUU29" s="289"/>
      <c r="MUV29" s="289"/>
      <c r="MUW29" s="289"/>
      <c r="MUX29" s="289"/>
      <c r="MUY29" s="289"/>
      <c r="MUZ29" s="289"/>
      <c r="MVA29" s="289"/>
      <c r="MVB29" s="289"/>
      <c r="MVC29" s="289"/>
      <c r="MVD29" s="289"/>
      <c r="MVE29" s="289"/>
      <c r="MVF29" s="289"/>
      <c r="MVG29" s="289"/>
      <c r="MVH29" s="289"/>
      <c r="MVI29" s="289"/>
      <c r="MVJ29" s="289"/>
      <c r="MVK29" s="289"/>
      <c r="MVL29" s="289"/>
      <c r="MVM29" s="289"/>
      <c r="MVN29" s="289"/>
      <c r="MVO29" s="289"/>
      <c r="MVP29" s="289"/>
      <c r="MVQ29" s="289"/>
      <c r="MVR29" s="289"/>
      <c r="MVS29" s="289"/>
      <c r="MVT29" s="289"/>
      <c r="MVU29" s="289"/>
      <c r="MVV29" s="289"/>
      <c r="MVW29" s="289"/>
      <c r="MVX29" s="289"/>
      <c r="MVY29" s="289"/>
      <c r="MVZ29" s="289"/>
      <c r="MWA29" s="289"/>
      <c r="MWB29" s="289"/>
      <c r="MWC29" s="289"/>
      <c r="MWD29" s="289"/>
      <c r="MWE29" s="289"/>
      <c r="MWF29" s="289"/>
      <c r="MWG29" s="289"/>
      <c r="MWH29" s="289"/>
      <c r="MWI29" s="289"/>
      <c r="MWJ29" s="289"/>
      <c r="MWK29" s="289"/>
      <c r="MWL29" s="289"/>
      <c r="MWM29" s="289"/>
      <c r="MWN29" s="289"/>
      <c r="MWO29" s="289"/>
      <c r="MWP29" s="289"/>
      <c r="MWQ29" s="289"/>
      <c r="MWR29" s="289"/>
      <c r="MWS29" s="289"/>
      <c r="MWT29" s="289"/>
      <c r="MWU29" s="289"/>
      <c r="MWV29" s="289"/>
      <c r="MWW29" s="289"/>
      <c r="MWX29" s="289"/>
      <c r="MWY29" s="289"/>
      <c r="MWZ29" s="289"/>
      <c r="MXA29" s="289"/>
      <c r="MXB29" s="289"/>
      <c r="MXC29" s="289"/>
      <c r="MXD29" s="289"/>
      <c r="MXE29" s="289"/>
      <c r="MXF29" s="289"/>
      <c r="MXG29" s="289"/>
      <c r="MXH29" s="289"/>
      <c r="MXI29" s="289"/>
      <c r="MXJ29" s="289"/>
      <c r="MXK29" s="289"/>
      <c r="MXL29" s="289"/>
      <c r="MXM29" s="289"/>
      <c r="MXN29" s="289"/>
      <c r="MXO29" s="289"/>
      <c r="MXP29" s="289"/>
      <c r="MXQ29" s="289"/>
      <c r="MXR29" s="289"/>
      <c r="MXS29" s="289"/>
      <c r="MXT29" s="289"/>
      <c r="MXU29" s="289"/>
      <c r="MXV29" s="289"/>
      <c r="MXW29" s="289"/>
      <c r="MXX29" s="289"/>
      <c r="MXY29" s="289"/>
      <c r="MXZ29" s="289"/>
      <c r="MYA29" s="289"/>
      <c r="MYB29" s="289"/>
      <c r="MYC29" s="289"/>
      <c r="MYD29" s="289"/>
      <c r="MYE29" s="289"/>
      <c r="MYF29" s="289"/>
      <c r="MYG29" s="289"/>
      <c r="MYH29" s="289"/>
      <c r="MYI29" s="289"/>
      <c r="MYJ29" s="289"/>
      <c r="MYK29" s="289"/>
      <c r="MYL29" s="289"/>
      <c r="MYM29" s="289"/>
      <c r="MYN29" s="289"/>
      <c r="MYO29" s="289"/>
      <c r="MYP29" s="289"/>
      <c r="MYQ29" s="289"/>
      <c r="MYR29" s="289"/>
      <c r="MYS29" s="289"/>
      <c r="MYT29" s="289"/>
      <c r="MYU29" s="289"/>
      <c r="MYV29" s="289"/>
      <c r="MYW29" s="289"/>
      <c r="MYX29" s="289"/>
      <c r="MYY29" s="289"/>
      <c r="MYZ29" s="289"/>
      <c r="MZA29" s="289"/>
      <c r="MZB29" s="289"/>
      <c r="MZC29" s="289"/>
      <c r="MZD29" s="289"/>
      <c r="MZE29" s="289"/>
      <c r="MZF29" s="289"/>
      <c r="MZG29" s="289"/>
      <c r="MZH29" s="289"/>
      <c r="MZI29" s="289"/>
      <c r="MZJ29" s="289"/>
      <c r="MZK29" s="289"/>
      <c r="MZL29" s="289"/>
      <c r="MZM29" s="289"/>
      <c r="MZN29" s="289"/>
      <c r="MZO29" s="289"/>
      <c r="MZP29" s="289"/>
      <c r="MZQ29" s="289"/>
      <c r="MZR29" s="289"/>
      <c r="MZS29" s="289"/>
      <c r="MZT29" s="289"/>
      <c r="MZU29" s="289"/>
      <c r="MZV29" s="289"/>
      <c r="MZW29" s="289"/>
      <c r="MZX29" s="289"/>
      <c r="MZY29" s="289"/>
      <c r="MZZ29" s="289"/>
      <c r="NAA29" s="289"/>
      <c r="NAB29" s="289"/>
      <c r="NAC29" s="289"/>
      <c r="NAD29" s="289"/>
      <c r="NAE29" s="289"/>
      <c r="NAF29" s="289"/>
      <c r="NAG29" s="289"/>
      <c r="NAH29" s="289"/>
      <c r="NAI29" s="289"/>
      <c r="NAJ29" s="289"/>
      <c r="NAK29" s="289"/>
      <c r="NAL29" s="289"/>
      <c r="NAM29" s="289"/>
      <c r="NAN29" s="289"/>
      <c r="NAO29" s="289"/>
      <c r="NAP29" s="289"/>
      <c r="NAQ29" s="289"/>
      <c r="NAR29" s="289"/>
      <c r="NAS29" s="289"/>
      <c r="NAT29" s="289"/>
      <c r="NAU29" s="289"/>
      <c r="NAV29" s="289"/>
      <c r="NAW29" s="289"/>
      <c r="NAX29" s="289"/>
      <c r="NAY29" s="289"/>
      <c r="NAZ29" s="289"/>
      <c r="NBA29" s="289"/>
      <c r="NBB29" s="289"/>
      <c r="NBC29" s="289"/>
      <c r="NBD29" s="289"/>
      <c r="NBE29" s="289"/>
      <c r="NBF29" s="289"/>
      <c r="NBG29" s="289"/>
      <c r="NBH29" s="289"/>
      <c r="NBI29" s="289"/>
      <c r="NBJ29" s="289"/>
      <c r="NBK29" s="289"/>
      <c r="NBL29" s="289"/>
      <c r="NBM29" s="289"/>
      <c r="NBN29" s="289"/>
      <c r="NBO29" s="289"/>
      <c r="NBP29" s="289"/>
      <c r="NBQ29" s="289"/>
      <c r="NBR29" s="289"/>
      <c r="NBS29" s="289"/>
      <c r="NBT29" s="289"/>
      <c r="NBU29" s="289"/>
      <c r="NBV29" s="289"/>
      <c r="NBW29" s="289"/>
      <c r="NBX29" s="289"/>
      <c r="NBY29" s="289"/>
      <c r="NBZ29" s="289"/>
      <c r="NCA29" s="289"/>
      <c r="NCB29" s="289"/>
      <c r="NCC29" s="289"/>
      <c r="NCD29" s="289"/>
      <c r="NCE29" s="289"/>
      <c r="NCF29" s="289"/>
      <c r="NCG29" s="289"/>
      <c r="NCH29" s="289"/>
      <c r="NCI29" s="289"/>
      <c r="NCJ29" s="289"/>
      <c r="NCK29" s="289"/>
      <c r="NCL29" s="289"/>
      <c r="NCM29" s="289"/>
      <c r="NCN29" s="289"/>
      <c r="NCO29" s="289"/>
      <c r="NCP29" s="289"/>
      <c r="NCQ29" s="289"/>
      <c r="NCR29" s="289"/>
      <c r="NCS29" s="289"/>
      <c r="NCT29" s="289"/>
      <c r="NCU29" s="289"/>
      <c r="NCV29" s="289"/>
      <c r="NCW29" s="289"/>
      <c r="NCX29" s="289"/>
      <c r="NCY29" s="289"/>
      <c r="NCZ29" s="289"/>
      <c r="NDA29" s="289"/>
      <c r="NDB29" s="289"/>
      <c r="NDC29" s="289"/>
      <c r="NDD29" s="289"/>
      <c r="NDE29" s="289"/>
      <c r="NDF29" s="289"/>
      <c r="NDG29" s="289"/>
      <c r="NDH29" s="289"/>
      <c r="NDI29" s="289"/>
      <c r="NDJ29" s="289"/>
      <c r="NDK29" s="289"/>
      <c r="NDL29" s="289"/>
      <c r="NDM29" s="289"/>
      <c r="NDN29" s="289"/>
      <c r="NDO29" s="289"/>
      <c r="NDP29" s="289"/>
      <c r="NDQ29" s="289"/>
      <c r="NDR29" s="289"/>
      <c r="NDS29" s="289"/>
      <c r="NDT29" s="289"/>
      <c r="NDU29" s="289"/>
      <c r="NDV29" s="289"/>
      <c r="NDW29" s="289"/>
      <c r="NDX29" s="289"/>
      <c r="NDY29" s="289"/>
      <c r="NDZ29" s="289"/>
      <c r="NEA29" s="289"/>
      <c r="NEB29" s="289"/>
      <c r="NEC29" s="289"/>
      <c r="NED29" s="289"/>
      <c r="NEE29" s="289"/>
      <c r="NEF29" s="289"/>
      <c r="NEG29" s="289"/>
      <c r="NEH29" s="289"/>
      <c r="NEI29" s="289"/>
      <c r="NEJ29" s="289"/>
      <c r="NEK29" s="289"/>
      <c r="NEL29" s="289"/>
      <c r="NEM29" s="289"/>
      <c r="NEN29" s="289"/>
      <c r="NEO29" s="289"/>
      <c r="NEP29" s="289"/>
      <c r="NEQ29" s="289"/>
      <c r="NER29" s="289"/>
      <c r="NES29" s="289"/>
      <c r="NET29" s="289"/>
      <c r="NEU29" s="289"/>
      <c r="NEV29" s="289"/>
      <c r="NEW29" s="289"/>
      <c r="NEX29" s="289"/>
      <c r="NEY29" s="289"/>
      <c r="NEZ29" s="289"/>
      <c r="NFA29" s="289"/>
      <c r="NFB29" s="289"/>
      <c r="NFC29" s="289"/>
      <c r="NFD29" s="289"/>
      <c r="NFE29" s="289"/>
      <c r="NFF29" s="289"/>
      <c r="NFG29" s="289"/>
      <c r="NFH29" s="289"/>
      <c r="NFI29" s="289"/>
      <c r="NFJ29" s="289"/>
      <c r="NFK29" s="289"/>
      <c r="NFL29" s="289"/>
      <c r="NFM29" s="289"/>
      <c r="NFN29" s="289"/>
      <c r="NFO29" s="289"/>
      <c r="NFP29" s="289"/>
      <c r="NFQ29" s="289"/>
      <c r="NFR29" s="289"/>
      <c r="NFS29" s="289"/>
      <c r="NFT29" s="289"/>
      <c r="NFU29" s="289"/>
      <c r="NFV29" s="289"/>
      <c r="NFW29" s="289"/>
      <c r="NFX29" s="289"/>
      <c r="NFY29" s="289"/>
      <c r="NFZ29" s="289"/>
      <c r="NGA29" s="289"/>
      <c r="NGB29" s="289"/>
      <c r="NGC29" s="289"/>
      <c r="NGD29" s="289"/>
      <c r="NGE29" s="289"/>
      <c r="NGF29" s="289"/>
      <c r="NGG29" s="289"/>
      <c r="NGH29" s="289"/>
      <c r="NGI29" s="289"/>
      <c r="NGJ29" s="289"/>
      <c r="NGK29" s="289"/>
      <c r="NGL29" s="289"/>
      <c r="NGM29" s="289"/>
      <c r="NGN29" s="289"/>
      <c r="NGO29" s="289"/>
      <c r="NGP29" s="289"/>
      <c r="NGQ29" s="289"/>
      <c r="NGR29" s="289"/>
      <c r="NGS29" s="289"/>
      <c r="NGT29" s="289"/>
      <c r="NGU29" s="289"/>
      <c r="NGV29" s="289"/>
      <c r="NGW29" s="289"/>
      <c r="NGX29" s="289"/>
      <c r="NGY29" s="289"/>
      <c r="NGZ29" s="289"/>
      <c r="NHA29" s="289"/>
      <c r="NHB29" s="289"/>
      <c r="NHC29" s="289"/>
      <c r="NHD29" s="289"/>
      <c r="NHE29" s="289"/>
      <c r="NHF29" s="289"/>
      <c r="NHG29" s="289"/>
      <c r="NHH29" s="289"/>
      <c r="NHI29" s="289"/>
      <c r="NHJ29" s="289"/>
      <c r="NHK29" s="289"/>
      <c r="NHL29" s="289"/>
      <c r="NHM29" s="289"/>
      <c r="NHN29" s="289"/>
      <c r="NHO29" s="289"/>
      <c r="NHP29" s="289"/>
      <c r="NHQ29" s="289"/>
      <c r="NHR29" s="289"/>
      <c r="NHS29" s="289"/>
      <c r="NHT29" s="289"/>
      <c r="NHU29" s="289"/>
      <c r="NHV29" s="289"/>
      <c r="NHW29" s="289"/>
      <c r="NHX29" s="289"/>
      <c r="NHY29" s="289"/>
      <c r="NHZ29" s="289"/>
      <c r="NIA29" s="289"/>
      <c r="NIB29" s="289"/>
      <c r="NIC29" s="289"/>
      <c r="NID29" s="289"/>
      <c r="NIE29" s="289"/>
      <c r="NIF29" s="289"/>
      <c r="NIG29" s="289"/>
      <c r="NIH29" s="289"/>
      <c r="NII29" s="289"/>
      <c r="NIJ29" s="289"/>
      <c r="NIK29" s="289"/>
      <c r="NIL29" s="289"/>
      <c r="NIM29" s="289"/>
      <c r="NIN29" s="289"/>
      <c r="NIO29" s="289"/>
      <c r="NIP29" s="289"/>
      <c r="NIQ29" s="289"/>
      <c r="NIR29" s="289"/>
      <c r="NIS29" s="289"/>
      <c r="NIT29" s="289"/>
      <c r="NIU29" s="289"/>
      <c r="NIV29" s="289"/>
      <c r="NIW29" s="289"/>
      <c r="NIX29" s="289"/>
      <c r="NIY29" s="289"/>
      <c r="NIZ29" s="289"/>
      <c r="NJA29" s="289"/>
      <c r="NJB29" s="289"/>
      <c r="NJC29" s="289"/>
      <c r="NJD29" s="289"/>
      <c r="NJE29" s="289"/>
      <c r="NJF29" s="289"/>
      <c r="NJG29" s="289"/>
      <c r="NJH29" s="289"/>
      <c r="NJI29" s="289"/>
      <c r="NJJ29" s="289"/>
      <c r="NJK29" s="289"/>
      <c r="NJL29" s="289"/>
      <c r="NJM29" s="289"/>
      <c r="NJN29" s="289"/>
      <c r="NJO29" s="289"/>
      <c r="NJP29" s="289"/>
      <c r="NJQ29" s="289"/>
      <c r="NJR29" s="289"/>
      <c r="NJS29" s="289"/>
      <c r="NJT29" s="289"/>
      <c r="NJU29" s="289"/>
      <c r="NJV29" s="289"/>
      <c r="NJW29" s="289"/>
      <c r="NJX29" s="289"/>
      <c r="NJY29" s="289"/>
      <c r="NJZ29" s="289"/>
      <c r="NKA29" s="289"/>
      <c r="NKB29" s="289"/>
      <c r="NKC29" s="289"/>
      <c r="NKD29" s="289"/>
      <c r="NKE29" s="289"/>
      <c r="NKF29" s="289"/>
      <c r="NKG29" s="289"/>
      <c r="NKH29" s="289"/>
      <c r="NKI29" s="289"/>
      <c r="NKJ29" s="289"/>
      <c r="NKK29" s="289"/>
      <c r="NKL29" s="289"/>
      <c r="NKM29" s="289"/>
      <c r="NKN29" s="289"/>
      <c r="NKO29" s="289"/>
      <c r="NKP29" s="289"/>
      <c r="NKQ29" s="289"/>
      <c r="NKR29" s="289"/>
      <c r="NKS29" s="289"/>
      <c r="NKT29" s="289"/>
      <c r="NKU29" s="289"/>
      <c r="NKV29" s="289"/>
      <c r="NKW29" s="289"/>
      <c r="NKX29" s="289"/>
      <c r="NKY29" s="289"/>
      <c r="NKZ29" s="289"/>
      <c r="NLA29" s="289"/>
      <c r="NLB29" s="289"/>
      <c r="NLC29" s="289"/>
      <c r="NLD29" s="289"/>
      <c r="NLE29" s="289"/>
      <c r="NLF29" s="289"/>
      <c r="NLG29" s="289"/>
      <c r="NLH29" s="289"/>
      <c r="NLI29" s="289"/>
      <c r="NLJ29" s="289"/>
      <c r="NLK29" s="289"/>
      <c r="NLL29" s="289"/>
      <c r="NLM29" s="289"/>
      <c r="NLN29" s="289"/>
      <c r="NLO29" s="289"/>
      <c r="NLP29" s="289"/>
      <c r="NLQ29" s="289"/>
      <c r="NLR29" s="289"/>
      <c r="NLS29" s="289"/>
      <c r="NLT29" s="289"/>
      <c r="NLU29" s="289"/>
      <c r="NLV29" s="289"/>
      <c r="NLW29" s="289"/>
      <c r="NLX29" s="289"/>
      <c r="NLY29" s="289"/>
      <c r="NLZ29" s="289"/>
      <c r="NMA29" s="289"/>
      <c r="NMB29" s="289"/>
      <c r="NMC29" s="289"/>
      <c r="NMD29" s="289"/>
      <c r="NME29" s="289"/>
      <c r="NMF29" s="289"/>
      <c r="NMG29" s="289"/>
      <c r="NMH29" s="289"/>
      <c r="NMI29" s="289"/>
      <c r="NMJ29" s="289"/>
      <c r="NMK29" s="289"/>
      <c r="NML29" s="289"/>
      <c r="NMM29" s="289"/>
      <c r="NMN29" s="289"/>
      <c r="NMO29" s="289"/>
      <c r="NMP29" s="289"/>
      <c r="NMQ29" s="289"/>
      <c r="NMR29" s="289"/>
      <c r="NMS29" s="289"/>
      <c r="NMT29" s="289"/>
      <c r="NMU29" s="289"/>
      <c r="NMV29" s="289"/>
      <c r="NMW29" s="289"/>
      <c r="NMX29" s="289"/>
      <c r="NMY29" s="289"/>
      <c r="NMZ29" s="289"/>
      <c r="NNA29" s="289"/>
      <c r="NNB29" s="289"/>
      <c r="NNC29" s="289"/>
      <c r="NND29" s="289"/>
      <c r="NNE29" s="289"/>
      <c r="NNF29" s="289"/>
      <c r="NNG29" s="289"/>
      <c r="NNH29" s="289"/>
      <c r="NNI29" s="289"/>
      <c r="NNJ29" s="289"/>
      <c r="NNK29" s="289"/>
      <c r="NNL29" s="289"/>
      <c r="NNM29" s="289"/>
      <c r="NNN29" s="289"/>
      <c r="NNO29" s="289"/>
      <c r="NNP29" s="289"/>
      <c r="NNQ29" s="289"/>
      <c r="NNR29" s="289"/>
      <c r="NNS29" s="289"/>
      <c r="NNT29" s="289"/>
      <c r="NNU29" s="289"/>
      <c r="NNV29" s="289"/>
      <c r="NNW29" s="289"/>
      <c r="NNX29" s="289"/>
      <c r="NNY29" s="289"/>
      <c r="NNZ29" s="289"/>
      <c r="NOA29" s="289"/>
      <c r="NOB29" s="289"/>
      <c r="NOC29" s="289"/>
      <c r="NOD29" s="289"/>
      <c r="NOE29" s="289"/>
      <c r="NOF29" s="289"/>
      <c r="NOG29" s="289"/>
      <c r="NOH29" s="289"/>
      <c r="NOI29" s="289"/>
      <c r="NOJ29" s="289"/>
      <c r="NOK29" s="289"/>
      <c r="NOL29" s="289"/>
      <c r="NOM29" s="289"/>
      <c r="NON29" s="289"/>
      <c r="NOO29" s="289"/>
      <c r="NOP29" s="289"/>
      <c r="NOQ29" s="289"/>
      <c r="NOR29" s="289"/>
      <c r="NOS29" s="289"/>
      <c r="NOT29" s="289"/>
      <c r="NOU29" s="289"/>
      <c r="NOV29" s="289"/>
      <c r="NOW29" s="289"/>
      <c r="NOX29" s="289"/>
      <c r="NOY29" s="289"/>
      <c r="NOZ29" s="289"/>
      <c r="NPA29" s="289"/>
      <c r="NPB29" s="289"/>
      <c r="NPC29" s="289"/>
      <c r="NPD29" s="289"/>
      <c r="NPE29" s="289"/>
      <c r="NPF29" s="289"/>
      <c r="NPG29" s="289"/>
      <c r="NPH29" s="289"/>
      <c r="NPI29" s="289"/>
      <c r="NPJ29" s="289"/>
      <c r="NPK29" s="289"/>
      <c r="NPL29" s="289"/>
      <c r="NPM29" s="289"/>
      <c r="NPN29" s="289"/>
      <c r="NPO29" s="289"/>
      <c r="NPP29" s="289"/>
      <c r="NPQ29" s="289"/>
      <c r="NPR29" s="289"/>
      <c r="NPS29" s="289"/>
      <c r="NPT29" s="289"/>
      <c r="NPU29" s="289"/>
      <c r="NPV29" s="289"/>
      <c r="NPW29" s="289"/>
      <c r="NPX29" s="289"/>
      <c r="NPY29" s="289"/>
      <c r="NPZ29" s="289"/>
      <c r="NQA29" s="289"/>
      <c r="NQB29" s="289"/>
      <c r="NQC29" s="289"/>
      <c r="NQD29" s="289"/>
      <c r="NQE29" s="289"/>
      <c r="NQF29" s="289"/>
      <c r="NQG29" s="289"/>
      <c r="NQH29" s="289"/>
      <c r="NQI29" s="289"/>
      <c r="NQJ29" s="289"/>
      <c r="NQK29" s="289"/>
      <c r="NQL29" s="289"/>
      <c r="NQM29" s="289"/>
      <c r="NQN29" s="289"/>
      <c r="NQO29" s="289"/>
      <c r="NQP29" s="289"/>
      <c r="NQQ29" s="289"/>
      <c r="NQR29" s="289"/>
      <c r="NQS29" s="289"/>
      <c r="NQT29" s="289"/>
      <c r="NQU29" s="289"/>
      <c r="NQV29" s="289"/>
      <c r="NQW29" s="289"/>
      <c r="NQX29" s="289"/>
      <c r="NQY29" s="289"/>
      <c r="NQZ29" s="289"/>
      <c r="NRA29" s="289"/>
      <c r="NRB29" s="289"/>
      <c r="NRC29" s="289"/>
      <c r="NRD29" s="289"/>
      <c r="NRE29" s="289"/>
      <c r="NRF29" s="289"/>
      <c r="NRG29" s="289"/>
      <c r="NRH29" s="289"/>
      <c r="NRI29" s="289"/>
      <c r="NRJ29" s="289"/>
      <c r="NRK29" s="289"/>
      <c r="NRL29" s="289"/>
      <c r="NRM29" s="289"/>
      <c r="NRN29" s="289"/>
      <c r="NRO29" s="289"/>
      <c r="NRP29" s="289"/>
      <c r="NRQ29" s="289"/>
      <c r="NRR29" s="289"/>
      <c r="NRS29" s="289"/>
      <c r="NRT29" s="289"/>
      <c r="NRU29" s="289"/>
      <c r="NRV29" s="289"/>
      <c r="NRW29" s="289"/>
      <c r="NRX29" s="289"/>
      <c r="NRY29" s="289"/>
      <c r="NRZ29" s="289"/>
      <c r="NSA29" s="289"/>
      <c r="NSB29" s="289"/>
      <c r="NSC29" s="289"/>
      <c r="NSD29" s="289"/>
      <c r="NSE29" s="289"/>
      <c r="NSF29" s="289"/>
      <c r="NSG29" s="289"/>
      <c r="NSH29" s="289"/>
      <c r="NSI29" s="289"/>
      <c r="NSJ29" s="289"/>
      <c r="NSK29" s="289"/>
      <c r="NSL29" s="289"/>
      <c r="NSM29" s="289"/>
      <c r="NSN29" s="289"/>
      <c r="NSO29" s="289"/>
      <c r="NSP29" s="289"/>
      <c r="NSQ29" s="289"/>
      <c r="NSR29" s="289"/>
      <c r="NSS29" s="289"/>
      <c r="NST29" s="289"/>
      <c r="NSU29" s="289"/>
      <c r="NSV29" s="289"/>
      <c r="NSW29" s="289"/>
      <c r="NSX29" s="289"/>
      <c r="NSY29" s="289"/>
      <c r="NSZ29" s="289"/>
      <c r="NTA29" s="289"/>
      <c r="NTB29" s="289"/>
      <c r="NTC29" s="289"/>
      <c r="NTD29" s="289"/>
      <c r="NTE29" s="289"/>
      <c r="NTF29" s="289"/>
      <c r="NTG29" s="289"/>
      <c r="NTH29" s="289"/>
      <c r="NTI29" s="289"/>
      <c r="NTJ29" s="289"/>
      <c r="NTK29" s="289"/>
      <c r="NTL29" s="289"/>
      <c r="NTM29" s="289"/>
      <c r="NTN29" s="289"/>
      <c r="NTO29" s="289"/>
      <c r="NTP29" s="289"/>
      <c r="NTQ29" s="289"/>
      <c r="NTR29" s="289"/>
      <c r="NTS29" s="289"/>
      <c r="NTT29" s="289"/>
      <c r="NTU29" s="289"/>
      <c r="NTV29" s="289"/>
      <c r="NTW29" s="289"/>
      <c r="NTX29" s="289"/>
      <c r="NTY29" s="289"/>
      <c r="NTZ29" s="289"/>
      <c r="NUA29" s="289"/>
      <c r="NUB29" s="289"/>
      <c r="NUC29" s="289"/>
      <c r="NUD29" s="289"/>
      <c r="NUE29" s="289"/>
      <c r="NUF29" s="289"/>
      <c r="NUG29" s="289"/>
      <c r="NUH29" s="289"/>
      <c r="NUI29" s="289"/>
      <c r="NUJ29" s="289"/>
      <c r="NUK29" s="289"/>
      <c r="NUL29" s="289"/>
      <c r="NUM29" s="289"/>
      <c r="NUN29" s="289"/>
      <c r="NUO29" s="289"/>
      <c r="NUP29" s="289"/>
      <c r="NUQ29" s="289"/>
      <c r="NUR29" s="289"/>
      <c r="NUS29" s="289"/>
      <c r="NUT29" s="289"/>
      <c r="NUU29" s="289"/>
      <c r="NUV29" s="289"/>
      <c r="NUW29" s="289"/>
      <c r="NUX29" s="289"/>
      <c r="NUY29" s="289"/>
      <c r="NUZ29" s="289"/>
      <c r="NVA29" s="289"/>
      <c r="NVB29" s="289"/>
      <c r="NVC29" s="289"/>
      <c r="NVD29" s="289"/>
      <c r="NVE29" s="289"/>
      <c r="NVF29" s="289"/>
      <c r="NVG29" s="289"/>
      <c r="NVH29" s="289"/>
      <c r="NVI29" s="289"/>
      <c r="NVJ29" s="289"/>
      <c r="NVK29" s="289"/>
      <c r="NVL29" s="289"/>
      <c r="NVM29" s="289"/>
      <c r="NVN29" s="289"/>
      <c r="NVO29" s="289"/>
      <c r="NVP29" s="289"/>
      <c r="NVQ29" s="289"/>
      <c r="NVR29" s="289"/>
      <c r="NVS29" s="289"/>
      <c r="NVT29" s="289"/>
      <c r="NVU29" s="289"/>
      <c r="NVV29" s="289"/>
      <c r="NVW29" s="289"/>
      <c r="NVX29" s="289"/>
      <c r="NVY29" s="289"/>
      <c r="NVZ29" s="289"/>
      <c r="NWA29" s="289"/>
      <c r="NWB29" s="289"/>
      <c r="NWC29" s="289"/>
      <c r="NWD29" s="289"/>
      <c r="NWE29" s="289"/>
      <c r="NWF29" s="289"/>
      <c r="NWG29" s="289"/>
      <c r="NWH29" s="289"/>
      <c r="NWI29" s="289"/>
      <c r="NWJ29" s="289"/>
      <c r="NWK29" s="289"/>
      <c r="NWL29" s="289"/>
      <c r="NWM29" s="289"/>
      <c r="NWN29" s="289"/>
      <c r="NWO29" s="289"/>
      <c r="NWP29" s="289"/>
      <c r="NWQ29" s="289"/>
      <c r="NWR29" s="289"/>
      <c r="NWS29" s="289"/>
      <c r="NWT29" s="289"/>
      <c r="NWU29" s="289"/>
      <c r="NWV29" s="289"/>
      <c r="NWW29" s="289"/>
      <c r="NWX29" s="289"/>
      <c r="NWY29" s="289"/>
      <c r="NWZ29" s="289"/>
      <c r="NXA29" s="289"/>
      <c r="NXB29" s="289"/>
      <c r="NXC29" s="289"/>
      <c r="NXD29" s="289"/>
      <c r="NXE29" s="289"/>
      <c r="NXF29" s="289"/>
      <c r="NXG29" s="289"/>
      <c r="NXH29" s="289"/>
      <c r="NXI29" s="289"/>
      <c r="NXJ29" s="289"/>
      <c r="NXK29" s="289"/>
      <c r="NXL29" s="289"/>
      <c r="NXM29" s="289"/>
      <c r="NXN29" s="289"/>
      <c r="NXO29" s="289"/>
      <c r="NXP29" s="289"/>
      <c r="NXQ29" s="289"/>
      <c r="NXR29" s="289"/>
      <c r="NXS29" s="289"/>
      <c r="NXT29" s="289"/>
      <c r="NXU29" s="289"/>
      <c r="NXV29" s="289"/>
      <c r="NXW29" s="289"/>
      <c r="NXX29" s="289"/>
      <c r="NXY29" s="289"/>
      <c r="NXZ29" s="289"/>
      <c r="NYA29" s="289"/>
      <c r="NYB29" s="289"/>
      <c r="NYC29" s="289"/>
      <c r="NYD29" s="289"/>
      <c r="NYE29" s="289"/>
      <c r="NYF29" s="289"/>
      <c r="NYG29" s="289"/>
      <c r="NYH29" s="289"/>
      <c r="NYI29" s="289"/>
      <c r="NYJ29" s="289"/>
      <c r="NYK29" s="289"/>
      <c r="NYL29" s="289"/>
      <c r="NYM29" s="289"/>
      <c r="NYN29" s="289"/>
      <c r="NYO29" s="289"/>
      <c r="NYP29" s="289"/>
      <c r="NYQ29" s="289"/>
      <c r="NYR29" s="289"/>
      <c r="NYS29" s="289"/>
      <c r="NYT29" s="289"/>
      <c r="NYU29" s="289"/>
      <c r="NYV29" s="289"/>
      <c r="NYW29" s="289"/>
      <c r="NYX29" s="289"/>
      <c r="NYY29" s="289"/>
      <c r="NYZ29" s="289"/>
      <c r="NZA29" s="289"/>
      <c r="NZB29" s="289"/>
      <c r="NZC29" s="289"/>
      <c r="NZD29" s="289"/>
      <c r="NZE29" s="289"/>
      <c r="NZF29" s="289"/>
      <c r="NZG29" s="289"/>
      <c r="NZH29" s="289"/>
      <c r="NZI29" s="289"/>
      <c r="NZJ29" s="289"/>
      <c r="NZK29" s="289"/>
      <c r="NZL29" s="289"/>
      <c r="NZM29" s="289"/>
      <c r="NZN29" s="289"/>
      <c r="NZO29" s="289"/>
      <c r="NZP29" s="289"/>
      <c r="NZQ29" s="289"/>
      <c r="NZR29" s="289"/>
      <c r="NZS29" s="289"/>
      <c r="NZT29" s="289"/>
      <c r="NZU29" s="289"/>
      <c r="NZV29" s="289"/>
      <c r="NZW29" s="289"/>
      <c r="NZX29" s="289"/>
      <c r="NZY29" s="289"/>
      <c r="NZZ29" s="289"/>
      <c r="OAA29" s="289"/>
      <c r="OAB29" s="289"/>
      <c r="OAC29" s="289"/>
      <c r="OAD29" s="289"/>
      <c r="OAE29" s="289"/>
      <c r="OAF29" s="289"/>
      <c r="OAG29" s="289"/>
      <c r="OAH29" s="289"/>
      <c r="OAI29" s="289"/>
      <c r="OAJ29" s="289"/>
      <c r="OAK29" s="289"/>
      <c r="OAL29" s="289"/>
      <c r="OAM29" s="289"/>
      <c r="OAN29" s="289"/>
      <c r="OAO29" s="289"/>
      <c r="OAP29" s="289"/>
      <c r="OAQ29" s="289"/>
      <c r="OAR29" s="289"/>
      <c r="OAS29" s="289"/>
      <c r="OAT29" s="289"/>
      <c r="OAU29" s="289"/>
      <c r="OAV29" s="289"/>
      <c r="OAW29" s="289"/>
      <c r="OAX29" s="289"/>
      <c r="OAY29" s="289"/>
      <c r="OAZ29" s="289"/>
      <c r="OBA29" s="289"/>
      <c r="OBB29" s="289"/>
      <c r="OBC29" s="289"/>
      <c r="OBD29" s="289"/>
      <c r="OBE29" s="289"/>
      <c r="OBF29" s="289"/>
      <c r="OBG29" s="289"/>
      <c r="OBH29" s="289"/>
      <c r="OBI29" s="289"/>
      <c r="OBJ29" s="289"/>
      <c r="OBK29" s="289"/>
      <c r="OBL29" s="289"/>
      <c r="OBM29" s="289"/>
      <c r="OBN29" s="289"/>
      <c r="OBO29" s="289"/>
      <c r="OBP29" s="289"/>
      <c r="OBQ29" s="289"/>
      <c r="OBR29" s="289"/>
      <c r="OBS29" s="289"/>
      <c r="OBT29" s="289"/>
      <c r="OBU29" s="289"/>
      <c r="OBV29" s="289"/>
      <c r="OBW29" s="289"/>
      <c r="OBX29" s="289"/>
      <c r="OBY29" s="289"/>
      <c r="OBZ29" s="289"/>
      <c r="OCA29" s="289"/>
      <c r="OCB29" s="289"/>
      <c r="OCC29" s="289"/>
      <c r="OCD29" s="289"/>
      <c r="OCE29" s="289"/>
      <c r="OCF29" s="289"/>
      <c r="OCG29" s="289"/>
      <c r="OCH29" s="289"/>
      <c r="OCI29" s="289"/>
      <c r="OCJ29" s="289"/>
      <c r="OCK29" s="289"/>
      <c r="OCL29" s="289"/>
      <c r="OCM29" s="289"/>
      <c r="OCN29" s="289"/>
      <c r="OCO29" s="289"/>
      <c r="OCP29" s="289"/>
      <c r="OCQ29" s="289"/>
      <c r="OCR29" s="289"/>
      <c r="OCS29" s="289"/>
      <c r="OCT29" s="289"/>
      <c r="OCU29" s="289"/>
      <c r="OCV29" s="289"/>
      <c r="OCW29" s="289"/>
      <c r="OCX29" s="289"/>
      <c r="OCY29" s="289"/>
      <c r="OCZ29" s="289"/>
      <c r="ODA29" s="289"/>
      <c r="ODB29" s="289"/>
      <c r="ODC29" s="289"/>
      <c r="ODD29" s="289"/>
      <c r="ODE29" s="289"/>
      <c r="ODF29" s="289"/>
      <c r="ODG29" s="289"/>
      <c r="ODH29" s="289"/>
      <c r="ODI29" s="289"/>
      <c r="ODJ29" s="289"/>
      <c r="ODK29" s="289"/>
      <c r="ODL29" s="289"/>
      <c r="ODM29" s="289"/>
      <c r="ODN29" s="289"/>
      <c r="ODO29" s="289"/>
      <c r="ODP29" s="289"/>
      <c r="ODQ29" s="289"/>
      <c r="ODR29" s="289"/>
      <c r="ODS29" s="289"/>
      <c r="ODT29" s="289"/>
      <c r="ODU29" s="289"/>
      <c r="ODV29" s="289"/>
      <c r="ODW29" s="289"/>
      <c r="ODX29" s="289"/>
      <c r="ODY29" s="289"/>
      <c r="ODZ29" s="289"/>
      <c r="OEA29" s="289"/>
      <c r="OEB29" s="289"/>
      <c r="OEC29" s="289"/>
      <c r="OED29" s="289"/>
      <c r="OEE29" s="289"/>
      <c r="OEF29" s="289"/>
      <c r="OEG29" s="289"/>
      <c r="OEH29" s="289"/>
      <c r="OEI29" s="289"/>
      <c r="OEJ29" s="289"/>
      <c r="OEK29" s="289"/>
      <c r="OEL29" s="289"/>
      <c r="OEM29" s="289"/>
      <c r="OEN29" s="289"/>
      <c r="OEO29" s="289"/>
      <c r="OEP29" s="289"/>
      <c r="OEQ29" s="289"/>
      <c r="OER29" s="289"/>
      <c r="OES29" s="289"/>
      <c r="OET29" s="289"/>
      <c r="OEU29" s="289"/>
      <c r="OEV29" s="289"/>
      <c r="OEW29" s="289"/>
      <c r="OEX29" s="289"/>
      <c r="OEY29" s="289"/>
      <c r="OEZ29" s="289"/>
      <c r="OFA29" s="289"/>
      <c r="OFB29" s="289"/>
      <c r="OFC29" s="289"/>
      <c r="OFD29" s="289"/>
      <c r="OFE29" s="289"/>
      <c r="OFF29" s="289"/>
      <c r="OFG29" s="289"/>
      <c r="OFH29" s="289"/>
      <c r="OFI29" s="289"/>
      <c r="OFJ29" s="289"/>
      <c r="OFK29" s="289"/>
      <c r="OFL29" s="289"/>
      <c r="OFM29" s="289"/>
      <c r="OFN29" s="289"/>
      <c r="OFO29" s="289"/>
      <c r="OFP29" s="289"/>
      <c r="OFQ29" s="289"/>
      <c r="OFR29" s="289"/>
      <c r="OFS29" s="289"/>
      <c r="OFT29" s="289"/>
      <c r="OFU29" s="289"/>
      <c r="OFV29" s="289"/>
      <c r="OFW29" s="289"/>
      <c r="OFX29" s="289"/>
      <c r="OFY29" s="289"/>
      <c r="OFZ29" s="289"/>
      <c r="OGA29" s="289"/>
      <c r="OGB29" s="289"/>
      <c r="OGC29" s="289"/>
      <c r="OGD29" s="289"/>
      <c r="OGE29" s="289"/>
      <c r="OGF29" s="289"/>
      <c r="OGG29" s="289"/>
      <c r="OGH29" s="289"/>
      <c r="OGI29" s="289"/>
      <c r="OGJ29" s="289"/>
      <c r="OGK29" s="289"/>
      <c r="OGL29" s="289"/>
      <c r="OGM29" s="289"/>
      <c r="OGN29" s="289"/>
      <c r="OGO29" s="289"/>
      <c r="OGP29" s="289"/>
      <c r="OGQ29" s="289"/>
      <c r="OGR29" s="289"/>
      <c r="OGS29" s="289"/>
      <c r="OGT29" s="289"/>
      <c r="OGU29" s="289"/>
      <c r="OGV29" s="289"/>
      <c r="OGW29" s="289"/>
      <c r="OGX29" s="289"/>
      <c r="OGY29" s="289"/>
      <c r="OGZ29" s="289"/>
      <c r="OHA29" s="289"/>
      <c r="OHB29" s="289"/>
      <c r="OHC29" s="289"/>
      <c r="OHD29" s="289"/>
      <c r="OHE29" s="289"/>
      <c r="OHF29" s="289"/>
      <c r="OHG29" s="289"/>
      <c r="OHH29" s="289"/>
      <c r="OHI29" s="289"/>
      <c r="OHJ29" s="289"/>
      <c r="OHK29" s="289"/>
      <c r="OHL29" s="289"/>
      <c r="OHM29" s="289"/>
      <c r="OHN29" s="289"/>
      <c r="OHO29" s="289"/>
      <c r="OHP29" s="289"/>
      <c r="OHQ29" s="289"/>
      <c r="OHR29" s="289"/>
      <c r="OHS29" s="289"/>
      <c r="OHT29" s="289"/>
      <c r="OHU29" s="289"/>
      <c r="OHV29" s="289"/>
      <c r="OHW29" s="289"/>
      <c r="OHX29" s="289"/>
      <c r="OHY29" s="289"/>
      <c r="OHZ29" s="289"/>
      <c r="OIA29" s="289"/>
      <c r="OIB29" s="289"/>
      <c r="OIC29" s="289"/>
      <c r="OID29" s="289"/>
      <c r="OIE29" s="289"/>
      <c r="OIF29" s="289"/>
      <c r="OIG29" s="289"/>
      <c r="OIH29" s="289"/>
      <c r="OII29" s="289"/>
      <c r="OIJ29" s="289"/>
      <c r="OIK29" s="289"/>
      <c r="OIL29" s="289"/>
      <c r="OIM29" s="289"/>
      <c r="OIN29" s="289"/>
      <c r="OIO29" s="289"/>
      <c r="OIP29" s="289"/>
      <c r="OIQ29" s="289"/>
      <c r="OIR29" s="289"/>
      <c r="OIS29" s="289"/>
      <c r="OIT29" s="289"/>
      <c r="OIU29" s="289"/>
      <c r="OIV29" s="289"/>
      <c r="OIW29" s="289"/>
      <c r="OIX29" s="289"/>
      <c r="OIY29" s="289"/>
      <c r="OIZ29" s="289"/>
      <c r="OJA29" s="289"/>
      <c r="OJB29" s="289"/>
      <c r="OJC29" s="289"/>
      <c r="OJD29" s="289"/>
      <c r="OJE29" s="289"/>
      <c r="OJF29" s="289"/>
      <c r="OJG29" s="289"/>
      <c r="OJH29" s="289"/>
      <c r="OJI29" s="289"/>
      <c r="OJJ29" s="289"/>
      <c r="OJK29" s="289"/>
      <c r="OJL29" s="289"/>
      <c r="OJM29" s="289"/>
      <c r="OJN29" s="289"/>
      <c r="OJO29" s="289"/>
      <c r="OJP29" s="289"/>
      <c r="OJQ29" s="289"/>
      <c r="OJR29" s="289"/>
      <c r="OJS29" s="289"/>
      <c r="OJT29" s="289"/>
      <c r="OJU29" s="289"/>
      <c r="OJV29" s="289"/>
      <c r="OJW29" s="289"/>
      <c r="OJX29" s="289"/>
      <c r="OJY29" s="289"/>
      <c r="OJZ29" s="289"/>
      <c r="OKA29" s="289"/>
      <c r="OKB29" s="289"/>
      <c r="OKC29" s="289"/>
      <c r="OKD29" s="289"/>
      <c r="OKE29" s="289"/>
      <c r="OKF29" s="289"/>
      <c r="OKG29" s="289"/>
      <c r="OKH29" s="289"/>
      <c r="OKI29" s="289"/>
      <c r="OKJ29" s="289"/>
      <c r="OKK29" s="289"/>
      <c r="OKL29" s="289"/>
      <c r="OKM29" s="289"/>
      <c r="OKN29" s="289"/>
      <c r="OKO29" s="289"/>
      <c r="OKP29" s="289"/>
      <c r="OKQ29" s="289"/>
      <c r="OKR29" s="289"/>
      <c r="OKS29" s="289"/>
      <c r="OKT29" s="289"/>
      <c r="OKU29" s="289"/>
      <c r="OKV29" s="289"/>
      <c r="OKW29" s="289"/>
      <c r="OKX29" s="289"/>
      <c r="OKY29" s="289"/>
      <c r="OKZ29" s="289"/>
      <c r="OLA29" s="289"/>
      <c r="OLB29" s="289"/>
      <c r="OLC29" s="289"/>
      <c r="OLD29" s="289"/>
      <c r="OLE29" s="289"/>
      <c r="OLF29" s="289"/>
      <c r="OLG29" s="289"/>
      <c r="OLH29" s="289"/>
      <c r="OLI29" s="289"/>
      <c r="OLJ29" s="289"/>
      <c r="OLK29" s="289"/>
      <c r="OLL29" s="289"/>
      <c r="OLM29" s="289"/>
      <c r="OLN29" s="289"/>
      <c r="OLO29" s="289"/>
      <c r="OLP29" s="289"/>
      <c r="OLQ29" s="289"/>
      <c r="OLR29" s="289"/>
      <c r="OLS29" s="289"/>
      <c r="OLT29" s="289"/>
      <c r="OLU29" s="289"/>
      <c r="OLV29" s="289"/>
      <c r="OLW29" s="289"/>
      <c r="OLX29" s="289"/>
      <c r="OLY29" s="289"/>
      <c r="OLZ29" s="289"/>
      <c r="OMA29" s="289"/>
      <c r="OMB29" s="289"/>
      <c r="OMC29" s="289"/>
      <c r="OMD29" s="289"/>
      <c r="OME29" s="289"/>
      <c r="OMF29" s="289"/>
      <c r="OMG29" s="289"/>
      <c r="OMH29" s="289"/>
      <c r="OMI29" s="289"/>
      <c r="OMJ29" s="289"/>
      <c r="OMK29" s="289"/>
      <c r="OML29" s="289"/>
      <c r="OMM29" s="289"/>
      <c r="OMN29" s="289"/>
      <c r="OMO29" s="289"/>
      <c r="OMP29" s="289"/>
      <c r="OMQ29" s="289"/>
      <c r="OMR29" s="289"/>
      <c r="OMS29" s="289"/>
      <c r="OMT29" s="289"/>
      <c r="OMU29" s="289"/>
      <c r="OMV29" s="289"/>
      <c r="OMW29" s="289"/>
      <c r="OMX29" s="289"/>
      <c r="OMY29" s="289"/>
      <c r="OMZ29" s="289"/>
      <c r="ONA29" s="289"/>
      <c r="ONB29" s="289"/>
      <c r="ONC29" s="289"/>
      <c r="OND29" s="289"/>
      <c r="ONE29" s="289"/>
      <c r="ONF29" s="289"/>
      <c r="ONG29" s="289"/>
      <c r="ONH29" s="289"/>
      <c r="ONI29" s="289"/>
      <c r="ONJ29" s="289"/>
      <c r="ONK29" s="289"/>
      <c r="ONL29" s="289"/>
      <c r="ONM29" s="289"/>
      <c r="ONN29" s="289"/>
      <c r="ONO29" s="289"/>
      <c r="ONP29" s="289"/>
      <c r="ONQ29" s="289"/>
      <c r="ONR29" s="289"/>
      <c r="ONS29" s="289"/>
      <c r="ONT29" s="289"/>
      <c r="ONU29" s="289"/>
      <c r="ONV29" s="289"/>
      <c r="ONW29" s="289"/>
      <c r="ONX29" s="289"/>
      <c r="ONY29" s="289"/>
      <c r="ONZ29" s="289"/>
      <c r="OOA29" s="289"/>
      <c r="OOB29" s="289"/>
      <c r="OOC29" s="289"/>
      <c r="OOD29" s="289"/>
      <c r="OOE29" s="289"/>
      <c r="OOF29" s="289"/>
      <c r="OOG29" s="289"/>
      <c r="OOH29" s="289"/>
      <c r="OOI29" s="289"/>
      <c r="OOJ29" s="289"/>
      <c r="OOK29" s="289"/>
      <c r="OOL29" s="289"/>
      <c r="OOM29" s="289"/>
      <c r="OON29" s="289"/>
      <c r="OOO29" s="289"/>
      <c r="OOP29" s="289"/>
      <c r="OOQ29" s="289"/>
      <c r="OOR29" s="289"/>
      <c r="OOS29" s="289"/>
      <c r="OOT29" s="289"/>
      <c r="OOU29" s="289"/>
      <c r="OOV29" s="289"/>
      <c r="OOW29" s="289"/>
      <c r="OOX29" s="289"/>
      <c r="OOY29" s="289"/>
      <c r="OOZ29" s="289"/>
      <c r="OPA29" s="289"/>
      <c r="OPB29" s="289"/>
      <c r="OPC29" s="289"/>
      <c r="OPD29" s="289"/>
      <c r="OPE29" s="289"/>
      <c r="OPF29" s="289"/>
      <c r="OPG29" s="289"/>
      <c r="OPH29" s="289"/>
      <c r="OPI29" s="289"/>
      <c r="OPJ29" s="289"/>
      <c r="OPK29" s="289"/>
      <c r="OPL29" s="289"/>
      <c r="OPM29" s="289"/>
      <c r="OPN29" s="289"/>
      <c r="OPO29" s="289"/>
      <c r="OPP29" s="289"/>
      <c r="OPQ29" s="289"/>
      <c r="OPR29" s="289"/>
      <c r="OPS29" s="289"/>
      <c r="OPT29" s="289"/>
      <c r="OPU29" s="289"/>
      <c r="OPV29" s="289"/>
      <c r="OPW29" s="289"/>
      <c r="OPX29" s="289"/>
      <c r="OPY29" s="289"/>
      <c r="OPZ29" s="289"/>
      <c r="OQA29" s="289"/>
      <c r="OQB29" s="289"/>
      <c r="OQC29" s="289"/>
      <c r="OQD29" s="289"/>
      <c r="OQE29" s="289"/>
      <c r="OQF29" s="289"/>
      <c r="OQG29" s="289"/>
      <c r="OQH29" s="289"/>
      <c r="OQI29" s="289"/>
      <c r="OQJ29" s="289"/>
      <c r="OQK29" s="289"/>
      <c r="OQL29" s="289"/>
      <c r="OQM29" s="289"/>
      <c r="OQN29" s="289"/>
      <c r="OQO29" s="289"/>
      <c r="OQP29" s="289"/>
      <c r="OQQ29" s="289"/>
      <c r="OQR29" s="289"/>
      <c r="OQS29" s="289"/>
      <c r="OQT29" s="289"/>
      <c r="OQU29" s="289"/>
      <c r="OQV29" s="289"/>
      <c r="OQW29" s="289"/>
      <c r="OQX29" s="289"/>
      <c r="OQY29" s="289"/>
      <c r="OQZ29" s="289"/>
      <c r="ORA29" s="289"/>
      <c r="ORB29" s="289"/>
      <c r="ORC29" s="289"/>
      <c r="ORD29" s="289"/>
      <c r="ORE29" s="289"/>
      <c r="ORF29" s="289"/>
      <c r="ORG29" s="289"/>
      <c r="ORH29" s="289"/>
      <c r="ORI29" s="289"/>
      <c r="ORJ29" s="289"/>
      <c r="ORK29" s="289"/>
      <c r="ORL29" s="289"/>
      <c r="ORM29" s="289"/>
      <c r="ORN29" s="289"/>
      <c r="ORO29" s="289"/>
      <c r="ORP29" s="289"/>
      <c r="ORQ29" s="289"/>
      <c r="ORR29" s="289"/>
      <c r="ORS29" s="289"/>
      <c r="ORT29" s="289"/>
      <c r="ORU29" s="289"/>
      <c r="ORV29" s="289"/>
      <c r="ORW29" s="289"/>
      <c r="ORX29" s="289"/>
      <c r="ORY29" s="289"/>
      <c r="ORZ29" s="289"/>
      <c r="OSA29" s="289"/>
      <c r="OSB29" s="289"/>
      <c r="OSC29" s="289"/>
      <c r="OSD29" s="289"/>
      <c r="OSE29" s="289"/>
      <c r="OSF29" s="289"/>
      <c r="OSG29" s="289"/>
      <c r="OSH29" s="289"/>
      <c r="OSI29" s="289"/>
      <c r="OSJ29" s="289"/>
      <c r="OSK29" s="289"/>
      <c r="OSL29" s="289"/>
      <c r="OSM29" s="289"/>
      <c r="OSN29" s="289"/>
      <c r="OSO29" s="289"/>
      <c r="OSP29" s="289"/>
      <c r="OSQ29" s="289"/>
      <c r="OSR29" s="289"/>
      <c r="OSS29" s="289"/>
      <c r="OST29" s="289"/>
      <c r="OSU29" s="289"/>
      <c r="OSV29" s="289"/>
      <c r="OSW29" s="289"/>
      <c r="OSX29" s="289"/>
      <c r="OSY29" s="289"/>
      <c r="OSZ29" s="289"/>
      <c r="OTA29" s="289"/>
      <c r="OTB29" s="289"/>
      <c r="OTC29" s="289"/>
      <c r="OTD29" s="289"/>
      <c r="OTE29" s="289"/>
      <c r="OTF29" s="289"/>
      <c r="OTG29" s="289"/>
      <c r="OTH29" s="289"/>
      <c r="OTI29" s="289"/>
      <c r="OTJ29" s="289"/>
      <c r="OTK29" s="289"/>
      <c r="OTL29" s="289"/>
      <c r="OTM29" s="289"/>
      <c r="OTN29" s="289"/>
      <c r="OTO29" s="289"/>
      <c r="OTP29" s="289"/>
      <c r="OTQ29" s="289"/>
      <c r="OTR29" s="289"/>
      <c r="OTS29" s="289"/>
      <c r="OTT29" s="289"/>
      <c r="OTU29" s="289"/>
      <c r="OTV29" s="289"/>
      <c r="OTW29" s="289"/>
      <c r="OTX29" s="289"/>
      <c r="OTY29" s="289"/>
      <c r="OTZ29" s="289"/>
      <c r="OUA29" s="289"/>
      <c r="OUB29" s="289"/>
      <c r="OUC29" s="289"/>
      <c r="OUD29" s="289"/>
      <c r="OUE29" s="289"/>
      <c r="OUF29" s="289"/>
      <c r="OUG29" s="289"/>
      <c r="OUH29" s="289"/>
      <c r="OUI29" s="289"/>
      <c r="OUJ29" s="289"/>
      <c r="OUK29" s="289"/>
      <c r="OUL29" s="289"/>
      <c r="OUM29" s="289"/>
      <c r="OUN29" s="289"/>
      <c r="OUO29" s="289"/>
      <c r="OUP29" s="289"/>
      <c r="OUQ29" s="289"/>
      <c r="OUR29" s="289"/>
      <c r="OUS29" s="289"/>
      <c r="OUT29" s="289"/>
      <c r="OUU29" s="289"/>
      <c r="OUV29" s="289"/>
      <c r="OUW29" s="289"/>
      <c r="OUX29" s="289"/>
      <c r="OUY29" s="289"/>
      <c r="OUZ29" s="289"/>
      <c r="OVA29" s="289"/>
      <c r="OVB29" s="289"/>
      <c r="OVC29" s="289"/>
      <c r="OVD29" s="289"/>
      <c r="OVE29" s="289"/>
      <c r="OVF29" s="289"/>
      <c r="OVG29" s="289"/>
      <c r="OVH29" s="289"/>
      <c r="OVI29" s="289"/>
      <c r="OVJ29" s="289"/>
      <c r="OVK29" s="289"/>
      <c r="OVL29" s="289"/>
      <c r="OVM29" s="289"/>
      <c r="OVN29" s="289"/>
      <c r="OVO29" s="289"/>
      <c r="OVP29" s="289"/>
      <c r="OVQ29" s="289"/>
      <c r="OVR29" s="289"/>
      <c r="OVS29" s="289"/>
      <c r="OVT29" s="289"/>
      <c r="OVU29" s="289"/>
      <c r="OVV29" s="289"/>
      <c r="OVW29" s="289"/>
      <c r="OVX29" s="289"/>
      <c r="OVY29" s="289"/>
      <c r="OVZ29" s="289"/>
      <c r="OWA29" s="289"/>
      <c r="OWB29" s="289"/>
      <c r="OWC29" s="289"/>
      <c r="OWD29" s="289"/>
      <c r="OWE29" s="289"/>
      <c r="OWF29" s="289"/>
      <c r="OWG29" s="289"/>
      <c r="OWH29" s="289"/>
      <c r="OWI29" s="289"/>
      <c r="OWJ29" s="289"/>
      <c r="OWK29" s="289"/>
      <c r="OWL29" s="289"/>
      <c r="OWM29" s="289"/>
      <c r="OWN29" s="289"/>
      <c r="OWO29" s="289"/>
      <c r="OWP29" s="289"/>
      <c r="OWQ29" s="289"/>
      <c r="OWR29" s="289"/>
      <c r="OWS29" s="289"/>
      <c r="OWT29" s="289"/>
      <c r="OWU29" s="289"/>
      <c r="OWV29" s="289"/>
      <c r="OWW29" s="289"/>
      <c r="OWX29" s="289"/>
      <c r="OWY29" s="289"/>
      <c r="OWZ29" s="289"/>
      <c r="OXA29" s="289"/>
      <c r="OXB29" s="289"/>
      <c r="OXC29" s="289"/>
      <c r="OXD29" s="289"/>
      <c r="OXE29" s="289"/>
      <c r="OXF29" s="289"/>
      <c r="OXG29" s="289"/>
      <c r="OXH29" s="289"/>
      <c r="OXI29" s="289"/>
      <c r="OXJ29" s="289"/>
      <c r="OXK29" s="289"/>
      <c r="OXL29" s="289"/>
      <c r="OXM29" s="289"/>
      <c r="OXN29" s="289"/>
      <c r="OXO29" s="289"/>
      <c r="OXP29" s="289"/>
      <c r="OXQ29" s="289"/>
      <c r="OXR29" s="289"/>
      <c r="OXS29" s="289"/>
      <c r="OXT29" s="289"/>
      <c r="OXU29" s="289"/>
      <c r="OXV29" s="289"/>
      <c r="OXW29" s="289"/>
      <c r="OXX29" s="289"/>
      <c r="OXY29" s="289"/>
      <c r="OXZ29" s="289"/>
      <c r="OYA29" s="289"/>
      <c r="OYB29" s="289"/>
      <c r="OYC29" s="289"/>
      <c r="OYD29" s="289"/>
      <c r="OYE29" s="289"/>
      <c r="OYF29" s="289"/>
      <c r="OYG29" s="289"/>
      <c r="OYH29" s="289"/>
      <c r="OYI29" s="289"/>
      <c r="OYJ29" s="289"/>
      <c r="OYK29" s="289"/>
      <c r="OYL29" s="289"/>
      <c r="OYM29" s="289"/>
      <c r="OYN29" s="289"/>
      <c r="OYO29" s="289"/>
      <c r="OYP29" s="289"/>
      <c r="OYQ29" s="289"/>
      <c r="OYR29" s="289"/>
      <c r="OYS29" s="289"/>
      <c r="OYT29" s="289"/>
      <c r="OYU29" s="289"/>
      <c r="OYV29" s="289"/>
      <c r="OYW29" s="289"/>
      <c r="OYX29" s="289"/>
      <c r="OYY29" s="289"/>
      <c r="OYZ29" s="289"/>
      <c r="OZA29" s="289"/>
      <c r="OZB29" s="289"/>
      <c r="OZC29" s="289"/>
      <c r="OZD29" s="289"/>
      <c r="OZE29" s="289"/>
      <c r="OZF29" s="289"/>
      <c r="OZG29" s="289"/>
      <c r="OZH29" s="289"/>
      <c r="OZI29" s="289"/>
      <c r="OZJ29" s="289"/>
      <c r="OZK29" s="289"/>
      <c r="OZL29" s="289"/>
      <c r="OZM29" s="289"/>
      <c r="OZN29" s="289"/>
      <c r="OZO29" s="289"/>
      <c r="OZP29" s="289"/>
      <c r="OZQ29" s="289"/>
      <c r="OZR29" s="289"/>
      <c r="OZS29" s="289"/>
      <c r="OZT29" s="289"/>
      <c r="OZU29" s="289"/>
      <c r="OZV29" s="289"/>
      <c r="OZW29" s="289"/>
      <c r="OZX29" s="289"/>
      <c r="OZY29" s="289"/>
      <c r="OZZ29" s="289"/>
      <c r="PAA29" s="289"/>
      <c r="PAB29" s="289"/>
      <c r="PAC29" s="289"/>
      <c r="PAD29" s="289"/>
      <c r="PAE29" s="289"/>
      <c r="PAF29" s="289"/>
      <c r="PAG29" s="289"/>
      <c r="PAH29" s="289"/>
      <c r="PAI29" s="289"/>
      <c r="PAJ29" s="289"/>
      <c r="PAK29" s="289"/>
      <c r="PAL29" s="289"/>
      <c r="PAM29" s="289"/>
      <c r="PAN29" s="289"/>
      <c r="PAO29" s="289"/>
      <c r="PAP29" s="289"/>
      <c r="PAQ29" s="289"/>
      <c r="PAR29" s="289"/>
      <c r="PAS29" s="289"/>
      <c r="PAT29" s="289"/>
      <c r="PAU29" s="289"/>
      <c r="PAV29" s="289"/>
      <c r="PAW29" s="289"/>
      <c r="PAX29" s="289"/>
      <c r="PAY29" s="289"/>
      <c r="PAZ29" s="289"/>
      <c r="PBA29" s="289"/>
      <c r="PBB29" s="289"/>
      <c r="PBC29" s="289"/>
      <c r="PBD29" s="289"/>
      <c r="PBE29" s="289"/>
      <c r="PBF29" s="289"/>
      <c r="PBG29" s="289"/>
      <c r="PBH29" s="289"/>
      <c r="PBI29" s="289"/>
      <c r="PBJ29" s="289"/>
      <c r="PBK29" s="289"/>
      <c r="PBL29" s="289"/>
      <c r="PBM29" s="289"/>
      <c r="PBN29" s="289"/>
      <c r="PBO29" s="289"/>
      <c r="PBP29" s="289"/>
      <c r="PBQ29" s="289"/>
      <c r="PBR29" s="289"/>
      <c r="PBS29" s="289"/>
      <c r="PBT29" s="289"/>
      <c r="PBU29" s="289"/>
      <c r="PBV29" s="289"/>
      <c r="PBW29" s="289"/>
      <c r="PBX29" s="289"/>
      <c r="PBY29" s="289"/>
      <c r="PBZ29" s="289"/>
      <c r="PCA29" s="289"/>
      <c r="PCB29" s="289"/>
      <c r="PCC29" s="289"/>
      <c r="PCD29" s="289"/>
      <c r="PCE29" s="289"/>
      <c r="PCF29" s="289"/>
      <c r="PCG29" s="289"/>
      <c r="PCH29" s="289"/>
      <c r="PCI29" s="289"/>
      <c r="PCJ29" s="289"/>
      <c r="PCK29" s="289"/>
      <c r="PCL29" s="289"/>
      <c r="PCM29" s="289"/>
      <c r="PCN29" s="289"/>
      <c r="PCO29" s="289"/>
      <c r="PCP29" s="289"/>
      <c r="PCQ29" s="289"/>
      <c r="PCR29" s="289"/>
      <c r="PCS29" s="289"/>
      <c r="PCT29" s="289"/>
      <c r="PCU29" s="289"/>
      <c r="PCV29" s="289"/>
      <c r="PCW29" s="289"/>
      <c r="PCX29" s="289"/>
      <c r="PCY29" s="289"/>
      <c r="PCZ29" s="289"/>
      <c r="PDA29" s="289"/>
      <c r="PDB29" s="289"/>
      <c r="PDC29" s="289"/>
      <c r="PDD29" s="289"/>
      <c r="PDE29" s="289"/>
      <c r="PDF29" s="289"/>
      <c r="PDG29" s="289"/>
      <c r="PDH29" s="289"/>
      <c r="PDI29" s="289"/>
      <c r="PDJ29" s="289"/>
      <c r="PDK29" s="289"/>
      <c r="PDL29" s="289"/>
      <c r="PDM29" s="289"/>
      <c r="PDN29" s="289"/>
      <c r="PDO29" s="289"/>
      <c r="PDP29" s="289"/>
      <c r="PDQ29" s="289"/>
      <c r="PDR29" s="289"/>
      <c r="PDS29" s="289"/>
      <c r="PDT29" s="289"/>
      <c r="PDU29" s="289"/>
      <c r="PDV29" s="289"/>
      <c r="PDW29" s="289"/>
      <c r="PDX29" s="289"/>
      <c r="PDY29" s="289"/>
      <c r="PDZ29" s="289"/>
      <c r="PEA29" s="289"/>
      <c r="PEB29" s="289"/>
      <c r="PEC29" s="289"/>
      <c r="PED29" s="289"/>
      <c r="PEE29" s="289"/>
      <c r="PEF29" s="289"/>
      <c r="PEG29" s="289"/>
      <c r="PEH29" s="289"/>
      <c r="PEI29" s="289"/>
      <c r="PEJ29" s="289"/>
      <c r="PEK29" s="289"/>
      <c r="PEL29" s="289"/>
      <c r="PEM29" s="289"/>
      <c r="PEN29" s="289"/>
      <c r="PEO29" s="289"/>
      <c r="PEP29" s="289"/>
      <c r="PEQ29" s="289"/>
      <c r="PER29" s="289"/>
      <c r="PES29" s="289"/>
      <c r="PET29" s="289"/>
      <c r="PEU29" s="289"/>
      <c r="PEV29" s="289"/>
      <c r="PEW29" s="289"/>
      <c r="PEX29" s="289"/>
      <c r="PEY29" s="289"/>
      <c r="PEZ29" s="289"/>
      <c r="PFA29" s="289"/>
      <c r="PFB29" s="289"/>
      <c r="PFC29" s="289"/>
      <c r="PFD29" s="289"/>
      <c r="PFE29" s="289"/>
      <c r="PFF29" s="289"/>
      <c r="PFG29" s="289"/>
      <c r="PFH29" s="289"/>
      <c r="PFI29" s="289"/>
      <c r="PFJ29" s="289"/>
      <c r="PFK29" s="289"/>
      <c r="PFL29" s="289"/>
      <c r="PFM29" s="289"/>
      <c r="PFN29" s="289"/>
      <c r="PFO29" s="289"/>
      <c r="PFP29" s="289"/>
      <c r="PFQ29" s="289"/>
      <c r="PFR29" s="289"/>
      <c r="PFS29" s="289"/>
      <c r="PFT29" s="289"/>
      <c r="PFU29" s="289"/>
      <c r="PFV29" s="289"/>
      <c r="PFW29" s="289"/>
      <c r="PFX29" s="289"/>
      <c r="PFY29" s="289"/>
      <c r="PFZ29" s="289"/>
      <c r="PGA29" s="289"/>
      <c r="PGB29" s="289"/>
      <c r="PGC29" s="289"/>
      <c r="PGD29" s="289"/>
      <c r="PGE29" s="289"/>
      <c r="PGF29" s="289"/>
      <c r="PGG29" s="289"/>
      <c r="PGH29" s="289"/>
      <c r="PGI29" s="289"/>
      <c r="PGJ29" s="289"/>
      <c r="PGK29" s="289"/>
      <c r="PGL29" s="289"/>
      <c r="PGM29" s="289"/>
      <c r="PGN29" s="289"/>
      <c r="PGO29" s="289"/>
      <c r="PGP29" s="289"/>
      <c r="PGQ29" s="289"/>
      <c r="PGR29" s="289"/>
      <c r="PGS29" s="289"/>
      <c r="PGT29" s="289"/>
      <c r="PGU29" s="289"/>
      <c r="PGV29" s="289"/>
      <c r="PGW29" s="289"/>
      <c r="PGX29" s="289"/>
      <c r="PGY29" s="289"/>
      <c r="PGZ29" s="289"/>
      <c r="PHA29" s="289"/>
      <c r="PHB29" s="289"/>
      <c r="PHC29" s="289"/>
      <c r="PHD29" s="289"/>
      <c r="PHE29" s="289"/>
      <c r="PHF29" s="289"/>
      <c r="PHG29" s="289"/>
      <c r="PHH29" s="289"/>
      <c r="PHI29" s="289"/>
      <c r="PHJ29" s="289"/>
      <c r="PHK29" s="289"/>
      <c r="PHL29" s="289"/>
      <c r="PHM29" s="289"/>
      <c r="PHN29" s="289"/>
      <c r="PHO29" s="289"/>
      <c r="PHP29" s="289"/>
      <c r="PHQ29" s="289"/>
      <c r="PHR29" s="289"/>
      <c r="PHS29" s="289"/>
      <c r="PHT29" s="289"/>
      <c r="PHU29" s="289"/>
      <c r="PHV29" s="289"/>
      <c r="PHW29" s="289"/>
      <c r="PHX29" s="289"/>
      <c r="PHY29" s="289"/>
      <c r="PHZ29" s="289"/>
      <c r="PIA29" s="289"/>
      <c r="PIB29" s="289"/>
      <c r="PIC29" s="289"/>
      <c r="PID29" s="289"/>
      <c r="PIE29" s="289"/>
      <c r="PIF29" s="289"/>
      <c r="PIG29" s="289"/>
      <c r="PIH29" s="289"/>
      <c r="PII29" s="289"/>
      <c r="PIJ29" s="289"/>
      <c r="PIK29" s="289"/>
      <c r="PIL29" s="289"/>
      <c r="PIM29" s="289"/>
      <c r="PIN29" s="289"/>
      <c r="PIO29" s="289"/>
      <c r="PIP29" s="289"/>
      <c r="PIQ29" s="289"/>
      <c r="PIR29" s="289"/>
      <c r="PIS29" s="289"/>
      <c r="PIT29" s="289"/>
      <c r="PIU29" s="289"/>
      <c r="PIV29" s="289"/>
      <c r="PIW29" s="289"/>
      <c r="PIX29" s="289"/>
      <c r="PIY29" s="289"/>
      <c r="PIZ29" s="289"/>
      <c r="PJA29" s="289"/>
      <c r="PJB29" s="289"/>
      <c r="PJC29" s="289"/>
      <c r="PJD29" s="289"/>
      <c r="PJE29" s="289"/>
      <c r="PJF29" s="289"/>
      <c r="PJG29" s="289"/>
      <c r="PJH29" s="289"/>
      <c r="PJI29" s="289"/>
      <c r="PJJ29" s="289"/>
      <c r="PJK29" s="289"/>
      <c r="PJL29" s="289"/>
      <c r="PJM29" s="289"/>
      <c r="PJN29" s="289"/>
      <c r="PJO29" s="289"/>
      <c r="PJP29" s="289"/>
      <c r="PJQ29" s="289"/>
      <c r="PJR29" s="289"/>
      <c r="PJS29" s="289"/>
      <c r="PJT29" s="289"/>
      <c r="PJU29" s="289"/>
      <c r="PJV29" s="289"/>
      <c r="PJW29" s="289"/>
      <c r="PJX29" s="289"/>
      <c r="PJY29" s="289"/>
      <c r="PJZ29" s="289"/>
      <c r="PKA29" s="289"/>
      <c r="PKB29" s="289"/>
      <c r="PKC29" s="289"/>
      <c r="PKD29" s="289"/>
      <c r="PKE29" s="289"/>
      <c r="PKF29" s="289"/>
      <c r="PKG29" s="289"/>
      <c r="PKH29" s="289"/>
      <c r="PKI29" s="289"/>
      <c r="PKJ29" s="289"/>
      <c r="PKK29" s="289"/>
      <c r="PKL29" s="289"/>
      <c r="PKM29" s="289"/>
      <c r="PKN29" s="289"/>
      <c r="PKO29" s="289"/>
      <c r="PKP29" s="289"/>
      <c r="PKQ29" s="289"/>
      <c r="PKR29" s="289"/>
      <c r="PKS29" s="289"/>
      <c r="PKT29" s="289"/>
      <c r="PKU29" s="289"/>
      <c r="PKV29" s="289"/>
      <c r="PKW29" s="289"/>
      <c r="PKX29" s="289"/>
      <c r="PKY29" s="289"/>
      <c r="PKZ29" s="289"/>
      <c r="PLA29" s="289"/>
      <c r="PLB29" s="289"/>
      <c r="PLC29" s="289"/>
      <c r="PLD29" s="289"/>
      <c r="PLE29" s="289"/>
      <c r="PLF29" s="289"/>
      <c r="PLG29" s="289"/>
      <c r="PLH29" s="289"/>
      <c r="PLI29" s="289"/>
      <c r="PLJ29" s="289"/>
      <c r="PLK29" s="289"/>
      <c r="PLL29" s="289"/>
      <c r="PLM29" s="289"/>
      <c r="PLN29" s="289"/>
      <c r="PLO29" s="289"/>
      <c r="PLP29" s="289"/>
      <c r="PLQ29" s="289"/>
      <c r="PLR29" s="289"/>
      <c r="PLS29" s="289"/>
      <c r="PLT29" s="289"/>
      <c r="PLU29" s="289"/>
      <c r="PLV29" s="289"/>
      <c r="PLW29" s="289"/>
      <c r="PLX29" s="289"/>
      <c r="PLY29" s="289"/>
      <c r="PLZ29" s="289"/>
      <c r="PMA29" s="289"/>
      <c r="PMB29" s="289"/>
      <c r="PMC29" s="289"/>
      <c r="PMD29" s="289"/>
      <c r="PME29" s="289"/>
      <c r="PMF29" s="289"/>
      <c r="PMG29" s="289"/>
      <c r="PMH29" s="289"/>
      <c r="PMI29" s="289"/>
      <c r="PMJ29" s="289"/>
      <c r="PMK29" s="289"/>
      <c r="PML29" s="289"/>
      <c r="PMM29" s="289"/>
      <c r="PMN29" s="289"/>
      <c r="PMO29" s="289"/>
      <c r="PMP29" s="289"/>
      <c r="PMQ29" s="289"/>
      <c r="PMR29" s="289"/>
      <c r="PMS29" s="289"/>
      <c r="PMT29" s="289"/>
      <c r="PMU29" s="289"/>
      <c r="PMV29" s="289"/>
      <c r="PMW29" s="289"/>
      <c r="PMX29" s="289"/>
      <c r="PMY29" s="289"/>
      <c r="PMZ29" s="289"/>
      <c r="PNA29" s="289"/>
      <c r="PNB29" s="289"/>
      <c r="PNC29" s="289"/>
      <c r="PND29" s="289"/>
      <c r="PNE29" s="289"/>
      <c r="PNF29" s="289"/>
      <c r="PNG29" s="289"/>
      <c r="PNH29" s="289"/>
      <c r="PNI29" s="289"/>
      <c r="PNJ29" s="289"/>
      <c r="PNK29" s="289"/>
      <c r="PNL29" s="289"/>
      <c r="PNM29" s="289"/>
      <c r="PNN29" s="289"/>
      <c r="PNO29" s="289"/>
      <c r="PNP29" s="289"/>
      <c r="PNQ29" s="289"/>
      <c r="PNR29" s="289"/>
      <c r="PNS29" s="289"/>
      <c r="PNT29" s="289"/>
      <c r="PNU29" s="289"/>
      <c r="PNV29" s="289"/>
      <c r="PNW29" s="289"/>
      <c r="PNX29" s="289"/>
      <c r="PNY29" s="289"/>
      <c r="PNZ29" s="289"/>
      <c r="POA29" s="289"/>
      <c r="POB29" s="289"/>
      <c r="POC29" s="289"/>
      <c r="POD29" s="289"/>
      <c r="POE29" s="289"/>
      <c r="POF29" s="289"/>
      <c r="POG29" s="289"/>
      <c r="POH29" s="289"/>
      <c r="POI29" s="289"/>
      <c r="POJ29" s="289"/>
      <c r="POK29" s="289"/>
      <c r="POL29" s="289"/>
      <c r="POM29" s="289"/>
      <c r="PON29" s="289"/>
      <c r="POO29" s="289"/>
      <c r="POP29" s="289"/>
      <c r="POQ29" s="289"/>
      <c r="POR29" s="289"/>
      <c r="POS29" s="289"/>
      <c r="POT29" s="289"/>
      <c r="POU29" s="289"/>
      <c r="POV29" s="289"/>
      <c r="POW29" s="289"/>
      <c r="POX29" s="289"/>
      <c r="POY29" s="289"/>
      <c r="POZ29" s="289"/>
      <c r="PPA29" s="289"/>
      <c r="PPB29" s="289"/>
      <c r="PPC29" s="289"/>
      <c r="PPD29" s="289"/>
      <c r="PPE29" s="289"/>
      <c r="PPF29" s="289"/>
      <c r="PPG29" s="289"/>
      <c r="PPH29" s="289"/>
      <c r="PPI29" s="289"/>
      <c r="PPJ29" s="289"/>
      <c r="PPK29" s="289"/>
      <c r="PPL29" s="289"/>
      <c r="PPM29" s="289"/>
      <c r="PPN29" s="289"/>
      <c r="PPO29" s="289"/>
      <c r="PPP29" s="289"/>
      <c r="PPQ29" s="289"/>
      <c r="PPR29" s="289"/>
      <c r="PPS29" s="289"/>
      <c r="PPT29" s="289"/>
      <c r="PPU29" s="289"/>
      <c r="PPV29" s="289"/>
      <c r="PPW29" s="289"/>
      <c r="PPX29" s="289"/>
      <c r="PPY29" s="289"/>
      <c r="PPZ29" s="289"/>
      <c r="PQA29" s="289"/>
      <c r="PQB29" s="289"/>
      <c r="PQC29" s="289"/>
      <c r="PQD29" s="289"/>
      <c r="PQE29" s="289"/>
      <c r="PQF29" s="289"/>
      <c r="PQG29" s="289"/>
      <c r="PQH29" s="289"/>
      <c r="PQI29" s="289"/>
      <c r="PQJ29" s="289"/>
      <c r="PQK29" s="289"/>
      <c r="PQL29" s="289"/>
      <c r="PQM29" s="289"/>
      <c r="PQN29" s="289"/>
      <c r="PQO29" s="289"/>
      <c r="PQP29" s="289"/>
      <c r="PQQ29" s="289"/>
      <c r="PQR29" s="289"/>
      <c r="PQS29" s="289"/>
      <c r="PQT29" s="289"/>
      <c r="PQU29" s="289"/>
      <c r="PQV29" s="289"/>
      <c r="PQW29" s="289"/>
      <c r="PQX29" s="289"/>
      <c r="PQY29" s="289"/>
      <c r="PQZ29" s="289"/>
      <c r="PRA29" s="289"/>
      <c r="PRB29" s="289"/>
      <c r="PRC29" s="289"/>
      <c r="PRD29" s="289"/>
      <c r="PRE29" s="289"/>
      <c r="PRF29" s="289"/>
      <c r="PRG29" s="289"/>
      <c r="PRH29" s="289"/>
      <c r="PRI29" s="289"/>
      <c r="PRJ29" s="289"/>
      <c r="PRK29" s="289"/>
      <c r="PRL29" s="289"/>
      <c r="PRM29" s="289"/>
      <c r="PRN29" s="289"/>
      <c r="PRO29" s="289"/>
      <c r="PRP29" s="289"/>
      <c r="PRQ29" s="289"/>
      <c r="PRR29" s="289"/>
      <c r="PRS29" s="289"/>
      <c r="PRT29" s="289"/>
      <c r="PRU29" s="289"/>
      <c r="PRV29" s="289"/>
      <c r="PRW29" s="289"/>
      <c r="PRX29" s="289"/>
      <c r="PRY29" s="289"/>
      <c r="PRZ29" s="289"/>
      <c r="PSA29" s="289"/>
      <c r="PSB29" s="289"/>
      <c r="PSC29" s="289"/>
      <c r="PSD29" s="289"/>
      <c r="PSE29" s="289"/>
      <c r="PSF29" s="289"/>
      <c r="PSG29" s="289"/>
      <c r="PSH29" s="289"/>
      <c r="PSI29" s="289"/>
      <c r="PSJ29" s="289"/>
      <c r="PSK29" s="289"/>
      <c r="PSL29" s="289"/>
      <c r="PSM29" s="289"/>
      <c r="PSN29" s="289"/>
      <c r="PSO29" s="289"/>
      <c r="PSP29" s="289"/>
      <c r="PSQ29" s="289"/>
      <c r="PSR29" s="289"/>
      <c r="PSS29" s="289"/>
      <c r="PST29" s="289"/>
      <c r="PSU29" s="289"/>
      <c r="PSV29" s="289"/>
      <c r="PSW29" s="289"/>
      <c r="PSX29" s="289"/>
      <c r="PSY29" s="289"/>
      <c r="PSZ29" s="289"/>
      <c r="PTA29" s="289"/>
      <c r="PTB29" s="289"/>
      <c r="PTC29" s="289"/>
      <c r="PTD29" s="289"/>
      <c r="PTE29" s="289"/>
      <c r="PTF29" s="289"/>
      <c r="PTG29" s="289"/>
      <c r="PTH29" s="289"/>
      <c r="PTI29" s="289"/>
      <c r="PTJ29" s="289"/>
      <c r="PTK29" s="289"/>
      <c r="PTL29" s="289"/>
      <c r="PTM29" s="289"/>
      <c r="PTN29" s="289"/>
      <c r="PTO29" s="289"/>
      <c r="PTP29" s="289"/>
      <c r="PTQ29" s="289"/>
      <c r="PTR29" s="289"/>
      <c r="PTS29" s="289"/>
      <c r="PTT29" s="289"/>
      <c r="PTU29" s="289"/>
      <c r="PTV29" s="289"/>
      <c r="PTW29" s="289"/>
      <c r="PTX29" s="289"/>
      <c r="PTY29" s="289"/>
      <c r="PTZ29" s="289"/>
      <c r="PUA29" s="289"/>
      <c r="PUB29" s="289"/>
      <c r="PUC29" s="289"/>
      <c r="PUD29" s="289"/>
      <c r="PUE29" s="289"/>
      <c r="PUF29" s="289"/>
      <c r="PUG29" s="289"/>
      <c r="PUH29" s="289"/>
      <c r="PUI29" s="289"/>
      <c r="PUJ29" s="289"/>
      <c r="PUK29" s="289"/>
      <c r="PUL29" s="289"/>
      <c r="PUM29" s="289"/>
      <c r="PUN29" s="289"/>
      <c r="PUO29" s="289"/>
      <c r="PUP29" s="289"/>
      <c r="PUQ29" s="289"/>
      <c r="PUR29" s="289"/>
      <c r="PUS29" s="289"/>
      <c r="PUT29" s="289"/>
      <c r="PUU29" s="289"/>
      <c r="PUV29" s="289"/>
      <c r="PUW29" s="289"/>
      <c r="PUX29" s="289"/>
      <c r="PUY29" s="289"/>
      <c r="PUZ29" s="289"/>
      <c r="PVA29" s="289"/>
      <c r="PVB29" s="289"/>
      <c r="PVC29" s="289"/>
      <c r="PVD29" s="289"/>
      <c r="PVE29" s="289"/>
      <c r="PVF29" s="289"/>
      <c r="PVG29" s="289"/>
      <c r="PVH29" s="289"/>
      <c r="PVI29" s="289"/>
      <c r="PVJ29" s="289"/>
      <c r="PVK29" s="289"/>
      <c r="PVL29" s="289"/>
      <c r="PVM29" s="289"/>
      <c r="PVN29" s="289"/>
      <c r="PVO29" s="289"/>
      <c r="PVP29" s="289"/>
      <c r="PVQ29" s="289"/>
      <c r="PVR29" s="289"/>
      <c r="PVS29" s="289"/>
      <c r="PVT29" s="289"/>
      <c r="PVU29" s="289"/>
      <c r="PVV29" s="289"/>
      <c r="PVW29" s="289"/>
      <c r="PVX29" s="289"/>
      <c r="PVY29" s="289"/>
      <c r="PVZ29" s="289"/>
      <c r="PWA29" s="289"/>
      <c r="PWB29" s="289"/>
      <c r="PWC29" s="289"/>
      <c r="PWD29" s="289"/>
      <c r="PWE29" s="289"/>
      <c r="PWF29" s="289"/>
      <c r="PWG29" s="289"/>
      <c r="PWH29" s="289"/>
      <c r="PWI29" s="289"/>
      <c r="PWJ29" s="289"/>
      <c r="PWK29" s="289"/>
      <c r="PWL29" s="289"/>
      <c r="PWM29" s="289"/>
      <c r="PWN29" s="289"/>
      <c r="PWO29" s="289"/>
      <c r="PWP29" s="289"/>
      <c r="PWQ29" s="289"/>
      <c r="PWR29" s="289"/>
      <c r="PWS29" s="289"/>
      <c r="PWT29" s="289"/>
      <c r="PWU29" s="289"/>
      <c r="PWV29" s="289"/>
      <c r="PWW29" s="289"/>
      <c r="PWX29" s="289"/>
      <c r="PWY29" s="289"/>
      <c r="PWZ29" s="289"/>
      <c r="PXA29" s="289"/>
      <c r="PXB29" s="289"/>
      <c r="PXC29" s="289"/>
      <c r="PXD29" s="289"/>
      <c r="PXE29" s="289"/>
      <c r="PXF29" s="289"/>
      <c r="PXG29" s="289"/>
      <c r="PXH29" s="289"/>
      <c r="PXI29" s="289"/>
      <c r="PXJ29" s="289"/>
      <c r="PXK29" s="289"/>
      <c r="PXL29" s="289"/>
      <c r="PXM29" s="289"/>
      <c r="PXN29" s="289"/>
      <c r="PXO29" s="289"/>
      <c r="PXP29" s="289"/>
      <c r="PXQ29" s="289"/>
      <c r="PXR29" s="289"/>
      <c r="PXS29" s="289"/>
      <c r="PXT29" s="289"/>
      <c r="PXU29" s="289"/>
      <c r="PXV29" s="289"/>
      <c r="PXW29" s="289"/>
      <c r="PXX29" s="289"/>
      <c r="PXY29" s="289"/>
      <c r="PXZ29" s="289"/>
      <c r="PYA29" s="289"/>
      <c r="PYB29" s="289"/>
      <c r="PYC29" s="289"/>
      <c r="PYD29" s="289"/>
      <c r="PYE29" s="289"/>
      <c r="PYF29" s="289"/>
      <c r="PYG29" s="289"/>
      <c r="PYH29" s="289"/>
      <c r="PYI29" s="289"/>
      <c r="PYJ29" s="289"/>
      <c r="PYK29" s="289"/>
      <c r="PYL29" s="289"/>
      <c r="PYM29" s="289"/>
      <c r="PYN29" s="289"/>
      <c r="PYO29" s="289"/>
      <c r="PYP29" s="289"/>
      <c r="PYQ29" s="289"/>
      <c r="PYR29" s="289"/>
      <c r="PYS29" s="289"/>
      <c r="PYT29" s="289"/>
      <c r="PYU29" s="289"/>
      <c r="PYV29" s="289"/>
      <c r="PYW29" s="289"/>
      <c r="PYX29" s="289"/>
      <c r="PYY29" s="289"/>
      <c r="PYZ29" s="289"/>
      <c r="PZA29" s="289"/>
      <c r="PZB29" s="289"/>
      <c r="PZC29" s="289"/>
      <c r="PZD29" s="289"/>
      <c r="PZE29" s="289"/>
      <c r="PZF29" s="289"/>
      <c r="PZG29" s="289"/>
      <c r="PZH29" s="289"/>
      <c r="PZI29" s="289"/>
      <c r="PZJ29" s="289"/>
      <c r="PZK29" s="289"/>
      <c r="PZL29" s="289"/>
      <c r="PZM29" s="289"/>
      <c r="PZN29" s="289"/>
      <c r="PZO29" s="289"/>
      <c r="PZP29" s="289"/>
      <c r="PZQ29" s="289"/>
      <c r="PZR29" s="289"/>
      <c r="PZS29" s="289"/>
      <c r="PZT29" s="289"/>
      <c r="PZU29" s="289"/>
      <c r="PZV29" s="289"/>
      <c r="PZW29" s="289"/>
      <c r="PZX29" s="289"/>
      <c r="PZY29" s="289"/>
      <c r="PZZ29" s="289"/>
      <c r="QAA29" s="289"/>
      <c r="QAB29" s="289"/>
      <c r="QAC29" s="289"/>
      <c r="QAD29" s="289"/>
      <c r="QAE29" s="289"/>
      <c r="QAF29" s="289"/>
      <c r="QAG29" s="289"/>
      <c r="QAH29" s="289"/>
      <c r="QAI29" s="289"/>
      <c r="QAJ29" s="289"/>
      <c r="QAK29" s="289"/>
      <c r="QAL29" s="289"/>
      <c r="QAM29" s="289"/>
      <c r="QAN29" s="289"/>
      <c r="QAO29" s="289"/>
      <c r="QAP29" s="289"/>
      <c r="QAQ29" s="289"/>
      <c r="QAR29" s="289"/>
      <c r="QAS29" s="289"/>
      <c r="QAT29" s="289"/>
      <c r="QAU29" s="289"/>
      <c r="QAV29" s="289"/>
      <c r="QAW29" s="289"/>
      <c r="QAX29" s="289"/>
      <c r="QAY29" s="289"/>
      <c r="QAZ29" s="289"/>
      <c r="QBA29" s="289"/>
      <c r="QBB29" s="289"/>
      <c r="QBC29" s="289"/>
      <c r="QBD29" s="289"/>
      <c r="QBE29" s="289"/>
      <c r="QBF29" s="289"/>
      <c r="QBG29" s="289"/>
      <c r="QBH29" s="289"/>
      <c r="QBI29" s="289"/>
      <c r="QBJ29" s="289"/>
      <c r="QBK29" s="289"/>
      <c r="QBL29" s="289"/>
      <c r="QBM29" s="289"/>
      <c r="QBN29" s="289"/>
      <c r="QBO29" s="289"/>
      <c r="QBP29" s="289"/>
      <c r="QBQ29" s="289"/>
      <c r="QBR29" s="289"/>
      <c r="QBS29" s="289"/>
      <c r="QBT29" s="289"/>
      <c r="QBU29" s="289"/>
      <c r="QBV29" s="289"/>
      <c r="QBW29" s="289"/>
      <c r="QBX29" s="289"/>
      <c r="QBY29" s="289"/>
      <c r="QBZ29" s="289"/>
      <c r="QCA29" s="289"/>
      <c r="QCB29" s="289"/>
      <c r="QCC29" s="289"/>
      <c r="QCD29" s="289"/>
      <c r="QCE29" s="289"/>
      <c r="QCF29" s="289"/>
      <c r="QCG29" s="289"/>
      <c r="QCH29" s="289"/>
      <c r="QCI29" s="289"/>
      <c r="QCJ29" s="289"/>
      <c r="QCK29" s="289"/>
      <c r="QCL29" s="289"/>
      <c r="QCM29" s="289"/>
      <c r="QCN29" s="289"/>
      <c r="QCO29" s="289"/>
      <c r="QCP29" s="289"/>
      <c r="QCQ29" s="289"/>
      <c r="QCR29" s="289"/>
      <c r="QCS29" s="289"/>
      <c r="QCT29" s="289"/>
      <c r="QCU29" s="289"/>
      <c r="QCV29" s="289"/>
      <c r="QCW29" s="289"/>
      <c r="QCX29" s="289"/>
      <c r="QCY29" s="289"/>
      <c r="QCZ29" s="289"/>
      <c r="QDA29" s="289"/>
      <c r="QDB29" s="289"/>
      <c r="QDC29" s="289"/>
      <c r="QDD29" s="289"/>
      <c r="QDE29" s="289"/>
      <c r="QDF29" s="289"/>
      <c r="QDG29" s="289"/>
      <c r="QDH29" s="289"/>
      <c r="QDI29" s="289"/>
      <c r="QDJ29" s="289"/>
      <c r="QDK29" s="289"/>
      <c r="QDL29" s="289"/>
      <c r="QDM29" s="289"/>
      <c r="QDN29" s="289"/>
      <c r="QDO29" s="289"/>
      <c r="QDP29" s="289"/>
      <c r="QDQ29" s="289"/>
      <c r="QDR29" s="289"/>
      <c r="QDS29" s="289"/>
      <c r="QDT29" s="289"/>
      <c r="QDU29" s="289"/>
      <c r="QDV29" s="289"/>
      <c r="QDW29" s="289"/>
      <c r="QDX29" s="289"/>
      <c r="QDY29" s="289"/>
      <c r="QDZ29" s="289"/>
      <c r="QEA29" s="289"/>
      <c r="QEB29" s="289"/>
      <c r="QEC29" s="289"/>
      <c r="QED29" s="289"/>
      <c r="QEE29" s="289"/>
      <c r="QEF29" s="289"/>
      <c r="QEG29" s="289"/>
      <c r="QEH29" s="289"/>
      <c r="QEI29" s="289"/>
      <c r="QEJ29" s="289"/>
      <c r="QEK29" s="289"/>
      <c r="QEL29" s="289"/>
      <c r="QEM29" s="289"/>
      <c r="QEN29" s="289"/>
      <c r="QEO29" s="289"/>
      <c r="QEP29" s="289"/>
      <c r="QEQ29" s="289"/>
      <c r="QER29" s="289"/>
      <c r="QES29" s="289"/>
      <c r="QET29" s="289"/>
      <c r="QEU29" s="289"/>
      <c r="QEV29" s="289"/>
      <c r="QEW29" s="289"/>
      <c r="QEX29" s="289"/>
      <c r="QEY29" s="289"/>
      <c r="QEZ29" s="289"/>
      <c r="QFA29" s="289"/>
      <c r="QFB29" s="289"/>
      <c r="QFC29" s="289"/>
      <c r="QFD29" s="289"/>
      <c r="QFE29" s="289"/>
      <c r="QFF29" s="289"/>
      <c r="QFG29" s="289"/>
      <c r="QFH29" s="289"/>
      <c r="QFI29" s="289"/>
      <c r="QFJ29" s="289"/>
      <c r="QFK29" s="289"/>
      <c r="QFL29" s="289"/>
      <c r="QFM29" s="289"/>
      <c r="QFN29" s="289"/>
      <c r="QFO29" s="289"/>
      <c r="QFP29" s="289"/>
      <c r="QFQ29" s="289"/>
      <c r="QFR29" s="289"/>
      <c r="QFS29" s="289"/>
      <c r="QFT29" s="289"/>
      <c r="QFU29" s="289"/>
      <c r="QFV29" s="289"/>
      <c r="QFW29" s="289"/>
      <c r="QFX29" s="289"/>
      <c r="QFY29" s="289"/>
      <c r="QFZ29" s="289"/>
      <c r="QGA29" s="289"/>
      <c r="QGB29" s="289"/>
      <c r="QGC29" s="289"/>
      <c r="QGD29" s="289"/>
      <c r="QGE29" s="289"/>
      <c r="QGF29" s="289"/>
      <c r="QGG29" s="289"/>
      <c r="QGH29" s="289"/>
      <c r="QGI29" s="289"/>
      <c r="QGJ29" s="289"/>
      <c r="QGK29" s="289"/>
      <c r="QGL29" s="289"/>
      <c r="QGM29" s="289"/>
      <c r="QGN29" s="289"/>
      <c r="QGO29" s="289"/>
      <c r="QGP29" s="289"/>
      <c r="QGQ29" s="289"/>
      <c r="QGR29" s="289"/>
      <c r="QGS29" s="289"/>
      <c r="QGT29" s="289"/>
      <c r="QGU29" s="289"/>
      <c r="QGV29" s="289"/>
      <c r="QGW29" s="289"/>
      <c r="QGX29" s="289"/>
      <c r="QGY29" s="289"/>
      <c r="QGZ29" s="289"/>
      <c r="QHA29" s="289"/>
      <c r="QHB29" s="289"/>
      <c r="QHC29" s="289"/>
      <c r="QHD29" s="289"/>
      <c r="QHE29" s="289"/>
      <c r="QHF29" s="289"/>
      <c r="QHG29" s="289"/>
      <c r="QHH29" s="289"/>
      <c r="QHI29" s="289"/>
      <c r="QHJ29" s="289"/>
      <c r="QHK29" s="289"/>
      <c r="QHL29" s="289"/>
      <c r="QHM29" s="289"/>
      <c r="QHN29" s="289"/>
      <c r="QHO29" s="289"/>
      <c r="QHP29" s="289"/>
      <c r="QHQ29" s="289"/>
      <c r="QHR29" s="289"/>
      <c r="QHS29" s="289"/>
      <c r="QHT29" s="289"/>
      <c r="QHU29" s="289"/>
      <c r="QHV29" s="289"/>
      <c r="QHW29" s="289"/>
      <c r="QHX29" s="289"/>
      <c r="QHY29" s="289"/>
      <c r="QHZ29" s="289"/>
      <c r="QIA29" s="289"/>
      <c r="QIB29" s="289"/>
      <c r="QIC29" s="289"/>
      <c r="QID29" s="289"/>
      <c r="QIE29" s="289"/>
      <c r="QIF29" s="289"/>
      <c r="QIG29" s="289"/>
      <c r="QIH29" s="289"/>
      <c r="QII29" s="289"/>
      <c r="QIJ29" s="289"/>
      <c r="QIK29" s="289"/>
      <c r="QIL29" s="289"/>
      <c r="QIM29" s="289"/>
      <c r="QIN29" s="289"/>
      <c r="QIO29" s="289"/>
      <c r="QIP29" s="289"/>
      <c r="QIQ29" s="289"/>
      <c r="QIR29" s="289"/>
      <c r="QIS29" s="289"/>
      <c r="QIT29" s="289"/>
      <c r="QIU29" s="289"/>
      <c r="QIV29" s="289"/>
      <c r="QIW29" s="289"/>
      <c r="QIX29" s="289"/>
      <c r="QIY29" s="289"/>
      <c r="QIZ29" s="289"/>
      <c r="QJA29" s="289"/>
      <c r="QJB29" s="289"/>
      <c r="QJC29" s="289"/>
      <c r="QJD29" s="289"/>
      <c r="QJE29" s="289"/>
      <c r="QJF29" s="289"/>
      <c r="QJG29" s="289"/>
      <c r="QJH29" s="289"/>
      <c r="QJI29" s="289"/>
      <c r="QJJ29" s="289"/>
      <c r="QJK29" s="289"/>
      <c r="QJL29" s="289"/>
      <c r="QJM29" s="289"/>
      <c r="QJN29" s="289"/>
      <c r="QJO29" s="289"/>
      <c r="QJP29" s="289"/>
      <c r="QJQ29" s="289"/>
      <c r="QJR29" s="289"/>
      <c r="QJS29" s="289"/>
      <c r="QJT29" s="289"/>
      <c r="QJU29" s="289"/>
      <c r="QJV29" s="289"/>
      <c r="QJW29" s="289"/>
      <c r="QJX29" s="289"/>
      <c r="QJY29" s="289"/>
      <c r="QJZ29" s="289"/>
      <c r="QKA29" s="289"/>
      <c r="QKB29" s="289"/>
      <c r="QKC29" s="289"/>
      <c r="QKD29" s="289"/>
      <c r="QKE29" s="289"/>
      <c r="QKF29" s="289"/>
      <c r="QKG29" s="289"/>
      <c r="QKH29" s="289"/>
      <c r="QKI29" s="289"/>
      <c r="QKJ29" s="289"/>
      <c r="QKK29" s="289"/>
      <c r="QKL29" s="289"/>
      <c r="QKM29" s="289"/>
      <c r="QKN29" s="289"/>
      <c r="QKO29" s="289"/>
      <c r="QKP29" s="289"/>
      <c r="QKQ29" s="289"/>
      <c r="QKR29" s="289"/>
      <c r="QKS29" s="289"/>
      <c r="QKT29" s="289"/>
      <c r="QKU29" s="289"/>
      <c r="QKV29" s="289"/>
      <c r="QKW29" s="289"/>
      <c r="QKX29" s="289"/>
      <c r="QKY29" s="289"/>
      <c r="QKZ29" s="289"/>
      <c r="QLA29" s="289"/>
      <c r="QLB29" s="289"/>
      <c r="QLC29" s="289"/>
      <c r="QLD29" s="289"/>
      <c r="QLE29" s="289"/>
      <c r="QLF29" s="289"/>
      <c r="QLG29" s="289"/>
      <c r="QLH29" s="289"/>
      <c r="QLI29" s="289"/>
      <c r="QLJ29" s="289"/>
      <c r="QLK29" s="289"/>
      <c r="QLL29" s="289"/>
      <c r="QLM29" s="289"/>
      <c r="QLN29" s="289"/>
      <c r="QLO29" s="289"/>
      <c r="QLP29" s="289"/>
      <c r="QLQ29" s="289"/>
      <c r="QLR29" s="289"/>
      <c r="QLS29" s="289"/>
      <c r="QLT29" s="289"/>
      <c r="QLU29" s="289"/>
      <c r="QLV29" s="289"/>
      <c r="QLW29" s="289"/>
      <c r="QLX29" s="289"/>
      <c r="QLY29" s="289"/>
      <c r="QLZ29" s="289"/>
      <c r="QMA29" s="289"/>
      <c r="QMB29" s="289"/>
      <c r="QMC29" s="289"/>
      <c r="QMD29" s="289"/>
      <c r="QME29" s="289"/>
      <c r="QMF29" s="289"/>
      <c r="QMG29" s="289"/>
      <c r="QMH29" s="289"/>
      <c r="QMI29" s="289"/>
      <c r="QMJ29" s="289"/>
      <c r="QMK29" s="289"/>
      <c r="QML29" s="289"/>
      <c r="QMM29" s="289"/>
      <c r="QMN29" s="289"/>
      <c r="QMO29" s="289"/>
      <c r="QMP29" s="289"/>
      <c r="QMQ29" s="289"/>
      <c r="QMR29" s="289"/>
      <c r="QMS29" s="289"/>
      <c r="QMT29" s="289"/>
      <c r="QMU29" s="289"/>
      <c r="QMV29" s="289"/>
      <c r="QMW29" s="289"/>
      <c r="QMX29" s="289"/>
      <c r="QMY29" s="289"/>
      <c r="QMZ29" s="289"/>
      <c r="QNA29" s="289"/>
      <c r="QNB29" s="289"/>
      <c r="QNC29" s="289"/>
      <c r="QND29" s="289"/>
      <c r="QNE29" s="289"/>
      <c r="QNF29" s="289"/>
      <c r="QNG29" s="289"/>
      <c r="QNH29" s="289"/>
      <c r="QNI29" s="289"/>
      <c r="QNJ29" s="289"/>
      <c r="QNK29" s="289"/>
      <c r="QNL29" s="289"/>
      <c r="QNM29" s="289"/>
      <c r="QNN29" s="289"/>
      <c r="QNO29" s="289"/>
      <c r="QNP29" s="289"/>
      <c r="QNQ29" s="289"/>
      <c r="QNR29" s="289"/>
      <c r="QNS29" s="289"/>
      <c r="QNT29" s="289"/>
      <c r="QNU29" s="289"/>
      <c r="QNV29" s="289"/>
      <c r="QNW29" s="289"/>
      <c r="QNX29" s="289"/>
      <c r="QNY29" s="289"/>
      <c r="QNZ29" s="289"/>
      <c r="QOA29" s="289"/>
      <c r="QOB29" s="289"/>
      <c r="QOC29" s="289"/>
      <c r="QOD29" s="289"/>
      <c r="QOE29" s="289"/>
      <c r="QOF29" s="289"/>
      <c r="QOG29" s="289"/>
      <c r="QOH29" s="289"/>
      <c r="QOI29" s="289"/>
      <c r="QOJ29" s="289"/>
      <c r="QOK29" s="289"/>
      <c r="QOL29" s="289"/>
      <c r="QOM29" s="289"/>
      <c r="QON29" s="289"/>
      <c r="QOO29" s="289"/>
      <c r="QOP29" s="289"/>
      <c r="QOQ29" s="289"/>
      <c r="QOR29" s="289"/>
      <c r="QOS29" s="289"/>
      <c r="QOT29" s="289"/>
      <c r="QOU29" s="289"/>
      <c r="QOV29" s="289"/>
      <c r="QOW29" s="289"/>
      <c r="QOX29" s="289"/>
      <c r="QOY29" s="289"/>
      <c r="QOZ29" s="289"/>
      <c r="QPA29" s="289"/>
      <c r="QPB29" s="289"/>
      <c r="QPC29" s="289"/>
      <c r="QPD29" s="289"/>
      <c r="QPE29" s="289"/>
      <c r="QPF29" s="289"/>
      <c r="QPG29" s="289"/>
      <c r="QPH29" s="289"/>
      <c r="QPI29" s="289"/>
      <c r="QPJ29" s="289"/>
      <c r="QPK29" s="289"/>
      <c r="QPL29" s="289"/>
      <c r="QPM29" s="289"/>
      <c r="QPN29" s="289"/>
      <c r="QPO29" s="289"/>
      <c r="QPP29" s="289"/>
      <c r="QPQ29" s="289"/>
      <c r="QPR29" s="289"/>
      <c r="QPS29" s="289"/>
      <c r="QPT29" s="289"/>
      <c r="QPU29" s="289"/>
      <c r="QPV29" s="289"/>
      <c r="QPW29" s="289"/>
      <c r="QPX29" s="289"/>
      <c r="QPY29" s="289"/>
      <c r="QPZ29" s="289"/>
      <c r="QQA29" s="289"/>
      <c r="QQB29" s="289"/>
      <c r="QQC29" s="289"/>
      <c r="QQD29" s="289"/>
      <c r="QQE29" s="289"/>
      <c r="QQF29" s="289"/>
      <c r="QQG29" s="289"/>
      <c r="QQH29" s="289"/>
      <c r="QQI29" s="289"/>
      <c r="QQJ29" s="289"/>
      <c r="QQK29" s="289"/>
      <c r="QQL29" s="289"/>
      <c r="QQM29" s="289"/>
      <c r="QQN29" s="289"/>
      <c r="QQO29" s="289"/>
      <c r="QQP29" s="289"/>
      <c r="QQQ29" s="289"/>
      <c r="QQR29" s="289"/>
      <c r="QQS29" s="289"/>
      <c r="QQT29" s="289"/>
      <c r="QQU29" s="289"/>
      <c r="QQV29" s="289"/>
      <c r="QQW29" s="289"/>
      <c r="QQX29" s="289"/>
      <c r="QQY29" s="289"/>
      <c r="QQZ29" s="289"/>
      <c r="QRA29" s="289"/>
      <c r="QRB29" s="289"/>
      <c r="QRC29" s="289"/>
      <c r="QRD29" s="289"/>
      <c r="QRE29" s="289"/>
      <c r="QRF29" s="289"/>
      <c r="QRG29" s="289"/>
      <c r="QRH29" s="289"/>
      <c r="QRI29" s="289"/>
      <c r="QRJ29" s="289"/>
      <c r="QRK29" s="289"/>
      <c r="QRL29" s="289"/>
      <c r="QRM29" s="289"/>
      <c r="QRN29" s="289"/>
      <c r="QRO29" s="289"/>
      <c r="QRP29" s="289"/>
      <c r="QRQ29" s="289"/>
      <c r="QRR29" s="289"/>
      <c r="QRS29" s="289"/>
      <c r="QRT29" s="289"/>
      <c r="QRU29" s="289"/>
      <c r="QRV29" s="289"/>
      <c r="QRW29" s="289"/>
      <c r="QRX29" s="289"/>
      <c r="QRY29" s="289"/>
      <c r="QRZ29" s="289"/>
      <c r="QSA29" s="289"/>
      <c r="QSB29" s="289"/>
      <c r="QSC29" s="289"/>
      <c r="QSD29" s="289"/>
      <c r="QSE29" s="289"/>
      <c r="QSF29" s="289"/>
      <c r="QSG29" s="289"/>
      <c r="QSH29" s="289"/>
      <c r="QSI29" s="289"/>
      <c r="QSJ29" s="289"/>
      <c r="QSK29" s="289"/>
      <c r="QSL29" s="289"/>
      <c r="QSM29" s="289"/>
      <c r="QSN29" s="289"/>
      <c r="QSO29" s="289"/>
      <c r="QSP29" s="289"/>
      <c r="QSQ29" s="289"/>
      <c r="QSR29" s="289"/>
      <c r="QSS29" s="289"/>
      <c r="QST29" s="289"/>
      <c r="QSU29" s="289"/>
      <c r="QSV29" s="289"/>
      <c r="QSW29" s="289"/>
      <c r="QSX29" s="289"/>
      <c r="QSY29" s="289"/>
      <c r="QSZ29" s="289"/>
      <c r="QTA29" s="289"/>
      <c r="QTB29" s="289"/>
      <c r="QTC29" s="289"/>
      <c r="QTD29" s="289"/>
      <c r="QTE29" s="289"/>
      <c r="QTF29" s="289"/>
      <c r="QTG29" s="289"/>
      <c r="QTH29" s="289"/>
      <c r="QTI29" s="289"/>
      <c r="QTJ29" s="289"/>
      <c r="QTK29" s="289"/>
      <c r="QTL29" s="289"/>
      <c r="QTM29" s="289"/>
      <c r="QTN29" s="289"/>
      <c r="QTO29" s="289"/>
      <c r="QTP29" s="289"/>
      <c r="QTQ29" s="289"/>
      <c r="QTR29" s="289"/>
      <c r="QTS29" s="289"/>
      <c r="QTT29" s="289"/>
      <c r="QTU29" s="289"/>
      <c r="QTV29" s="289"/>
      <c r="QTW29" s="289"/>
      <c r="QTX29" s="289"/>
      <c r="QTY29" s="289"/>
      <c r="QTZ29" s="289"/>
      <c r="QUA29" s="289"/>
      <c r="QUB29" s="289"/>
      <c r="QUC29" s="289"/>
      <c r="QUD29" s="289"/>
      <c r="QUE29" s="289"/>
      <c r="QUF29" s="289"/>
      <c r="QUG29" s="289"/>
      <c r="QUH29" s="289"/>
      <c r="QUI29" s="289"/>
      <c r="QUJ29" s="289"/>
      <c r="QUK29" s="289"/>
      <c r="QUL29" s="289"/>
      <c r="QUM29" s="289"/>
      <c r="QUN29" s="289"/>
      <c r="QUO29" s="289"/>
      <c r="QUP29" s="289"/>
      <c r="QUQ29" s="289"/>
      <c r="QUR29" s="289"/>
      <c r="QUS29" s="289"/>
      <c r="QUT29" s="289"/>
      <c r="QUU29" s="289"/>
      <c r="QUV29" s="289"/>
      <c r="QUW29" s="289"/>
      <c r="QUX29" s="289"/>
      <c r="QUY29" s="289"/>
      <c r="QUZ29" s="289"/>
      <c r="QVA29" s="289"/>
      <c r="QVB29" s="289"/>
      <c r="QVC29" s="289"/>
      <c r="QVD29" s="289"/>
      <c r="QVE29" s="289"/>
      <c r="QVF29" s="289"/>
      <c r="QVG29" s="289"/>
      <c r="QVH29" s="289"/>
      <c r="QVI29" s="289"/>
      <c r="QVJ29" s="289"/>
      <c r="QVK29" s="289"/>
      <c r="QVL29" s="289"/>
      <c r="QVM29" s="289"/>
      <c r="QVN29" s="289"/>
      <c r="QVO29" s="289"/>
      <c r="QVP29" s="289"/>
      <c r="QVQ29" s="289"/>
      <c r="QVR29" s="289"/>
      <c r="QVS29" s="289"/>
      <c r="QVT29" s="289"/>
      <c r="QVU29" s="289"/>
      <c r="QVV29" s="289"/>
      <c r="QVW29" s="289"/>
      <c r="QVX29" s="289"/>
      <c r="QVY29" s="289"/>
      <c r="QVZ29" s="289"/>
      <c r="QWA29" s="289"/>
      <c r="QWB29" s="289"/>
      <c r="QWC29" s="289"/>
      <c r="QWD29" s="289"/>
      <c r="QWE29" s="289"/>
      <c r="QWF29" s="289"/>
      <c r="QWG29" s="289"/>
      <c r="QWH29" s="289"/>
      <c r="QWI29" s="289"/>
      <c r="QWJ29" s="289"/>
      <c r="QWK29" s="289"/>
      <c r="QWL29" s="289"/>
      <c r="QWM29" s="289"/>
      <c r="QWN29" s="289"/>
      <c r="QWO29" s="289"/>
      <c r="QWP29" s="289"/>
      <c r="QWQ29" s="289"/>
      <c r="QWR29" s="289"/>
      <c r="QWS29" s="289"/>
      <c r="QWT29" s="289"/>
      <c r="QWU29" s="289"/>
      <c r="QWV29" s="289"/>
      <c r="QWW29" s="289"/>
      <c r="QWX29" s="289"/>
      <c r="QWY29" s="289"/>
      <c r="QWZ29" s="289"/>
      <c r="QXA29" s="289"/>
      <c r="QXB29" s="289"/>
      <c r="QXC29" s="289"/>
      <c r="QXD29" s="289"/>
      <c r="QXE29" s="289"/>
      <c r="QXF29" s="289"/>
      <c r="QXG29" s="289"/>
      <c r="QXH29" s="289"/>
      <c r="QXI29" s="289"/>
      <c r="QXJ29" s="289"/>
      <c r="QXK29" s="289"/>
      <c r="QXL29" s="289"/>
      <c r="QXM29" s="289"/>
      <c r="QXN29" s="289"/>
      <c r="QXO29" s="289"/>
      <c r="QXP29" s="289"/>
      <c r="QXQ29" s="289"/>
      <c r="QXR29" s="289"/>
      <c r="QXS29" s="289"/>
      <c r="QXT29" s="289"/>
      <c r="QXU29" s="289"/>
      <c r="QXV29" s="289"/>
      <c r="QXW29" s="289"/>
      <c r="QXX29" s="289"/>
      <c r="QXY29" s="289"/>
      <c r="QXZ29" s="289"/>
      <c r="QYA29" s="289"/>
      <c r="QYB29" s="289"/>
      <c r="QYC29" s="289"/>
      <c r="QYD29" s="289"/>
      <c r="QYE29" s="289"/>
      <c r="QYF29" s="289"/>
      <c r="QYG29" s="289"/>
      <c r="QYH29" s="289"/>
      <c r="QYI29" s="289"/>
      <c r="QYJ29" s="289"/>
      <c r="QYK29" s="289"/>
      <c r="QYL29" s="289"/>
      <c r="QYM29" s="289"/>
      <c r="QYN29" s="289"/>
      <c r="QYO29" s="289"/>
      <c r="QYP29" s="289"/>
      <c r="QYQ29" s="289"/>
      <c r="QYR29" s="289"/>
      <c r="QYS29" s="289"/>
      <c r="QYT29" s="289"/>
      <c r="QYU29" s="289"/>
      <c r="QYV29" s="289"/>
      <c r="QYW29" s="289"/>
      <c r="QYX29" s="289"/>
      <c r="QYY29" s="289"/>
      <c r="QYZ29" s="289"/>
      <c r="QZA29" s="289"/>
      <c r="QZB29" s="289"/>
      <c r="QZC29" s="289"/>
      <c r="QZD29" s="289"/>
      <c r="QZE29" s="289"/>
      <c r="QZF29" s="289"/>
      <c r="QZG29" s="289"/>
      <c r="QZH29" s="289"/>
      <c r="QZI29" s="289"/>
      <c r="QZJ29" s="289"/>
      <c r="QZK29" s="289"/>
      <c r="QZL29" s="289"/>
      <c r="QZM29" s="289"/>
      <c r="QZN29" s="289"/>
      <c r="QZO29" s="289"/>
      <c r="QZP29" s="289"/>
      <c r="QZQ29" s="289"/>
      <c r="QZR29" s="289"/>
      <c r="QZS29" s="289"/>
      <c r="QZT29" s="289"/>
      <c r="QZU29" s="289"/>
      <c r="QZV29" s="289"/>
      <c r="QZW29" s="289"/>
      <c r="QZX29" s="289"/>
      <c r="QZY29" s="289"/>
      <c r="QZZ29" s="289"/>
      <c r="RAA29" s="289"/>
      <c r="RAB29" s="289"/>
      <c r="RAC29" s="289"/>
      <c r="RAD29" s="289"/>
      <c r="RAE29" s="289"/>
      <c r="RAF29" s="289"/>
      <c r="RAG29" s="289"/>
      <c r="RAH29" s="289"/>
      <c r="RAI29" s="289"/>
      <c r="RAJ29" s="289"/>
      <c r="RAK29" s="289"/>
      <c r="RAL29" s="289"/>
      <c r="RAM29" s="289"/>
      <c r="RAN29" s="289"/>
      <c r="RAO29" s="289"/>
      <c r="RAP29" s="289"/>
      <c r="RAQ29" s="289"/>
      <c r="RAR29" s="289"/>
      <c r="RAS29" s="289"/>
      <c r="RAT29" s="289"/>
      <c r="RAU29" s="289"/>
      <c r="RAV29" s="289"/>
      <c r="RAW29" s="289"/>
      <c r="RAX29" s="289"/>
      <c r="RAY29" s="289"/>
      <c r="RAZ29" s="289"/>
      <c r="RBA29" s="289"/>
      <c r="RBB29" s="289"/>
      <c r="RBC29" s="289"/>
      <c r="RBD29" s="289"/>
      <c r="RBE29" s="289"/>
      <c r="RBF29" s="289"/>
      <c r="RBG29" s="289"/>
      <c r="RBH29" s="289"/>
      <c r="RBI29" s="289"/>
      <c r="RBJ29" s="289"/>
      <c r="RBK29" s="289"/>
      <c r="RBL29" s="289"/>
      <c r="RBM29" s="289"/>
      <c r="RBN29" s="289"/>
      <c r="RBO29" s="289"/>
      <c r="RBP29" s="289"/>
      <c r="RBQ29" s="289"/>
      <c r="RBR29" s="289"/>
      <c r="RBS29" s="289"/>
      <c r="RBT29" s="289"/>
      <c r="RBU29" s="289"/>
      <c r="RBV29" s="289"/>
      <c r="RBW29" s="289"/>
      <c r="RBX29" s="289"/>
      <c r="RBY29" s="289"/>
      <c r="RBZ29" s="289"/>
      <c r="RCA29" s="289"/>
      <c r="RCB29" s="289"/>
      <c r="RCC29" s="289"/>
      <c r="RCD29" s="289"/>
      <c r="RCE29" s="289"/>
      <c r="RCF29" s="289"/>
      <c r="RCG29" s="289"/>
      <c r="RCH29" s="289"/>
      <c r="RCI29" s="289"/>
      <c r="RCJ29" s="289"/>
      <c r="RCK29" s="289"/>
      <c r="RCL29" s="289"/>
      <c r="RCM29" s="289"/>
      <c r="RCN29" s="289"/>
      <c r="RCO29" s="289"/>
      <c r="RCP29" s="289"/>
      <c r="RCQ29" s="289"/>
      <c r="RCR29" s="289"/>
      <c r="RCS29" s="289"/>
      <c r="RCT29" s="289"/>
      <c r="RCU29" s="289"/>
      <c r="RCV29" s="289"/>
      <c r="RCW29" s="289"/>
      <c r="RCX29" s="289"/>
      <c r="RCY29" s="289"/>
      <c r="RCZ29" s="289"/>
      <c r="RDA29" s="289"/>
      <c r="RDB29" s="289"/>
      <c r="RDC29" s="289"/>
      <c r="RDD29" s="289"/>
      <c r="RDE29" s="289"/>
      <c r="RDF29" s="289"/>
      <c r="RDG29" s="289"/>
      <c r="RDH29" s="289"/>
      <c r="RDI29" s="289"/>
      <c r="RDJ29" s="289"/>
      <c r="RDK29" s="289"/>
      <c r="RDL29" s="289"/>
      <c r="RDM29" s="289"/>
      <c r="RDN29" s="289"/>
      <c r="RDO29" s="289"/>
      <c r="RDP29" s="289"/>
      <c r="RDQ29" s="289"/>
      <c r="RDR29" s="289"/>
      <c r="RDS29" s="289"/>
      <c r="RDT29" s="289"/>
      <c r="RDU29" s="289"/>
      <c r="RDV29" s="289"/>
      <c r="RDW29" s="289"/>
      <c r="RDX29" s="289"/>
      <c r="RDY29" s="289"/>
      <c r="RDZ29" s="289"/>
      <c r="REA29" s="289"/>
      <c r="REB29" s="289"/>
      <c r="REC29" s="289"/>
      <c r="RED29" s="289"/>
      <c r="REE29" s="289"/>
      <c r="REF29" s="289"/>
      <c r="REG29" s="289"/>
      <c r="REH29" s="289"/>
      <c r="REI29" s="289"/>
      <c r="REJ29" s="289"/>
      <c r="REK29" s="289"/>
      <c r="REL29" s="289"/>
      <c r="REM29" s="289"/>
      <c r="REN29" s="289"/>
      <c r="REO29" s="289"/>
      <c r="REP29" s="289"/>
      <c r="REQ29" s="289"/>
      <c r="RER29" s="289"/>
      <c r="RES29" s="289"/>
      <c r="RET29" s="289"/>
      <c r="REU29" s="289"/>
      <c r="REV29" s="289"/>
      <c r="REW29" s="289"/>
      <c r="REX29" s="289"/>
      <c r="REY29" s="289"/>
      <c r="REZ29" s="289"/>
      <c r="RFA29" s="289"/>
      <c r="RFB29" s="289"/>
      <c r="RFC29" s="289"/>
      <c r="RFD29" s="289"/>
      <c r="RFE29" s="289"/>
      <c r="RFF29" s="289"/>
      <c r="RFG29" s="289"/>
      <c r="RFH29" s="289"/>
      <c r="RFI29" s="289"/>
      <c r="RFJ29" s="289"/>
      <c r="RFK29" s="289"/>
      <c r="RFL29" s="289"/>
      <c r="RFM29" s="289"/>
      <c r="RFN29" s="289"/>
      <c r="RFO29" s="289"/>
      <c r="RFP29" s="289"/>
      <c r="RFQ29" s="289"/>
      <c r="RFR29" s="289"/>
      <c r="RFS29" s="289"/>
      <c r="RFT29" s="289"/>
      <c r="RFU29" s="289"/>
      <c r="RFV29" s="289"/>
      <c r="RFW29" s="289"/>
      <c r="RFX29" s="289"/>
      <c r="RFY29" s="289"/>
      <c r="RFZ29" s="289"/>
      <c r="RGA29" s="289"/>
      <c r="RGB29" s="289"/>
      <c r="RGC29" s="289"/>
      <c r="RGD29" s="289"/>
      <c r="RGE29" s="289"/>
      <c r="RGF29" s="289"/>
      <c r="RGG29" s="289"/>
      <c r="RGH29" s="289"/>
      <c r="RGI29" s="289"/>
      <c r="RGJ29" s="289"/>
      <c r="RGK29" s="289"/>
      <c r="RGL29" s="289"/>
      <c r="RGM29" s="289"/>
      <c r="RGN29" s="289"/>
      <c r="RGO29" s="289"/>
      <c r="RGP29" s="289"/>
      <c r="RGQ29" s="289"/>
      <c r="RGR29" s="289"/>
      <c r="RGS29" s="289"/>
      <c r="RGT29" s="289"/>
      <c r="RGU29" s="289"/>
      <c r="RGV29" s="289"/>
      <c r="RGW29" s="289"/>
      <c r="RGX29" s="289"/>
      <c r="RGY29" s="289"/>
      <c r="RGZ29" s="289"/>
      <c r="RHA29" s="289"/>
      <c r="RHB29" s="289"/>
      <c r="RHC29" s="289"/>
      <c r="RHD29" s="289"/>
      <c r="RHE29" s="289"/>
      <c r="RHF29" s="289"/>
      <c r="RHG29" s="289"/>
      <c r="RHH29" s="289"/>
      <c r="RHI29" s="289"/>
      <c r="RHJ29" s="289"/>
      <c r="RHK29" s="289"/>
      <c r="RHL29" s="289"/>
      <c r="RHM29" s="289"/>
      <c r="RHN29" s="289"/>
      <c r="RHO29" s="289"/>
      <c r="RHP29" s="289"/>
      <c r="RHQ29" s="289"/>
      <c r="RHR29" s="289"/>
      <c r="RHS29" s="289"/>
      <c r="RHT29" s="289"/>
      <c r="RHU29" s="289"/>
      <c r="RHV29" s="289"/>
      <c r="RHW29" s="289"/>
      <c r="RHX29" s="289"/>
      <c r="RHY29" s="289"/>
      <c r="RHZ29" s="289"/>
      <c r="RIA29" s="289"/>
      <c r="RIB29" s="289"/>
      <c r="RIC29" s="289"/>
      <c r="RID29" s="289"/>
      <c r="RIE29" s="289"/>
      <c r="RIF29" s="289"/>
      <c r="RIG29" s="289"/>
      <c r="RIH29" s="289"/>
      <c r="RII29" s="289"/>
      <c r="RIJ29" s="289"/>
      <c r="RIK29" s="289"/>
      <c r="RIL29" s="289"/>
      <c r="RIM29" s="289"/>
      <c r="RIN29" s="289"/>
      <c r="RIO29" s="289"/>
      <c r="RIP29" s="289"/>
      <c r="RIQ29" s="289"/>
      <c r="RIR29" s="289"/>
      <c r="RIS29" s="289"/>
      <c r="RIT29" s="289"/>
      <c r="RIU29" s="289"/>
      <c r="RIV29" s="289"/>
      <c r="RIW29" s="289"/>
      <c r="RIX29" s="289"/>
      <c r="RIY29" s="289"/>
      <c r="RIZ29" s="289"/>
      <c r="RJA29" s="289"/>
      <c r="RJB29" s="289"/>
      <c r="RJC29" s="289"/>
      <c r="RJD29" s="289"/>
      <c r="RJE29" s="289"/>
      <c r="RJF29" s="289"/>
      <c r="RJG29" s="289"/>
      <c r="RJH29" s="289"/>
      <c r="RJI29" s="289"/>
      <c r="RJJ29" s="289"/>
      <c r="RJK29" s="289"/>
      <c r="RJL29" s="289"/>
      <c r="RJM29" s="289"/>
      <c r="RJN29" s="289"/>
      <c r="RJO29" s="289"/>
      <c r="RJP29" s="289"/>
      <c r="RJQ29" s="289"/>
      <c r="RJR29" s="289"/>
      <c r="RJS29" s="289"/>
      <c r="RJT29" s="289"/>
      <c r="RJU29" s="289"/>
      <c r="RJV29" s="289"/>
      <c r="RJW29" s="289"/>
      <c r="RJX29" s="289"/>
      <c r="RJY29" s="289"/>
      <c r="RJZ29" s="289"/>
      <c r="RKA29" s="289"/>
      <c r="RKB29" s="289"/>
      <c r="RKC29" s="289"/>
      <c r="RKD29" s="289"/>
      <c r="RKE29" s="289"/>
      <c r="RKF29" s="289"/>
      <c r="RKG29" s="289"/>
      <c r="RKH29" s="289"/>
      <c r="RKI29" s="289"/>
      <c r="RKJ29" s="289"/>
      <c r="RKK29" s="289"/>
      <c r="RKL29" s="289"/>
      <c r="RKM29" s="289"/>
      <c r="RKN29" s="289"/>
      <c r="RKO29" s="289"/>
      <c r="RKP29" s="289"/>
      <c r="RKQ29" s="289"/>
      <c r="RKR29" s="289"/>
      <c r="RKS29" s="289"/>
      <c r="RKT29" s="289"/>
      <c r="RKU29" s="289"/>
      <c r="RKV29" s="289"/>
      <c r="RKW29" s="289"/>
      <c r="RKX29" s="289"/>
      <c r="RKY29" s="289"/>
      <c r="RKZ29" s="289"/>
      <c r="RLA29" s="289"/>
      <c r="RLB29" s="289"/>
      <c r="RLC29" s="289"/>
      <c r="RLD29" s="289"/>
      <c r="RLE29" s="289"/>
      <c r="RLF29" s="289"/>
      <c r="RLG29" s="289"/>
      <c r="RLH29" s="289"/>
      <c r="RLI29" s="289"/>
      <c r="RLJ29" s="289"/>
      <c r="RLK29" s="289"/>
      <c r="RLL29" s="289"/>
      <c r="RLM29" s="289"/>
      <c r="RLN29" s="289"/>
      <c r="RLO29" s="289"/>
      <c r="RLP29" s="289"/>
      <c r="RLQ29" s="289"/>
      <c r="RLR29" s="289"/>
      <c r="RLS29" s="289"/>
      <c r="RLT29" s="289"/>
      <c r="RLU29" s="289"/>
      <c r="RLV29" s="289"/>
      <c r="RLW29" s="289"/>
      <c r="RLX29" s="289"/>
      <c r="RLY29" s="289"/>
      <c r="RLZ29" s="289"/>
      <c r="RMA29" s="289"/>
      <c r="RMB29" s="289"/>
      <c r="RMC29" s="289"/>
      <c r="RMD29" s="289"/>
      <c r="RME29" s="289"/>
      <c r="RMF29" s="289"/>
      <c r="RMG29" s="289"/>
      <c r="RMH29" s="289"/>
      <c r="RMI29" s="289"/>
      <c r="RMJ29" s="289"/>
      <c r="RMK29" s="289"/>
      <c r="RML29" s="289"/>
      <c r="RMM29" s="289"/>
      <c r="RMN29" s="289"/>
      <c r="RMO29" s="289"/>
      <c r="RMP29" s="289"/>
      <c r="RMQ29" s="289"/>
      <c r="RMR29" s="289"/>
      <c r="RMS29" s="289"/>
      <c r="RMT29" s="289"/>
      <c r="RMU29" s="289"/>
      <c r="RMV29" s="289"/>
      <c r="RMW29" s="289"/>
      <c r="RMX29" s="289"/>
      <c r="RMY29" s="289"/>
      <c r="RMZ29" s="289"/>
      <c r="RNA29" s="289"/>
      <c r="RNB29" s="289"/>
      <c r="RNC29" s="289"/>
      <c r="RND29" s="289"/>
      <c r="RNE29" s="289"/>
      <c r="RNF29" s="289"/>
      <c r="RNG29" s="289"/>
      <c r="RNH29" s="289"/>
      <c r="RNI29" s="289"/>
      <c r="RNJ29" s="289"/>
      <c r="RNK29" s="289"/>
      <c r="RNL29" s="289"/>
      <c r="RNM29" s="289"/>
      <c r="RNN29" s="289"/>
      <c r="RNO29" s="289"/>
      <c r="RNP29" s="289"/>
      <c r="RNQ29" s="289"/>
      <c r="RNR29" s="289"/>
      <c r="RNS29" s="289"/>
      <c r="RNT29" s="289"/>
      <c r="RNU29" s="289"/>
      <c r="RNV29" s="289"/>
      <c r="RNW29" s="289"/>
      <c r="RNX29" s="289"/>
      <c r="RNY29" s="289"/>
      <c r="RNZ29" s="289"/>
      <c r="ROA29" s="289"/>
      <c r="ROB29" s="289"/>
      <c r="ROC29" s="289"/>
      <c r="ROD29" s="289"/>
      <c r="ROE29" s="289"/>
      <c r="ROF29" s="289"/>
      <c r="ROG29" s="289"/>
      <c r="ROH29" s="289"/>
      <c r="ROI29" s="289"/>
      <c r="ROJ29" s="289"/>
      <c r="ROK29" s="289"/>
      <c r="ROL29" s="289"/>
      <c r="ROM29" s="289"/>
      <c r="RON29" s="289"/>
      <c r="ROO29" s="289"/>
      <c r="ROP29" s="289"/>
      <c r="ROQ29" s="289"/>
      <c r="ROR29" s="289"/>
      <c r="ROS29" s="289"/>
      <c r="ROT29" s="289"/>
      <c r="ROU29" s="289"/>
      <c r="ROV29" s="289"/>
      <c r="ROW29" s="289"/>
      <c r="ROX29" s="289"/>
      <c r="ROY29" s="289"/>
      <c r="ROZ29" s="289"/>
      <c r="RPA29" s="289"/>
      <c r="RPB29" s="289"/>
      <c r="RPC29" s="289"/>
      <c r="RPD29" s="289"/>
      <c r="RPE29" s="289"/>
      <c r="RPF29" s="289"/>
      <c r="RPG29" s="289"/>
      <c r="RPH29" s="289"/>
      <c r="RPI29" s="289"/>
      <c r="RPJ29" s="289"/>
      <c r="RPK29" s="289"/>
      <c r="RPL29" s="289"/>
      <c r="RPM29" s="289"/>
      <c r="RPN29" s="289"/>
      <c r="RPO29" s="289"/>
      <c r="RPP29" s="289"/>
      <c r="RPQ29" s="289"/>
      <c r="RPR29" s="289"/>
      <c r="RPS29" s="289"/>
      <c r="RPT29" s="289"/>
      <c r="RPU29" s="289"/>
      <c r="RPV29" s="289"/>
      <c r="RPW29" s="289"/>
      <c r="RPX29" s="289"/>
      <c r="RPY29" s="289"/>
      <c r="RPZ29" s="289"/>
      <c r="RQA29" s="289"/>
      <c r="RQB29" s="289"/>
      <c r="RQC29" s="289"/>
      <c r="RQD29" s="289"/>
      <c r="RQE29" s="289"/>
      <c r="RQF29" s="289"/>
      <c r="RQG29" s="289"/>
      <c r="RQH29" s="289"/>
      <c r="RQI29" s="289"/>
      <c r="RQJ29" s="289"/>
      <c r="RQK29" s="289"/>
      <c r="RQL29" s="289"/>
      <c r="RQM29" s="289"/>
      <c r="RQN29" s="289"/>
      <c r="RQO29" s="289"/>
      <c r="RQP29" s="289"/>
      <c r="RQQ29" s="289"/>
      <c r="RQR29" s="289"/>
      <c r="RQS29" s="289"/>
      <c r="RQT29" s="289"/>
      <c r="RQU29" s="289"/>
      <c r="RQV29" s="289"/>
      <c r="RQW29" s="289"/>
      <c r="RQX29" s="289"/>
      <c r="RQY29" s="289"/>
      <c r="RQZ29" s="289"/>
      <c r="RRA29" s="289"/>
      <c r="RRB29" s="289"/>
      <c r="RRC29" s="289"/>
      <c r="RRD29" s="289"/>
      <c r="RRE29" s="289"/>
      <c r="RRF29" s="289"/>
      <c r="RRG29" s="289"/>
      <c r="RRH29" s="289"/>
      <c r="RRI29" s="289"/>
      <c r="RRJ29" s="289"/>
      <c r="RRK29" s="289"/>
      <c r="RRL29" s="289"/>
      <c r="RRM29" s="289"/>
      <c r="RRN29" s="289"/>
      <c r="RRO29" s="289"/>
      <c r="RRP29" s="289"/>
      <c r="RRQ29" s="289"/>
      <c r="RRR29" s="289"/>
      <c r="RRS29" s="289"/>
      <c r="RRT29" s="289"/>
      <c r="RRU29" s="289"/>
      <c r="RRV29" s="289"/>
      <c r="RRW29" s="289"/>
      <c r="RRX29" s="289"/>
      <c r="RRY29" s="289"/>
      <c r="RRZ29" s="289"/>
      <c r="RSA29" s="289"/>
      <c r="RSB29" s="289"/>
      <c r="RSC29" s="289"/>
      <c r="RSD29" s="289"/>
      <c r="RSE29" s="289"/>
      <c r="RSF29" s="289"/>
      <c r="RSG29" s="289"/>
      <c r="RSH29" s="289"/>
      <c r="RSI29" s="289"/>
      <c r="RSJ29" s="289"/>
      <c r="RSK29" s="289"/>
      <c r="RSL29" s="289"/>
      <c r="RSM29" s="289"/>
      <c r="RSN29" s="289"/>
      <c r="RSO29" s="289"/>
      <c r="RSP29" s="289"/>
      <c r="RSQ29" s="289"/>
      <c r="RSR29" s="289"/>
      <c r="RSS29" s="289"/>
      <c r="RST29" s="289"/>
      <c r="RSU29" s="289"/>
      <c r="RSV29" s="289"/>
      <c r="RSW29" s="289"/>
      <c r="RSX29" s="289"/>
      <c r="RSY29" s="289"/>
      <c r="RSZ29" s="289"/>
      <c r="RTA29" s="289"/>
      <c r="RTB29" s="289"/>
      <c r="RTC29" s="289"/>
      <c r="RTD29" s="289"/>
      <c r="RTE29" s="289"/>
      <c r="RTF29" s="289"/>
      <c r="RTG29" s="289"/>
      <c r="RTH29" s="289"/>
      <c r="RTI29" s="289"/>
      <c r="RTJ29" s="289"/>
      <c r="RTK29" s="289"/>
      <c r="RTL29" s="289"/>
      <c r="RTM29" s="289"/>
      <c r="RTN29" s="289"/>
      <c r="RTO29" s="289"/>
      <c r="RTP29" s="289"/>
      <c r="RTQ29" s="289"/>
      <c r="RTR29" s="289"/>
      <c r="RTS29" s="289"/>
      <c r="RTT29" s="289"/>
      <c r="RTU29" s="289"/>
      <c r="RTV29" s="289"/>
      <c r="RTW29" s="289"/>
      <c r="RTX29" s="289"/>
      <c r="RTY29" s="289"/>
      <c r="RTZ29" s="289"/>
      <c r="RUA29" s="289"/>
      <c r="RUB29" s="289"/>
      <c r="RUC29" s="289"/>
      <c r="RUD29" s="289"/>
      <c r="RUE29" s="289"/>
      <c r="RUF29" s="289"/>
      <c r="RUG29" s="289"/>
      <c r="RUH29" s="289"/>
      <c r="RUI29" s="289"/>
      <c r="RUJ29" s="289"/>
      <c r="RUK29" s="289"/>
      <c r="RUL29" s="289"/>
      <c r="RUM29" s="289"/>
      <c r="RUN29" s="289"/>
      <c r="RUO29" s="289"/>
      <c r="RUP29" s="289"/>
      <c r="RUQ29" s="289"/>
      <c r="RUR29" s="289"/>
      <c r="RUS29" s="289"/>
      <c r="RUT29" s="289"/>
      <c r="RUU29" s="289"/>
      <c r="RUV29" s="289"/>
      <c r="RUW29" s="289"/>
      <c r="RUX29" s="289"/>
      <c r="RUY29" s="289"/>
      <c r="RUZ29" s="289"/>
      <c r="RVA29" s="289"/>
      <c r="RVB29" s="289"/>
      <c r="RVC29" s="289"/>
      <c r="RVD29" s="289"/>
      <c r="RVE29" s="289"/>
      <c r="RVF29" s="289"/>
      <c r="RVG29" s="289"/>
      <c r="RVH29" s="289"/>
      <c r="RVI29" s="289"/>
      <c r="RVJ29" s="289"/>
      <c r="RVK29" s="289"/>
      <c r="RVL29" s="289"/>
      <c r="RVM29" s="289"/>
      <c r="RVN29" s="289"/>
      <c r="RVO29" s="289"/>
      <c r="RVP29" s="289"/>
      <c r="RVQ29" s="289"/>
      <c r="RVR29" s="289"/>
      <c r="RVS29" s="289"/>
      <c r="RVT29" s="289"/>
      <c r="RVU29" s="289"/>
      <c r="RVV29" s="289"/>
      <c r="RVW29" s="289"/>
      <c r="RVX29" s="289"/>
      <c r="RVY29" s="289"/>
      <c r="RVZ29" s="289"/>
      <c r="RWA29" s="289"/>
      <c r="RWB29" s="289"/>
      <c r="RWC29" s="289"/>
      <c r="RWD29" s="289"/>
      <c r="RWE29" s="289"/>
      <c r="RWF29" s="289"/>
      <c r="RWG29" s="289"/>
      <c r="RWH29" s="289"/>
      <c r="RWI29" s="289"/>
      <c r="RWJ29" s="289"/>
      <c r="RWK29" s="289"/>
      <c r="RWL29" s="289"/>
      <c r="RWM29" s="289"/>
      <c r="RWN29" s="289"/>
      <c r="RWO29" s="289"/>
      <c r="RWP29" s="289"/>
      <c r="RWQ29" s="289"/>
      <c r="RWR29" s="289"/>
      <c r="RWS29" s="289"/>
      <c r="RWT29" s="289"/>
      <c r="RWU29" s="289"/>
      <c r="RWV29" s="289"/>
      <c r="RWW29" s="289"/>
      <c r="RWX29" s="289"/>
      <c r="RWY29" s="289"/>
      <c r="RWZ29" s="289"/>
      <c r="RXA29" s="289"/>
      <c r="RXB29" s="289"/>
      <c r="RXC29" s="289"/>
      <c r="RXD29" s="289"/>
      <c r="RXE29" s="289"/>
      <c r="RXF29" s="289"/>
      <c r="RXG29" s="289"/>
      <c r="RXH29" s="289"/>
      <c r="RXI29" s="289"/>
      <c r="RXJ29" s="289"/>
      <c r="RXK29" s="289"/>
      <c r="RXL29" s="289"/>
      <c r="RXM29" s="289"/>
      <c r="RXN29" s="289"/>
      <c r="RXO29" s="289"/>
      <c r="RXP29" s="289"/>
      <c r="RXQ29" s="289"/>
      <c r="RXR29" s="289"/>
      <c r="RXS29" s="289"/>
      <c r="RXT29" s="289"/>
      <c r="RXU29" s="289"/>
      <c r="RXV29" s="289"/>
      <c r="RXW29" s="289"/>
      <c r="RXX29" s="289"/>
      <c r="RXY29" s="289"/>
      <c r="RXZ29" s="289"/>
      <c r="RYA29" s="289"/>
      <c r="RYB29" s="289"/>
      <c r="RYC29" s="289"/>
      <c r="RYD29" s="289"/>
      <c r="RYE29" s="289"/>
      <c r="RYF29" s="289"/>
      <c r="RYG29" s="289"/>
      <c r="RYH29" s="289"/>
      <c r="RYI29" s="289"/>
      <c r="RYJ29" s="289"/>
      <c r="RYK29" s="289"/>
      <c r="RYL29" s="289"/>
      <c r="RYM29" s="289"/>
      <c r="RYN29" s="289"/>
      <c r="RYO29" s="289"/>
      <c r="RYP29" s="289"/>
      <c r="RYQ29" s="289"/>
      <c r="RYR29" s="289"/>
      <c r="RYS29" s="289"/>
      <c r="RYT29" s="289"/>
      <c r="RYU29" s="289"/>
      <c r="RYV29" s="289"/>
      <c r="RYW29" s="289"/>
      <c r="RYX29" s="289"/>
      <c r="RYY29" s="289"/>
      <c r="RYZ29" s="289"/>
      <c r="RZA29" s="289"/>
      <c r="RZB29" s="289"/>
      <c r="RZC29" s="289"/>
      <c r="RZD29" s="289"/>
      <c r="RZE29" s="289"/>
      <c r="RZF29" s="289"/>
      <c r="RZG29" s="289"/>
      <c r="RZH29" s="289"/>
      <c r="RZI29" s="289"/>
      <c r="RZJ29" s="289"/>
      <c r="RZK29" s="289"/>
      <c r="RZL29" s="289"/>
      <c r="RZM29" s="289"/>
      <c r="RZN29" s="289"/>
      <c r="RZO29" s="289"/>
      <c r="RZP29" s="289"/>
      <c r="RZQ29" s="289"/>
      <c r="RZR29" s="289"/>
      <c r="RZS29" s="289"/>
      <c r="RZT29" s="289"/>
      <c r="RZU29" s="289"/>
      <c r="RZV29" s="289"/>
      <c r="RZW29" s="289"/>
      <c r="RZX29" s="289"/>
      <c r="RZY29" s="289"/>
      <c r="RZZ29" s="289"/>
      <c r="SAA29" s="289"/>
      <c r="SAB29" s="289"/>
      <c r="SAC29" s="289"/>
      <c r="SAD29" s="289"/>
      <c r="SAE29" s="289"/>
      <c r="SAF29" s="289"/>
      <c r="SAG29" s="289"/>
      <c r="SAH29" s="289"/>
      <c r="SAI29" s="289"/>
      <c r="SAJ29" s="289"/>
      <c r="SAK29" s="289"/>
      <c r="SAL29" s="289"/>
      <c r="SAM29" s="289"/>
      <c r="SAN29" s="289"/>
      <c r="SAO29" s="289"/>
      <c r="SAP29" s="289"/>
      <c r="SAQ29" s="289"/>
      <c r="SAR29" s="289"/>
      <c r="SAS29" s="289"/>
      <c r="SAT29" s="289"/>
      <c r="SAU29" s="289"/>
      <c r="SAV29" s="289"/>
      <c r="SAW29" s="289"/>
      <c r="SAX29" s="289"/>
      <c r="SAY29" s="289"/>
      <c r="SAZ29" s="289"/>
      <c r="SBA29" s="289"/>
      <c r="SBB29" s="289"/>
      <c r="SBC29" s="289"/>
      <c r="SBD29" s="289"/>
      <c r="SBE29" s="289"/>
      <c r="SBF29" s="289"/>
      <c r="SBG29" s="289"/>
      <c r="SBH29" s="289"/>
      <c r="SBI29" s="289"/>
      <c r="SBJ29" s="289"/>
      <c r="SBK29" s="289"/>
      <c r="SBL29" s="289"/>
      <c r="SBM29" s="289"/>
      <c r="SBN29" s="289"/>
      <c r="SBO29" s="289"/>
      <c r="SBP29" s="289"/>
      <c r="SBQ29" s="289"/>
      <c r="SBR29" s="289"/>
      <c r="SBS29" s="289"/>
      <c r="SBT29" s="289"/>
      <c r="SBU29" s="289"/>
      <c r="SBV29" s="289"/>
      <c r="SBW29" s="289"/>
      <c r="SBX29" s="289"/>
      <c r="SBY29" s="289"/>
      <c r="SBZ29" s="289"/>
      <c r="SCA29" s="289"/>
      <c r="SCB29" s="289"/>
      <c r="SCC29" s="289"/>
      <c r="SCD29" s="289"/>
      <c r="SCE29" s="289"/>
      <c r="SCF29" s="289"/>
      <c r="SCG29" s="289"/>
      <c r="SCH29" s="289"/>
      <c r="SCI29" s="289"/>
      <c r="SCJ29" s="289"/>
      <c r="SCK29" s="289"/>
      <c r="SCL29" s="289"/>
      <c r="SCM29" s="289"/>
      <c r="SCN29" s="289"/>
      <c r="SCO29" s="289"/>
      <c r="SCP29" s="289"/>
      <c r="SCQ29" s="289"/>
      <c r="SCR29" s="289"/>
      <c r="SCS29" s="289"/>
      <c r="SCT29" s="289"/>
      <c r="SCU29" s="289"/>
      <c r="SCV29" s="289"/>
      <c r="SCW29" s="289"/>
      <c r="SCX29" s="289"/>
      <c r="SCY29" s="289"/>
      <c r="SCZ29" s="289"/>
      <c r="SDA29" s="289"/>
      <c r="SDB29" s="289"/>
      <c r="SDC29" s="289"/>
      <c r="SDD29" s="289"/>
      <c r="SDE29" s="289"/>
      <c r="SDF29" s="289"/>
      <c r="SDG29" s="289"/>
      <c r="SDH29" s="289"/>
      <c r="SDI29" s="289"/>
      <c r="SDJ29" s="289"/>
      <c r="SDK29" s="289"/>
      <c r="SDL29" s="289"/>
      <c r="SDM29" s="289"/>
      <c r="SDN29" s="289"/>
      <c r="SDO29" s="289"/>
      <c r="SDP29" s="289"/>
      <c r="SDQ29" s="289"/>
      <c r="SDR29" s="289"/>
      <c r="SDS29" s="289"/>
      <c r="SDT29" s="289"/>
      <c r="SDU29" s="289"/>
      <c r="SDV29" s="289"/>
      <c r="SDW29" s="289"/>
      <c r="SDX29" s="289"/>
      <c r="SDY29" s="289"/>
      <c r="SDZ29" s="289"/>
      <c r="SEA29" s="289"/>
      <c r="SEB29" s="289"/>
      <c r="SEC29" s="289"/>
      <c r="SED29" s="289"/>
      <c r="SEE29" s="289"/>
      <c r="SEF29" s="289"/>
      <c r="SEG29" s="289"/>
      <c r="SEH29" s="289"/>
      <c r="SEI29" s="289"/>
      <c r="SEJ29" s="289"/>
      <c r="SEK29" s="289"/>
      <c r="SEL29" s="289"/>
      <c r="SEM29" s="289"/>
      <c r="SEN29" s="289"/>
      <c r="SEO29" s="289"/>
      <c r="SEP29" s="289"/>
      <c r="SEQ29" s="289"/>
      <c r="SER29" s="289"/>
      <c r="SES29" s="289"/>
      <c r="SET29" s="289"/>
      <c r="SEU29" s="289"/>
      <c r="SEV29" s="289"/>
      <c r="SEW29" s="289"/>
      <c r="SEX29" s="289"/>
      <c r="SEY29" s="289"/>
      <c r="SEZ29" s="289"/>
      <c r="SFA29" s="289"/>
      <c r="SFB29" s="289"/>
      <c r="SFC29" s="289"/>
      <c r="SFD29" s="289"/>
      <c r="SFE29" s="289"/>
      <c r="SFF29" s="289"/>
      <c r="SFG29" s="289"/>
      <c r="SFH29" s="289"/>
      <c r="SFI29" s="289"/>
      <c r="SFJ29" s="289"/>
      <c r="SFK29" s="289"/>
      <c r="SFL29" s="289"/>
      <c r="SFM29" s="289"/>
      <c r="SFN29" s="289"/>
      <c r="SFO29" s="289"/>
      <c r="SFP29" s="289"/>
      <c r="SFQ29" s="289"/>
      <c r="SFR29" s="289"/>
      <c r="SFS29" s="289"/>
      <c r="SFT29" s="289"/>
      <c r="SFU29" s="289"/>
      <c r="SFV29" s="289"/>
      <c r="SFW29" s="289"/>
      <c r="SFX29" s="289"/>
      <c r="SFY29" s="289"/>
      <c r="SFZ29" s="289"/>
      <c r="SGA29" s="289"/>
      <c r="SGB29" s="289"/>
      <c r="SGC29" s="289"/>
      <c r="SGD29" s="289"/>
      <c r="SGE29" s="289"/>
      <c r="SGF29" s="289"/>
      <c r="SGG29" s="289"/>
      <c r="SGH29" s="289"/>
      <c r="SGI29" s="289"/>
      <c r="SGJ29" s="289"/>
      <c r="SGK29" s="289"/>
      <c r="SGL29" s="289"/>
      <c r="SGM29" s="289"/>
      <c r="SGN29" s="289"/>
      <c r="SGO29" s="289"/>
      <c r="SGP29" s="289"/>
      <c r="SGQ29" s="289"/>
      <c r="SGR29" s="289"/>
      <c r="SGS29" s="289"/>
      <c r="SGT29" s="289"/>
      <c r="SGU29" s="289"/>
      <c r="SGV29" s="289"/>
      <c r="SGW29" s="289"/>
      <c r="SGX29" s="289"/>
      <c r="SGY29" s="289"/>
      <c r="SGZ29" s="289"/>
      <c r="SHA29" s="289"/>
      <c r="SHB29" s="289"/>
      <c r="SHC29" s="289"/>
      <c r="SHD29" s="289"/>
      <c r="SHE29" s="289"/>
      <c r="SHF29" s="289"/>
      <c r="SHG29" s="289"/>
      <c r="SHH29" s="289"/>
      <c r="SHI29" s="289"/>
      <c r="SHJ29" s="289"/>
      <c r="SHK29" s="289"/>
      <c r="SHL29" s="289"/>
      <c r="SHM29" s="289"/>
      <c r="SHN29" s="289"/>
      <c r="SHO29" s="289"/>
      <c r="SHP29" s="289"/>
      <c r="SHQ29" s="289"/>
      <c r="SHR29" s="289"/>
      <c r="SHS29" s="289"/>
      <c r="SHT29" s="289"/>
      <c r="SHU29" s="289"/>
      <c r="SHV29" s="289"/>
      <c r="SHW29" s="289"/>
      <c r="SHX29" s="289"/>
      <c r="SHY29" s="289"/>
      <c r="SHZ29" s="289"/>
      <c r="SIA29" s="289"/>
      <c r="SIB29" s="289"/>
      <c r="SIC29" s="289"/>
      <c r="SID29" s="289"/>
      <c r="SIE29" s="289"/>
      <c r="SIF29" s="289"/>
      <c r="SIG29" s="289"/>
      <c r="SIH29" s="289"/>
      <c r="SII29" s="289"/>
      <c r="SIJ29" s="289"/>
      <c r="SIK29" s="289"/>
      <c r="SIL29" s="289"/>
      <c r="SIM29" s="289"/>
      <c r="SIN29" s="289"/>
      <c r="SIO29" s="289"/>
      <c r="SIP29" s="289"/>
      <c r="SIQ29" s="289"/>
      <c r="SIR29" s="289"/>
      <c r="SIS29" s="289"/>
      <c r="SIT29" s="289"/>
      <c r="SIU29" s="289"/>
      <c r="SIV29" s="289"/>
      <c r="SIW29" s="289"/>
      <c r="SIX29" s="289"/>
      <c r="SIY29" s="289"/>
      <c r="SIZ29" s="289"/>
      <c r="SJA29" s="289"/>
      <c r="SJB29" s="289"/>
      <c r="SJC29" s="289"/>
      <c r="SJD29" s="289"/>
      <c r="SJE29" s="289"/>
      <c r="SJF29" s="289"/>
      <c r="SJG29" s="289"/>
      <c r="SJH29" s="289"/>
      <c r="SJI29" s="289"/>
      <c r="SJJ29" s="289"/>
      <c r="SJK29" s="289"/>
      <c r="SJL29" s="289"/>
      <c r="SJM29" s="289"/>
      <c r="SJN29" s="289"/>
      <c r="SJO29" s="289"/>
      <c r="SJP29" s="289"/>
      <c r="SJQ29" s="289"/>
      <c r="SJR29" s="289"/>
      <c r="SJS29" s="289"/>
      <c r="SJT29" s="289"/>
      <c r="SJU29" s="289"/>
      <c r="SJV29" s="289"/>
      <c r="SJW29" s="289"/>
      <c r="SJX29" s="289"/>
      <c r="SJY29" s="289"/>
      <c r="SJZ29" s="289"/>
      <c r="SKA29" s="289"/>
      <c r="SKB29" s="289"/>
      <c r="SKC29" s="289"/>
      <c r="SKD29" s="289"/>
      <c r="SKE29" s="289"/>
      <c r="SKF29" s="289"/>
      <c r="SKG29" s="289"/>
      <c r="SKH29" s="289"/>
      <c r="SKI29" s="289"/>
      <c r="SKJ29" s="289"/>
      <c r="SKK29" s="289"/>
      <c r="SKL29" s="289"/>
      <c r="SKM29" s="289"/>
      <c r="SKN29" s="289"/>
      <c r="SKO29" s="289"/>
      <c r="SKP29" s="289"/>
      <c r="SKQ29" s="289"/>
      <c r="SKR29" s="289"/>
      <c r="SKS29" s="289"/>
      <c r="SKT29" s="289"/>
      <c r="SKU29" s="289"/>
      <c r="SKV29" s="289"/>
      <c r="SKW29" s="289"/>
      <c r="SKX29" s="289"/>
      <c r="SKY29" s="289"/>
      <c r="SKZ29" s="289"/>
      <c r="SLA29" s="289"/>
      <c r="SLB29" s="289"/>
      <c r="SLC29" s="289"/>
      <c r="SLD29" s="289"/>
      <c r="SLE29" s="289"/>
      <c r="SLF29" s="289"/>
      <c r="SLG29" s="289"/>
      <c r="SLH29" s="289"/>
      <c r="SLI29" s="289"/>
      <c r="SLJ29" s="289"/>
      <c r="SLK29" s="289"/>
      <c r="SLL29" s="289"/>
      <c r="SLM29" s="289"/>
      <c r="SLN29" s="289"/>
      <c r="SLO29" s="289"/>
      <c r="SLP29" s="289"/>
      <c r="SLQ29" s="289"/>
      <c r="SLR29" s="289"/>
      <c r="SLS29" s="289"/>
      <c r="SLT29" s="289"/>
      <c r="SLU29" s="289"/>
      <c r="SLV29" s="289"/>
      <c r="SLW29" s="289"/>
      <c r="SLX29" s="289"/>
      <c r="SLY29" s="289"/>
      <c r="SLZ29" s="289"/>
      <c r="SMA29" s="289"/>
      <c r="SMB29" s="289"/>
      <c r="SMC29" s="289"/>
      <c r="SMD29" s="289"/>
      <c r="SME29" s="289"/>
      <c r="SMF29" s="289"/>
      <c r="SMG29" s="289"/>
      <c r="SMH29" s="289"/>
      <c r="SMI29" s="289"/>
      <c r="SMJ29" s="289"/>
      <c r="SMK29" s="289"/>
      <c r="SML29" s="289"/>
      <c r="SMM29" s="289"/>
      <c r="SMN29" s="289"/>
      <c r="SMO29" s="289"/>
      <c r="SMP29" s="289"/>
      <c r="SMQ29" s="289"/>
      <c r="SMR29" s="289"/>
      <c r="SMS29" s="289"/>
      <c r="SMT29" s="289"/>
      <c r="SMU29" s="289"/>
      <c r="SMV29" s="289"/>
      <c r="SMW29" s="289"/>
      <c r="SMX29" s="289"/>
      <c r="SMY29" s="289"/>
      <c r="SMZ29" s="289"/>
      <c r="SNA29" s="289"/>
      <c r="SNB29" s="289"/>
      <c r="SNC29" s="289"/>
      <c r="SND29" s="289"/>
      <c r="SNE29" s="289"/>
      <c r="SNF29" s="289"/>
      <c r="SNG29" s="289"/>
      <c r="SNH29" s="289"/>
      <c r="SNI29" s="289"/>
      <c r="SNJ29" s="289"/>
      <c r="SNK29" s="289"/>
      <c r="SNL29" s="289"/>
      <c r="SNM29" s="289"/>
      <c r="SNN29" s="289"/>
      <c r="SNO29" s="289"/>
      <c r="SNP29" s="289"/>
      <c r="SNQ29" s="289"/>
      <c r="SNR29" s="289"/>
      <c r="SNS29" s="289"/>
      <c r="SNT29" s="289"/>
      <c r="SNU29" s="289"/>
      <c r="SNV29" s="289"/>
      <c r="SNW29" s="289"/>
      <c r="SNX29" s="289"/>
      <c r="SNY29" s="289"/>
      <c r="SNZ29" s="289"/>
      <c r="SOA29" s="289"/>
      <c r="SOB29" s="289"/>
      <c r="SOC29" s="289"/>
      <c r="SOD29" s="289"/>
      <c r="SOE29" s="289"/>
      <c r="SOF29" s="289"/>
      <c r="SOG29" s="289"/>
      <c r="SOH29" s="289"/>
      <c r="SOI29" s="289"/>
      <c r="SOJ29" s="289"/>
      <c r="SOK29" s="289"/>
      <c r="SOL29" s="289"/>
      <c r="SOM29" s="289"/>
      <c r="SON29" s="289"/>
      <c r="SOO29" s="289"/>
      <c r="SOP29" s="289"/>
      <c r="SOQ29" s="289"/>
      <c r="SOR29" s="289"/>
      <c r="SOS29" s="289"/>
      <c r="SOT29" s="289"/>
      <c r="SOU29" s="289"/>
      <c r="SOV29" s="289"/>
      <c r="SOW29" s="289"/>
      <c r="SOX29" s="289"/>
      <c r="SOY29" s="289"/>
      <c r="SOZ29" s="289"/>
      <c r="SPA29" s="289"/>
      <c r="SPB29" s="289"/>
      <c r="SPC29" s="289"/>
      <c r="SPD29" s="289"/>
      <c r="SPE29" s="289"/>
      <c r="SPF29" s="289"/>
      <c r="SPG29" s="289"/>
      <c r="SPH29" s="289"/>
      <c r="SPI29" s="289"/>
      <c r="SPJ29" s="289"/>
      <c r="SPK29" s="289"/>
      <c r="SPL29" s="289"/>
      <c r="SPM29" s="289"/>
      <c r="SPN29" s="289"/>
      <c r="SPO29" s="289"/>
      <c r="SPP29" s="289"/>
      <c r="SPQ29" s="289"/>
      <c r="SPR29" s="289"/>
      <c r="SPS29" s="289"/>
      <c r="SPT29" s="289"/>
      <c r="SPU29" s="289"/>
      <c r="SPV29" s="289"/>
      <c r="SPW29" s="289"/>
      <c r="SPX29" s="289"/>
      <c r="SPY29" s="289"/>
      <c r="SPZ29" s="289"/>
      <c r="SQA29" s="289"/>
      <c r="SQB29" s="289"/>
      <c r="SQC29" s="289"/>
      <c r="SQD29" s="289"/>
      <c r="SQE29" s="289"/>
      <c r="SQF29" s="289"/>
      <c r="SQG29" s="289"/>
      <c r="SQH29" s="289"/>
      <c r="SQI29" s="289"/>
      <c r="SQJ29" s="289"/>
      <c r="SQK29" s="289"/>
      <c r="SQL29" s="289"/>
      <c r="SQM29" s="289"/>
      <c r="SQN29" s="289"/>
      <c r="SQO29" s="289"/>
      <c r="SQP29" s="289"/>
      <c r="SQQ29" s="289"/>
      <c r="SQR29" s="289"/>
      <c r="SQS29" s="289"/>
      <c r="SQT29" s="289"/>
      <c r="SQU29" s="289"/>
      <c r="SQV29" s="289"/>
      <c r="SQW29" s="289"/>
      <c r="SQX29" s="289"/>
      <c r="SQY29" s="289"/>
      <c r="SQZ29" s="289"/>
      <c r="SRA29" s="289"/>
      <c r="SRB29" s="289"/>
      <c r="SRC29" s="289"/>
      <c r="SRD29" s="289"/>
      <c r="SRE29" s="289"/>
      <c r="SRF29" s="289"/>
      <c r="SRG29" s="289"/>
      <c r="SRH29" s="289"/>
      <c r="SRI29" s="289"/>
      <c r="SRJ29" s="289"/>
      <c r="SRK29" s="289"/>
      <c r="SRL29" s="289"/>
      <c r="SRM29" s="289"/>
      <c r="SRN29" s="289"/>
      <c r="SRO29" s="289"/>
      <c r="SRP29" s="289"/>
      <c r="SRQ29" s="289"/>
      <c r="SRR29" s="289"/>
      <c r="SRS29" s="289"/>
      <c r="SRT29" s="289"/>
      <c r="SRU29" s="289"/>
      <c r="SRV29" s="289"/>
      <c r="SRW29" s="289"/>
      <c r="SRX29" s="289"/>
      <c r="SRY29" s="289"/>
      <c r="SRZ29" s="289"/>
      <c r="SSA29" s="289"/>
      <c r="SSB29" s="289"/>
      <c r="SSC29" s="289"/>
      <c r="SSD29" s="289"/>
      <c r="SSE29" s="289"/>
      <c r="SSF29" s="289"/>
      <c r="SSG29" s="289"/>
      <c r="SSH29" s="289"/>
      <c r="SSI29" s="289"/>
      <c r="SSJ29" s="289"/>
      <c r="SSK29" s="289"/>
      <c r="SSL29" s="289"/>
      <c r="SSM29" s="289"/>
      <c r="SSN29" s="289"/>
      <c r="SSO29" s="289"/>
      <c r="SSP29" s="289"/>
      <c r="SSQ29" s="289"/>
      <c r="SSR29" s="289"/>
      <c r="SSS29" s="289"/>
      <c r="SST29" s="289"/>
      <c r="SSU29" s="289"/>
      <c r="SSV29" s="289"/>
      <c r="SSW29" s="289"/>
      <c r="SSX29" s="289"/>
      <c r="SSY29" s="289"/>
      <c r="SSZ29" s="289"/>
      <c r="STA29" s="289"/>
      <c r="STB29" s="289"/>
      <c r="STC29" s="289"/>
      <c r="STD29" s="289"/>
      <c r="STE29" s="289"/>
      <c r="STF29" s="289"/>
      <c r="STG29" s="289"/>
      <c r="STH29" s="289"/>
      <c r="STI29" s="289"/>
      <c r="STJ29" s="289"/>
      <c r="STK29" s="289"/>
      <c r="STL29" s="289"/>
      <c r="STM29" s="289"/>
      <c r="STN29" s="289"/>
      <c r="STO29" s="289"/>
      <c r="STP29" s="289"/>
      <c r="STQ29" s="289"/>
      <c r="STR29" s="289"/>
      <c r="STS29" s="289"/>
      <c r="STT29" s="289"/>
      <c r="STU29" s="289"/>
      <c r="STV29" s="289"/>
      <c r="STW29" s="289"/>
      <c r="STX29" s="289"/>
      <c r="STY29" s="289"/>
      <c r="STZ29" s="289"/>
      <c r="SUA29" s="289"/>
      <c r="SUB29" s="289"/>
      <c r="SUC29" s="289"/>
      <c r="SUD29" s="289"/>
      <c r="SUE29" s="289"/>
      <c r="SUF29" s="289"/>
      <c r="SUG29" s="289"/>
      <c r="SUH29" s="289"/>
      <c r="SUI29" s="289"/>
      <c r="SUJ29" s="289"/>
      <c r="SUK29" s="289"/>
      <c r="SUL29" s="289"/>
      <c r="SUM29" s="289"/>
      <c r="SUN29" s="289"/>
      <c r="SUO29" s="289"/>
      <c r="SUP29" s="289"/>
      <c r="SUQ29" s="289"/>
      <c r="SUR29" s="289"/>
      <c r="SUS29" s="289"/>
      <c r="SUT29" s="289"/>
      <c r="SUU29" s="289"/>
      <c r="SUV29" s="289"/>
      <c r="SUW29" s="289"/>
      <c r="SUX29" s="289"/>
      <c r="SUY29" s="289"/>
      <c r="SUZ29" s="289"/>
      <c r="SVA29" s="289"/>
      <c r="SVB29" s="289"/>
      <c r="SVC29" s="289"/>
      <c r="SVD29" s="289"/>
      <c r="SVE29" s="289"/>
      <c r="SVF29" s="289"/>
      <c r="SVG29" s="289"/>
      <c r="SVH29" s="289"/>
      <c r="SVI29" s="289"/>
      <c r="SVJ29" s="289"/>
      <c r="SVK29" s="289"/>
      <c r="SVL29" s="289"/>
      <c r="SVM29" s="289"/>
      <c r="SVN29" s="289"/>
      <c r="SVO29" s="289"/>
      <c r="SVP29" s="289"/>
      <c r="SVQ29" s="289"/>
      <c r="SVR29" s="289"/>
      <c r="SVS29" s="289"/>
      <c r="SVT29" s="289"/>
      <c r="SVU29" s="289"/>
      <c r="SVV29" s="289"/>
      <c r="SVW29" s="289"/>
      <c r="SVX29" s="289"/>
      <c r="SVY29" s="289"/>
      <c r="SVZ29" s="289"/>
      <c r="SWA29" s="289"/>
      <c r="SWB29" s="289"/>
      <c r="SWC29" s="289"/>
      <c r="SWD29" s="289"/>
      <c r="SWE29" s="289"/>
      <c r="SWF29" s="289"/>
      <c r="SWG29" s="289"/>
      <c r="SWH29" s="289"/>
      <c r="SWI29" s="289"/>
      <c r="SWJ29" s="289"/>
      <c r="SWK29" s="289"/>
      <c r="SWL29" s="289"/>
      <c r="SWM29" s="289"/>
      <c r="SWN29" s="289"/>
      <c r="SWO29" s="289"/>
      <c r="SWP29" s="289"/>
      <c r="SWQ29" s="289"/>
      <c r="SWR29" s="289"/>
      <c r="SWS29" s="289"/>
      <c r="SWT29" s="289"/>
      <c r="SWU29" s="289"/>
      <c r="SWV29" s="289"/>
      <c r="SWW29" s="289"/>
      <c r="SWX29" s="289"/>
      <c r="SWY29" s="289"/>
      <c r="SWZ29" s="289"/>
      <c r="SXA29" s="289"/>
      <c r="SXB29" s="289"/>
      <c r="SXC29" s="289"/>
      <c r="SXD29" s="289"/>
      <c r="SXE29" s="289"/>
      <c r="SXF29" s="289"/>
      <c r="SXG29" s="289"/>
      <c r="SXH29" s="289"/>
      <c r="SXI29" s="289"/>
      <c r="SXJ29" s="289"/>
      <c r="SXK29" s="289"/>
      <c r="SXL29" s="289"/>
      <c r="SXM29" s="289"/>
      <c r="SXN29" s="289"/>
      <c r="SXO29" s="289"/>
      <c r="SXP29" s="289"/>
      <c r="SXQ29" s="289"/>
      <c r="SXR29" s="289"/>
      <c r="SXS29" s="289"/>
      <c r="SXT29" s="289"/>
      <c r="SXU29" s="289"/>
      <c r="SXV29" s="289"/>
      <c r="SXW29" s="289"/>
      <c r="SXX29" s="289"/>
      <c r="SXY29" s="289"/>
      <c r="SXZ29" s="289"/>
      <c r="SYA29" s="289"/>
      <c r="SYB29" s="289"/>
      <c r="SYC29" s="289"/>
      <c r="SYD29" s="289"/>
      <c r="SYE29" s="289"/>
      <c r="SYF29" s="289"/>
      <c r="SYG29" s="289"/>
      <c r="SYH29" s="289"/>
      <c r="SYI29" s="289"/>
      <c r="SYJ29" s="289"/>
      <c r="SYK29" s="289"/>
      <c r="SYL29" s="289"/>
      <c r="SYM29" s="289"/>
      <c r="SYN29" s="289"/>
      <c r="SYO29" s="289"/>
      <c r="SYP29" s="289"/>
      <c r="SYQ29" s="289"/>
      <c r="SYR29" s="289"/>
      <c r="SYS29" s="289"/>
      <c r="SYT29" s="289"/>
      <c r="SYU29" s="289"/>
      <c r="SYV29" s="289"/>
      <c r="SYW29" s="289"/>
      <c r="SYX29" s="289"/>
      <c r="SYY29" s="289"/>
      <c r="SYZ29" s="289"/>
      <c r="SZA29" s="289"/>
      <c r="SZB29" s="289"/>
      <c r="SZC29" s="289"/>
      <c r="SZD29" s="289"/>
      <c r="SZE29" s="289"/>
      <c r="SZF29" s="289"/>
      <c r="SZG29" s="289"/>
      <c r="SZH29" s="289"/>
      <c r="SZI29" s="289"/>
      <c r="SZJ29" s="289"/>
      <c r="SZK29" s="289"/>
      <c r="SZL29" s="289"/>
      <c r="SZM29" s="289"/>
      <c r="SZN29" s="289"/>
      <c r="SZO29" s="289"/>
      <c r="SZP29" s="289"/>
      <c r="SZQ29" s="289"/>
      <c r="SZR29" s="289"/>
      <c r="SZS29" s="289"/>
      <c r="SZT29" s="289"/>
      <c r="SZU29" s="289"/>
      <c r="SZV29" s="289"/>
      <c r="SZW29" s="289"/>
      <c r="SZX29" s="289"/>
      <c r="SZY29" s="289"/>
      <c r="SZZ29" s="289"/>
      <c r="TAA29" s="289"/>
      <c r="TAB29" s="289"/>
      <c r="TAC29" s="289"/>
      <c r="TAD29" s="289"/>
      <c r="TAE29" s="289"/>
      <c r="TAF29" s="289"/>
      <c r="TAG29" s="289"/>
      <c r="TAH29" s="289"/>
      <c r="TAI29" s="289"/>
      <c r="TAJ29" s="289"/>
      <c r="TAK29" s="289"/>
      <c r="TAL29" s="289"/>
      <c r="TAM29" s="289"/>
      <c r="TAN29" s="289"/>
      <c r="TAO29" s="289"/>
      <c r="TAP29" s="289"/>
      <c r="TAQ29" s="289"/>
      <c r="TAR29" s="289"/>
      <c r="TAS29" s="289"/>
      <c r="TAT29" s="289"/>
      <c r="TAU29" s="289"/>
      <c r="TAV29" s="289"/>
      <c r="TAW29" s="289"/>
      <c r="TAX29" s="289"/>
      <c r="TAY29" s="289"/>
      <c r="TAZ29" s="289"/>
      <c r="TBA29" s="289"/>
      <c r="TBB29" s="289"/>
      <c r="TBC29" s="289"/>
      <c r="TBD29" s="289"/>
      <c r="TBE29" s="289"/>
      <c r="TBF29" s="289"/>
      <c r="TBG29" s="289"/>
      <c r="TBH29" s="289"/>
      <c r="TBI29" s="289"/>
      <c r="TBJ29" s="289"/>
      <c r="TBK29" s="289"/>
      <c r="TBL29" s="289"/>
      <c r="TBM29" s="289"/>
      <c r="TBN29" s="289"/>
      <c r="TBO29" s="289"/>
      <c r="TBP29" s="289"/>
      <c r="TBQ29" s="289"/>
      <c r="TBR29" s="289"/>
      <c r="TBS29" s="289"/>
      <c r="TBT29" s="289"/>
      <c r="TBU29" s="289"/>
      <c r="TBV29" s="289"/>
      <c r="TBW29" s="289"/>
      <c r="TBX29" s="289"/>
      <c r="TBY29" s="289"/>
      <c r="TBZ29" s="289"/>
      <c r="TCA29" s="289"/>
      <c r="TCB29" s="289"/>
      <c r="TCC29" s="289"/>
      <c r="TCD29" s="289"/>
      <c r="TCE29" s="289"/>
      <c r="TCF29" s="289"/>
      <c r="TCG29" s="289"/>
      <c r="TCH29" s="289"/>
      <c r="TCI29" s="289"/>
      <c r="TCJ29" s="289"/>
      <c r="TCK29" s="289"/>
      <c r="TCL29" s="289"/>
      <c r="TCM29" s="289"/>
      <c r="TCN29" s="289"/>
      <c r="TCO29" s="289"/>
      <c r="TCP29" s="289"/>
      <c r="TCQ29" s="289"/>
      <c r="TCR29" s="289"/>
      <c r="TCS29" s="289"/>
      <c r="TCT29" s="289"/>
      <c r="TCU29" s="289"/>
      <c r="TCV29" s="289"/>
      <c r="TCW29" s="289"/>
      <c r="TCX29" s="289"/>
      <c r="TCY29" s="289"/>
      <c r="TCZ29" s="289"/>
      <c r="TDA29" s="289"/>
      <c r="TDB29" s="289"/>
      <c r="TDC29" s="289"/>
      <c r="TDD29" s="289"/>
      <c r="TDE29" s="289"/>
      <c r="TDF29" s="289"/>
      <c r="TDG29" s="289"/>
      <c r="TDH29" s="289"/>
      <c r="TDI29" s="289"/>
      <c r="TDJ29" s="289"/>
      <c r="TDK29" s="289"/>
      <c r="TDL29" s="289"/>
      <c r="TDM29" s="289"/>
      <c r="TDN29" s="289"/>
      <c r="TDO29" s="289"/>
      <c r="TDP29" s="289"/>
      <c r="TDQ29" s="289"/>
      <c r="TDR29" s="289"/>
      <c r="TDS29" s="289"/>
      <c r="TDT29" s="289"/>
      <c r="TDU29" s="289"/>
      <c r="TDV29" s="289"/>
      <c r="TDW29" s="289"/>
      <c r="TDX29" s="289"/>
      <c r="TDY29" s="289"/>
      <c r="TDZ29" s="289"/>
      <c r="TEA29" s="289"/>
      <c r="TEB29" s="289"/>
      <c r="TEC29" s="289"/>
      <c r="TED29" s="289"/>
      <c r="TEE29" s="289"/>
      <c r="TEF29" s="289"/>
      <c r="TEG29" s="289"/>
      <c r="TEH29" s="289"/>
      <c r="TEI29" s="289"/>
      <c r="TEJ29" s="289"/>
      <c r="TEK29" s="289"/>
      <c r="TEL29" s="289"/>
      <c r="TEM29" s="289"/>
      <c r="TEN29" s="289"/>
      <c r="TEO29" s="289"/>
      <c r="TEP29" s="289"/>
      <c r="TEQ29" s="289"/>
      <c r="TER29" s="289"/>
      <c r="TES29" s="289"/>
      <c r="TET29" s="289"/>
      <c r="TEU29" s="289"/>
      <c r="TEV29" s="289"/>
      <c r="TEW29" s="289"/>
      <c r="TEX29" s="289"/>
      <c r="TEY29" s="289"/>
      <c r="TEZ29" s="289"/>
      <c r="TFA29" s="289"/>
      <c r="TFB29" s="289"/>
      <c r="TFC29" s="289"/>
      <c r="TFD29" s="289"/>
      <c r="TFE29" s="289"/>
      <c r="TFF29" s="289"/>
      <c r="TFG29" s="289"/>
      <c r="TFH29" s="289"/>
      <c r="TFI29" s="289"/>
      <c r="TFJ29" s="289"/>
      <c r="TFK29" s="289"/>
      <c r="TFL29" s="289"/>
      <c r="TFM29" s="289"/>
      <c r="TFN29" s="289"/>
      <c r="TFO29" s="289"/>
      <c r="TFP29" s="289"/>
      <c r="TFQ29" s="289"/>
      <c r="TFR29" s="289"/>
      <c r="TFS29" s="289"/>
      <c r="TFT29" s="289"/>
      <c r="TFU29" s="289"/>
      <c r="TFV29" s="289"/>
      <c r="TFW29" s="289"/>
      <c r="TFX29" s="289"/>
      <c r="TFY29" s="289"/>
      <c r="TFZ29" s="289"/>
      <c r="TGA29" s="289"/>
      <c r="TGB29" s="289"/>
      <c r="TGC29" s="289"/>
      <c r="TGD29" s="289"/>
      <c r="TGE29" s="289"/>
      <c r="TGF29" s="289"/>
      <c r="TGG29" s="289"/>
      <c r="TGH29" s="289"/>
      <c r="TGI29" s="289"/>
      <c r="TGJ29" s="289"/>
      <c r="TGK29" s="289"/>
      <c r="TGL29" s="289"/>
      <c r="TGM29" s="289"/>
      <c r="TGN29" s="289"/>
      <c r="TGO29" s="289"/>
      <c r="TGP29" s="289"/>
      <c r="TGQ29" s="289"/>
      <c r="TGR29" s="289"/>
      <c r="TGS29" s="289"/>
      <c r="TGT29" s="289"/>
      <c r="TGU29" s="289"/>
      <c r="TGV29" s="289"/>
      <c r="TGW29" s="289"/>
      <c r="TGX29" s="289"/>
      <c r="TGY29" s="289"/>
      <c r="TGZ29" s="289"/>
      <c r="THA29" s="289"/>
      <c r="THB29" s="289"/>
      <c r="THC29" s="289"/>
      <c r="THD29" s="289"/>
      <c r="THE29" s="289"/>
      <c r="THF29" s="289"/>
      <c r="THG29" s="289"/>
      <c r="THH29" s="289"/>
      <c r="THI29" s="289"/>
      <c r="THJ29" s="289"/>
      <c r="THK29" s="289"/>
      <c r="THL29" s="289"/>
      <c r="THM29" s="289"/>
      <c r="THN29" s="289"/>
      <c r="THO29" s="289"/>
      <c r="THP29" s="289"/>
      <c r="THQ29" s="289"/>
      <c r="THR29" s="289"/>
      <c r="THS29" s="289"/>
      <c r="THT29" s="289"/>
      <c r="THU29" s="289"/>
      <c r="THV29" s="289"/>
      <c r="THW29" s="289"/>
      <c r="THX29" s="289"/>
      <c r="THY29" s="289"/>
      <c r="THZ29" s="289"/>
      <c r="TIA29" s="289"/>
      <c r="TIB29" s="289"/>
      <c r="TIC29" s="289"/>
      <c r="TID29" s="289"/>
      <c r="TIE29" s="289"/>
      <c r="TIF29" s="289"/>
      <c r="TIG29" s="289"/>
      <c r="TIH29" s="289"/>
      <c r="TII29" s="289"/>
      <c r="TIJ29" s="289"/>
      <c r="TIK29" s="289"/>
      <c r="TIL29" s="289"/>
      <c r="TIM29" s="289"/>
      <c r="TIN29" s="289"/>
      <c r="TIO29" s="289"/>
      <c r="TIP29" s="289"/>
      <c r="TIQ29" s="289"/>
      <c r="TIR29" s="289"/>
      <c r="TIS29" s="289"/>
      <c r="TIT29" s="289"/>
      <c r="TIU29" s="289"/>
      <c r="TIV29" s="289"/>
      <c r="TIW29" s="289"/>
      <c r="TIX29" s="289"/>
      <c r="TIY29" s="289"/>
      <c r="TIZ29" s="289"/>
      <c r="TJA29" s="289"/>
      <c r="TJB29" s="289"/>
      <c r="TJC29" s="289"/>
      <c r="TJD29" s="289"/>
      <c r="TJE29" s="289"/>
      <c r="TJF29" s="289"/>
      <c r="TJG29" s="289"/>
      <c r="TJH29" s="289"/>
      <c r="TJI29" s="289"/>
      <c r="TJJ29" s="289"/>
      <c r="TJK29" s="289"/>
      <c r="TJL29" s="289"/>
      <c r="TJM29" s="289"/>
      <c r="TJN29" s="289"/>
      <c r="TJO29" s="289"/>
      <c r="TJP29" s="289"/>
      <c r="TJQ29" s="289"/>
      <c r="TJR29" s="289"/>
      <c r="TJS29" s="289"/>
      <c r="TJT29" s="289"/>
      <c r="TJU29" s="289"/>
      <c r="TJV29" s="289"/>
      <c r="TJW29" s="289"/>
      <c r="TJX29" s="289"/>
      <c r="TJY29" s="289"/>
      <c r="TJZ29" s="289"/>
      <c r="TKA29" s="289"/>
      <c r="TKB29" s="289"/>
      <c r="TKC29" s="289"/>
      <c r="TKD29" s="289"/>
      <c r="TKE29" s="289"/>
      <c r="TKF29" s="289"/>
      <c r="TKG29" s="289"/>
      <c r="TKH29" s="289"/>
      <c r="TKI29" s="289"/>
      <c r="TKJ29" s="289"/>
      <c r="TKK29" s="289"/>
      <c r="TKL29" s="289"/>
      <c r="TKM29" s="289"/>
      <c r="TKN29" s="289"/>
      <c r="TKO29" s="289"/>
      <c r="TKP29" s="289"/>
      <c r="TKQ29" s="289"/>
      <c r="TKR29" s="289"/>
      <c r="TKS29" s="289"/>
      <c r="TKT29" s="289"/>
      <c r="TKU29" s="289"/>
      <c r="TKV29" s="289"/>
      <c r="TKW29" s="289"/>
      <c r="TKX29" s="289"/>
      <c r="TKY29" s="289"/>
      <c r="TKZ29" s="289"/>
      <c r="TLA29" s="289"/>
      <c r="TLB29" s="289"/>
      <c r="TLC29" s="289"/>
      <c r="TLD29" s="289"/>
      <c r="TLE29" s="289"/>
      <c r="TLF29" s="289"/>
      <c r="TLG29" s="289"/>
      <c r="TLH29" s="289"/>
      <c r="TLI29" s="289"/>
      <c r="TLJ29" s="289"/>
      <c r="TLK29" s="289"/>
      <c r="TLL29" s="289"/>
      <c r="TLM29" s="289"/>
      <c r="TLN29" s="289"/>
      <c r="TLO29" s="289"/>
      <c r="TLP29" s="289"/>
      <c r="TLQ29" s="289"/>
      <c r="TLR29" s="289"/>
      <c r="TLS29" s="289"/>
      <c r="TLT29" s="289"/>
      <c r="TLU29" s="289"/>
      <c r="TLV29" s="289"/>
      <c r="TLW29" s="289"/>
      <c r="TLX29" s="289"/>
      <c r="TLY29" s="289"/>
      <c r="TLZ29" s="289"/>
      <c r="TMA29" s="289"/>
      <c r="TMB29" s="289"/>
      <c r="TMC29" s="289"/>
      <c r="TMD29" s="289"/>
      <c r="TME29" s="289"/>
      <c r="TMF29" s="289"/>
      <c r="TMG29" s="289"/>
      <c r="TMH29" s="289"/>
      <c r="TMI29" s="289"/>
      <c r="TMJ29" s="289"/>
      <c r="TMK29" s="289"/>
      <c r="TML29" s="289"/>
      <c r="TMM29" s="289"/>
      <c r="TMN29" s="289"/>
      <c r="TMO29" s="289"/>
      <c r="TMP29" s="289"/>
      <c r="TMQ29" s="289"/>
      <c r="TMR29" s="289"/>
      <c r="TMS29" s="289"/>
      <c r="TMT29" s="289"/>
      <c r="TMU29" s="289"/>
      <c r="TMV29" s="289"/>
      <c r="TMW29" s="289"/>
      <c r="TMX29" s="289"/>
      <c r="TMY29" s="289"/>
      <c r="TMZ29" s="289"/>
      <c r="TNA29" s="289"/>
      <c r="TNB29" s="289"/>
      <c r="TNC29" s="289"/>
      <c r="TND29" s="289"/>
      <c r="TNE29" s="289"/>
      <c r="TNF29" s="289"/>
      <c r="TNG29" s="289"/>
      <c r="TNH29" s="289"/>
      <c r="TNI29" s="289"/>
      <c r="TNJ29" s="289"/>
      <c r="TNK29" s="289"/>
      <c r="TNL29" s="289"/>
      <c r="TNM29" s="289"/>
      <c r="TNN29" s="289"/>
      <c r="TNO29" s="289"/>
      <c r="TNP29" s="289"/>
      <c r="TNQ29" s="289"/>
      <c r="TNR29" s="289"/>
      <c r="TNS29" s="289"/>
      <c r="TNT29" s="289"/>
      <c r="TNU29" s="289"/>
      <c r="TNV29" s="289"/>
      <c r="TNW29" s="289"/>
      <c r="TNX29" s="289"/>
      <c r="TNY29" s="289"/>
      <c r="TNZ29" s="289"/>
      <c r="TOA29" s="289"/>
      <c r="TOB29" s="289"/>
      <c r="TOC29" s="289"/>
      <c r="TOD29" s="289"/>
      <c r="TOE29" s="289"/>
      <c r="TOF29" s="289"/>
      <c r="TOG29" s="289"/>
      <c r="TOH29" s="289"/>
      <c r="TOI29" s="289"/>
      <c r="TOJ29" s="289"/>
      <c r="TOK29" s="289"/>
      <c r="TOL29" s="289"/>
      <c r="TOM29" s="289"/>
      <c r="TON29" s="289"/>
      <c r="TOO29" s="289"/>
      <c r="TOP29" s="289"/>
      <c r="TOQ29" s="289"/>
      <c r="TOR29" s="289"/>
      <c r="TOS29" s="289"/>
      <c r="TOT29" s="289"/>
      <c r="TOU29" s="289"/>
      <c r="TOV29" s="289"/>
      <c r="TOW29" s="289"/>
      <c r="TOX29" s="289"/>
      <c r="TOY29" s="289"/>
      <c r="TOZ29" s="289"/>
      <c r="TPA29" s="289"/>
      <c r="TPB29" s="289"/>
      <c r="TPC29" s="289"/>
      <c r="TPD29" s="289"/>
      <c r="TPE29" s="289"/>
      <c r="TPF29" s="289"/>
      <c r="TPG29" s="289"/>
      <c r="TPH29" s="289"/>
      <c r="TPI29" s="289"/>
      <c r="TPJ29" s="289"/>
      <c r="TPK29" s="289"/>
      <c r="TPL29" s="289"/>
      <c r="TPM29" s="289"/>
      <c r="TPN29" s="289"/>
      <c r="TPO29" s="289"/>
      <c r="TPP29" s="289"/>
      <c r="TPQ29" s="289"/>
      <c r="TPR29" s="289"/>
      <c r="TPS29" s="289"/>
      <c r="TPT29" s="289"/>
      <c r="TPU29" s="289"/>
      <c r="TPV29" s="289"/>
      <c r="TPW29" s="289"/>
      <c r="TPX29" s="289"/>
      <c r="TPY29" s="289"/>
      <c r="TPZ29" s="289"/>
      <c r="TQA29" s="289"/>
      <c r="TQB29" s="289"/>
      <c r="TQC29" s="289"/>
      <c r="TQD29" s="289"/>
      <c r="TQE29" s="289"/>
      <c r="TQF29" s="289"/>
      <c r="TQG29" s="289"/>
      <c r="TQH29" s="289"/>
      <c r="TQI29" s="289"/>
      <c r="TQJ29" s="289"/>
      <c r="TQK29" s="289"/>
      <c r="TQL29" s="289"/>
      <c r="TQM29" s="289"/>
      <c r="TQN29" s="289"/>
      <c r="TQO29" s="289"/>
      <c r="TQP29" s="289"/>
      <c r="TQQ29" s="289"/>
      <c r="TQR29" s="289"/>
      <c r="TQS29" s="289"/>
      <c r="TQT29" s="289"/>
      <c r="TQU29" s="289"/>
      <c r="TQV29" s="289"/>
      <c r="TQW29" s="289"/>
      <c r="TQX29" s="289"/>
      <c r="TQY29" s="289"/>
      <c r="TQZ29" s="289"/>
      <c r="TRA29" s="289"/>
      <c r="TRB29" s="289"/>
      <c r="TRC29" s="289"/>
      <c r="TRD29" s="289"/>
      <c r="TRE29" s="289"/>
      <c r="TRF29" s="289"/>
      <c r="TRG29" s="289"/>
      <c r="TRH29" s="289"/>
      <c r="TRI29" s="289"/>
      <c r="TRJ29" s="289"/>
      <c r="TRK29" s="289"/>
      <c r="TRL29" s="289"/>
      <c r="TRM29" s="289"/>
      <c r="TRN29" s="289"/>
      <c r="TRO29" s="289"/>
      <c r="TRP29" s="289"/>
      <c r="TRQ29" s="289"/>
      <c r="TRR29" s="289"/>
      <c r="TRS29" s="289"/>
      <c r="TRT29" s="289"/>
      <c r="TRU29" s="289"/>
      <c r="TRV29" s="289"/>
      <c r="TRW29" s="289"/>
      <c r="TRX29" s="289"/>
      <c r="TRY29" s="289"/>
      <c r="TRZ29" s="289"/>
      <c r="TSA29" s="289"/>
      <c r="TSB29" s="289"/>
      <c r="TSC29" s="289"/>
      <c r="TSD29" s="289"/>
      <c r="TSE29" s="289"/>
      <c r="TSF29" s="289"/>
      <c r="TSG29" s="289"/>
      <c r="TSH29" s="289"/>
      <c r="TSI29" s="289"/>
      <c r="TSJ29" s="289"/>
      <c r="TSK29" s="289"/>
      <c r="TSL29" s="289"/>
      <c r="TSM29" s="289"/>
      <c r="TSN29" s="289"/>
      <c r="TSO29" s="289"/>
      <c r="TSP29" s="289"/>
      <c r="TSQ29" s="289"/>
      <c r="TSR29" s="289"/>
      <c r="TSS29" s="289"/>
      <c r="TST29" s="289"/>
      <c r="TSU29" s="289"/>
      <c r="TSV29" s="289"/>
      <c r="TSW29" s="289"/>
      <c r="TSX29" s="289"/>
      <c r="TSY29" s="289"/>
      <c r="TSZ29" s="289"/>
      <c r="TTA29" s="289"/>
      <c r="TTB29" s="289"/>
      <c r="TTC29" s="289"/>
      <c r="TTD29" s="289"/>
      <c r="TTE29" s="289"/>
      <c r="TTF29" s="289"/>
      <c r="TTG29" s="289"/>
      <c r="TTH29" s="289"/>
      <c r="TTI29" s="289"/>
      <c r="TTJ29" s="289"/>
      <c r="TTK29" s="289"/>
      <c r="TTL29" s="289"/>
      <c r="TTM29" s="289"/>
      <c r="TTN29" s="289"/>
      <c r="TTO29" s="289"/>
      <c r="TTP29" s="289"/>
      <c r="TTQ29" s="289"/>
      <c r="TTR29" s="289"/>
      <c r="TTS29" s="289"/>
      <c r="TTT29" s="289"/>
      <c r="TTU29" s="289"/>
      <c r="TTV29" s="289"/>
      <c r="TTW29" s="289"/>
      <c r="TTX29" s="289"/>
      <c r="TTY29" s="289"/>
      <c r="TTZ29" s="289"/>
      <c r="TUA29" s="289"/>
      <c r="TUB29" s="289"/>
      <c r="TUC29" s="289"/>
      <c r="TUD29" s="289"/>
      <c r="TUE29" s="289"/>
      <c r="TUF29" s="289"/>
      <c r="TUG29" s="289"/>
      <c r="TUH29" s="289"/>
      <c r="TUI29" s="289"/>
      <c r="TUJ29" s="289"/>
      <c r="TUK29" s="289"/>
      <c r="TUL29" s="289"/>
      <c r="TUM29" s="289"/>
      <c r="TUN29" s="289"/>
      <c r="TUO29" s="289"/>
      <c r="TUP29" s="289"/>
      <c r="TUQ29" s="289"/>
      <c r="TUR29" s="289"/>
      <c r="TUS29" s="289"/>
      <c r="TUT29" s="289"/>
      <c r="TUU29" s="289"/>
      <c r="TUV29" s="289"/>
      <c r="TUW29" s="289"/>
      <c r="TUX29" s="289"/>
      <c r="TUY29" s="289"/>
      <c r="TUZ29" s="289"/>
      <c r="TVA29" s="289"/>
      <c r="TVB29" s="289"/>
      <c r="TVC29" s="289"/>
      <c r="TVD29" s="289"/>
      <c r="TVE29" s="289"/>
      <c r="TVF29" s="289"/>
      <c r="TVG29" s="289"/>
      <c r="TVH29" s="289"/>
      <c r="TVI29" s="289"/>
      <c r="TVJ29" s="289"/>
      <c r="TVK29" s="289"/>
      <c r="TVL29" s="289"/>
      <c r="TVM29" s="289"/>
      <c r="TVN29" s="289"/>
      <c r="TVO29" s="289"/>
      <c r="TVP29" s="289"/>
      <c r="TVQ29" s="289"/>
      <c r="TVR29" s="289"/>
      <c r="TVS29" s="289"/>
      <c r="TVT29" s="289"/>
      <c r="TVU29" s="289"/>
      <c r="TVV29" s="289"/>
      <c r="TVW29" s="289"/>
      <c r="TVX29" s="289"/>
      <c r="TVY29" s="289"/>
      <c r="TVZ29" s="289"/>
      <c r="TWA29" s="289"/>
      <c r="TWB29" s="289"/>
      <c r="TWC29" s="289"/>
      <c r="TWD29" s="289"/>
      <c r="TWE29" s="289"/>
      <c r="TWF29" s="289"/>
      <c r="TWG29" s="289"/>
      <c r="TWH29" s="289"/>
      <c r="TWI29" s="289"/>
      <c r="TWJ29" s="289"/>
      <c r="TWK29" s="289"/>
      <c r="TWL29" s="289"/>
      <c r="TWM29" s="289"/>
      <c r="TWN29" s="289"/>
      <c r="TWO29" s="289"/>
      <c r="TWP29" s="289"/>
      <c r="TWQ29" s="289"/>
      <c r="TWR29" s="289"/>
      <c r="TWS29" s="289"/>
      <c r="TWT29" s="289"/>
      <c r="TWU29" s="289"/>
      <c r="TWV29" s="289"/>
      <c r="TWW29" s="289"/>
      <c r="TWX29" s="289"/>
      <c r="TWY29" s="289"/>
      <c r="TWZ29" s="289"/>
      <c r="TXA29" s="289"/>
      <c r="TXB29" s="289"/>
      <c r="TXC29" s="289"/>
      <c r="TXD29" s="289"/>
      <c r="TXE29" s="289"/>
      <c r="TXF29" s="289"/>
      <c r="TXG29" s="289"/>
      <c r="TXH29" s="289"/>
      <c r="TXI29" s="289"/>
      <c r="TXJ29" s="289"/>
      <c r="TXK29" s="289"/>
      <c r="TXL29" s="289"/>
      <c r="TXM29" s="289"/>
      <c r="TXN29" s="289"/>
      <c r="TXO29" s="289"/>
      <c r="TXP29" s="289"/>
      <c r="TXQ29" s="289"/>
      <c r="TXR29" s="289"/>
      <c r="TXS29" s="289"/>
      <c r="TXT29" s="289"/>
      <c r="TXU29" s="289"/>
      <c r="TXV29" s="289"/>
      <c r="TXW29" s="289"/>
      <c r="TXX29" s="289"/>
      <c r="TXY29" s="289"/>
      <c r="TXZ29" s="289"/>
      <c r="TYA29" s="289"/>
      <c r="TYB29" s="289"/>
      <c r="TYC29" s="289"/>
      <c r="TYD29" s="289"/>
      <c r="TYE29" s="289"/>
      <c r="TYF29" s="289"/>
      <c r="TYG29" s="289"/>
      <c r="TYH29" s="289"/>
      <c r="TYI29" s="289"/>
      <c r="TYJ29" s="289"/>
      <c r="TYK29" s="289"/>
      <c r="TYL29" s="289"/>
      <c r="TYM29" s="289"/>
      <c r="TYN29" s="289"/>
      <c r="TYO29" s="289"/>
      <c r="TYP29" s="289"/>
      <c r="TYQ29" s="289"/>
      <c r="TYR29" s="289"/>
      <c r="TYS29" s="289"/>
      <c r="TYT29" s="289"/>
      <c r="TYU29" s="289"/>
      <c r="TYV29" s="289"/>
      <c r="TYW29" s="289"/>
      <c r="TYX29" s="289"/>
      <c r="TYY29" s="289"/>
      <c r="TYZ29" s="289"/>
      <c r="TZA29" s="289"/>
      <c r="TZB29" s="289"/>
      <c r="TZC29" s="289"/>
      <c r="TZD29" s="289"/>
      <c r="TZE29" s="289"/>
      <c r="TZF29" s="289"/>
      <c r="TZG29" s="289"/>
      <c r="TZH29" s="289"/>
      <c r="TZI29" s="289"/>
      <c r="TZJ29" s="289"/>
      <c r="TZK29" s="289"/>
      <c r="TZL29" s="289"/>
      <c r="TZM29" s="289"/>
      <c r="TZN29" s="289"/>
      <c r="TZO29" s="289"/>
      <c r="TZP29" s="289"/>
      <c r="TZQ29" s="289"/>
      <c r="TZR29" s="289"/>
      <c r="TZS29" s="289"/>
      <c r="TZT29" s="289"/>
      <c r="TZU29" s="289"/>
      <c r="TZV29" s="289"/>
      <c r="TZW29" s="289"/>
      <c r="TZX29" s="289"/>
      <c r="TZY29" s="289"/>
      <c r="TZZ29" s="289"/>
      <c r="UAA29" s="289"/>
      <c r="UAB29" s="289"/>
      <c r="UAC29" s="289"/>
      <c r="UAD29" s="289"/>
      <c r="UAE29" s="289"/>
      <c r="UAF29" s="289"/>
      <c r="UAG29" s="289"/>
      <c r="UAH29" s="289"/>
      <c r="UAI29" s="289"/>
      <c r="UAJ29" s="289"/>
      <c r="UAK29" s="289"/>
      <c r="UAL29" s="289"/>
      <c r="UAM29" s="289"/>
      <c r="UAN29" s="289"/>
      <c r="UAO29" s="289"/>
      <c r="UAP29" s="289"/>
      <c r="UAQ29" s="289"/>
      <c r="UAR29" s="289"/>
      <c r="UAS29" s="289"/>
      <c r="UAT29" s="289"/>
      <c r="UAU29" s="289"/>
      <c r="UAV29" s="289"/>
      <c r="UAW29" s="289"/>
      <c r="UAX29" s="289"/>
      <c r="UAY29" s="289"/>
      <c r="UAZ29" s="289"/>
      <c r="UBA29" s="289"/>
      <c r="UBB29" s="289"/>
      <c r="UBC29" s="289"/>
      <c r="UBD29" s="289"/>
      <c r="UBE29" s="289"/>
      <c r="UBF29" s="289"/>
      <c r="UBG29" s="289"/>
      <c r="UBH29" s="289"/>
      <c r="UBI29" s="289"/>
      <c r="UBJ29" s="289"/>
      <c r="UBK29" s="289"/>
      <c r="UBL29" s="289"/>
      <c r="UBM29" s="289"/>
      <c r="UBN29" s="289"/>
      <c r="UBO29" s="289"/>
      <c r="UBP29" s="289"/>
      <c r="UBQ29" s="289"/>
      <c r="UBR29" s="289"/>
      <c r="UBS29" s="289"/>
      <c r="UBT29" s="289"/>
      <c r="UBU29" s="289"/>
      <c r="UBV29" s="289"/>
      <c r="UBW29" s="289"/>
      <c r="UBX29" s="289"/>
      <c r="UBY29" s="289"/>
      <c r="UBZ29" s="289"/>
      <c r="UCA29" s="289"/>
      <c r="UCB29" s="289"/>
      <c r="UCC29" s="289"/>
      <c r="UCD29" s="289"/>
      <c r="UCE29" s="289"/>
      <c r="UCF29" s="289"/>
      <c r="UCG29" s="289"/>
      <c r="UCH29" s="289"/>
      <c r="UCI29" s="289"/>
      <c r="UCJ29" s="289"/>
      <c r="UCK29" s="289"/>
      <c r="UCL29" s="289"/>
      <c r="UCM29" s="289"/>
      <c r="UCN29" s="289"/>
      <c r="UCO29" s="289"/>
      <c r="UCP29" s="289"/>
      <c r="UCQ29" s="289"/>
      <c r="UCR29" s="289"/>
      <c r="UCS29" s="289"/>
      <c r="UCT29" s="289"/>
      <c r="UCU29" s="289"/>
      <c r="UCV29" s="289"/>
      <c r="UCW29" s="289"/>
      <c r="UCX29" s="289"/>
      <c r="UCY29" s="289"/>
      <c r="UCZ29" s="289"/>
      <c r="UDA29" s="289"/>
      <c r="UDB29" s="289"/>
      <c r="UDC29" s="289"/>
      <c r="UDD29" s="289"/>
      <c r="UDE29" s="289"/>
      <c r="UDF29" s="289"/>
      <c r="UDG29" s="289"/>
      <c r="UDH29" s="289"/>
      <c r="UDI29" s="289"/>
      <c r="UDJ29" s="289"/>
      <c r="UDK29" s="289"/>
      <c r="UDL29" s="289"/>
      <c r="UDM29" s="289"/>
      <c r="UDN29" s="289"/>
      <c r="UDO29" s="289"/>
      <c r="UDP29" s="289"/>
      <c r="UDQ29" s="289"/>
      <c r="UDR29" s="289"/>
      <c r="UDS29" s="289"/>
      <c r="UDT29" s="289"/>
      <c r="UDU29" s="289"/>
      <c r="UDV29" s="289"/>
      <c r="UDW29" s="289"/>
      <c r="UDX29" s="289"/>
      <c r="UDY29" s="289"/>
      <c r="UDZ29" s="289"/>
      <c r="UEA29" s="289"/>
      <c r="UEB29" s="289"/>
      <c r="UEC29" s="289"/>
      <c r="UED29" s="289"/>
      <c r="UEE29" s="289"/>
      <c r="UEF29" s="289"/>
      <c r="UEG29" s="289"/>
      <c r="UEH29" s="289"/>
      <c r="UEI29" s="289"/>
      <c r="UEJ29" s="289"/>
      <c r="UEK29" s="289"/>
      <c r="UEL29" s="289"/>
      <c r="UEM29" s="289"/>
      <c r="UEN29" s="289"/>
      <c r="UEO29" s="289"/>
      <c r="UEP29" s="289"/>
      <c r="UEQ29" s="289"/>
      <c r="UER29" s="289"/>
      <c r="UES29" s="289"/>
      <c r="UET29" s="289"/>
      <c r="UEU29" s="289"/>
      <c r="UEV29" s="289"/>
      <c r="UEW29" s="289"/>
      <c r="UEX29" s="289"/>
      <c r="UEY29" s="289"/>
      <c r="UEZ29" s="289"/>
      <c r="UFA29" s="289"/>
      <c r="UFB29" s="289"/>
      <c r="UFC29" s="289"/>
      <c r="UFD29" s="289"/>
      <c r="UFE29" s="289"/>
      <c r="UFF29" s="289"/>
      <c r="UFG29" s="289"/>
      <c r="UFH29" s="289"/>
      <c r="UFI29" s="289"/>
      <c r="UFJ29" s="289"/>
      <c r="UFK29" s="289"/>
      <c r="UFL29" s="289"/>
      <c r="UFM29" s="289"/>
      <c r="UFN29" s="289"/>
      <c r="UFO29" s="289"/>
      <c r="UFP29" s="289"/>
      <c r="UFQ29" s="289"/>
      <c r="UFR29" s="289"/>
      <c r="UFS29" s="289"/>
      <c r="UFT29" s="289"/>
      <c r="UFU29" s="289"/>
      <c r="UFV29" s="289"/>
      <c r="UFW29" s="289"/>
      <c r="UFX29" s="289"/>
      <c r="UFY29" s="289"/>
      <c r="UFZ29" s="289"/>
      <c r="UGA29" s="289"/>
      <c r="UGB29" s="289"/>
      <c r="UGC29" s="289"/>
      <c r="UGD29" s="289"/>
      <c r="UGE29" s="289"/>
      <c r="UGF29" s="289"/>
      <c r="UGG29" s="289"/>
      <c r="UGH29" s="289"/>
      <c r="UGI29" s="289"/>
      <c r="UGJ29" s="289"/>
      <c r="UGK29" s="289"/>
      <c r="UGL29" s="289"/>
      <c r="UGM29" s="289"/>
      <c r="UGN29" s="289"/>
      <c r="UGO29" s="289"/>
      <c r="UGP29" s="289"/>
      <c r="UGQ29" s="289"/>
      <c r="UGR29" s="289"/>
      <c r="UGS29" s="289"/>
      <c r="UGT29" s="289"/>
      <c r="UGU29" s="289"/>
      <c r="UGV29" s="289"/>
      <c r="UGW29" s="289"/>
      <c r="UGX29" s="289"/>
      <c r="UGY29" s="289"/>
      <c r="UGZ29" s="289"/>
      <c r="UHA29" s="289"/>
      <c r="UHB29" s="289"/>
      <c r="UHC29" s="289"/>
      <c r="UHD29" s="289"/>
      <c r="UHE29" s="289"/>
      <c r="UHF29" s="289"/>
      <c r="UHG29" s="289"/>
      <c r="UHH29" s="289"/>
      <c r="UHI29" s="289"/>
      <c r="UHJ29" s="289"/>
      <c r="UHK29" s="289"/>
      <c r="UHL29" s="289"/>
      <c r="UHM29" s="289"/>
      <c r="UHN29" s="289"/>
      <c r="UHO29" s="289"/>
      <c r="UHP29" s="289"/>
      <c r="UHQ29" s="289"/>
      <c r="UHR29" s="289"/>
      <c r="UHS29" s="289"/>
      <c r="UHT29" s="289"/>
      <c r="UHU29" s="289"/>
      <c r="UHV29" s="289"/>
      <c r="UHW29" s="289"/>
      <c r="UHX29" s="289"/>
      <c r="UHY29" s="289"/>
      <c r="UHZ29" s="289"/>
      <c r="UIA29" s="289"/>
      <c r="UIB29" s="289"/>
      <c r="UIC29" s="289"/>
      <c r="UID29" s="289"/>
      <c r="UIE29" s="289"/>
      <c r="UIF29" s="289"/>
      <c r="UIG29" s="289"/>
      <c r="UIH29" s="289"/>
      <c r="UII29" s="289"/>
      <c r="UIJ29" s="289"/>
      <c r="UIK29" s="289"/>
      <c r="UIL29" s="289"/>
      <c r="UIM29" s="289"/>
      <c r="UIN29" s="289"/>
      <c r="UIO29" s="289"/>
      <c r="UIP29" s="289"/>
      <c r="UIQ29" s="289"/>
      <c r="UIR29" s="289"/>
      <c r="UIS29" s="289"/>
      <c r="UIT29" s="289"/>
      <c r="UIU29" s="289"/>
      <c r="UIV29" s="289"/>
      <c r="UIW29" s="289"/>
      <c r="UIX29" s="289"/>
      <c r="UIY29" s="289"/>
      <c r="UIZ29" s="289"/>
      <c r="UJA29" s="289"/>
      <c r="UJB29" s="289"/>
      <c r="UJC29" s="289"/>
      <c r="UJD29" s="289"/>
      <c r="UJE29" s="289"/>
      <c r="UJF29" s="289"/>
      <c r="UJG29" s="289"/>
      <c r="UJH29" s="289"/>
      <c r="UJI29" s="289"/>
      <c r="UJJ29" s="289"/>
      <c r="UJK29" s="289"/>
      <c r="UJL29" s="289"/>
      <c r="UJM29" s="289"/>
      <c r="UJN29" s="289"/>
      <c r="UJO29" s="289"/>
      <c r="UJP29" s="289"/>
      <c r="UJQ29" s="289"/>
      <c r="UJR29" s="289"/>
      <c r="UJS29" s="289"/>
      <c r="UJT29" s="289"/>
      <c r="UJU29" s="289"/>
      <c r="UJV29" s="289"/>
      <c r="UJW29" s="289"/>
      <c r="UJX29" s="289"/>
      <c r="UJY29" s="289"/>
      <c r="UJZ29" s="289"/>
      <c r="UKA29" s="289"/>
      <c r="UKB29" s="289"/>
      <c r="UKC29" s="289"/>
      <c r="UKD29" s="289"/>
      <c r="UKE29" s="289"/>
      <c r="UKF29" s="289"/>
      <c r="UKG29" s="289"/>
      <c r="UKH29" s="289"/>
      <c r="UKI29" s="289"/>
      <c r="UKJ29" s="289"/>
      <c r="UKK29" s="289"/>
      <c r="UKL29" s="289"/>
      <c r="UKM29" s="289"/>
      <c r="UKN29" s="289"/>
      <c r="UKO29" s="289"/>
      <c r="UKP29" s="289"/>
      <c r="UKQ29" s="289"/>
      <c r="UKR29" s="289"/>
      <c r="UKS29" s="289"/>
      <c r="UKT29" s="289"/>
      <c r="UKU29" s="289"/>
      <c r="UKV29" s="289"/>
      <c r="UKW29" s="289"/>
      <c r="UKX29" s="289"/>
      <c r="UKY29" s="289"/>
      <c r="UKZ29" s="289"/>
      <c r="ULA29" s="289"/>
      <c r="ULB29" s="289"/>
      <c r="ULC29" s="289"/>
      <c r="ULD29" s="289"/>
      <c r="ULE29" s="289"/>
      <c r="ULF29" s="289"/>
      <c r="ULG29" s="289"/>
      <c r="ULH29" s="289"/>
      <c r="ULI29" s="289"/>
      <c r="ULJ29" s="289"/>
      <c r="ULK29" s="289"/>
      <c r="ULL29" s="289"/>
      <c r="ULM29" s="289"/>
      <c r="ULN29" s="289"/>
      <c r="ULO29" s="289"/>
      <c r="ULP29" s="289"/>
      <c r="ULQ29" s="289"/>
      <c r="ULR29" s="289"/>
      <c r="ULS29" s="289"/>
      <c r="ULT29" s="289"/>
      <c r="ULU29" s="289"/>
      <c r="ULV29" s="289"/>
      <c r="ULW29" s="289"/>
      <c r="ULX29" s="289"/>
      <c r="ULY29" s="289"/>
      <c r="ULZ29" s="289"/>
      <c r="UMA29" s="289"/>
      <c r="UMB29" s="289"/>
      <c r="UMC29" s="289"/>
      <c r="UMD29" s="289"/>
      <c r="UME29" s="289"/>
      <c r="UMF29" s="289"/>
      <c r="UMG29" s="289"/>
      <c r="UMH29" s="289"/>
      <c r="UMI29" s="289"/>
      <c r="UMJ29" s="289"/>
      <c r="UMK29" s="289"/>
      <c r="UML29" s="289"/>
      <c r="UMM29" s="289"/>
      <c r="UMN29" s="289"/>
      <c r="UMO29" s="289"/>
      <c r="UMP29" s="289"/>
      <c r="UMQ29" s="289"/>
      <c r="UMR29" s="289"/>
      <c r="UMS29" s="289"/>
      <c r="UMT29" s="289"/>
      <c r="UMU29" s="289"/>
      <c r="UMV29" s="289"/>
      <c r="UMW29" s="289"/>
      <c r="UMX29" s="289"/>
      <c r="UMY29" s="289"/>
      <c r="UMZ29" s="289"/>
      <c r="UNA29" s="289"/>
      <c r="UNB29" s="289"/>
      <c r="UNC29" s="289"/>
      <c r="UND29" s="289"/>
      <c r="UNE29" s="289"/>
      <c r="UNF29" s="289"/>
      <c r="UNG29" s="289"/>
      <c r="UNH29" s="289"/>
      <c r="UNI29" s="289"/>
      <c r="UNJ29" s="289"/>
      <c r="UNK29" s="289"/>
      <c r="UNL29" s="289"/>
      <c r="UNM29" s="289"/>
      <c r="UNN29" s="289"/>
      <c r="UNO29" s="289"/>
      <c r="UNP29" s="289"/>
      <c r="UNQ29" s="289"/>
      <c r="UNR29" s="289"/>
      <c r="UNS29" s="289"/>
      <c r="UNT29" s="289"/>
      <c r="UNU29" s="289"/>
      <c r="UNV29" s="289"/>
      <c r="UNW29" s="289"/>
      <c r="UNX29" s="289"/>
      <c r="UNY29" s="289"/>
      <c r="UNZ29" s="289"/>
      <c r="UOA29" s="289"/>
      <c r="UOB29" s="289"/>
      <c r="UOC29" s="289"/>
      <c r="UOD29" s="289"/>
      <c r="UOE29" s="289"/>
      <c r="UOF29" s="289"/>
      <c r="UOG29" s="289"/>
      <c r="UOH29" s="289"/>
      <c r="UOI29" s="289"/>
      <c r="UOJ29" s="289"/>
      <c r="UOK29" s="289"/>
      <c r="UOL29" s="289"/>
      <c r="UOM29" s="289"/>
      <c r="UON29" s="289"/>
      <c r="UOO29" s="289"/>
      <c r="UOP29" s="289"/>
      <c r="UOQ29" s="289"/>
      <c r="UOR29" s="289"/>
      <c r="UOS29" s="289"/>
      <c r="UOT29" s="289"/>
      <c r="UOU29" s="289"/>
      <c r="UOV29" s="289"/>
      <c r="UOW29" s="289"/>
      <c r="UOX29" s="289"/>
      <c r="UOY29" s="289"/>
      <c r="UOZ29" s="289"/>
      <c r="UPA29" s="289"/>
      <c r="UPB29" s="289"/>
      <c r="UPC29" s="289"/>
      <c r="UPD29" s="289"/>
      <c r="UPE29" s="289"/>
      <c r="UPF29" s="289"/>
      <c r="UPG29" s="289"/>
      <c r="UPH29" s="289"/>
      <c r="UPI29" s="289"/>
      <c r="UPJ29" s="289"/>
      <c r="UPK29" s="289"/>
      <c r="UPL29" s="289"/>
      <c r="UPM29" s="289"/>
      <c r="UPN29" s="289"/>
      <c r="UPO29" s="289"/>
      <c r="UPP29" s="289"/>
      <c r="UPQ29" s="289"/>
      <c r="UPR29" s="289"/>
      <c r="UPS29" s="289"/>
      <c r="UPT29" s="289"/>
      <c r="UPU29" s="289"/>
      <c r="UPV29" s="289"/>
      <c r="UPW29" s="289"/>
      <c r="UPX29" s="289"/>
      <c r="UPY29" s="289"/>
      <c r="UPZ29" s="289"/>
      <c r="UQA29" s="289"/>
      <c r="UQB29" s="289"/>
      <c r="UQC29" s="289"/>
      <c r="UQD29" s="289"/>
      <c r="UQE29" s="289"/>
      <c r="UQF29" s="289"/>
      <c r="UQG29" s="289"/>
      <c r="UQH29" s="289"/>
      <c r="UQI29" s="289"/>
      <c r="UQJ29" s="289"/>
      <c r="UQK29" s="289"/>
      <c r="UQL29" s="289"/>
      <c r="UQM29" s="289"/>
      <c r="UQN29" s="289"/>
      <c r="UQO29" s="289"/>
      <c r="UQP29" s="289"/>
      <c r="UQQ29" s="289"/>
      <c r="UQR29" s="289"/>
      <c r="UQS29" s="289"/>
      <c r="UQT29" s="289"/>
      <c r="UQU29" s="289"/>
      <c r="UQV29" s="289"/>
      <c r="UQW29" s="289"/>
      <c r="UQX29" s="289"/>
      <c r="UQY29" s="289"/>
      <c r="UQZ29" s="289"/>
      <c r="URA29" s="289"/>
      <c r="URB29" s="289"/>
      <c r="URC29" s="289"/>
      <c r="URD29" s="289"/>
      <c r="URE29" s="289"/>
      <c r="URF29" s="289"/>
      <c r="URG29" s="289"/>
      <c r="URH29" s="289"/>
      <c r="URI29" s="289"/>
      <c r="URJ29" s="289"/>
      <c r="URK29" s="289"/>
      <c r="URL29" s="289"/>
      <c r="URM29" s="289"/>
      <c r="URN29" s="289"/>
      <c r="URO29" s="289"/>
      <c r="URP29" s="289"/>
      <c r="URQ29" s="289"/>
      <c r="URR29" s="289"/>
      <c r="URS29" s="289"/>
      <c r="URT29" s="289"/>
      <c r="URU29" s="289"/>
      <c r="URV29" s="289"/>
      <c r="URW29" s="289"/>
      <c r="URX29" s="289"/>
      <c r="URY29" s="289"/>
      <c r="URZ29" s="289"/>
      <c r="USA29" s="289"/>
      <c r="USB29" s="289"/>
      <c r="USC29" s="289"/>
      <c r="USD29" s="289"/>
      <c r="USE29" s="289"/>
      <c r="USF29" s="289"/>
      <c r="USG29" s="289"/>
      <c r="USH29" s="289"/>
      <c r="USI29" s="289"/>
      <c r="USJ29" s="289"/>
      <c r="USK29" s="289"/>
      <c r="USL29" s="289"/>
      <c r="USM29" s="289"/>
      <c r="USN29" s="289"/>
      <c r="USO29" s="289"/>
      <c r="USP29" s="289"/>
      <c r="USQ29" s="289"/>
      <c r="USR29" s="289"/>
      <c r="USS29" s="289"/>
      <c r="UST29" s="289"/>
      <c r="USU29" s="289"/>
      <c r="USV29" s="289"/>
      <c r="USW29" s="289"/>
      <c r="USX29" s="289"/>
      <c r="USY29" s="289"/>
      <c r="USZ29" s="289"/>
      <c r="UTA29" s="289"/>
      <c r="UTB29" s="289"/>
      <c r="UTC29" s="289"/>
      <c r="UTD29" s="289"/>
      <c r="UTE29" s="289"/>
      <c r="UTF29" s="289"/>
      <c r="UTG29" s="289"/>
      <c r="UTH29" s="289"/>
      <c r="UTI29" s="289"/>
      <c r="UTJ29" s="289"/>
      <c r="UTK29" s="289"/>
      <c r="UTL29" s="289"/>
      <c r="UTM29" s="289"/>
      <c r="UTN29" s="289"/>
      <c r="UTO29" s="289"/>
      <c r="UTP29" s="289"/>
      <c r="UTQ29" s="289"/>
      <c r="UTR29" s="289"/>
      <c r="UTS29" s="289"/>
      <c r="UTT29" s="289"/>
      <c r="UTU29" s="289"/>
      <c r="UTV29" s="289"/>
      <c r="UTW29" s="289"/>
      <c r="UTX29" s="289"/>
      <c r="UTY29" s="289"/>
      <c r="UTZ29" s="289"/>
      <c r="UUA29" s="289"/>
      <c r="UUB29" s="289"/>
      <c r="UUC29" s="289"/>
      <c r="UUD29" s="289"/>
      <c r="UUE29" s="289"/>
      <c r="UUF29" s="289"/>
      <c r="UUG29" s="289"/>
      <c r="UUH29" s="289"/>
      <c r="UUI29" s="289"/>
      <c r="UUJ29" s="289"/>
      <c r="UUK29" s="289"/>
      <c r="UUL29" s="289"/>
      <c r="UUM29" s="289"/>
      <c r="UUN29" s="289"/>
      <c r="UUO29" s="289"/>
      <c r="UUP29" s="289"/>
      <c r="UUQ29" s="289"/>
      <c r="UUR29" s="289"/>
      <c r="UUS29" s="289"/>
      <c r="UUT29" s="289"/>
      <c r="UUU29" s="289"/>
      <c r="UUV29" s="289"/>
      <c r="UUW29" s="289"/>
      <c r="UUX29" s="289"/>
      <c r="UUY29" s="289"/>
      <c r="UUZ29" s="289"/>
      <c r="UVA29" s="289"/>
      <c r="UVB29" s="289"/>
      <c r="UVC29" s="289"/>
      <c r="UVD29" s="289"/>
      <c r="UVE29" s="289"/>
      <c r="UVF29" s="289"/>
      <c r="UVG29" s="289"/>
      <c r="UVH29" s="289"/>
      <c r="UVI29" s="289"/>
      <c r="UVJ29" s="289"/>
      <c r="UVK29" s="289"/>
      <c r="UVL29" s="289"/>
      <c r="UVM29" s="289"/>
      <c r="UVN29" s="289"/>
      <c r="UVO29" s="289"/>
      <c r="UVP29" s="289"/>
      <c r="UVQ29" s="289"/>
      <c r="UVR29" s="289"/>
      <c r="UVS29" s="289"/>
      <c r="UVT29" s="289"/>
      <c r="UVU29" s="289"/>
      <c r="UVV29" s="289"/>
      <c r="UVW29" s="289"/>
      <c r="UVX29" s="289"/>
      <c r="UVY29" s="289"/>
      <c r="UVZ29" s="289"/>
      <c r="UWA29" s="289"/>
      <c r="UWB29" s="289"/>
      <c r="UWC29" s="289"/>
      <c r="UWD29" s="289"/>
      <c r="UWE29" s="289"/>
      <c r="UWF29" s="289"/>
      <c r="UWG29" s="289"/>
      <c r="UWH29" s="289"/>
      <c r="UWI29" s="289"/>
      <c r="UWJ29" s="289"/>
      <c r="UWK29" s="289"/>
      <c r="UWL29" s="289"/>
      <c r="UWM29" s="289"/>
      <c r="UWN29" s="289"/>
      <c r="UWO29" s="289"/>
      <c r="UWP29" s="289"/>
      <c r="UWQ29" s="289"/>
      <c r="UWR29" s="289"/>
      <c r="UWS29" s="289"/>
      <c r="UWT29" s="289"/>
      <c r="UWU29" s="289"/>
      <c r="UWV29" s="289"/>
      <c r="UWW29" s="289"/>
      <c r="UWX29" s="289"/>
      <c r="UWY29" s="289"/>
      <c r="UWZ29" s="289"/>
      <c r="UXA29" s="289"/>
      <c r="UXB29" s="289"/>
      <c r="UXC29" s="289"/>
      <c r="UXD29" s="289"/>
      <c r="UXE29" s="289"/>
      <c r="UXF29" s="289"/>
      <c r="UXG29" s="289"/>
      <c r="UXH29" s="289"/>
      <c r="UXI29" s="289"/>
      <c r="UXJ29" s="289"/>
      <c r="UXK29" s="289"/>
      <c r="UXL29" s="289"/>
      <c r="UXM29" s="289"/>
      <c r="UXN29" s="289"/>
      <c r="UXO29" s="289"/>
      <c r="UXP29" s="289"/>
      <c r="UXQ29" s="289"/>
      <c r="UXR29" s="289"/>
      <c r="UXS29" s="289"/>
      <c r="UXT29" s="289"/>
      <c r="UXU29" s="289"/>
      <c r="UXV29" s="289"/>
      <c r="UXW29" s="289"/>
      <c r="UXX29" s="289"/>
      <c r="UXY29" s="289"/>
      <c r="UXZ29" s="289"/>
      <c r="UYA29" s="289"/>
      <c r="UYB29" s="289"/>
      <c r="UYC29" s="289"/>
      <c r="UYD29" s="289"/>
      <c r="UYE29" s="289"/>
      <c r="UYF29" s="289"/>
      <c r="UYG29" s="289"/>
      <c r="UYH29" s="289"/>
      <c r="UYI29" s="289"/>
      <c r="UYJ29" s="289"/>
      <c r="UYK29" s="289"/>
      <c r="UYL29" s="289"/>
      <c r="UYM29" s="289"/>
      <c r="UYN29" s="289"/>
      <c r="UYO29" s="289"/>
      <c r="UYP29" s="289"/>
      <c r="UYQ29" s="289"/>
      <c r="UYR29" s="289"/>
      <c r="UYS29" s="289"/>
      <c r="UYT29" s="289"/>
      <c r="UYU29" s="289"/>
      <c r="UYV29" s="289"/>
      <c r="UYW29" s="289"/>
      <c r="UYX29" s="289"/>
      <c r="UYY29" s="289"/>
      <c r="UYZ29" s="289"/>
      <c r="UZA29" s="289"/>
      <c r="UZB29" s="289"/>
      <c r="UZC29" s="289"/>
      <c r="UZD29" s="289"/>
      <c r="UZE29" s="289"/>
      <c r="UZF29" s="289"/>
      <c r="UZG29" s="289"/>
      <c r="UZH29" s="289"/>
      <c r="UZI29" s="289"/>
      <c r="UZJ29" s="289"/>
      <c r="UZK29" s="289"/>
      <c r="UZL29" s="289"/>
      <c r="UZM29" s="289"/>
      <c r="UZN29" s="289"/>
      <c r="UZO29" s="289"/>
      <c r="UZP29" s="289"/>
      <c r="UZQ29" s="289"/>
      <c r="UZR29" s="289"/>
      <c r="UZS29" s="289"/>
      <c r="UZT29" s="289"/>
      <c r="UZU29" s="289"/>
      <c r="UZV29" s="289"/>
      <c r="UZW29" s="289"/>
      <c r="UZX29" s="289"/>
      <c r="UZY29" s="289"/>
      <c r="UZZ29" s="289"/>
      <c r="VAA29" s="289"/>
      <c r="VAB29" s="289"/>
      <c r="VAC29" s="289"/>
      <c r="VAD29" s="289"/>
      <c r="VAE29" s="289"/>
      <c r="VAF29" s="289"/>
      <c r="VAG29" s="289"/>
      <c r="VAH29" s="289"/>
      <c r="VAI29" s="289"/>
      <c r="VAJ29" s="289"/>
      <c r="VAK29" s="289"/>
      <c r="VAL29" s="289"/>
      <c r="VAM29" s="289"/>
      <c r="VAN29" s="289"/>
      <c r="VAO29" s="289"/>
      <c r="VAP29" s="289"/>
      <c r="VAQ29" s="289"/>
      <c r="VAR29" s="289"/>
      <c r="VAS29" s="289"/>
      <c r="VAT29" s="289"/>
      <c r="VAU29" s="289"/>
      <c r="VAV29" s="289"/>
      <c r="VAW29" s="289"/>
      <c r="VAX29" s="289"/>
      <c r="VAY29" s="289"/>
      <c r="VAZ29" s="289"/>
      <c r="VBA29" s="289"/>
      <c r="VBB29" s="289"/>
      <c r="VBC29" s="289"/>
      <c r="VBD29" s="289"/>
      <c r="VBE29" s="289"/>
      <c r="VBF29" s="289"/>
      <c r="VBG29" s="289"/>
      <c r="VBH29" s="289"/>
      <c r="VBI29" s="289"/>
      <c r="VBJ29" s="289"/>
      <c r="VBK29" s="289"/>
      <c r="VBL29" s="289"/>
      <c r="VBM29" s="289"/>
      <c r="VBN29" s="289"/>
      <c r="VBO29" s="289"/>
      <c r="VBP29" s="289"/>
      <c r="VBQ29" s="289"/>
      <c r="VBR29" s="289"/>
      <c r="VBS29" s="289"/>
      <c r="VBT29" s="289"/>
      <c r="VBU29" s="289"/>
      <c r="VBV29" s="289"/>
      <c r="VBW29" s="289"/>
      <c r="VBX29" s="289"/>
      <c r="VBY29" s="289"/>
      <c r="VBZ29" s="289"/>
      <c r="VCA29" s="289"/>
      <c r="VCB29" s="289"/>
      <c r="VCC29" s="289"/>
      <c r="VCD29" s="289"/>
      <c r="VCE29" s="289"/>
      <c r="VCF29" s="289"/>
      <c r="VCG29" s="289"/>
      <c r="VCH29" s="289"/>
      <c r="VCI29" s="289"/>
      <c r="VCJ29" s="289"/>
      <c r="VCK29" s="289"/>
      <c r="VCL29" s="289"/>
      <c r="VCM29" s="289"/>
      <c r="VCN29" s="289"/>
      <c r="VCO29" s="289"/>
      <c r="VCP29" s="289"/>
      <c r="VCQ29" s="289"/>
      <c r="VCR29" s="289"/>
      <c r="VCS29" s="289"/>
      <c r="VCT29" s="289"/>
      <c r="VCU29" s="289"/>
      <c r="VCV29" s="289"/>
      <c r="VCW29" s="289"/>
      <c r="VCX29" s="289"/>
      <c r="VCY29" s="289"/>
      <c r="VCZ29" s="289"/>
      <c r="VDA29" s="289"/>
      <c r="VDB29" s="289"/>
      <c r="VDC29" s="289"/>
      <c r="VDD29" s="289"/>
      <c r="VDE29" s="289"/>
      <c r="VDF29" s="289"/>
      <c r="VDG29" s="289"/>
      <c r="VDH29" s="289"/>
      <c r="VDI29" s="289"/>
      <c r="VDJ29" s="289"/>
      <c r="VDK29" s="289"/>
      <c r="VDL29" s="289"/>
      <c r="VDM29" s="289"/>
      <c r="VDN29" s="289"/>
      <c r="VDO29" s="289"/>
      <c r="VDP29" s="289"/>
      <c r="VDQ29" s="289"/>
      <c r="VDR29" s="289"/>
      <c r="VDS29" s="289"/>
      <c r="VDT29" s="289"/>
      <c r="VDU29" s="289"/>
      <c r="VDV29" s="289"/>
      <c r="VDW29" s="289"/>
      <c r="VDX29" s="289"/>
      <c r="VDY29" s="289"/>
      <c r="VDZ29" s="289"/>
      <c r="VEA29" s="289"/>
      <c r="VEB29" s="289"/>
      <c r="VEC29" s="289"/>
      <c r="VED29" s="289"/>
      <c r="VEE29" s="289"/>
      <c r="VEF29" s="289"/>
      <c r="VEG29" s="289"/>
      <c r="VEH29" s="289"/>
      <c r="VEI29" s="289"/>
      <c r="VEJ29" s="289"/>
      <c r="VEK29" s="289"/>
      <c r="VEL29" s="289"/>
      <c r="VEM29" s="289"/>
      <c r="VEN29" s="289"/>
      <c r="VEO29" s="289"/>
      <c r="VEP29" s="289"/>
      <c r="VEQ29" s="289"/>
      <c r="VER29" s="289"/>
      <c r="VES29" s="289"/>
      <c r="VET29" s="289"/>
      <c r="VEU29" s="289"/>
      <c r="VEV29" s="289"/>
      <c r="VEW29" s="289"/>
      <c r="VEX29" s="289"/>
      <c r="VEY29" s="289"/>
      <c r="VEZ29" s="289"/>
      <c r="VFA29" s="289"/>
      <c r="VFB29" s="289"/>
      <c r="VFC29" s="289"/>
      <c r="VFD29" s="289"/>
      <c r="VFE29" s="289"/>
      <c r="VFF29" s="289"/>
      <c r="VFG29" s="289"/>
      <c r="VFH29" s="289"/>
      <c r="VFI29" s="289"/>
      <c r="VFJ29" s="289"/>
      <c r="VFK29" s="289"/>
      <c r="VFL29" s="289"/>
      <c r="VFM29" s="289"/>
      <c r="VFN29" s="289"/>
      <c r="VFO29" s="289"/>
      <c r="VFP29" s="289"/>
      <c r="VFQ29" s="289"/>
      <c r="VFR29" s="289"/>
      <c r="VFS29" s="289"/>
      <c r="VFT29" s="289"/>
      <c r="VFU29" s="289"/>
      <c r="VFV29" s="289"/>
      <c r="VFW29" s="289"/>
      <c r="VFX29" s="289"/>
      <c r="VFY29" s="289"/>
      <c r="VFZ29" s="289"/>
      <c r="VGA29" s="289"/>
      <c r="VGB29" s="289"/>
      <c r="VGC29" s="289"/>
      <c r="VGD29" s="289"/>
      <c r="VGE29" s="289"/>
      <c r="VGF29" s="289"/>
      <c r="VGG29" s="289"/>
      <c r="VGH29" s="289"/>
      <c r="VGI29" s="289"/>
      <c r="VGJ29" s="289"/>
      <c r="VGK29" s="289"/>
      <c r="VGL29" s="289"/>
      <c r="VGM29" s="289"/>
      <c r="VGN29" s="289"/>
      <c r="VGO29" s="289"/>
      <c r="VGP29" s="289"/>
      <c r="VGQ29" s="289"/>
      <c r="VGR29" s="289"/>
      <c r="VGS29" s="289"/>
      <c r="VGT29" s="289"/>
      <c r="VGU29" s="289"/>
      <c r="VGV29" s="289"/>
      <c r="VGW29" s="289"/>
      <c r="VGX29" s="289"/>
      <c r="VGY29" s="289"/>
      <c r="VGZ29" s="289"/>
      <c r="VHA29" s="289"/>
      <c r="VHB29" s="289"/>
      <c r="VHC29" s="289"/>
      <c r="VHD29" s="289"/>
      <c r="VHE29" s="289"/>
      <c r="VHF29" s="289"/>
      <c r="VHG29" s="289"/>
      <c r="VHH29" s="289"/>
      <c r="VHI29" s="289"/>
      <c r="VHJ29" s="289"/>
      <c r="VHK29" s="289"/>
      <c r="VHL29" s="289"/>
      <c r="VHM29" s="289"/>
      <c r="VHN29" s="289"/>
      <c r="VHO29" s="289"/>
      <c r="VHP29" s="289"/>
      <c r="VHQ29" s="289"/>
      <c r="VHR29" s="289"/>
      <c r="VHS29" s="289"/>
      <c r="VHT29" s="289"/>
      <c r="VHU29" s="289"/>
      <c r="VHV29" s="289"/>
      <c r="VHW29" s="289"/>
      <c r="VHX29" s="289"/>
      <c r="VHY29" s="289"/>
      <c r="VHZ29" s="289"/>
      <c r="VIA29" s="289"/>
      <c r="VIB29" s="289"/>
      <c r="VIC29" s="289"/>
      <c r="VID29" s="289"/>
      <c r="VIE29" s="289"/>
      <c r="VIF29" s="289"/>
      <c r="VIG29" s="289"/>
      <c r="VIH29" s="289"/>
      <c r="VII29" s="289"/>
      <c r="VIJ29" s="289"/>
      <c r="VIK29" s="289"/>
      <c r="VIL29" s="289"/>
      <c r="VIM29" s="289"/>
      <c r="VIN29" s="289"/>
      <c r="VIO29" s="289"/>
      <c r="VIP29" s="289"/>
      <c r="VIQ29" s="289"/>
      <c r="VIR29" s="289"/>
      <c r="VIS29" s="289"/>
      <c r="VIT29" s="289"/>
      <c r="VIU29" s="289"/>
      <c r="VIV29" s="289"/>
      <c r="VIW29" s="289"/>
      <c r="VIX29" s="289"/>
      <c r="VIY29" s="289"/>
      <c r="VIZ29" s="289"/>
      <c r="VJA29" s="289"/>
      <c r="VJB29" s="289"/>
      <c r="VJC29" s="289"/>
      <c r="VJD29" s="289"/>
      <c r="VJE29" s="289"/>
      <c r="VJF29" s="289"/>
      <c r="VJG29" s="289"/>
      <c r="VJH29" s="289"/>
      <c r="VJI29" s="289"/>
      <c r="VJJ29" s="289"/>
      <c r="VJK29" s="289"/>
      <c r="VJL29" s="289"/>
      <c r="VJM29" s="289"/>
      <c r="VJN29" s="289"/>
      <c r="VJO29" s="289"/>
      <c r="VJP29" s="289"/>
      <c r="VJQ29" s="289"/>
      <c r="VJR29" s="289"/>
      <c r="VJS29" s="289"/>
      <c r="VJT29" s="289"/>
      <c r="VJU29" s="289"/>
      <c r="VJV29" s="289"/>
      <c r="VJW29" s="289"/>
      <c r="VJX29" s="289"/>
      <c r="VJY29" s="289"/>
      <c r="VJZ29" s="289"/>
      <c r="VKA29" s="289"/>
      <c r="VKB29" s="289"/>
      <c r="VKC29" s="289"/>
      <c r="VKD29" s="289"/>
      <c r="VKE29" s="289"/>
      <c r="VKF29" s="289"/>
      <c r="VKG29" s="289"/>
      <c r="VKH29" s="289"/>
      <c r="VKI29" s="289"/>
      <c r="VKJ29" s="289"/>
      <c r="VKK29" s="289"/>
      <c r="VKL29" s="289"/>
      <c r="VKM29" s="289"/>
      <c r="VKN29" s="289"/>
      <c r="VKO29" s="289"/>
      <c r="VKP29" s="289"/>
      <c r="VKQ29" s="289"/>
      <c r="VKR29" s="289"/>
      <c r="VKS29" s="289"/>
      <c r="VKT29" s="289"/>
      <c r="VKU29" s="289"/>
      <c r="VKV29" s="289"/>
      <c r="VKW29" s="289"/>
      <c r="VKX29" s="289"/>
      <c r="VKY29" s="289"/>
      <c r="VKZ29" s="289"/>
      <c r="VLA29" s="289"/>
      <c r="VLB29" s="289"/>
      <c r="VLC29" s="289"/>
      <c r="VLD29" s="289"/>
      <c r="VLE29" s="289"/>
      <c r="VLF29" s="289"/>
      <c r="VLG29" s="289"/>
      <c r="VLH29" s="289"/>
      <c r="VLI29" s="289"/>
      <c r="VLJ29" s="289"/>
      <c r="VLK29" s="289"/>
      <c r="VLL29" s="289"/>
      <c r="VLM29" s="289"/>
      <c r="VLN29" s="289"/>
      <c r="VLO29" s="289"/>
      <c r="VLP29" s="289"/>
      <c r="VLQ29" s="289"/>
      <c r="VLR29" s="289"/>
      <c r="VLS29" s="289"/>
      <c r="VLT29" s="289"/>
      <c r="VLU29" s="289"/>
      <c r="VLV29" s="289"/>
      <c r="VLW29" s="289"/>
      <c r="VLX29" s="289"/>
      <c r="VLY29" s="289"/>
      <c r="VLZ29" s="289"/>
      <c r="VMA29" s="289"/>
      <c r="VMB29" s="289"/>
      <c r="VMC29" s="289"/>
      <c r="VMD29" s="289"/>
      <c r="VME29" s="289"/>
      <c r="VMF29" s="289"/>
      <c r="VMG29" s="289"/>
      <c r="VMH29" s="289"/>
      <c r="VMI29" s="289"/>
      <c r="VMJ29" s="289"/>
      <c r="VMK29" s="289"/>
      <c r="VML29" s="289"/>
      <c r="VMM29" s="289"/>
      <c r="VMN29" s="289"/>
      <c r="VMO29" s="289"/>
      <c r="VMP29" s="289"/>
      <c r="VMQ29" s="289"/>
      <c r="VMR29" s="289"/>
      <c r="VMS29" s="289"/>
      <c r="VMT29" s="289"/>
      <c r="VMU29" s="289"/>
      <c r="VMV29" s="289"/>
      <c r="VMW29" s="289"/>
      <c r="VMX29" s="289"/>
      <c r="VMY29" s="289"/>
      <c r="VMZ29" s="289"/>
      <c r="VNA29" s="289"/>
      <c r="VNB29" s="289"/>
      <c r="VNC29" s="289"/>
      <c r="VND29" s="289"/>
      <c r="VNE29" s="289"/>
      <c r="VNF29" s="289"/>
      <c r="VNG29" s="289"/>
      <c r="VNH29" s="289"/>
      <c r="VNI29" s="289"/>
      <c r="VNJ29" s="289"/>
      <c r="VNK29" s="289"/>
      <c r="VNL29" s="289"/>
      <c r="VNM29" s="289"/>
      <c r="VNN29" s="289"/>
      <c r="VNO29" s="289"/>
      <c r="VNP29" s="289"/>
      <c r="VNQ29" s="289"/>
      <c r="VNR29" s="289"/>
      <c r="VNS29" s="289"/>
      <c r="VNT29" s="289"/>
      <c r="VNU29" s="289"/>
      <c r="VNV29" s="289"/>
      <c r="VNW29" s="289"/>
      <c r="VNX29" s="289"/>
      <c r="VNY29" s="289"/>
      <c r="VNZ29" s="289"/>
      <c r="VOA29" s="289"/>
      <c r="VOB29" s="289"/>
      <c r="VOC29" s="289"/>
      <c r="VOD29" s="289"/>
      <c r="VOE29" s="289"/>
      <c r="VOF29" s="289"/>
      <c r="VOG29" s="289"/>
      <c r="VOH29" s="289"/>
      <c r="VOI29" s="289"/>
      <c r="VOJ29" s="289"/>
      <c r="VOK29" s="289"/>
      <c r="VOL29" s="289"/>
      <c r="VOM29" s="289"/>
      <c r="VON29" s="289"/>
      <c r="VOO29" s="289"/>
      <c r="VOP29" s="289"/>
      <c r="VOQ29" s="289"/>
      <c r="VOR29" s="289"/>
      <c r="VOS29" s="289"/>
      <c r="VOT29" s="289"/>
      <c r="VOU29" s="289"/>
      <c r="VOV29" s="289"/>
      <c r="VOW29" s="289"/>
      <c r="VOX29" s="289"/>
      <c r="VOY29" s="289"/>
      <c r="VOZ29" s="289"/>
      <c r="VPA29" s="289"/>
      <c r="VPB29" s="289"/>
      <c r="VPC29" s="289"/>
      <c r="VPD29" s="289"/>
      <c r="VPE29" s="289"/>
      <c r="VPF29" s="289"/>
      <c r="VPG29" s="289"/>
      <c r="VPH29" s="289"/>
      <c r="VPI29" s="289"/>
      <c r="VPJ29" s="289"/>
      <c r="VPK29" s="289"/>
      <c r="VPL29" s="289"/>
      <c r="VPM29" s="289"/>
      <c r="VPN29" s="289"/>
      <c r="VPO29" s="289"/>
      <c r="VPP29" s="289"/>
      <c r="VPQ29" s="289"/>
      <c r="VPR29" s="289"/>
      <c r="VPS29" s="289"/>
      <c r="VPT29" s="289"/>
      <c r="VPU29" s="289"/>
      <c r="VPV29" s="289"/>
      <c r="VPW29" s="289"/>
      <c r="VPX29" s="289"/>
      <c r="VPY29" s="289"/>
      <c r="VPZ29" s="289"/>
      <c r="VQA29" s="289"/>
      <c r="VQB29" s="289"/>
      <c r="VQC29" s="289"/>
      <c r="VQD29" s="289"/>
      <c r="VQE29" s="289"/>
      <c r="VQF29" s="289"/>
      <c r="VQG29" s="289"/>
      <c r="VQH29" s="289"/>
      <c r="VQI29" s="289"/>
      <c r="VQJ29" s="289"/>
      <c r="VQK29" s="289"/>
      <c r="VQL29" s="289"/>
      <c r="VQM29" s="289"/>
      <c r="VQN29" s="289"/>
      <c r="VQO29" s="289"/>
      <c r="VQP29" s="289"/>
      <c r="VQQ29" s="289"/>
      <c r="VQR29" s="289"/>
      <c r="VQS29" s="289"/>
      <c r="VQT29" s="289"/>
      <c r="VQU29" s="289"/>
      <c r="VQV29" s="289"/>
      <c r="VQW29" s="289"/>
      <c r="VQX29" s="289"/>
      <c r="VQY29" s="289"/>
      <c r="VQZ29" s="289"/>
      <c r="VRA29" s="289"/>
      <c r="VRB29" s="289"/>
      <c r="VRC29" s="289"/>
      <c r="VRD29" s="289"/>
      <c r="VRE29" s="289"/>
      <c r="VRF29" s="289"/>
      <c r="VRG29" s="289"/>
      <c r="VRH29" s="289"/>
      <c r="VRI29" s="289"/>
      <c r="VRJ29" s="289"/>
      <c r="VRK29" s="289"/>
      <c r="VRL29" s="289"/>
      <c r="VRM29" s="289"/>
      <c r="VRN29" s="289"/>
      <c r="VRO29" s="289"/>
      <c r="VRP29" s="289"/>
      <c r="VRQ29" s="289"/>
      <c r="VRR29" s="289"/>
      <c r="VRS29" s="289"/>
      <c r="VRT29" s="289"/>
      <c r="VRU29" s="289"/>
      <c r="VRV29" s="289"/>
      <c r="VRW29" s="289"/>
      <c r="VRX29" s="289"/>
      <c r="VRY29" s="289"/>
      <c r="VRZ29" s="289"/>
      <c r="VSA29" s="289"/>
      <c r="VSB29" s="289"/>
      <c r="VSC29" s="289"/>
      <c r="VSD29" s="289"/>
      <c r="VSE29" s="289"/>
      <c r="VSF29" s="289"/>
      <c r="VSG29" s="289"/>
      <c r="VSH29" s="289"/>
      <c r="VSI29" s="289"/>
      <c r="VSJ29" s="289"/>
      <c r="VSK29" s="289"/>
      <c r="VSL29" s="289"/>
      <c r="VSM29" s="289"/>
      <c r="VSN29" s="289"/>
      <c r="VSO29" s="289"/>
      <c r="VSP29" s="289"/>
      <c r="VSQ29" s="289"/>
      <c r="VSR29" s="289"/>
      <c r="VSS29" s="289"/>
      <c r="VST29" s="289"/>
      <c r="VSU29" s="289"/>
      <c r="VSV29" s="289"/>
      <c r="VSW29" s="289"/>
      <c r="VSX29" s="289"/>
      <c r="VSY29" s="289"/>
      <c r="VSZ29" s="289"/>
      <c r="VTA29" s="289"/>
      <c r="VTB29" s="289"/>
      <c r="VTC29" s="289"/>
      <c r="VTD29" s="289"/>
      <c r="VTE29" s="289"/>
      <c r="VTF29" s="289"/>
      <c r="VTG29" s="289"/>
      <c r="VTH29" s="289"/>
      <c r="VTI29" s="289"/>
      <c r="VTJ29" s="289"/>
      <c r="VTK29" s="289"/>
      <c r="VTL29" s="289"/>
      <c r="VTM29" s="289"/>
      <c r="VTN29" s="289"/>
      <c r="VTO29" s="289"/>
      <c r="VTP29" s="289"/>
      <c r="VTQ29" s="289"/>
      <c r="VTR29" s="289"/>
      <c r="VTS29" s="289"/>
      <c r="VTT29" s="289"/>
      <c r="VTU29" s="289"/>
      <c r="VTV29" s="289"/>
      <c r="VTW29" s="289"/>
      <c r="VTX29" s="289"/>
      <c r="VTY29" s="289"/>
      <c r="VTZ29" s="289"/>
      <c r="VUA29" s="289"/>
      <c r="VUB29" s="289"/>
      <c r="VUC29" s="289"/>
      <c r="VUD29" s="289"/>
      <c r="VUE29" s="289"/>
      <c r="VUF29" s="289"/>
      <c r="VUG29" s="289"/>
      <c r="VUH29" s="289"/>
      <c r="VUI29" s="289"/>
      <c r="VUJ29" s="289"/>
      <c r="VUK29" s="289"/>
      <c r="VUL29" s="289"/>
      <c r="VUM29" s="289"/>
      <c r="VUN29" s="289"/>
      <c r="VUO29" s="289"/>
      <c r="VUP29" s="289"/>
      <c r="VUQ29" s="289"/>
      <c r="VUR29" s="289"/>
      <c r="VUS29" s="289"/>
      <c r="VUT29" s="289"/>
      <c r="VUU29" s="289"/>
      <c r="VUV29" s="289"/>
      <c r="VUW29" s="289"/>
      <c r="VUX29" s="289"/>
      <c r="VUY29" s="289"/>
      <c r="VUZ29" s="289"/>
      <c r="VVA29" s="289"/>
      <c r="VVB29" s="289"/>
      <c r="VVC29" s="289"/>
      <c r="VVD29" s="289"/>
      <c r="VVE29" s="289"/>
      <c r="VVF29" s="289"/>
      <c r="VVG29" s="289"/>
      <c r="VVH29" s="289"/>
      <c r="VVI29" s="289"/>
      <c r="VVJ29" s="289"/>
      <c r="VVK29" s="289"/>
      <c r="VVL29" s="289"/>
      <c r="VVM29" s="289"/>
      <c r="VVN29" s="289"/>
      <c r="VVO29" s="289"/>
      <c r="VVP29" s="289"/>
      <c r="VVQ29" s="289"/>
      <c r="VVR29" s="289"/>
      <c r="VVS29" s="289"/>
      <c r="VVT29" s="289"/>
      <c r="VVU29" s="289"/>
      <c r="VVV29" s="289"/>
      <c r="VVW29" s="289"/>
      <c r="VVX29" s="289"/>
      <c r="VVY29" s="289"/>
      <c r="VVZ29" s="289"/>
      <c r="VWA29" s="289"/>
      <c r="VWB29" s="289"/>
      <c r="VWC29" s="289"/>
      <c r="VWD29" s="289"/>
      <c r="VWE29" s="289"/>
      <c r="VWF29" s="289"/>
      <c r="VWG29" s="289"/>
      <c r="VWH29" s="289"/>
      <c r="VWI29" s="289"/>
      <c r="VWJ29" s="289"/>
      <c r="VWK29" s="289"/>
      <c r="VWL29" s="289"/>
      <c r="VWM29" s="289"/>
      <c r="VWN29" s="289"/>
      <c r="VWO29" s="289"/>
      <c r="VWP29" s="289"/>
      <c r="VWQ29" s="289"/>
      <c r="VWR29" s="289"/>
      <c r="VWS29" s="289"/>
      <c r="VWT29" s="289"/>
      <c r="VWU29" s="289"/>
      <c r="VWV29" s="289"/>
      <c r="VWW29" s="289"/>
      <c r="VWX29" s="289"/>
      <c r="VWY29" s="289"/>
      <c r="VWZ29" s="289"/>
      <c r="VXA29" s="289"/>
      <c r="VXB29" s="289"/>
      <c r="VXC29" s="289"/>
      <c r="VXD29" s="289"/>
      <c r="VXE29" s="289"/>
      <c r="VXF29" s="289"/>
      <c r="VXG29" s="289"/>
      <c r="VXH29" s="289"/>
      <c r="VXI29" s="289"/>
      <c r="VXJ29" s="289"/>
      <c r="VXK29" s="289"/>
      <c r="VXL29" s="289"/>
      <c r="VXM29" s="289"/>
      <c r="VXN29" s="289"/>
      <c r="VXO29" s="289"/>
      <c r="VXP29" s="289"/>
      <c r="VXQ29" s="289"/>
      <c r="VXR29" s="289"/>
      <c r="VXS29" s="289"/>
      <c r="VXT29" s="289"/>
      <c r="VXU29" s="289"/>
      <c r="VXV29" s="289"/>
      <c r="VXW29" s="289"/>
      <c r="VXX29" s="289"/>
      <c r="VXY29" s="289"/>
      <c r="VXZ29" s="289"/>
      <c r="VYA29" s="289"/>
      <c r="VYB29" s="289"/>
      <c r="VYC29" s="289"/>
      <c r="VYD29" s="289"/>
      <c r="VYE29" s="289"/>
      <c r="VYF29" s="289"/>
      <c r="VYG29" s="289"/>
      <c r="VYH29" s="289"/>
      <c r="VYI29" s="289"/>
      <c r="VYJ29" s="289"/>
      <c r="VYK29" s="289"/>
      <c r="VYL29" s="289"/>
      <c r="VYM29" s="289"/>
      <c r="VYN29" s="289"/>
      <c r="VYO29" s="289"/>
      <c r="VYP29" s="289"/>
      <c r="VYQ29" s="289"/>
      <c r="VYR29" s="289"/>
      <c r="VYS29" s="289"/>
      <c r="VYT29" s="289"/>
      <c r="VYU29" s="289"/>
      <c r="VYV29" s="289"/>
      <c r="VYW29" s="289"/>
      <c r="VYX29" s="289"/>
      <c r="VYY29" s="289"/>
      <c r="VYZ29" s="289"/>
      <c r="VZA29" s="289"/>
      <c r="VZB29" s="289"/>
      <c r="VZC29" s="289"/>
      <c r="VZD29" s="289"/>
      <c r="VZE29" s="289"/>
      <c r="VZF29" s="289"/>
      <c r="VZG29" s="289"/>
      <c r="VZH29" s="289"/>
      <c r="VZI29" s="289"/>
      <c r="VZJ29" s="289"/>
      <c r="VZK29" s="289"/>
      <c r="VZL29" s="289"/>
      <c r="VZM29" s="289"/>
      <c r="VZN29" s="289"/>
      <c r="VZO29" s="289"/>
      <c r="VZP29" s="289"/>
      <c r="VZQ29" s="289"/>
      <c r="VZR29" s="289"/>
      <c r="VZS29" s="289"/>
      <c r="VZT29" s="289"/>
      <c r="VZU29" s="289"/>
      <c r="VZV29" s="289"/>
      <c r="VZW29" s="289"/>
      <c r="VZX29" s="289"/>
      <c r="VZY29" s="289"/>
      <c r="VZZ29" s="289"/>
      <c r="WAA29" s="289"/>
      <c r="WAB29" s="289"/>
      <c r="WAC29" s="289"/>
      <c r="WAD29" s="289"/>
      <c r="WAE29" s="289"/>
      <c r="WAF29" s="289"/>
      <c r="WAG29" s="289"/>
      <c r="WAH29" s="289"/>
      <c r="WAI29" s="289"/>
      <c r="WAJ29" s="289"/>
      <c r="WAK29" s="289"/>
      <c r="WAL29" s="289"/>
      <c r="WAM29" s="289"/>
      <c r="WAN29" s="289"/>
      <c r="WAO29" s="289"/>
      <c r="WAP29" s="289"/>
      <c r="WAQ29" s="289"/>
      <c r="WAR29" s="289"/>
      <c r="WAS29" s="289"/>
      <c r="WAT29" s="289"/>
      <c r="WAU29" s="289"/>
      <c r="WAV29" s="289"/>
      <c r="WAW29" s="289"/>
      <c r="WAX29" s="289"/>
      <c r="WAY29" s="289"/>
      <c r="WAZ29" s="289"/>
      <c r="WBA29" s="289"/>
      <c r="WBB29" s="289"/>
      <c r="WBC29" s="289"/>
      <c r="WBD29" s="289"/>
      <c r="WBE29" s="289"/>
      <c r="WBF29" s="289"/>
      <c r="WBG29" s="289"/>
      <c r="WBH29" s="289"/>
      <c r="WBI29" s="289"/>
      <c r="WBJ29" s="289"/>
      <c r="WBK29" s="289"/>
      <c r="WBL29" s="289"/>
      <c r="WBM29" s="289"/>
      <c r="WBN29" s="289"/>
      <c r="WBO29" s="289"/>
      <c r="WBP29" s="289"/>
      <c r="WBQ29" s="289"/>
      <c r="WBR29" s="289"/>
      <c r="WBS29" s="289"/>
      <c r="WBT29" s="289"/>
      <c r="WBU29" s="289"/>
      <c r="WBV29" s="289"/>
      <c r="WBW29" s="289"/>
      <c r="WBX29" s="289"/>
      <c r="WBY29" s="289"/>
      <c r="WBZ29" s="289"/>
      <c r="WCA29" s="289"/>
      <c r="WCB29" s="289"/>
      <c r="WCC29" s="289"/>
      <c r="WCD29" s="289"/>
      <c r="WCE29" s="289"/>
      <c r="WCF29" s="289"/>
      <c r="WCG29" s="289"/>
      <c r="WCH29" s="289"/>
      <c r="WCI29" s="289"/>
      <c r="WCJ29" s="289"/>
      <c r="WCK29" s="289"/>
      <c r="WCL29" s="289"/>
      <c r="WCM29" s="289"/>
      <c r="WCN29" s="289"/>
      <c r="WCO29" s="289"/>
      <c r="WCP29" s="289"/>
      <c r="WCQ29" s="289"/>
      <c r="WCR29" s="289"/>
      <c r="WCS29" s="289"/>
      <c r="WCT29" s="289"/>
      <c r="WCU29" s="289"/>
      <c r="WCV29" s="289"/>
      <c r="WCW29" s="289"/>
      <c r="WCX29" s="289"/>
      <c r="WCY29" s="289"/>
      <c r="WCZ29" s="289"/>
      <c r="WDA29" s="289"/>
      <c r="WDB29" s="289"/>
      <c r="WDC29" s="289"/>
      <c r="WDD29" s="289"/>
      <c r="WDE29" s="289"/>
      <c r="WDF29" s="289"/>
      <c r="WDG29" s="289"/>
      <c r="WDH29" s="289"/>
      <c r="WDI29" s="289"/>
      <c r="WDJ29" s="289"/>
      <c r="WDK29" s="289"/>
      <c r="WDL29" s="289"/>
      <c r="WDM29" s="289"/>
      <c r="WDN29" s="289"/>
      <c r="WDO29" s="289"/>
      <c r="WDP29" s="289"/>
      <c r="WDQ29" s="289"/>
      <c r="WDR29" s="289"/>
      <c r="WDS29" s="289"/>
      <c r="WDT29" s="289"/>
      <c r="WDU29" s="289"/>
      <c r="WDV29" s="289"/>
      <c r="WDW29" s="289"/>
      <c r="WDX29" s="289"/>
      <c r="WDY29" s="289"/>
      <c r="WDZ29" s="289"/>
      <c r="WEA29" s="289"/>
      <c r="WEB29" s="289"/>
      <c r="WEC29" s="289"/>
      <c r="WED29" s="289"/>
      <c r="WEE29" s="289"/>
      <c r="WEF29" s="289"/>
      <c r="WEG29" s="289"/>
      <c r="WEH29" s="289"/>
      <c r="WEI29" s="289"/>
      <c r="WEJ29" s="289"/>
      <c r="WEK29" s="289"/>
      <c r="WEL29" s="289"/>
      <c r="WEM29" s="289"/>
      <c r="WEN29" s="289"/>
      <c r="WEO29" s="289"/>
      <c r="WEP29" s="289"/>
      <c r="WEQ29" s="289"/>
      <c r="WER29" s="289"/>
      <c r="WES29" s="289"/>
      <c r="WET29" s="289"/>
      <c r="WEU29" s="289"/>
      <c r="WEV29" s="289"/>
      <c r="WEW29" s="289"/>
      <c r="WEX29" s="289"/>
      <c r="WEY29" s="289"/>
      <c r="WEZ29" s="289"/>
      <c r="WFA29" s="289"/>
      <c r="WFB29" s="289"/>
      <c r="WFC29" s="289"/>
      <c r="WFD29" s="289"/>
      <c r="WFE29" s="289"/>
      <c r="WFF29" s="289"/>
      <c r="WFG29" s="289"/>
      <c r="WFH29" s="289"/>
      <c r="WFI29" s="289"/>
      <c r="WFJ29" s="289"/>
      <c r="WFK29" s="289"/>
      <c r="WFL29" s="289"/>
      <c r="WFM29" s="289"/>
      <c r="WFN29" s="289"/>
      <c r="WFO29" s="289"/>
      <c r="WFP29" s="289"/>
      <c r="WFQ29" s="289"/>
      <c r="WFR29" s="289"/>
      <c r="WFS29" s="289"/>
      <c r="WFT29" s="289"/>
      <c r="WFU29" s="289"/>
      <c r="WFV29" s="289"/>
      <c r="WFW29" s="289"/>
      <c r="WFX29" s="289"/>
      <c r="WFY29" s="289"/>
      <c r="WFZ29" s="289"/>
      <c r="WGA29" s="289"/>
      <c r="WGB29" s="289"/>
      <c r="WGC29" s="289"/>
      <c r="WGD29" s="289"/>
      <c r="WGE29" s="289"/>
      <c r="WGF29" s="289"/>
      <c r="WGG29" s="289"/>
      <c r="WGH29" s="289"/>
      <c r="WGI29" s="289"/>
      <c r="WGJ29" s="289"/>
      <c r="WGK29" s="289"/>
      <c r="WGL29" s="289"/>
      <c r="WGM29" s="289"/>
      <c r="WGN29" s="289"/>
      <c r="WGO29" s="289"/>
      <c r="WGP29" s="289"/>
      <c r="WGQ29" s="289"/>
      <c r="WGR29" s="289"/>
      <c r="WGS29" s="289"/>
      <c r="WGT29" s="289"/>
      <c r="WGU29" s="289"/>
      <c r="WGV29" s="289"/>
      <c r="WGW29" s="289"/>
      <c r="WGX29" s="289"/>
      <c r="WGY29" s="289"/>
      <c r="WGZ29" s="289"/>
      <c r="WHA29" s="289"/>
      <c r="WHB29" s="289"/>
      <c r="WHC29" s="289"/>
      <c r="WHD29" s="289"/>
      <c r="WHE29" s="289"/>
      <c r="WHF29" s="289"/>
      <c r="WHG29" s="289"/>
      <c r="WHH29" s="289"/>
      <c r="WHI29" s="289"/>
      <c r="WHJ29" s="289"/>
      <c r="WHK29" s="289"/>
      <c r="WHL29" s="289"/>
      <c r="WHM29" s="289"/>
      <c r="WHN29" s="289"/>
      <c r="WHO29" s="289"/>
      <c r="WHP29" s="289"/>
      <c r="WHQ29" s="289"/>
      <c r="WHR29" s="289"/>
      <c r="WHS29" s="289"/>
      <c r="WHT29" s="289"/>
      <c r="WHU29" s="289"/>
      <c r="WHV29" s="289"/>
      <c r="WHW29" s="289"/>
      <c r="WHX29" s="289"/>
      <c r="WHY29" s="289"/>
      <c r="WHZ29" s="289"/>
      <c r="WIA29" s="289"/>
      <c r="WIB29" s="289"/>
      <c r="WIC29" s="289"/>
      <c r="WID29" s="289"/>
      <c r="WIE29" s="289"/>
      <c r="WIF29" s="289"/>
      <c r="WIG29" s="289"/>
      <c r="WIH29" s="289"/>
      <c r="WII29" s="289"/>
      <c r="WIJ29" s="289"/>
      <c r="WIK29" s="289"/>
      <c r="WIL29" s="289"/>
      <c r="WIM29" s="289"/>
      <c r="WIN29" s="289"/>
      <c r="WIO29" s="289"/>
      <c r="WIP29" s="289"/>
      <c r="WIQ29" s="289"/>
      <c r="WIR29" s="289"/>
      <c r="WIS29" s="289"/>
      <c r="WIT29" s="289"/>
      <c r="WIU29" s="289"/>
      <c r="WIV29" s="289"/>
      <c r="WIW29" s="289"/>
      <c r="WIX29" s="289"/>
      <c r="WIY29" s="289"/>
      <c r="WIZ29" s="289"/>
      <c r="WJA29" s="289"/>
      <c r="WJB29" s="289"/>
      <c r="WJC29" s="289"/>
      <c r="WJD29" s="289"/>
      <c r="WJE29" s="289"/>
      <c r="WJF29" s="289"/>
      <c r="WJG29" s="289"/>
      <c r="WJH29" s="289"/>
      <c r="WJI29" s="289"/>
      <c r="WJJ29" s="289"/>
      <c r="WJK29" s="289"/>
      <c r="WJL29" s="289"/>
      <c r="WJM29" s="289"/>
      <c r="WJN29" s="289"/>
      <c r="WJO29" s="289"/>
      <c r="WJP29" s="289"/>
      <c r="WJQ29" s="289"/>
      <c r="WJR29" s="289"/>
      <c r="WJS29" s="289"/>
      <c r="WJT29" s="289"/>
      <c r="WJU29" s="289"/>
      <c r="WJV29" s="289"/>
      <c r="WJW29" s="289"/>
      <c r="WJX29" s="289"/>
      <c r="WJY29" s="289"/>
      <c r="WJZ29" s="289"/>
      <c r="WKA29" s="289"/>
      <c r="WKB29" s="289"/>
      <c r="WKC29" s="289"/>
      <c r="WKD29" s="289"/>
      <c r="WKE29" s="289"/>
      <c r="WKF29" s="289"/>
      <c r="WKG29" s="289"/>
      <c r="WKH29" s="289"/>
      <c r="WKI29" s="289"/>
      <c r="WKJ29" s="289"/>
      <c r="WKK29" s="289"/>
      <c r="WKL29" s="289"/>
      <c r="WKM29" s="289"/>
      <c r="WKN29" s="289"/>
      <c r="WKO29" s="289"/>
      <c r="WKP29" s="289"/>
      <c r="WKQ29" s="289"/>
      <c r="WKR29" s="289"/>
      <c r="WKS29" s="289"/>
      <c r="WKT29" s="289"/>
      <c r="WKU29" s="289"/>
      <c r="WKV29" s="289"/>
      <c r="WKW29" s="289"/>
      <c r="WKX29" s="289"/>
      <c r="WKY29" s="289"/>
      <c r="WKZ29" s="289"/>
      <c r="WLA29" s="289"/>
      <c r="WLB29" s="289"/>
      <c r="WLC29" s="289"/>
      <c r="WLD29" s="289"/>
      <c r="WLE29" s="289"/>
      <c r="WLF29" s="289"/>
      <c r="WLG29" s="289"/>
      <c r="WLH29" s="289"/>
      <c r="WLI29" s="289"/>
      <c r="WLJ29" s="289"/>
      <c r="WLK29" s="289"/>
      <c r="WLL29" s="289"/>
      <c r="WLM29" s="289"/>
      <c r="WLN29" s="289"/>
      <c r="WLO29" s="289"/>
      <c r="WLP29" s="289"/>
      <c r="WLQ29" s="289"/>
      <c r="WLR29" s="289"/>
      <c r="WLS29" s="289"/>
      <c r="WLT29" s="289"/>
      <c r="WLU29" s="289"/>
      <c r="WLV29" s="289"/>
      <c r="WLW29" s="289"/>
      <c r="WLX29" s="289"/>
      <c r="WLY29" s="289"/>
      <c r="WLZ29" s="289"/>
      <c r="WMA29" s="289"/>
      <c r="WMB29" s="289"/>
      <c r="WMC29" s="289"/>
      <c r="WMD29" s="289"/>
      <c r="WME29" s="289"/>
      <c r="WMF29" s="289"/>
      <c r="WMG29" s="289"/>
      <c r="WMH29" s="289"/>
      <c r="WMI29" s="289"/>
      <c r="WMJ29" s="289"/>
      <c r="WMK29" s="289"/>
      <c r="WML29" s="289"/>
      <c r="WMM29" s="289"/>
      <c r="WMN29" s="289"/>
      <c r="WMO29" s="289"/>
      <c r="WMP29" s="289"/>
      <c r="WMQ29" s="289"/>
      <c r="WMR29" s="289"/>
      <c r="WMS29" s="289"/>
      <c r="WMT29" s="289"/>
      <c r="WMU29" s="289"/>
      <c r="WMV29" s="289"/>
      <c r="WMW29" s="289"/>
      <c r="WMX29" s="289"/>
      <c r="WMY29" s="289"/>
      <c r="WMZ29" s="289"/>
      <c r="WNA29" s="289"/>
      <c r="WNB29" s="289"/>
      <c r="WNC29" s="289"/>
      <c r="WND29" s="289"/>
      <c r="WNE29" s="289"/>
      <c r="WNF29" s="289"/>
      <c r="WNG29" s="289"/>
      <c r="WNH29" s="289"/>
      <c r="WNI29" s="289"/>
      <c r="WNJ29" s="289"/>
      <c r="WNK29" s="289"/>
      <c r="WNL29" s="289"/>
      <c r="WNM29" s="289"/>
      <c r="WNN29" s="289"/>
      <c r="WNO29" s="289"/>
      <c r="WNP29" s="289"/>
      <c r="WNQ29" s="289"/>
      <c r="WNR29" s="289"/>
      <c r="WNS29" s="289"/>
      <c r="WNT29" s="289"/>
      <c r="WNU29" s="289"/>
      <c r="WNV29" s="289"/>
      <c r="WNW29" s="289"/>
      <c r="WNX29" s="289"/>
      <c r="WNY29" s="289"/>
      <c r="WNZ29" s="289"/>
      <c r="WOA29" s="289"/>
      <c r="WOB29" s="289"/>
      <c r="WOC29" s="289"/>
      <c r="WOD29" s="289"/>
      <c r="WOE29" s="289"/>
      <c r="WOF29" s="289"/>
      <c r="WOG29" s="289"/>
      <c r="WOH29" s="289"/>
      <c r="WOI29" s="289"/>
      <c r="WOJ29" s="289"/>
      <c r="WOK29" s="289"/>
      <c r="WOL29" s="289"/>
      <c r="WOM29" s="289"/>
      <c r="WON29" s="289"/>
      <c r="WOO29" s="289"/>
      <c r="WOP29" s="289"/>
      <c r="WOQ29" s="289"/>
      <c r="WOR29" s="289"/>
      <c r="WOS29" s="289"/>
      <c r="WOT29" s="289"/>
      <c r="WOU29" s="289"/>
      <c r="WOV29" s="289"/>
      <c r="WOW29" s="289"/>
      <c r="WOX29" s="289"/>
      <c r="WOY29" s="289"/>
      <c r="WOZ29" s="289"/>
      <c r="WPA29" s="289"/>
      <c r="WPB29" s="289"/>
      <c r="WPC29" s="289"/>
      <c r="WPD29" s="289"/>
      <c r="WPE29" s="289"/>
      <c r="WPF29" s="289"/>
      <c r="WPG29" s="289"/>
      <c r="WPH29" s="289"/>
      <c r="WPI29" s="289"/>
      <c r="WPJ29" s="289"/>
      <c r="WPK29" s="289"/>
      <c r="WPL29" s="289"/>
      <c r="WPM29" s="289"/>
      <c r="WPN29" s="289"/>
      <c r="WPO29" s="289"/>
      <c r="WPP29" s="289"/>
      <c r="WPQ29" s="289"/>
      <c r="WPR29" s="289"/>
      <c r="WPS29" s="289"/>
      <c r="WPT29" s="289"/>
      <c r="WPU29" s="289"/>
      <c r="WPV29" s="289"/>
      <c r="WPW29" s="289"/>
      <c r="WPX29" s="289"/>
      <c r="WPY29" s="289"/>
      <c r="WPZ29" s="289"/>
      <c r="WQA29" s="289"/>
      <c r="WQB29" s="289"/>
      <c r="WQC29" s="289"/>
      <c r="WQD29" s="289"/>
      <c r="WQE29" s="289"/>
      <c r="WQF29" s="289"/>
      <c r="WQG29" s="289"/>
      <c r="WQH29" s="289"/>
      <c r="WQI29" s="289"/>
      <c r="WQJ29" s="289"/>
      <c r="WQK29" s="289"/>
      <c r="WQL29" s="289"/>
      <c r="WQM29" s="289"/>
      <c r="WQN29" s="289"/>
      <c r="WQO29" s="289"/>
      <c r="WQP29" s="289"/>
      <c r="WQQ29" s="289"/>
      <c r="WQR29" s="289"/>
      <c r="WQS29" s="289"/>
      <c r="WQT29" s="289"/>
      <c r="WQU29" s="289"/>
      <c r="WQV29" s="289"/>
      <c r="WQW29" s="289"/>
      <c r="WQX29" s="289"/>
      <c r="WQY29" s="289"/>
      <c r="WQZ29" s="289"/>
      <c r="WRA29" s="289"/>
      <c r="WRB29" s="289"/>
      <c r="WRC29" s="289"/>
      <c r="WRD29" s="289"/>
      <c r="WRE29" s="289"/>
      <c r="WRF29" s="289"/>
      <c r="WRG29" s="289"/>
      <c r="WRH29" s="289"/>
      <c r="WRI29" s="289"/>
      <c r="WRJ29" s="289"/>
      <c r="WRK29" s="289"/>
      <c r="WRL29" s="289"/>
      <c r="WRM29" s="289"/>
      <c r="WRN29" s="289"/>
      <c r="WRO29" s="289"/>
      <c r="WRP29" s="289"/>
      <c r="WRQ29" s="289"/>
      <c r="WRR29" s="289"/>
      <c r="WRS29" s="289"/>
      <c r="WRT29" s="289"/>
      <c r="WRU29" s="289"/>
      <c r="WRV29" s="289"/>
      <c r="WRW29" s="289"/>
      <c r="WRX29" s="289"/>
      <c r="WRY29" s="289"/>
      <c r="WRZ29" s="289"/>
      <c r="WSA29" s="289"/>
      <c r="WSB29" s="289"/>
      <c r="WSC29" s="289"/>
      <c r="WSD29" s="289"/>
      <c r="WSE29" s="289"/>
      <c r="WSF29" s="289"/>
      <c r="WSG29" s="289"/>
      <c r="WSH29" s="289"/>
      <c r="WSI29" s="289"/>
      <c r="WSJ29" s="289"/>
      <c r="WSK29" s="289"/>
      <c r="WSL29" s="289"/>
      <c r="WSM29" s="289"/>
      <c r="WSN29" s="289"/>
      <c r="WSO29" s="289"/>
      <c r="WSP29" s="289"/>
      <c r="WSQ29" s="289"/>
      <c r="WSR29" s="289"/>
      <c r="WSS29" s="289"/>
      <c r="WST29" s="289"/>
      <c r="WSU29" s="289"/>
      <c r="WSV29" s="289"/>
      <c r="WSW29" s="289"/>
      <c r="WSX29" s="289"/>
      <c r="WSY29" s="289"/>
      <c r="WSZ29" s="289"/>
      <c r="WTA29" s="289"/>
      <c r="WTB29" s="289"/>
      <c r="WTC29" s="289"/>
      <c r="WTD29" s="289"/>
      <c r="WTE29" s="289"/>
      <c r="WTF29" s="289"/>
      <c r="WTG29" s="289"/>
      <c r="WTH29" s="289"/>
      <c r="WTI29" s="289"/>
      <c r="WTJ29" s="289"/>
      <c r="WTK29" s="289"/>
      <c r="WTL29" s="289"/>
      <c r="WTM29" s="289"/>
      <c r="WTN29" s="289"/>
      <c r="WTO29" s="289"/>
      <c r="WTP29" s="289"/>
      <c r="WTQ29" s="289"/>
      <c r="WTR29" s="289"/>
      <c r="WTS29" s="289"/>
      <c r="WTT29" s="289"/>
      <c r="WTU29" s="289"/>
      <c r="WTV29" s="289"/>
      <c r="WTW29" s="289"/>
      <c r="WTX29" s="289"/>
      <c r="WTY29" s="289"/>
      <c r="WTZ29" s="289"/>
      <c r="WUA29" s="289"/>
      <c r="WUB29" s="289"/>
      <c r="WUC29" s="289"/>
      <c r="WUD29" s="289"/>
      <c r="WUE29" s="289"/>
      <c r="WUF29" s="289"/>
      <c r="WUG29" s="289"/>
      <c r="WUH29" s="289"/>
      <c r="WUI29" s="289"/>
      <c r="WUJ29" s="289"/>
      <c r="WUK29" s="289"/>
      <c r="WUL29" s="289"/>
      <c r="WUM29" s="289"/>
      <c r="WUN29" s="289"/>
      <c r="WUO29" s="289"/>
      <c r="WUP29" s="289"/>
      <c r="WUQ29" s="289"/>
      <c r="WUR29" s="289"/>
      <c r="WUS29" s="289"/>
      <c r="WUT29" s="289"/>
      <c r="WUU29" s="289"/>
      <c r="WUV29" s="289"/>
      <c r="WUW29" s="289"/>
      <c r="WUX29" s="289"/>
      <c r="WUY29" s="289"/>
      <c r="WUZ29" s="289"/>
      <c r="WVA29" s="289"/>
      <c r="WVB29" s="289"/>
      <c r="WVC29" s="289"/>
      <c r="WVD29" s="289"/>
      <c r="WVE29" s="289"/>
      <c r="WVF29" s="289"/>
      <c r="WVG29" s="289"/>
      <c r="WVH29" s="289"/>
      <c r="WVI29" s="289"/>
      <c r="WVJ29" s="289"/>
      <c r="WVK29" s="289"/>
      <c r="WVL29" s="289"/>
      <c r="WVM29" s="289"/>
      <c r="WVN29" s="289"/>
      <c r="WVO29" s="289"/>
      <c r="WVP29" s="289"/>
      <c r="WVQ29" s="289"/>
      <c r="WVR29" s="289"/>
      <c r="WVS29" s="289"/>
      <c r="WVT29" s="289"/>
      <c r="WVU29" s="289"/>
      <c r="WVV29" s="289"/>
      <c r="WVW29" s="289"/>
      <c r="WVX29" s="289"/>
      <c r="WVY29" s="289"/>
      <c r="WVZ29" s="289"/>
      <c r="WWA29" s="289"/>
      <c r="WWB29" s="289"/>
      <c r="WWC29" s="289"/>
      <c r="WWD29" s="289"/>
      <c r="WWE29" s="289"/>
      <c r="WWF29" s="289"/>
      <c r="WWG29" s="289"/>
      <c r="WWH29" s="289"/>
      <c r="WWI29" s="289"/>
      <c r="WWJ29" s="289"/>
      <c r="WWK29" s="289"/>
      <c r="WWL29" s="289"/>
      <c r="WWM29" s="289"/>
      <c r="WWN29" s="289"/>
      <c r="WWO29" s="289"/>
      <c r="WWP29" s="289"/>
      <c r="WWQ29" s="289"/>
      <c r="WWR29" s="289"/>
      <c r="WWS29" s="289"/>
      <c r="WWT29" s="289"/>
      <c r="WWU29" s="289"/>
      <c r="WWV29" s="289"/>
      <c r="WWW29" s="289"/>
      <c r="WWX29" s="289"/>
      <c r="WWY29" s="289"/>
      <c r="WWZ29" s="289"/>
      <c r="WXA29" s="289"/>
      <c r="WXB29" s="289"/>
      <c r="WXC29" s="289"/>
      <c r="WXD29" s="289"/>
      <c r="WXE29" s="289"/>
      <c r="WXF29" s="289"/>
      <c r="WXG29" s="289"/>
      <c r="WXH29" s="289"/>
      <c r="WXI29" s="289"/>
      <c r="WXJ29" s="289"/>
      <c r="WXK29" s="289"/>
      <c r="WXL29" s="289"/>
      <c r="WXM29" s="289"/>
      <c r="WXN29" s="289"/>
      <c r="WXO29" s="289"/>
      <c r="WXP29" s="289"/>
      <c r="WXQ29" s="289"/>
      <c r="WXR29" s="289"/>
      <c r="WXS29" s="289"/>
      <c r="WXT29" s="289"/>
      <c r="WXU29" s="289"/>
      <c r="WXV29" s="289"/>
      <c r="WXW29" s="289"/>
      <c r="WXX29" s="289"/>
      <c r="WXY29" s="289"/>
      <c r="WXZ29" s="289"/>
      <c r="WYA29" s="289"/>
      <c r="WYB29" s="289"/>
      <c r="WYC29" s="289"/>
      <c r="WYD29" s="289"/>
      <c r="WYE29" s="289"/>
      <c r="WYF29" s="289"/>
      <c r="WYG29" s="289"/>
      <c r="WYH29" s="289"/>
      <c r="WYI29" s="289"/>
      <c r="WYJ29" s="289"/>
      <c r="WYK29" s="289"/>
      <c r="WYL29" s="289"/>
      <c r="WYM29" s="289"/>
      <c r="WYN29" s="289"/>
      <c r="WYO29" s="289"/>
      <c r="WYP29" s="289"/>
      <c r="WYQ29" s="289"/>
      <c r="WYR29" s="289"/>
      <c r="WYS29" s="289"/>
      <c r="WYT29" s="289"/>
      <c r="WYU29" s="289"/>
      <c r="WYV29" s="289"/>
      <c r="WYW29" s="289"/>
      <c r="WYX29" s="289"/>
      <c r="WYY29" s="289"/>
      <c r="WYZ29" s="289"/>
      <c r="WZA29" s="289"/>
      <c r="WZB29" s="289"/>
      <c r="WZC29" s="289"/>
      <c r="WZD29" s="289"/>
      <c r="WZE29" s="289"/>
      <c r="WZF29" s="289"/>
      <c r="WZG29" s="289"/>
      <c r="WZH29" s="289"/>
      <c r="WZI29" s="289"/>
      <c r="WZJ29" s="289"/>
      <c r="WZK29" s="289"/>
      <c r="WZL29" s="289"/>
      <c r="WZM29" s="289"/>
      <c r="WZN29" s="289"/>
      <c r="WZO29" s="289"/>
      <c r="WZP29" s="289"/>
      <c r="WZQ29" s="289"/>
      <c r="WZR29" s="289"/>
      <c r="WZS29" s="289"/>
      <c r="WZT29" s="289"/>
      <c r="WZU29" s="289"/>
      <c r="WZV29" s="289"/>
      <c r="WZW29" s="289"/>
      <c r="WZX29" s="289"/>
      <c r="WZY29" s="289"/>
      <c r="WZZ29" s="289"/>
      <c r="XAA29" s="289"/>
      <c r="XAB29" s="289"/>
      <c r="XAC29" s="289"/>
      <c r="XAD29" s="289"/>
      <c r="XAE29" s="289"/>
      <c r="XAF29" s="289"/>
      <c r="XAG29" s="289"/>
      <c r="XAH29" s="289"/>
      <c r="XAI29" s="289"/>
      <c r="XAJ29" s="289"/>
      <c r="XAK29" s="289"/>
      <c r="XAL29" s="289"/>
      <c r="XAM29" s="289"/>
      <c r="XAN29" s="289"/>
      <c r="XAO29" s="289"/>
      <c r="XAP29" s="289"/>
      <c r="XAQ29" s="289"/>
      <c r="XAR29" s="289"/>
      <c r="XAS29" s="289"/>
      <c r="XAT29" s="289"/>
      <c r="XAU29" s="289"/>
      <c r="XAV29" s="289"/>
      <c r="XAW29" s="289"/>
      <c r="XAX29" s="289"/>
      <c r="XAY29" s="289"/>
      <c r="XAZ29" s="289"/>
      <c r="XBA29" s="289"/>
      <c r="XBB29" s="289"/>
      <c r="XBC29" s="289"/>
      <c r="XBD29" s="289"/>
      <c r="XBE29" s="289"/>
      <c r="XBF29" s="289"/>
      <c r="XBG29" s="289"/>
      <c r="XBH29" s="289"/>
      <c r="XBI29" s="289"/>
      <c r="XBJ29" s="289"/>
      <c r="XBK29" s="289"/>
      <c r="XBL29" s="289"/>
      <c r="XBM29" s="289"/>
      <c r="XBN29" s="289"/>
      <c r="XBO29" s="289"/>
      <c r="XBP29" s="289"/>
      <c r="XBQ29" s="289"/>
      <c r="XBR29" s="289"/>
      <c r="XBS29" s="289"/>
      <c r="XBT29" s="289"/>
      <c r="XBU29" s="289"/>
      <c r="XBV29" s="289"/>
      <c r="XBW29" s="289"/>
      <c r="XBX29" s="289"/>
      <c r="XBY29" s="289"/>
      <c r="XBZ29" s="289"/>
      <c r="XCA29" s="289"/>
      <c r="XCB29" s="289"/>
      <c r="XCC29" s="289"/>
      <c r="XCD29" s="289"/>
      <c r="XCE29" s="289"/>
      <c r="XCF29" s="289"/>
      <c r="XCG29" s="289"/>
      <c r="XCH29" s="289"/>
      <c r="XCI29" s="289"/>
      <c r="XCJ29" s="289"/>
      <c r="XCK29" s="289"/>
      <c r="XCL29" s="289"/>
      <c r="XCM29" s="289"/>
      <c r="XCN29" s="289"/>
      <c r="XCO29" s="289"/>
      <c r="XCP29" s="289"/>
      <c r="XCQ29" s="289"/>
      <c r="XCR29" s="289"/>
      <c r="XCS29" s="289"/>
      <c r="XCT29" s="289"/>
      <c r="XCU29" s="289"/>
      <c r="XCV29" s="289"/>
      <c r="XCW29" s="289"/>
      <c r="XCX29" s="289"/>
      <c r="XCY29" s="289"/>
      <c r="XCZ29" s="289"/>
      <c r="XDA29" s="289"/>
      <c r="XDB29" s="289"/>
      <c r="XDC29" s="289"/>
      <c r="XDD29" s="289"/>
      <c r="XDE29" s="289"/>
      <c r="XDF29" s="289"/>
      <c r="XDG29" s="289"/>
      <c r="XDH29" s="289"/>
      <c r="XDI29" s="289"/>
      <c r="XDJ29" s="289"/>
      <c r="XDK29" s="289"/>
      <c r="XDL29" s="289"/>
      <c r="XDM29" s="289"/>
      <c r="XDN29" s="289"/>
      <c r="XDO29" s="289"/>
      <c r="XDP29" s="289"/>
      <c r="XDQ29" s="289"/>
      <c r="XDR29" s="289"/>
      <c r="XDS29" s="289"/>
      <c r="XDT29" s="289"/>
      <c r="XDU29" s="289"/>
      <c r="XDV29" s="289"/>
      <c r="XDW29" s="289"/>
      <c r="XDX29" s="289"/>
      <c r="XDY29" s="289"/>
      <c r="XDZ29" s="289"/>
      <c r="XEA29" s="289"/>
      <c r="XEB29" s="289"/>
      <c r="XEC29" s="289"/>
      <c r="XED29" s="289"/>
      <c r="XEE29" s="289"/>
      <c r="XEF29" s="289"/>
      <c r="XEG29" s="289"/>
      <c r="XEH29" s="289"/>
      <c r="XEI29" s="289"/>
      <c r="XEJ29" s="289"/>
      <c r="XEK29" s="289"/>
      <c r="XEL29" s="289"/>
      <c r="XEM29" s="289"/>
      <c r="XEN29" s="289"/>
      <c r="XEO29" s="289"/>
      <c r="XEP29" s="289"/>
      <c r="XEQ29" s="289"/>
      <c r="XER29" s="289"/>
      <c r="XES29" s="289"/>
      <c r="XET29" s="289"/>
      <c r="XEU29" s="289"/>
      <c r="XEV29" s="289"/>
      <c r="XEW29" s="289"/>
      <c r="XEX29" s="289"/>
      <c r="XEY29" s="289"/>
      <c r="XEZ29" s="289"/>
      <c r="XFA29" s="289"/>
      <c r="XFB29" s="289"/>
      <c r="XFC29" s="289"/>
      <c r="XFD29" s="289"/>
    </row>
    <row r="30" spans="1:16384" outlineLevel="1" x14ac:dyDescent="0.3">
      <c r="A30" s="15">
        <v>25300212</v>
      </c>
      <c r="B30" s="15" t="s">
        <v>449</v>
      </c>
      <c r="C30" s="158">
        <v>10</v>
      </c>
      <c r="D30" s="24" t="s">
        <v>412</v>
      </c>
      <c r="E30" s="158" t="s">
        <v>216</v>
      </c>
      <c r="F30" s="117"/>
      <c r="G30" s="94"/>
      <c r="H30" s="118"/>
      <c r="I30" s="35"/>
      <c r="J30" s="117"/>
      <c r="K30" s="94"/>
      <c r="L30" s="118"/>
      <c r="M30" s="35"/>
      <c r="N30" s="117">
        <v>-257763</v>
      </c>
      <c r="O30" s="94"/>
      <c r="P30" s="118">
        <f>N30</f>
        <v>-257763</v>
      </c>
      <c r="Q30" s="35"/>
      <c r="R30" s="117">
        <v>-260886.75</v>
      </c>
      <c r="S30" s="94"/>
      <c r="T30" s="118">
        <f>R30</f>
        <v>-260886.75</v>
      </c>
      <c r="U30" s="284"/>
      <c r="V30" s="117">
        <v>-224902.35</v>
      </c>
      <c r="W30" s="94"/>
      <c r="X30" s="118">
        <f>V30</f>
        <v>-224902.35</v>
      </c>
      <c r="Y30" s="284"/>
      <c r="Z30" s="117">
        <v>-188917.94999999998</v>
      </c>
      <c r="AA30" s="94"/>
      <c r="AB30" s="118">
        <f>Z30</f>
        <v>-188917.94999999998</v>
      </c>
      <c r="AC30" s="284"/>
      <c r="AD30" s="117">
        <v>-152933.55000000002</v>
      </c>
      <c r="AE30" s="94"/>
      <c r="AF30" s="118">
        <f>AD30</f>
        <v>-152933.55000000002</v>
      </c>
      <c r="AG30" s="284"/>
      <c r="AH30" s="117">
        <v>-116949.14999999998</v>
      </c>
      <c r="AI30" s="94"/>
      <c r="AJ30" s="118">
        <f>AH30</f>
        <v>-116949.14999999998</v>
      </c>
      <c r="AK30" s="284"/>
      <c r="AL30" s="117">
        <v>-451589.75</v>
      </c>
      <c r="AM30" s="94"/>
      <c r="AN30" s="118">
        <f>AL30</f>
        <v>-451589.75</v>
      </c>
      <c r="AO30" s="284"/>
      <c r="AP30" s="117">
        <v>-8939980.3499999996</v>
      </c>
      <c r="AQ30" s="94"/>
      <c r="AR30" s="118">
        <f>AP30</f>
        <v>-8939980.3499999996</v>
      </c>
      <c r="AS30" s="284"/>
      <c r="AT30" s="117">
        <v>-4086995.5062500001</v>
      </c>
      <c r="AU30" s="94"/>
      <c r="AV30" s="118">
        <f>AT30</f>
        <v>-4086995.5062500001</v>
      </c>
      <c r="AW30" s="284"/>
    </row>
    <row r="31" spans="1:16384" outlineLevel="1" x14ac:dyDescent="0.3">
      <c r="A31" s="15">
        <v>28200002</v>
      </c>
      <c r="B31" s="15" t="s">
        <v>450</v>
      </c>
      <c r="C31" s="24">
        <v>10</v>
      </c>
      <c r="D31" s="24" t="s">
        <v>236</v>
      </c>
      <c r="E31" s="158" t="s">
        <v>216</v>
      </c>
      <c r="F31" s="117">
        <v>-207837310.37833336</v>
      </c>
      <c r="G31" s="94"/>
      <c r="H31" s="118">
        <f>F31</f>
        <v>-207837310.37833336</v>
      </c>
      <c r="I31" s="35"/>
      <c r="J31" s="117">
        <v>-254824698.50333336</v>
      </c>
      <c r="K31" s="94"/>
      <c r="L31" s="118">
        <f>J31</f>
        <v>-254824698.50333336</v>
      </c>
      <c r="M31" s="35"/>
      <c r="N31" s="117">
        <v>-272380220.83070886</v>
      </c>
      <c r="O31" s="94"/>
      <c r="P31" s="118">
        <f>N31</f>
        <v>-272380220.83070886</v>
      </c>
      <c r="Q31" s="35"/>
      <c r="R31" s="117">
        <v>-328832047.38951749</v>
      </c>
      <c r="S31" s="94"/>
      <c r="T31" s="118">
        <f>R31</f>
        <v>-328832047.38951749</v>
      </c>
      <c r="U31" s="284"/>
      <c r="V31" s="117">
        <v>-377591860.55874997</v>
      </c>
      <c r="W31" s="94"/>
      <c r="X31" s="118">
        <f>V31</f>
        <v>-377591860.55874997</v>
      </c>
      <c r="Y31" s="284"/>
      <c r="Z31" s="117">
        <v>-418007014.25166672</v>
      </c>
      <c r="AA31" s="94"/>
      <c r="AB31" s="118">
        <f>Z31</f>
        <v>-418007014.25166672</v>
      </c>
      <c r="AC31" s="284"/>
      <c r="AD31" s="117">
        <v>-453187757.37416667</v>
      </c>
      <c r="AE31" s="94"/>
      <c r="AF31" s="118">
        <f>AD31</f>
        <v>-453187757.37416667</v>
      </c>
      <c r="AG31" s="284"/>
      <c r="AH31" s="117">
        <v>-481517364.33958334</v>
      </c>
      <c r="AI31" s="94"/>
      <c r="AJ31" s="118">
        <f>AH31</f>
        <v>-481517364.33958334</v>
      </c>
      <c r="AK31" s="284"/>
      <c r="AL31" s="117">
        <v>-518163032.62416667</v>
      </c>
      <c r="AM31" s="94"/>
      <c r="AN31" s="118">
        <f>AL31</f>
        <v>-518163032.62416667</v>
      </c>
      <c r="AO31" s="284"/>
      <c r="AP31" s="117">
        <v>-552062308.64375007</v>
      </c>
      <c r="AQ31" s="94"/>
      <c r="AR31" s="118">
        <f>AP31</f>
        <v>-552062308.64375007</v>
      </c>
      <c r="AS31" s="284"/>
      <c r="AT31" s="117">
        <v>-577287549.58249986</v>
      </c>
      <c r="AU31" s="94"/>
      <c r="AV31" s="118">
        <f>AT31</f>
        <v>-577287549.58249986</v>
      </c>
      <c r="AW31" s="284"/>
    </row>
    <row r="32" spans="1:16384" outlineLevel="1" x14ac:dyDescent="0.3">
      <c r="A32" s="15">
        <v>28200013</v>
      </c>
      <c r="B32" s="15" t="s">
        <v>451</v>
      </c>
      <c r="C32" s="24" t="s">
        <v>440</v>
      </c>
      <c r="D32" s="24" t="s">
        <v>236</v>
      </c>
      <c r="E32" s="24" t="s">
        <v>422</v>
      </c>
      <c r="F32" s="117">
        <v>5348064.791666667</v>
      </c>
      <c r="G32" s="94">
        <f>F32*$G$3</f>
        <v>3455919.4683750002</v>
      </c>
      <c r="H32" s="118">
        <f>F32*$H$3</f>
        <v>1892145.3232916668</v>
      </c>
      <c r="I32" s="35"/>
      <c r="J32" s="117">
        <v>-18651692.541666668</v>
      </c>
      <c r="K32" s="94">
        <f>J32*$K$3</f>
        <v>-12084431.597745834</v>
      </c>
      <c r="L32" s="118">
        <f>J32*$L$3</f>
        <v>-6567260.943920834</v>
      </c>
      <c r="M32" s="35"/>
      <c r="N32" s="117">
        <v>-12076803.75</v>
      </c>
      <c r="O32" s="94">
        <f>N32*$O$3</f>
        <v>-8032282.1741249999</v>
      </c>
      <c r="P32" s="118">
        <f>N32*$P$3</f>
        <v>-4044521.5758749996</v>
      </c>
      <c r="Q32" s="35"/>
      <c r="R32" s="117">
        <v>-29818052.375</v>
      </c>
      <c r="S32" s="94">
        <f>R32*$S$3</f>
        <v>-19665005.541312501</v>
      </c>
      <c r="T32" s="118">
        <f>R32*$T$3</f>
        <v>-10153046.833687501</v>
      </c>
      <c r="U32" s="284"/>
      <c r="V32" s="117">
        <v>-35198063.162500001</v>
      </c>
      <c r="W32" s="94">
        <f>V32*$W$3</f>
        <v>-23621420.188353751</v>
      </c>
      <c r="X32" s="118">
        <f>V32*$X$3</f>
        <v>-11576642.974146251</v>
      </c>
      <c r="Y32" s="284"/>
      <c r="Z32" s="117">
        <v>-34606416.269583337</v>
      </c>
      <c r="AA32" s="94">
        <f>Z32*$AA$3</f>
        <v>-23525441.78006275</v>
      </c>
      <c r="AB32" s="118">
        <f>Z32*$AB$3</f>
        <v>-11080974.489520583</v>
      </c>
      <c r="AC32" s="284"/>
      <c r="AD32" s="117">
        <v>-40080085.12250001</v>
      </c>
      <c r="AE32" s="94">
        <f>AD32*$AE$3</f>
        <v>-27474898.351473756</v>
      </c>
      <c r="AF32" s="118">
        <f>AD32*$AF$3</f>
        <v>-12605186.771026254</v>
      </c>
      <c r="AG32" s="284"/>
      <c r="AH32" s="117">
        <v>-40413530.940000005</v>
      </c>
      <c r="AI32" s="94">
        <f>AH32*$AI$3</f>
        <v>-27646896.516054004</v>
      </c>
      <c r="AJ32" s="118">
        <f>AH32*$AJ$3</f>
        <v>-12766634.423946002</v>
      </c>
      <c r="AK32" s="284"/>
      <c r="AL32" s="117">
        <v>-45758557.424166672</v>
      </c>
      <c r="AM32" s="94">
        <f>AL32*$AM$3</f>
        <v>-30552988.792116083</v>
      </c>
      <c r="AN32" s="118">
        <f>AL32*$AN$3</f>
        <v>-15205568.632050585</v>
      </c>
      <c r="AO32" s="284"/>
      <c r="AP32" s="117">
        <v>-72723932.410833344</v>
      </c>
      <c r="AQ32" s="94">
        <f>AP32*$AQ$3</f>
        <v>-47699627.26826559</v>
      </c>
      <c r="AR32" s="118">
        <f>AP32*$AR$3</f>
        <v>-25024305.142567754</v>
      </c>
      <c r="AS32" s="284"/>
      <c r="AT32" s="117">
        <v>-68159673.343749985</v>
      </c>
      <c r="AU32" s="94">
        <f>AT32*$AU$3</f>
        <v>-45114887.78622812</v>
      </c>
      <c r="AV32" s="118">
        <f>AT32*$AV$3</f>
        <v>-23044785.557521872</v>
      </c>
      <c r="AW32" s="284"/>
    </row>
    <row r="33" spans="1:49" outlineLevel="1" x14ac:dyDescent="0.3">
      <c r="A33" s="15">
        <v>28200101</v>
      </c>
      <c r="B33" s="15" t="s">
        <v>452</v>
      </c>
      <c r="C33" s="24">
        <v>31</v>
      </c>
      <c r="D33" s="24" t="s">
        <v>236</v>
      </c>
      <c r="E33" s="24" t="s">
        <v>215</v>
      </c>
      <c r="F33" s="117">
        <v>-2571208.3333333335</v>
      </c>
      <c r="G33" s="94">
        <f>F33</f>
        <v>-2571208.3333333335</v>
      </c>
      <c r="H33" s="118"/>
      <c r="I33" s="35"/>
      <c r="J33" s="117">
        <v>0</v>
      </c>
      <c r="K33" s="94">
        <f>J33</f>
        <v>0</v>
      </c>
      <c r="L33" s="118"/>
      <c r="M33" s="35"/>
      <c r="N33" s="117"/>
      <c r="O33" s="94">
        <f>N33</f>
        <v>0</v>
      </c>
      <c r="P33" s="118"/>
      <c r="Q33" s="35"/>
      <c r="R33" s="117"/>
      <c r="S33" s="94">
        <f>R33</f>
        <v>0</v>
      </c>
      <c r="T33" s="118"/>
      <c r="U33" s="284"/>
      <c r="V33" s="117"/>
      <c r="W33" s="94">
        <f>V33</f>
        <v>0</v>
      </c>
      <c r="X33" s="118"/>
      <c r="Y33" s="284"/>
      <c r="Z33" s="117"/>
      <c r="AA33" s="94">
        <f>Z33</f>
        <v>0</v>
      </c>
      <c r="AB33" s="118"/>
      <c r="AC33" s="284"/>
      <c r="AD33" s="117"/>
      <c r="AE33" s="94">
        <f>AD33</f>
        <v>0</v>
      </c>
      <c r="AF33" s="118"/>
      <c r="AG33" s="284"/>
      <c r="AH33" s="117"/>
      <c r="AI33" s="94">
        <f>AH33</f>
        <v>0</v>
      </c>
      <c r="AJ33" s="118"/>
      <c r="AK33" s="284"/>
      <c r="AL33" s="117"/>
      <c r="AM33" s="94">
        <f>AL33</f>
        <v>0</v>
      </c>
      <c r="AN33" s="118"/>
      <c r="AO33" s="284"/>
      <c r="AP33" s="117"/>
      <c r="AQ33" s="94">
        <f>AP33</f>
        <v>0</v>
      </c>
      <c r="AR33" s="118"/>
      <c r="AS33" s="284"/>
      <c r="AT33" s="117"/>
      <c r="AU33" s="94">
        <f>AT33</f>
        <v>0</v>
      </c>
      <c r="AV33" s="118"/>
      <c r="AW33" s="284"/>
    </row>
    <row r="34" spans="1:49" outlineLevel="1" x14ac:dyDescent="0.3">
      <c r="A34" s="15">
        <v>28200111</v>
      </c>
      <c r="B34" s="15" t="s">
        <v>453</v>
      </c>
      <c r="C34" s="24">
        <v>32</v>
      </c>
      <c r="D34" s="24" t="s">
        <v>236</v>
      </c>
      <c r="E34" s="24" t="s">
        <v>215</v>
      </c>
      <c r="F34" s="117">
        <v>-322613.33333333331</v>
      </c>
      <c r="G34" s="94">
        <f>F34</f>
        <v>-322613.33333333331</v>
      </c>
      <c r="H34" s="118"/>
      <c r="I34" s="35"/>
      <c r="J34" s="117">
        <v>0</v>
      </c>
      <c r="K34" s="94">
        <f>J34</f>
        <v>0</v>
      </c>
      <c r="L34" s="118"/>
      <c r="M34" s="35"/>
      <c r="N34" s="117"/>
      <c r="O34" s="94">
        <f>N34</f>
        <v>0</v>
      </c>
      <c r="P34" s="118"/>
      <c r="Q34" s="35"/>
      <c r="R34" s="117"/>
      <c r="S34" s="94">
        <f>R34</f>
        <v>0</v>
      </c>
      <c r="T34" s="118"/>
      <c r="U34" s="284"/>
      <c r="V34" s="117"/>
      <c r="W34" s="94">
        <f>V34</f>
        <v>0</v>
      </c>
      <c r="X34" s="118"/>
      <c r="Y34" s="284"/>
      <c r="Z34" s="117"/>
      <c r="AA34" s="94">
        <f>Z34</f>
        <v>0</v>
      </c>
      <c r="AB34" s="118"/>
      <c r="AC34" s="284"/>
      <c r="AD34" s="117"/>
      <c r="AE34" s="94">
        <f>AD34</f>
        <v>0</v>
      </c>
      <c r="AF34" s="118"/>
      <c r="AG34" s="284"/>
      <c r="AH34" s="117"/>
      <c r="AI34" s="94">
        <f>AH34</f>
        <v>0</v>
      </c>
      <c r="AJ34" s="118"/>
      <c r="AK34" s="284"/>
      <c r="AL34" s="117"/>
      <c r="AM34" s="94">
        <f>AL34</f>
        <v>0</v>
      </c>
      <c r="AN34" s="118"/>
      <c r="AO34" s="284"/>
      <c r="AP34" s="117"/>
      <c r="AQ34" s="94">
        <f>AP34</f>
        <v>0</v>
      </c>
      <c r="AR34" s="118"/>
      <c r="AS34" s="284"/>
      <c r="AT34" s="117"/>
      <c r="AU34" s="94">
        <f>AT34</f>
        <v>0</v>
      </c>
      <c r="AV34" s="118"/>
      <c r="AW34" s="284"/>
    </row>
    <row r="35" spans="1:49" outlineLevel="1" x14ac:dyDescent="0.3">
      <c r="A35" s="15">
        <v>28200121</v>
      </c>
      <c r="B35" s="15" t="s">
        <v>454</v>
      </c>
      <c r="C35" s="24">
        <v>33</v>
      </c>
      <c r="D35" s="24" t="s">
        <v>236</v>
      </c>
      <c r="E35" s="24" t="s">
        <v>215</v>
      </c>
      <c r="F35" s="117">
        <v>-526735779.16666669</v>
      </c>
      <c r="G35" s="94">
        <f>F35</f>
        <v>-526735779.16666669</v>
      </c>
      <c r="H35" s="118"/>
      <c r="I35" s="35"/>
      <c r="J35" s="117">
        <v>-634515744.83083332</v>
      </c>
      <c r="K35" s="94">
        <f>J35</f>
        <v>-634515744.83083332</v>
      </c>
      <c r="L35" s="118"/>
      <c r="M35" s="35"/>
      <c r="N35" s="117">
        <v>-727032274.48872817</v>
      </c>
      <c r="O35" s="94">
        <f>N35</f>
        <v>-727032274.48872817</v>
      </c>
      <c r="P35" s="118"/>
      <c r="Q35" s="35"/>
      <c r="R35" s="117">
        <v>-847907255.70898938</v>
      </c>
      <c r="S35" s="94">
        <f>R35</f>
        <v>-847907255.70898938</v>
      </c>
      <c r="T35" s="118"/>
      <c r="U35" s="284"/>
      <c r="V35" s="117">
        <v>-907017589.89750004</v>
      </c>
      <c r="W35" s="94">
        <f>V35</f>
        <v>-907017589.89750004</v>
      </c>
      <c r="X35" s="118"/>
      <c r="Y35" s="284"/>
      <c r="Z35" s="117">
        <v>-1058463977.7729167</v>
      </c>
      <c r="AA35" s="94">
        <f>Z35</f>
        <v>-1058463977.7729167</v>
      </c>
      <c r="AB35" s="118"/>
      <c r="AC35" s="284"/>
      <c r="AD35" s="117">
        <v>-1159818332.6283331</v>
      </c>
      <c r="AE35" s="94">
        <f>AD35</f>
        <v>-1159818332.6283331</v>
      </c>
      <c r="AF35" s="118"/>
      <c r="AG35" s="284"/>
      <c r="AH35" s="117">
        <v>-1218917841.6170833</v>
      </c>
      <c r="AI35" s="94">
        <f>AH35</f>
        <v>-1218917841.6170833</v>
      </c>
      <c r="AJ35" s="118"/>
      <c r="AK35" s="284"/>
      <c r="AL35" s="117">
        <v>-1283074360.3116667</v>
      </c>
      <c r="AM35" s="94">
        <f>AL35</f>
        <v>-1283074360.3116667</v>
      </c>
      <c r="AN35" s="118"/>
      <c r="AO35" s="284"/>
      <c r="AP35" s="117">
        <v>-1346151464.1133335</v>
      </c>
      <c r="AQ35" s="94">
        <f>AP35</f>
        <v>-1346151464.1133335</v>
      </c>
      <c r="AR35" s="118"/>
      <c r="AS35" s="284"/>
      <c r="AT35" s="117">
        <v>-1372743188.4345834</v>
      </c>
      <c r="AU35" s="94">
        <f>AT35</f>
        <v>-1372743188.4345834</v>
      </c>
      <c r="AV35" s="118"/>
      <c r="AW35" s="284"/>
    </row>
    <row r="36" spans="1:49" outlineLevel="1" x14ac:dyDescent="0.3">
      <c r="A36" s="15">
        <v>28200131</v>
      </c>
      <c r="B36" s="15" t="s">
        <v>455</v>
      </c>
      <c r="C36" s="24">
        <v>34</v>
      </c>
      <c r="D36" s="24" t="s">
        <v>236</v>
      </c>
      <c r="E36" s="24" t="s">
        <v>215</v>
      </c>
      <c r="F36" s="117">
        <v>-708208.33333333337</v>
      </c>
      <c r="G36" s="94">
        <f>F36</f>
        <v>-708208.33333333337</v>
      </c>
      <c r="H36" s="118"/>
      <c r="I36" s="35"/>
      <c r="J36" s="117">
        <v>0</v>
      </c>
      <c r="K36" s="94">
        <f>J36</f>
        <v>0</v>
      </c>
      <c r="L36" s="118"/>
      <c r="M36" s="35"/>
      <c r="N36" s="117"/>
      <c r="O36" s="94">
        <f>N36</f>
        <v>0</v>
      </c>
      <c r="P36" s="118"/>
      <c r="Q36" s="35"/>
      <c r="R36" s="117"/>
      <c r="S36" s="94">
        <f>R36</f>
        <v>0</v>
      </c>
      <c r="T36" s="118"/>
      <c r="U36" s="284"/>
      <c r="V36" s="117"/>
      <c r="W36" s="94">
        <f>V36</f>
        <v>0</v>
      </c>
      <c r="X36" s="118"/>
      <c r="Y36" s="284"/>
      <c r="Z36" s="117"/>
      <c r="AA36" s="94">
        <f>Z36</f>
        <v>0</v>
      </c>
      <c r="AB36" s="118"/>
      <c r="AC36" s="284"/>
      <c r="AD36" s="117"/>
      <c r="AE36" s="94">
        <f>AD36</f>
        <v>0</v>
      </c>
      <c r="AF36" s="118"/>
      <c r="AG36" s="284"/>
      <c r="AH36" s="117"/>
      <c r="AI36" s="94">
        <f>AH36</f>
        <v>0</v>
      </c>
      <c r="AJ36" s="118"/>
      <c r="AK36" s="284"/>
      <c r="AL36" s="117"/>
      <c r="AM36" s="94">
        <f>AL36</f>
        <v>0</v>
      </c>
      <c r="AN36" s="118"/>
      <c r="AO36" s="284"/>
      <c r="AP36" s="117"/>
      <c r="AQ36" s="94">
        <f>AP36</f>
        <v>0</v>
      </c>
      <c r="AR36" s="118"/>
      <c r="AS36" s="284"/>
      <c r="AT36" s="117"/>
      <c r="AU36" s="94">
        <f>AT36</f>
        <v>0</v>
      </c>
      <c r="AV36" s="118"/>
      <c r="AW36" s="284"/>
    </row>
    <row r="37" spans="1:49" outlineLevel="1" x14ac:dyDescent="0.3">
      <c r="A37" s="15">
        <v>28200141</v>
      </c>
      <c r="B37" s="15" t="s">
        <v>456</v>
      </c>
      <c r="C37" s="24">
        <v>35</v>
      </c>
      <c r="D37" s="24" t="s">
        <v>236</v>
      </c>
      <c r="E37" s="24" t="s">
        <v>215</v>
      </c>
      <c r="F37" s="117">
        <v>0</v>
      </c>
      <c r="G37" s="94">
        <f>F37</f>
        <v>0</v>
      </c>
      <c r="H37" s="118"/>
      <c r="I37" s="35"/>
      <c r="J37" s="117">
        <v>0</v>
      </c>
      <c r="K37" s="94">
        <f>J37</f>
        <v>0</v>
      </c>
      <c r="L37" s="118"/>
      <c r="M37" s="35"/>
      <c r="N37" s="117"/>
      <c r="O37" s="94">
        <f>N37</f>
        <v>0</v>
      </c>
      <c r="P37" s="118"/>
      <c r="Q37" s="35"/>
      <c r="R37" s="117"/>
      <c r="S37" s="94">
        <f>R37</f>
        <v>0</v>
      </c>
      <c r="T37" s="118"/>
      <c r="U37" s="284"/>
      <c r="V37" s="117"/>
      <c r="W37" s="94">
        <f>V37</f>
        <v>0</v>
      </c>
      <c r="X37" s="118"/>
      <c r="Y37" s="284"/>
      <c r="Z37" s="117"/>
      <c r="AA37" s="94">
        <f>Z37</f>
        <v>0</v>
      </c>
      <c r="AB37" s="118"/>
      <c r="AC37" s="284"/>
      <c r="AD37" s="117"/>
      <c r="AE37" s="94">
        <f>AD37</f>
        <v>0</v>
      </c>
      <c r="AF37" s="118"/>
      <c r="AG37" s="284"/>
      <c r="AH37" s="117"/>
      <c r="AI37" s="94">
        <f>AH37</f>
        <v>0</v>
      </c>
      <c r="AJ37" s="118"/>
      <c r="AK37" s="284"/>
      <c r="AL37" s="117"/>
      <c r="AM37" s="94">
        <f>AL37</f>
        <v>0</v>
      </c>
      <c r="AN37" s="118"/>
      <c r="AO37" s="284"/>
      <c r="AP37" s="117"/>
      <c r="AQ37" s="94">
        <f>AP37</f>
        <v>0</v>
      </c>
      <c r="AR37" s="118"/>
      <c r="AS37" s="284"/>
      <c r="AT37" s="117"/>
      <c r="AU37" s="94">
        <f>AT37</f>
        <v>0</v>
      </c>
      <c r="AV37" s="118"/>
      <c r="AW37" s="284"/>
    </row>
    <row r="38" spans="1:49" outlineLevel="1" x14ac:dyDescent="0.3">
      <c r="A38" s="15">
        <v>28200142</v>
      </c>
      <c r="B38" s="15" t="s">
        <v>457</v>
      </c>
      <c r="C38" s="24">
        <v>10</v>
      </c>
      <c r="D38" s="24" t="s">
        <v>236</v>
      </c>
      <c r="E38" s="158" t="s">
        <v>216</v>
      </c>
      <c r="F38" s="117">
        <v>0</v>
      </c>
      <c r="G38" s="94"/>
      <c r="H38" s="118">
        <f>F38</f>
        <v>0</v>
      </c>
      <c r="I38" s="35"/>
      <c r="J38" s="117">
        <v>0</v>
      </c>
      <c r="K38" s="94"/>
      <c r="L38" s="118">
        <f>J38</f>
        <v>0</v>
      </c>
      <c r="M38" s="35"/>
      <c r="N38" s="117">
        <v>0</v>
      </c>
      <c r="O38" s="94"/>
      <c r="P38" s="118">
        <f>N38</f>
        <v>0</v>
      </c>
      <c r="Q38" s="35"/>
      <c r="R38" s="117"/>
      <c r="S38" s="94"/>
      <c r="T38" s="118">
        <f>R38</f>
        <v>0</v>
      </c>
      <c r="U38" s="284"/>
      <c r="V38" s="117"/>
      <c r="W38" s="94"/>
      <c r="X38" s="118">
        <f>V38</f>
        <v>0</v>
      </c>
      <c r="Y38" s="284"/>
      <c r="Z38" s="117"/>
      <c r="AA38" s="94"/>
      <c r="AB38" s="118">
        <f>Z38</f>
        <v>0</v>
      </c>
      <c r="AC38" s="284"/>
      <c r="AD38" s="117"/>
      <c r="AE38" s="94"/>
      <c r="AF38" s="118">
        <f>AD38</f>
        <v>0</v>
      </c>
      <c r="AG38" s="284"/>
      <c r="AH38" s="117"/>
      <c r="AI38" s="94"/>
      <c r="AJ38" s="118">
        <f>AH38</f>
        <v>0</v>
      </c>
      <c r="AK38" s="284"/>
      <c r="AL38" s="117"/>
      <c r="AM38" s="94"/>
      <c r="AN38" s="118">
        <f>AL38</f>
        <v>0</v>
      </c>
      <c r="AO38" s="284"/>
      <c r="AP38" s="117"/>
      <c r="AQ38" s="94"/>
      <c r="AR38" s="118">
        <f>AP38</f>
        <v>0</v>
      </c>
      <c r="AS38" s="284"/>
      <c r="AT38" s="117"/>
      <c r="AU38" s="94"/>
      <c r="AV38" s="118">
        <f>AT38</f>
        <v>0</v>
      </c>
      <c r="AW38" s="284"/>
    </row>
    <row r="39" spans="1:49" outlineLevel="1" x14ac:dyDescent="0.3">
      <c r="A39" s="15">
        <v>28200161</v>
      </c>
      <c r="B39" s="15" t="s">
        <v>458</v>
      </c>
      <c r="C39" s="24">
        <v>33</v>
      </c>
      <c r="D39" s="24" t="s">
        <v>236</v>
      </c>
      <c r="E39" s="24" t="s">
        <v>215</v>
      </c>
      <c r="F39" s="117">
        <v>-24424184.458333332</v>
      </c>
      <c r="G39" s="94">
        <f>F39</f>
        <v>-24424184.458333332</v>
      </c>
      <c r="H39" s="118"/>
      <c r="I39" s="35"/>
      <c r="J39" s="117">
        <v>-18346038.75</v>
      </c>
      <c r="K39" s="94">
        <f>J39</f>
        <v>-18346038.75</v>
      </c>
      <c r="L39" s="118"/>
      <c r="M39" s="35"/>
      <c r="N39" s="117">
        <v>0</v>
      </c>
      <c r="O39" s="94">
        <f>N39</f>
        <v>0</v>
      </c>
      <c r="P39" s="118"/>
      <c r="Q39" s="35"/>
      <c r="R39" s="117"/>
      <c r="S39" s="94">
        <f>R39</f>
        <v>0</v>
      </c>
      <c r="T39" s="118"/>
      <c r="U39" s="284"/>
      <c r="V39" s="117">
        <v>0</v>
      </c>
      <c r="W39" s="94">
        <f>V39</f>
        <v>0</v>
      </c>
      <c r="X39" s="118"/>
      <c r="Y39" s="284"/>
      <c r="Z39" s="117"/>
      <c r="AA39" s="94">
        <f>Z39</f>
        <v>0</v>
      </c>
      <c r="AB39" s="118"/>
      <c r="AC39" s="284"/>
      <c r="AD39" s="117"/>
      <c r="AE39" s="94">
        <f>AD39</f>
        <v>0</v>
      </c>
      <c r="AF39" s="118"/>
      <c r="AG39" s="284"/>
      <c r="AH39" s="117"/>
      <c r="AI39" s="94">
        <f>AH39</f>
        <v>0</v>
      </c>
      <c r="AJ39" s="118"/>
      <c r="AK39" s="284"/>
      <c r="AL39" s="117"/>
      <c r="AM39" s="94">
        <f>AL39</f>
        <v>0</v>
      </c>
      <c r="AN39" s="118"/>
      <c r="AO39" s="284"/>
      <c r="AP39" s="117"/>
      <c r="AQ39" s="94">
        <f>AP39</f>
        <v>0</v>
      </c>
      <c r="AR39" s="118"/>
      <c r="AS39" s="284"/>
      <c r="AT39" s="117"/>
      <c r="AU39" s="94">
        <f>AT39</f>
        <v>0</v>
      </c>
      <c r="AV39" s="118"/>
      <c r="AW39" s="284"/>
    </row>
    <row r="40" spans="1:49" outlineLevel="1" x14ac:dyDescent="0.3">
      <c r="A40" s="290">
        <v>28200171</v>
      </c>
      <c r="B40" s="15" t="s">
        <v>459</v>
      </c>
      <c r="C40" s="24">
        <v>33</v>
      </c>
      <c r="D40" s="24" t="s">
        <v>236</v>
      </c>
      <c r="E40" s="24" t="s">
        <v>215</v>
      </c>
      <c r="F40" s="117"/>
      <c r="G40" s="94"/>
      <c r="H40" s="118"/>
      <c r="I40" s="35"/>
      <c r="J40" s="117"/>
      <c r="K40" s="94"/>
      <c r="L40" s="118"/>
      <c r="M40" s="35"/>
      <c r="N40" s="117"/>
      <c r="O40" s="94"/>
      <c r="P40" s="118"/>
      <c r="Q40" s="35"/>
      <c r="R40" s="117"/>
      <c r="S40" s="94"/>
      <c r="T40" s="118"/>
      <c r="U40" s="284"/>
      <c r="V40" s="117">
        <v>-13195207.208333334</v>
      </c>
      <c r="W40" s="94">
        <f>V40</f>
        <v>-13195207.208333334</v>
      </c>
      <c r="X40" s="118"/>
      <c r="Y40" s="284"/>
      <c r="Z40" s="117"/>
      <c r="AA40" s="94"/>
      <c r="AB40" s="118"/>
      <c r="AC40" s="284"/>
      <c r="AD40" s="117"/>
      <c r="AE40" s="94"/>
      <c r="AF40" s="118"/>
      <c r="AG40" s="284"/>
      <c r="AH40" s="117"/>
      <c r="AI40" s="94"/>
      <c r="AJ40" s="118"/>
      <c r="AK40" s="284"/>
      <c r="AL40" s="117"/>
      <c r="AM40" s="94"/>
      <c r="AN40" s="118"/>
      <c r="AO40" s="284"/>
      <c r="AP40" s="117"/>
      <c r="AQ40" s="94"/>
      <c r="AR40" s="118"/>
      <c r="AS40" s="284"/>
      <c r="AT40" s="117"/>
      <c r="AU40" s="94"/>
      <c r="AV40" s="118"/>
      <c r="AW40" s="284"/>
    </row>
    <row r="41" spans="1:49" outlineLevel="1" x14ac:dyDescent="0.3">
      <c r="A41" s="15">
        <v>28200442</v>
      </c>
      <c r="B41" s="15" t="s">
        <v>460</v>
      </c>
      <c r="C41" s="24">
        <v>10</v>
      </c>
      <c r="D41" s="24" t="s">
        <v>236</v>
      </c>
      <c r="E41" s="158" t="s">
        <v>216</v>
      </c>
      <c r="F41" s="117"/>
      <c r="G41" s="94"/>
      <c r="H41" s="118"/>
      <c r="I41" s="35"/>
      <c r="J41" s="117"/>
      <c r="K41" s="94"/>
      <c r="L41" s="118"/>
      <c r="M41" s="35"/>
      <c r="N41" s="117"/>
      <c r="O41" s="94"/>
      <c r="P41" s="118"/>
      <c r="Q41" s="35"/>
      <c r="R41" s="117"/>
      <c r="S41" s="94"/>
      <c r="T41" s="118"/>
      <c r="U41" s="284"/>
      <c r="V41" s="117">
        <v>-7027763.541666667</v>
      </c>
      <c r="W41" s="94"/>
      <c r="X41" s="118">
        <f>V41</f>
        <v>-7027763.541666667</v>
      </c>
      <c r="Y41" s="284"/>
      <c r="Z41" s="117"/>
      <c r="AA41" s="94"/>
      <c r="AB41" s="118"/>
      <c r="AC41" s="284"/>
      <c r="AD41" s="117"/>
      <c r="AE41" s="94"/>
      <c r="AF41" s="118"/>
      <c r="AG41" s="284"/>
      <c r="AH41" s="117"/>
      <c r="AI41" s="94"/>
      <c r="AJ41" s="118"/>
      <c r="AK41" s="284"/>
      <c r="AL41" s="117"/>
      <c r="AM41" s="94"/>
      <c r="AN41" s="118"/>
      <c r="AO41" s="284"/>
      <c r="AP41" s="117"/>
      <c r="AQ41" s="94"/>
      <c r="AR41" s="118"/>
      <c r="AS41" s="284"/>
      <c r="AT41" s="117"/>
      <c r="AU41" s="94"/>
      <c r="AV41" s="118"/>
      <c r="AW41" s="284"/>
    </row>
    <row r="42" spans="1:49" outlineLevel="1" x14ac:dyDescent="0.3">
      <c r="A42" s="15">
        <v>28300011</v>
      </c>
      <c r="B42" s="15" t="s">
        <v>461</v>
      </c>
      <c r="C42" s="24" t="s">
        <v>415</v>
      </c>
      <c r="D42" s="24" t="s">
        <v>412</v>
      </c>
      <c r="E42" s="24" t="s">
        <v>215</v>
      </c>
      <c r="F42" s="117">
        <v>-4155604</v>
      </c>
      <c r="G42" s="94">
        <f>F42</f>
        <v>-4155604</v>
      </c>
      <c r="H42" s="118"/>
      <c r="I42" s="35"/>
      <c r="J42" s="117">
        <v>-4155604</v>
      </c>
      <c r="K42" s="94">
        <f>J42</f>
        <v>-4155604</v>
      </c>
      <c r="L42" s="118"/>
      <c r="M42" s="35"/>
      <c r="N42" s="117">
        <v>-173150.16666666666</v>
      </c>
      <c r="O42" s="94">
        <f>N42</f>
        <v>-173150.16666666666</v>
      </c>
      <c r="P42" s="118"/>
      <c r="Q42" s="35"/>
      <c r="R42" s="117">
        <v>0</v>
      </c>
      <c r="S42" s="94">
        <f>R42</f>
        <v>0</v>
      </c>
      <c r="T42" s="118"/>
      <c r="U42" s="284"/>
      <c r="V42" s="117">
        <v>0</v>
      </c>
      <c r="W42" s="94">
        <f>V42</f>
        <v>0</v>
      </c>
      <c r="X42" s="118"/>
      <c r="Y42" s="284"/>
      <c r="Z42" s="117">
        <v>0</v>
      </c>
      <c r="AA42" s="94">
        <f>Z42</f>
        <v>0</v>
      </c>
      <c r="AB42" s="118"/>
      <c r="AC42" s="284"/>
      <c r="AD42" s="117"/>
      <c r="AE42" s="94">
        <f>AD42</f>
        <v>0</v>
      </c>
      <c r="AF42" s="118"/>
      <c r="AG42" s="284"/>
      <c r="AH42" s="117"/>
      <c r="AI42" s="94">
        <f>AH42</f>
        <v>0</v>
      </c>
      <c r="AJ42" s="118"/>
      <c r="AK42" s="284"/>
      <c r="AL42" s="117"/>
      <c r="AM42" s="94">
        <f>AL42</f>
        <v>0</v>
      </c>
      <c r="AN42" s="118"/>
      <c r="AO42" s="284"/>
      <c r="AP42" s="117"/>
      <c r="AQ42" s="94">
        <f>AP42</f>
        <v>0</v>
      </c>
      <c r="AR42" s="118"/>
      <c r="AS42" s="284"/>
      <c r="AT42" s="117"/>
      <c r="AU42" s="94">
        <f>AT42</f>
        <v>0</v>
      </c>
      <c r="AV42" s="118"/>
      <c r="AW42" s="284"/>
    </row>
    <row r="43" spans="1:49" outlineLevel="1" x14ac:dyDescent="0.3">
      <c r="A43" s="15">
        <v>28300013</v>
      </c>
      <c r="B43" s="15" t="s">
        <v>462</v>
      </c>
      <c r="C43" s="24" t="s">
        <v>440</v>
      </c>
      <c r="D43" s="24" t="s">
        <v>412</v>
      </c>
      <c r="E43" s="24" t="s">
        <v>422</v>
      </c>
      <c r="F43" s="117">
        <v>-70166.666666666672</v>
      </c>
      <c r="G43" s="94">
        <f>F43*$G$3</f>
        <v>-45341.700000000004</v>
      </c>
      <c r="H43" s="118">
        <f>F43*$H$3</f>
        <v>-24824.966666666667</v>
      </c>
      <c r="I43" s="35"/>
      <c r="J43" s="117">
        <v>-10000</v>
      </c>
      <c r="K43" s="94">
        <f>J43*$K$3</f>
        <v>-6479</v>
      </c>
      <c r="L43" s="118">
        <f>J43*$L$3</f>
        <v>-3521.0000000000005</v>
      </c>
      <c r="M43" s="35"/>
      <c r="N43" s="117">
        <v>-38666.666666666664</v>
      </c>
      <c r="O43" s="94">
        <f>N43*$O$3</f>
        <v>-25717.200000000001</v>
      </c>
      <c r="P43" s="118">
        <f>N43*$P$3</f>
        <v>-12949.466666666665</v>
      </c>
      <c r="Q43" s="35"/>
      <c r="R43" s="117"/>
      <c r="S43" s="94">
        <f>R43*$S$3</f>
        <v>0</v>
      </c>
      <c r="T43" s="118">
        <f>R43*$T$3</f>
        <v>0</v>
      </c>
      <c r="U43" s="284"/>
      <c r="V43" s="117">
        <v>0</v>
      </c>
      <c r="W43" s="94">
        <f>V43*$W$3</f>
        <v>0</v>
      </c>
      <c r="X43" s="118">
        <f>V43*$X$3</f>
        <v>0</v>
      </c>
      <c r="Y43" s="284"/>
      <c r="Z43" s="117">
        <v>0</v>
      </c>
      <c r="AA43" s="94">
        <f>Z43*$AA$3</f>
        <v>0</v>
      </c>
      <c r="AB43" s="118">
        <f>Z43*$AB$3</f>
        <v>0</v>
      </c>
      <c r="AC43" s="284"/>
      <c r="AD43" s="117"/>
      <c r="AE43" s="94">
        <f>AD43*$AE$3</f>
        <v>0</v>
      </c>
      <c r="AF43" s="118">
        <f>AD43*$AF$3</f>
        <v>0</v>
      </c>
      <c r="AG43" s="284"/>
      <c r="AH43" s="117"/>
      <c r="AI43" s="94">
        <f>AH43*$AI$3</f>
        <v>0</v>
      </c>
      <c r="AJ43" s="118">
        <f>AH43*$AJ$3</f>
        <v>0</v>
      </c>
      <c r="AK43" s="284"/>
      <c r="AL43" s="117"/>
      <c r="AM43" s="94">
        <f>AL43*$AM$3</f>
        <v>0</v>
      </c>
      <c r="AN43" s="118">
        <f>AL43*$AN$3</f>
        <v>0</v>
      </c>
      <c r="AO43" s="284"/>
      <c r="AP43" s="117"/>
      <c r="AQ43" s="94">
        <f>AP43*$AQ$3</f>
        <v>0</v>
      </c>
      <c r="AR43" s="118">
        <f>AP43*$AR$3</f>
        <v>0</v>
      </c>
      <c r="AS43" s="284"/>
      <c r="AT43" s="117"/>
      <c r="AU43" s="94">
        <f>AT43*$AU$3</f>
        <v>0</v>
      </c>
      <c r="AV43" s="118">
        <f>AT43*$AV$3</f>
        <v>0</v>
      </c>
      <c r="AW43" s="284"/>
    </row>
    <row r="44" spans="1:49" outlineLevel="1" x14ac:dyDescent="0.3">
      <c r="A44" s="15">
        <v>28300023</v>
      </c>
      <c r="B44" s="15" t="s">
        <v>463</v>
      </c>
      <c r="C44" s="24" t="s">
        <v>440</v>
      </c>
      <c r="D44" s="24" t="s">
        <v>412</v>
      </c>
      <c r="E44" s="24" t="s">
        <v>422</v>
      </c>
      <c r="F44" s="117">
        <v>-19971312.083333332</v>
      </c>
      <c r="G44" s="94">
        <f>F44*$G$3</f>
        <v>-12905461.868249999</v>
      </c>
      <c r="H44" s="118">
        <f>F44*$H$3</f>
        <v>-7065850.2150833327</v>
      </c>
      <c r="I44" s="35"/>
      <c r="J44" s="117">
        <v>0</v>
      </c>
      <c r="K44" s="94">
        <f>J44*$K$3</f>
        <v>0</v>
      </c>
      <c r="L44" s="118">
        <f>J44*$L$3</f>
        <v>0</v>
      </c>
      <c r="M44" s="35"/>
      <c r="N44" s="117">
        <v>0</v>
      </c>
      <c r="O44" s="94">
        <f>N44*$O$3</f>
        <v>0</v>
      </c>
      <c r="P44" s="118">
        <f>N44*$P$3</f>
        <v>0</v>
      </c>
      <c r="Q44" s="35"/>
      <c r="R44" s="117"/>
      <c r="S44" s="94">
        <f>R44*$S$3</f>
        <v>0</v>
      </c>
      <c r="T44" s="118">
        <f>R44*$T$3</f>
        <v>0</v>
      </c>
      <c r="U44" s="284"/>
      <c r="V44" s="117">
        <v>0</v>
      </c>
      <c r="W44" s="94">
        <f>V44*$W$3</f>
        <v>0</v>
      </c>
      <c r="X44" s="118">
        <f>V44*$X$3</f>
        <v>0</v>
      </c>
      <c r="Y44" s="284"/>
      <c r="Z44" s="117">
        <v>0</v>
      </c>
      <c r="AA44" s="94">
        <f>Z44*$AA$3</f>
        <v>0</v>
      </c>
      <c r="AB44" s="118">
        <f>Z44*$AB$3</f>
        <v>0</v>
      </c>
      <c r="AC44" s="284"/>
      <c r="AD44" s="117"/>
      <c r="AE44" s="94">
        <f>AD44*$AE$3</f>
        <v>0</v>
      </c>
      <c r="AF44" s="118">
        <f>AD44*$AF$3</f>
        <v>0</v>
      </c>
      <c r="AG44" s="284"/>
      <c r="AH44" s="117"/>
      <c r="AI44" s="94">
        <f>AH44*$AI$3</f>
        <v>0</v>
      </c>
      <c r="AJ44" s="118">
        <f>AH44*$AJ$3</f>
        <v>0</v>
      </c>
      <c r="AK44" s="284"/>
      <c r="AL44" s="117"/>
      <c r="AM44" s="94">
        <f>AL44*$AM$3</f>
        <v>0</v>
      </c>
      <c r="AN44" s="118">
        <f>AL44*$AN$3</f>
        <v>0</v>
      </c>
      <c r="AO44" s="284"/>
      <c r="AP44" s="117"/>
      <c r="AQ44" s="94">
        <f>AP44*$AQ$3</f>
        <v>0</v>
      </c>
      <c r="AR44" s="118">
        <f>AP44*$AR$3</f>
        <v>0</v>
      </c>
      <c r="AS44" s="284"/>
      <c r="AT44" s="117"/>
      <c r="AU44" s="94">
        <f>AT44*$AU$3</f>
        <v>0</v>
      </c>
      <c r="AV44" s="118">
        <f>AT44*$AV$3</f>
        <v>0</v>
      </c>
      <c r="AW44" s="284"/>
    </row>
    <row r="45" spans="1:49" outlineLevel="1" x14ac:dyDescent="0.3">
      <c r="A45" s="290">
        <v>28300081</v>
      </c>
      <c r="B45" s="15" t="s">
        <v>464</v>
      </c>
      <c r="C45" s="24" t="s">
        <v>465</v>
      </c>
      <c r="D45" s="24" t="s">
        <v>412</v>
      </c>
      <c r="E45" s="24" t="s">
        <v>215</v>
      </c>
      <c r="F45" s="117"/>
      <c r="G45" s="94"/>
      <c r="H45" s="118"/>
      <c r="I45" s="35"/>
      <c r="J45" s="117"/>
      <c r="K45" s="94"/>
      <c r="L45" s="118"/>
      <c r="M45" s="35"/>
      <c r="N45" s="117"/>
      <c r="O45" s="94"/>
      <c r="P45" s="118"/>
      <c r="Q45" s="35"/>
      <c r="R45" s="117"/>
      <c r="S45" s="94"/>
      <c r="T45" s="118"/>
      <c r="U45" s="284"/>
      <c r="V45" s="117">
        <v>-3746169.03125</v>
      </c>
      <c r="W45" s="94">
        <f>V45</f>
        <v>-3746169.03125</v>
      </c>
      <c r="X45" s="118"/>
      <c r="Y45" s="284"/>
      <c r="Z45" s="117">
        <v>-5792397.8145833323</v>
      </c>
      <c r="AA45" s="94">
        <f>Z45</f>
        <v>-5792397.8145833323</v>
      </c>
      <c r="AB45" s="118"/>
      <c r="AC45" s="284"/>
      <c r="AD45" s="117">
        <v>-5521372.1208333327</v>
      </c>
      <c r="AE45" s="94">
        <f>AD45</f>
        <v>-5521372.1208333327</v>
      </c>
      <c r="AF45" s="118"/>
      <c r="AG45" s="284"/>
      <c r="AH45" s="117">
        <v>-5280783.8999999994</v>
      </c>
      <c r="AI45" s="94">
        <f>AH45</f>
        <v>-5280783.8999999994</v>
      </c>
      <c r="AJ45" s="118"/>
      <c r="AK45" s="284"/>
      <c r="AL45" s="117">
        <v>-5040186.8999999994</v>
      </c>
      <c r="AM45" s="94">
        <f>AL45</f>
        <v>-5040186.8999999994</v>
      </c>
      <c r="AN45" s="118"/>
      <c r="AO45" s="284"/>
      <c r="AP45" s="117">
        <v>-4799589.8999999994</v>
      </c>
      <c r="AQ45" s="94">
        <f>AP45</f>
        <v>-4799589.8999999994</v>
      </c>
      <c r="AR45" s="118"/>
      <c r="AS45" s="284"/>
      <c r="AT45" s="117">
        <v>-4607112.3</v>
      </c>
      <c r="AU45" s="94">
        <f>AT45</f>
        <v>-4607112.3</v>
      </c>
      <c r="AV45" s="118"/>
      <c r="AW45" s="284"/>
    </row>
    <row r="46" spans="1:49" outlineLevel="1" x14ac:dyDescent="0.3">
      <c r="A46" s="15">
        <v>28300091</v>
      </c>
      <c r="B46" s="15" t="s">
        <v>466</v>
      </c>
      <c r="C46" s="24" t="s">
        <v>467</v>
      </c>
      <c r="D46" s="24" t="s">
        <v>412</v>
      </c>
      <c r="E46" s="24" t="s">
        <v>215</v>
      </c>
      <c r="F46" s="117"/>
      <c r="G46" s="94"/>
      <c r="H46" s="118"/>
      <c r="I46" s="35"/>
      <c r="J46" s="117"/>
      <c r="K46" s="94"/>
      <c r="L46" s="118"/>
      <c r="M46" s="35"/>
      <c r="N46" s="117"/>
      <c r="O46" s="94"/>
      <c r="P46" s="118"/>
      <c r="Q46" s="35"/>
      <c r="R46" s="117"/>
      <c r="S46" s="94"/>
      <c r="T46" s="118"/>
      <c r="U46" s="284"/>
      <c r="V46" s="117"/>
      <c r="W46" s="94"/>
      <c r="X46" s="118"/>
      <c r="Y46" s="284"/>
      <c r="Z46" s="117">
        <v>-1714566.7283333333</v>
      </c>
      <c r="AA46" s="94">
        <f>Z46</f>
        <v>-1714566.7283333333</v>
      </c>
      <c r="AB46" s="118"/>
      <c r="AC46" s="284"/>
      <c r="AD46" s="117">
        <v>-3903760.1333333333</v>
      </c>
      <c r="AE46" s="94">
        <f>AD46</f>
        <v>-3903760.1333333333</v>
      </c>
      <c r="AF46" s="118"/>
      <c r="AG46" s="284"/>
      <c r="AH46" s="117">
        <v>-3084809.6</v>
      </c>
      <c r="AI46" s="94">
        <f>AH46</f>
        <v>-3084809.6</v>
      </c>
      <c r="AJ46" s="118"/>
      <c r="AK46" s="284"/>
      <c r="AL46" s="117">
        <v>-2159364.8000000003</v>
      </c>
      <c r="AM46" s="94">
        <f>AL46</f>
        <v>-2159364.8000000003</v>
      </c>
      <c r="AN46" s="118"/>
      <c r="AO46" s="284"/>
      <c r="AP46" s="117">
        <v>-1277251.1104166666</v>
      </c>
      <c r="AQ46" s="94">
        <f>AP46</f>
        <v>-1277251.1104166666</v>
      </c>
      <c r="AR46" s="118"/>
      <c r="AS46" s="284"/>
      <c r="AT46" s="117">
        <v>-1029888.5287499996</v>
      </c>
      <c r="AU46" s="94">
        <f>AT46</f>
        <v>-1029888.5287499996</v>
      </c>
      <c r="AV46" s="118"/>
      <c r="AW46" s="284"/>
    </row>
    <row r="47" spans="1:49" outlineLevel="1" x14ac:dyDescent="0.3">
      <c r="A47" s="15">
        <v>28300101</v>
      </c>
      <c r="B47" s="15" t="s">
        <v>468</v>
      </c>
      <c r="C47" s="24">
        <v>34</v>
      </c>
      <c r="D47" s="24" t="s">
        <v>412</v>
      </c>
      <c r="E47" s="24" t="s">
        <v>215</v>
      </c>
      <c r="F47" s="117"/>
      <c r="G47" s="94"/>
      <c r="H47" s="118"/>
      <c r="I47" s="35"/>
      <c r="J47" s="117"/>
      <c r="K47" s="94"/>
      <c r="L47" s="118"/>
      <c r="M47" s="35"/>
      <c r="N47" s="117"/>
      <c r="O47" s="94"/>
      <c r="P47" s="118"/>
      <c r="Q47" s="35"/>
      <c r="R47" s="117"/>
      <c r="S47" s="94"/>
      <c r="T47" s="118"/>
      <c r="U47" s="284"/>
      <c r="V47" s="117"/>
      <c r="W47" s="94"/>
      <c r="X47" s="118"/>
      <c r="Y47" s="284"/>
      <c r="Z47" s="117"/>
      <c r="AA47" s="94"/>
      <c r="AB47" s="118"/>
      <c r="AC47" s="284"/>
      <c r="AD47" s="117"/>
      <c r="AE47" s="94"/>
      <c r="AF47" s="118"/>
      <c r="AG47" s="284"/>
      <c r="AH47" s="117"/>
      <c r="AI47" s="94"/>
      <c r="AJ47" s="118"/>
      <c r="AK47" s="284"/>
      <c r="AL47" s="117"/>
      <c r="AM47" s="94"/>
      <c r="AN47" s="118"/>
      <c r="AO47" s="284"/>
      <c r="AP47" s="117">
        <v>-6925.3633333333337</v>
      </c>
      <c r="AQ47" s="94">
        <f>AP47</f>
        <v>-6925.3633333333337</v>
      </c>
      <c r="AR47" s="118"/>
      <c r="AS47" s="284"/>
      <c r="AT47" s="117">
        <v>-1594943.55</v>
      </c>
      <c r="AU47" s="94">
        <f>AT47</f>
        <v>-1594943.55</v>
      </c>
      <c r="AV47" s="118"/>
      <c r="AW47" s="284"/>
    </row>
    <row r="48" spans="1:49" outlineLevel="1" x14ac:dyDescent="0.3">
      <c r="A48" s="15">
        <v>28300193</v>
      </c>
      <c r="B48" s="15" t="s">
        <v>469</v>
      </c>
      <c r="C48" s="24" t="s">
        <v>440</v>
      </c>
      <c r="D48" s="24" t="s">
        <v>412</v>
      </c>
      <c r="E48" s="24" t="s">
        <v>422</v>
      </c>
      <c r="F48" s="117">
        <v>-2482149.4583333335</v>
      </c>
      <c r="G48" s="94">
        <f>F48*$G$3</f>
        <v>-1603964.979975</v>
      </c>
      <c r="H48" s="118">
        <f>F48*$H$3</f>
        <v>-878184.47835833335</v>
      </c>
      <c r="I48" s="35"/>
      <c r="J48" s="117">
        <v>0</v>
      </c>
      <c r="K48" s="94">
        <f>J48*$K$3</f>
        <v>0</v>
      </c>
      <c r="L48" s="118">
        <f>J48*$L$3</f>
        <v>0</v>
      </c>
      <c r="M48" s="35"/>
      <c r="N48" s="117">
        <v>0</v>
      </c>
      <c r="O48" s="94">
        <f>N48*$O$3</f>
        <v>0</v>
      </c>
      <c r="P48" s="118">
        <f>N48*$P$3</f>
        <v>0</v>
      </c>
      <c r="Q48" s="35"/>
      <c r="R48" s="117"/>
      <c r="S48" s="94">
        <f>R48*$S$3</f>
        <v>0</v>
      </c>
      <c r="T48" s="118">
        <f>R48*$T$3</f>
        <v>0</v>
      </c>
      <c r="U48" s="284"/>
      <c r="V48" s="117">
        <v>0</v>
      </c>
      <c r="W48" s="94">
        <f>V48*$W$3</f>
        <v>0</v>
      </c>
      <c r="X48" s="118">
        <f>V48*$X$3</f>
        <v>0</v>
      </c>
      <c r="Y48" s="284"/>
      <c r="Z48" s="117">
        <v>0</v>
      </c>
      <c r="AA48" s="94">
        <f>Z48*$AA$3</f>
        <v>0</v>
      </c>
      <c r="AB48" s="118">
        <f>Z48*$AB$3</f>
        <v>0</v>
      </c>
      <c r="AC48" s="284"/>
      <c r="AD48" s="117"/>
      <c r="AE48" s="94">
        <f>AD48*$AE$3</f>
        <v>0</v>
      </c>
      <c r="AF48" s="118">
        <f>AD48*$AF$3</f>
        <v>0</v>
      </c>
      <c r="AG48" s="284"/>
      <c r="AH48" s="117"/>
      <c r="AI48" s="94">
        <f>AH48*$AI$3</f>
        <v>0</v>
      </c>
      <c r="AJ48" s="118">
        <f>AH48*$AJ$3</f>
        <v>0</v>
      </c>
      <c r="AK48" s="284"/>
      <c r="AL48" s="117"/>
      <c r="AM48" s="94">
        <f>AL48*$AM$3</f>
        <v>0</v>
      </c>
      <c r="AN48" s="118">
        <f>AL48*$AN$3</f>
        <v>0</v>
      </c>
      <c r="AO48" s="284"/>
      <c r="AP48" s="117"/>
      <c r="AQ48" s="94">
        <f>AP48*$AQ$3</f>
        <v>0</v>
      </c>
      <c r="AR48" s="118">
        <f>AP48*$AR$3</f>
        <v>0</v>
      </c>
      <c r="AS48" s="284"/>
      <c r="AT48" s="117"/>
      <c r="AU48" s="94">
        <f>AT48*$AU$3</f>
        <v>0</v>
      </c>
      <c r="AV48" s="118">
        <f>AT48*$H$3</f>
        <v>0</v>
      </c>
      <c r="AW48" s="284"/>
    </row>
    <row r="49" spans="1:49" outlineLevel="1" x14ac:dyDescent="0.3">
      <c r="A49" s="15">
        <v>28300261</v>
      </c>
      <c r="B49" s="15" t="s">
        <v>470</v>
      </c>
      <c r="C49" s="24">
        <v>37</v>
      </c>
      <c r="D49" s="24" t="s">
        <v>412</v>
      </c>
      <c r="E49" s="24" t="s">
        <v>215</v>
      </c>
      <c r="F49" s="117">
        <v>0</v>
      </c>
      <c r="G49" s="94">
        <f>F49</f>
        <v>0</v>
      </c>
      <c r="H49" s="118"/>
      <c r="I49" s="35"/>
      <c r="J49" s="117">
        <v>0</v>
      </c>
      <c r="K49" s="94">
        <f>J49</f>
        <v>0</v>
      </c>
      <c r="L49" s="118"/>
      <c r="M49" s="35"/>
      <c r="N49" s="117"/>
      <c r="O49" s="94">
        <f>N49</f>
        <v>0</v>
      </c>
      <c r="P49" s="118"/>
      <c r="Q49" s="35"/>
      <c r="R49" s="117"/>
      <c r="S49" s="94">
        <f>R49</f>
        <v>0</v>
      </c>
      <c r="T49" s="118"/>
      <c r="U49" s="284"/>
      <c r="V49" s="117"/>
      <c r="W49" s="94">
        <f>V49</f>
        <v>0</v>
      </c>
      <c r="X49" s="118"/>
      <c r="Y49" s="284"/>
      <c r="Z49" s="117"/>
      <c r="AA49" s="94">
        <f>Z49</f>
        <v>0</v>
      </c>
      <c r="AB49" s="118"/>
      <c r="AC49" s="284"/>
      <c r="AD49" s="117"/>
      <c r="AE49" s="94">
        <f>AD49</f>
        <v>0</v>
      </c>
      <c r="AF49" s="118"/>
      <c r="AG49" s="284"/>
      <c r="AH49" s="117"/>
      <c r="AI49" s="94">
        <f>AH49</f>
        <v>0</v>
      </c>
      <c r="AJ49" s="118"/>
      <c r="AK49" s="284"/>
      <c r="AL49" s="117"/>
      <c r="AM49" s="94">
        <f>AL49</f>
        <v>0</v>
      </c>
      <c r="AN49" s="118"/>
      <c r="AO49" s="284"/>
      <c r="AP49" s="117"/>
      <c r="AQ49" s="94">
        <f>AP49</f>
        <v>0</v>
      </c>
      <c r="AR49" s="118"/>
      <c r="AS49" s="284"/>
      <c r="AT49" s="117"/>
      <c r="AU49" s="94">
        <f>AT49</f>
        <v>0</v>
      </c>
      <c r="AV49" s="118"/>
      <c r="AW49" s="284"/>
    </row>
    <row r="50" spans="1:49" outlineLevel="1" x14ac:dyDescent="0.3">
      <c r="A50" s="15">
        <v>28300341</v>
      </c>
      <c r="B50" s="15" t="s">
        <v>471</v>
      </c>
      <c r="C50" s="24">
        <v>33</v>
      </c>
      <c r="D50" s="24" t="s">
        <v>412</v>
      </c>
      <c r="E50" s="24" t="s">
        <v>215</v>
      </c>
      <c r="F50" s="117">
        <v>-4543908.75</v>
      </c>
      <c r="G50" s="94">
        <f>F50</f>
        <v>-4543908.75</v>
      </c>
      <c r="H50" s="118"/>
      <c r="I50" s="35"/>
      <c r="J50" s="117">
        <v>0</v>
      </c>
      <c r="K50" s="94">
        <f>J50</f>
        <v>0</v>
      </c>
      <c r="L50" s="118"/>
      <c r="M50" s="35"/>
      <c r="N50" s="117">
        <v>0</v>
      </c>
      <c r="O50" s="94">
        <f>N50</f>
        <v>0</v>
      </c>
      <c r="P50" s="118"/>
      <c r="Q50" s="35"/>
      <c r="R50" s="117"/>
      <c r="S50" s="94">
        <f>R50</f>
        <v>0</v>
      </c>
      <c r="T50" s="118"/>
      <c r="U50" s="284"/>
      <c r="V50" s="117">
        <v>0</v>
      </c>
      <c r="W50" s="94">
        <f>V50</f>
        <v>0</v>
      </c>
      <c r="X50" s="118"/>
      <c r="Y50" s="284"/>
      <c r="Z50" s="117"/>
      <c r="AA50" s="94">
        <f>Z50</f>
        <v>0</v>
      </c>
      <c r="AB50" s="118"/>
      <c r="AC50" s="284"/>
      <c r="AD50" s="117"/>
      <c r="AE50" s="94">
        <f>AD50</f>
        <v>0</v>
      </c>
      <c r="AF50" s="118"/>
      <c r="AG50" s="284"/>
      <c r="AH50" s="117"/>
      <c r="AI50" s="94">
        <f>AH50</f>
        <v>0</v>
      </c>
      <c r="AJ50" s="118"/>
      <c r="AK50" s="284"/>
      <c r="AL50" s="117"/>
      <c r="AM50" s="94">
        <f>AL50</f>
        <v>0</v>
      </c>
      <c r="AN50" s="118"/>
      <c r="AO50" s="284"/>
      <c r="AP50" s="117"/>
      <c r="AQ50" s="94">
        <f>AP50</f>
        <v>0</v>
      </c>
      <c r="AR50" s="118"/>
      <c r="AS50" s="284"/>
      <c r="AT50" s="117"/>
      <c r="AU50" s="94">
        <f>AT50</f>
        <v>0</v>
      </c>
      <c r="AV50" s="118"/>
      <c r="AW50" s="284"/>
    </row>
    <row r="51" spans="1:49" outlineLevel="1" x14ac:dyDescent="0.3">
      <c r="A51" s="15">
        <v>28300431</v>
      </c>
      <c r="B51" s="15" t="s">
        <v>472</v>
      </c>
      <c r="C51" s="24" t="s">
        <v>473</v>
      </c>
      <c r="D51" s="24" t="s">
        <v>412</v>
      </c>
      <c r="E51" s="24" t="s">
        <v>215</v>
      </c>
      <c r="F51" s="117">
        <v>-10025292.916666666</v>
      </c>
      <c r="G51" s="94">
        <f>F51</f>
        <v>-10025292.916666666</v>
      </c>
      <c r="H51" s="118"/>
      <c r="I51" s="35"/>
      <c r="J51" s="117">
        <v>-8833658.25</v>
      </c>
      <c r="K51" s="94">
        <f>J51</f>
        <v>-8833658.25</v>
      </c>
      <c r="L51" s="118"/>
      <c r="M51" s="35"/>
      <c r="N51" s="117">
        <v>-8435867.666666666</v>
      </c>
      <c r="O51" s="94">
        <f>N51</f>
        <v>-8435867.666666666</v>
      </c>
      <c r="P51" s="118"/>
      <c r="Q51" s="35"/>
      <c r="R51" s="117">
        <v>-6706093.625</v>
      </c>
      <c r="S51" s="94">
        <f>R51</f>
        <v>-6706093.625</v>
      </c>
      <c r="T51" s="118"/>
      <c r="U51" s="284"/>
      <c r="V51" s="117">
        <v>-5659980.38375</v>
      </c>
      <c r="W51" s="94">
        <f>V51</f>
        <v>-5659980.38375</v>
      </c>
      <c r="X51" s="118"/>
      <c r="Y51" s="284"/>
      <c r="Z51" s="117">
        <v>-4505063.3500000006</v>
      </c>
      <c r="AA51" s="94">
        <f>Z51</f>
        <v>-4505063.3500000006</v>
      </c>
      <c r="AB51" s="118"/>
      <c r="AC51" s="284"/>
      <c r="AD51" s="117">
        <v>-3425772.058333334</v>
      </c>
      <c r="AE51" s="94">
        <f>AD51</f>
        <v>-3425772.058333334</v>
      </c>
      <c r="AF51" s="118"/>
      <c r="AG51" s="284"/>
      <c r="AH51" s="117">
        <v>-2276092.2041666671</v>
      </c>
      <c r="AI51" s="94">
        <f>AH51</f>
        <v>-2276092.2041666671</v>
      </c>
      <c r="AJ51" s="118"/>
      <c r="AK51" s="284"/>
      <c r="AL51" s="117">
        <v>-1196364.2249999999</v>
      </c>
      <c r="AM51" s="94">
        <f>AL51</f>
        <v>-1196364.2249999999</v>
      </c>
      <c r="AN51" s="118"/>
      <c r="AO51" s="284"/>
      <c r="AP51" s="117">
        <v>-31471.016250000001</v>
      </c>
      <c r="AQ51" s="94">
        <f>AP51</f>
        <v>-31471.016250000001</v>
      </c>
      <c r="AR51" s="118"/>
      <c r="AS51" s="284"/>
      <c r="AT51" s="117">
        <v>0</v>
      </c>
      <c r="AU51" s="94">
        <f>AT51</f>
        <v>0</v>
      </c>
      <c r="AV51" s="118"/>
      <c r="AW51" s="284"/>
    </row>
    <row r="52" spans="1:49" outlineLevel="1" x14ac:dyDescent="0.3">
      <c r="A52" s="15">
        <v>28300442</v>
      </c>
      <c r="B52" s="15" t="s">
        <v>474</v>
      </c>
      <c r="C52" s="24">
        <v>10</v>
      </c>
      <c r="D52" s="24" t="s">
        <v>412</v>
      </c>
      <c r="E52" s="158" t="s">
        <v>216</v>
      </c>
      <c r="F52" s="117">
        <v>0</v>
      </c>
      <c r="G52" s="94"/>
      <c r="H52" s="118">
        <f>F52</f>
        <v>0</v>
      </c>
      <c r="I52" s="35"/>
      <c r="J52" s="117">
        <v>0</v>
      </c>
      <c r="K52" s="94"/>
      <c r="L52" s="118">
        <f>J52</f>
        <v>0</v>
      </c>
      <c r="M52" s="35"/>
      <c r="N52" s="117">
        <v>0</v>
      </c>
      <c r="O52" s="94"/>
      <c r="P52" s="118">
        <f>N52</f>
        <v>0</v>
      </c>
      <c r="Q52" s="35"/>
      <c r="R52" s="117"/>
      <c r="S52" s="94"/>
      <c r="T52" s="118">
        <f>R52</f>
        <v>0</v>
      </c>
      <c r="U52" s="284"/>
      <c r="V52" s="117"/>
      <c r="W52" s="94"/>
      <c r="X52" s="118">
        <f>V52</f>
        <v>0</v>
      </c>
      <c r="Y52" s="284"/>
      <c r="Z52" s="117"/>
      <c r="AA52" s="94"/>
      <c r="AB52" s="118">
        <f>Z52</f>
        <v>0</v>
      </c>
      <c r="AC52" s="284"/>
      <c r="AD52" s="117"/>
      <c r="AE52" s="94"/>
      <c r="AF52" s="118">
        <f>AD52</f>
        <v>0</v>
      </c>
      <c r="AG52" s="284"/>
      <c r="AH52" s="117"/>
      <c r="AI52" s="94"/>
      <c r="AJ52" s="118">
        <f>AH52</f>
        <v>0</v>
      </c>
      <c r="AK52" s="284"/>
      <c r="AL52" s="117"/>
      <c r="AM52" s="94"/>
      <c r="AN52" s="118">
        <f>AL52</f>
        <v>0</v>
      </c>
      <c r="AO52" s="284"/>
      <c r="AP52" s="117"/>
      <c r="AQ52" s="94"/>
      <c r="AR52" s="118">
        <f>AP52</f>
        <v>0</v>
      </c>
      <c r="AS52" s="284"/>
      <c r="AT52" s="117"/>
      <c r="AU52" s="94"/>
      <c r="AV52" s="118">
        <f>AT52</f>
        <v>0</v>
      </c>
      <c r="AW52" s="284"/>
    </row>
    <row r="53" spans="1:49" outlineLevel="1" x14ac:dyDescent="0.3">
      <c r="A53" s="15">
        <v>28300451</v>
      </c>
      <c r="B53" s="15" t="s">
        <v>475</v>
      </c>
      <c r="C53" s="24" t="s">
        <v>467</v>
      </c>
      <c r="D53" s="24" t="s">
        <v>412</v>
      </c>
      <c r="E53" s="24" t="s">
        <v>215</v>
      </c>
      <c r="F53" s="117">
        <v>-6807666.666666667</v>
      </c>
      <c r="G53" s="94">
        <f>F53</f>
        <v>-6807666.666666667</v>
      </c>
      <c r="H53" s="118"/>
      <c r="I53" s="35"/>
      <c r="J53" s="117">
        <v>-4984041.666666667</v>
      </c>
      <c r="K53" s="94">
        <f>J53</f>
        <v>-4984041.666666667</v>
      </c>
      <c r="L53" s="118"/>
      <c r="M53" s="35"/>
      <c r="N53" s="117">
        <v>-2899124.75</v>
      </c>
      <c r="O53" s="94">
        <f>N53</f>
        <v>-2899124.75</v>
      </c>
      <c r="P53" s="118"/>
      <c r="Q53" s="35"/>
      <c r="R53" s="117">
        <v>-892448.83333333337</v>
      </c>
      <c r="S53" s="94">
        <f>R53</f>
        <v>-892448.83333333337</v>
      </c>
      <c r="T53" s="118"/>
      <c r="U53" s="284"/>
      <c r="V53" s="117"/>
      <c r="W53" s="94">
        <f>V53</f>
        <v>0</v>
      </c>
      <c r="X53" s="118"/>
      <c r="Y53" s="284"/>
      <c r="Z53" s="117"/>
      <c r="AA53" s="94">
        <f>Z53</f>
        <v>0</v>
      </c>
      <c r="AB53" s="118"/>
      <c r="AC53" s="284"/>
      <c r="AD53" s="117">
        <v>0</v>
      </c>
      <c r="AE53" s="94">
        <f>AD53</f>
        <v>0</v>
      </c>
      <c r="AF53" s="118"/>
      <c r="AG53" s="284"/>
      <c r="AH53" s="117"/>
      <c r="AI53" s="94">
        <f>AH53</f>
        <v>0</v>
      </c>
      <c r="AJ53" s="118"/>
      <c r="AK53" s="284"/>
      <c r="AL53" s="117"/>
      <c r="AM53" s="94">
        <f>AL53</f>
        <v>0</v>
      </c>
      <c r="AN53" s="118"/>
      <c r="AO53" s="284"/>
      <c r="AP53" s="117"/>
      <c r="AQ53" s="94">
        <f>AP53</f>
        <v>0</v>
      </c>
      <c r="AR53" s="118"/>
      <c r="AS53" s="284"/>
      <c r="AT53" s="117"/>
      <c r="AU53" s="94">
        <f>AT53</f>
        <v>0</v>
      </c>
      <c r="AV53" s="118"/>
      <c r="AW53" s="284"/>
    </row>
    <row r="54" spans="1:49" outlineLevel="1" x14ac:dyDescent="0.3">
      <c r="A54" s="15">
        <v>28300461</v>
      </c>
      <c r="B54" s="15" t="s">
        <v>476</v>
      </c>
      <c r="C54" s="24" t="s">
        <v>477</v>
      </c>
      <c r="D54" s="24" t="s">
        <v>412</v>
      </c>
      <c r="E54" s="24" t="s">
        <v>215</v>
      </c>
      <c r="F54" s="117">
        <v>-112333.33333333333</v>
      </c>
      <c r="G54" s="94">
        <f>F54</f>
        <v>-112333.33333333333</v>
      </c>
      <c r="H54" s="118"/>
      <c r="I54" s="35"/>
      <c r="J54" s="117">
        <v>0</v>
      </c>
      <c r="K54" s="94">
        <f>J54</f>
        <v>0</v>
      </c>
      <c r="L54" s="118"/>
      <c r="M54" s="35"/>
      <c r="N54" s="117"/>
      <c r="O54" s="94">
        <f>N54</f>
        <v>0</v>
      </c>
      <c r="P54" s="118"/>
      <c r="Q54" s="35"/>
      <c r="R54" s="117"/>
      <c r="S54" s="94">
        <f>R54</f>
        <v>0</v>
      </c>
      <c r="T54" s="118"/>
      <c r="U54" s="284"/>
      <c r="V54" s="117"/>
      <c r="W54" s="94">
        <f>V54</f>
        <v>0</v>
      </c>
      <c r="X54" s="118"/>
      <c r="Y54" s="284"/>
      <c r="Z54" s="117">
        <v>0</v>
      </c>
      <c r="AA54" s="94">
        <f>Z54</f>
        <v>0</v>
      </c>
      <c r="AB54" s="118"/>
      <c r="AC54" s="284"/>
      <c r="AD54" s="117">
        <v>0</v>
      </c>
      <c r="AE54" s="94">
        <f>AD54</f>
        <v>0</v>
      </c>
      <c r="AF54" s="118"/>
      <c r="AG54" s="284"/>
      <c r="AH54" s="117"/>
      <c r="AI54" s="94">
        <f>AH54</f>
        <v>0</v>
      </c>
      <c r="AJ54" s="118"/>
      <c r="AK54" s="284"/>
      <c r="AL54" s="117"/>
      <c r="AM54" s="94">
        <f>AL54</f>
        <v>0</v>
      </c>
      <c r="AN54" s="118"/>
      <c r="AO54" s="284"/>
      <c r="AP54" s="117"/>
      <c r="AQ54" s="94">
        <f>AP54</f>
        <v>0</v>
      </c>
      <c r="AR54" s="118"/>
      <c r="AS54" s="284"/>
      <c r="AT54" s="117"/>
      <c r="AU54" s="94">
        <f>AT54</f>
        <v>0</v>
      </c>
      <c r="AV54" s="118"/>
      <c r="AW54" s="284"/>
    </row>
    <row r="55" spans="1:49" outlineLevel="1" x14ac:dyDescent="0.3">
      <c r="A55" s="15">
        <v>28300501</v>
      </c>
      <c r="B55" s="15" t="s">
        <v>478</v>
      </c>
      <c r="C55" s="24" t="s">
        <v>440</v>
      </c>
      <c r="D55" s="24" t="s">
        <v>412</v>
      </c>
      <c r="E55" s="24" t="s">
        <v>422</v>
      </c>
      <c r="F55" s="117">
        <v>-821871.33333333337</v>
      </c>
      <c r="G55" s="94">
        <f>F55*$G$3</f>
        <v>-531093.25560000003</v>
      </c>
      <c r="H55" s="118">
        <f>F55*$H$3</f>
        <v>-290778.07773333334</v>
      </c>
      <c r="I55" s="35"/>
      <c r="J55" s="117">
        <v>-1250579.6666666667</v>
      </c>
      <c r="K55" s="94">
        <f>J55*$K$3</f>
        <v>-810250.56603333342</v>
      </c>
      <c r="L55" s="118">
        <f>J55*$L$3</f>
        <v>-440329.10063333338</v>
      </c>
      <c r="M55" s="35"/>
      <c r="N55" s="117">
        <v>-163867.66666666666</v>
      </c>
      <c r="O55" s="94">
        <f>N55*$O$3</f>
        <v>-108988.3851</v>
      </c>
      <c r="P55" s="118">
        <f>N55*$P$3</f>
        <v>-54879.281566666657</v>
      </c>
      <c r="Q55" s="35"/>
      <c r="R55" s="117">
        <v>3235610.2083333335</v>
      </c>
      <c r="S55" s="94">
        <f>R55*$S$3</f>
        <v>2133884.9323958335</v>
      </c>
      <c r="T55" s="118">
        <f>R55*$T$3</f>
        <v>1101725.2759375002</v>
      </c>
      <c r="U55" s="284"/>
      <c r="V55" s="117">
        <v>2861767.7729166667</v>
      </c>
      <c r="W55" s="94">
        <f>V55*$W$3</f>
        <v>1920532.3524043751</v>
      </c>
      <c r="X55" s="118">
        <f>V55*$X$3</f>
        <v>941235.42051229172</v>
      </c>
      <c r="Y55" s="284"/>
      <c r="Z55" s="117">
        <v>2434429.2191666667</v>
      </c>
      <c r="AA55" s="94">
        <f>Z55*$AA$3</f>
        <v>1654924.9831894999</v>
      </c>
      <c r="AB55" s="118">
        <f>Z55*$AB$3</f>
        <v>779504.23597716668</v>
      </c>
      <c r="AC55" s="284"/>
      <c r="AD55" s="117">
        <v>2002423.6220833331</v>
      </c>
      <c r="AE55" s="94">
        <f>AD55*$AE$3</f>
        <v>1372661.3929381247</v>
      </c>
      <c r="AF55" s="118">
        <f>AD55*$AF$3</f>
        <v>629762.22914520826</v>
      </c>
      <c r="AG55" s="284"/>
      <c r="AH55" s="117">
        <v>1620307.0554166667</v>
      </c>
      <c r="AI55" s="94">
        <f>AH55*$AI$3</f>
        <v>1108452.0566105417</v>
      </c>
      <c r="AJ55" s="118">
        <f>AH55*$AJ$3</f>
        <v>511854.99880612502</v>
      </c>
      <c r="AK55" s="284"/>
      <c r="AL55" s="117">
        <v>1327330.3041666667</v>
      </c>
      <c r="AM55" s="94">
        <f>AL55*$AM$3</f>
        <v>886258.44409208326</v>
      </c>
      <c r="AN55" s="118">
        <f>AL55*$AN$3</f>
        <v>441071.86007458332</v>
      </c>
      <c r="AO55" s="284"/>
      <c r="AP55" s="117">
        <v>1140676.5874999999</v>
      </c>
      <c r="AQ55" s="94">
        <f>AP55*$AQ$3</f>
        <v>748169.77374124993</v>
      </c>
      <c r="AR55" s="118">
        <f>AP55*$AR$3</f>
        <v>392506.81375874998</v>
      </c>
      <c r="AS55" s="284"/>
      <c r="AT55" s="117">
        <v>1035560.0266666667</v>
      </c>
      <c r="AU55" s="94">
        <f>AT55*$AU$3</f>
        <v>685437.18165066675</v>
      </c>
      <c r="AV55" s="118">
        <f>AT55*$AV$3</f>
        <v>350122.84501600004</v>
      </c>
      <c r="AW55" s="284"/>
    </row>
    <row r="56" spans="1:49" outlineLevel="1" x14ac:dyDescent="0.3">
      <c r="A56" s="15">
        <v>28300541</v>
      </c>
      <c r="B56" s="15" t="s">
        <v>479</v>
      </c>
      <c r="C56" s="24" t="s">
        <v>480</v>
      </c>
      <c r="D56" s="24" t="s">
        <v>412</v>
      </c>
      <c r="E56" s="24" t="s">
        <v>215</v>
      </c>
      <c r="F56" s="117">
        <v>-3777458.3333333335</v>
      </c>
      <c r="G56" s="94">
        <f>F56</f>
        <v>-3777458.3333333335</v>
      </c>
      <c r="H56" s="118"/>
      <c r="I56" s="35"/>
      <c r="J56" s="117">
        <v>-2953791.6666666665</v>
      </c>
      <c r="K56" s="94">
        <f>J56</f>
        <v>-2953791.6666666665</v>
      </c>
      <c r="L56" s="118"/>
      <c r="M56" s="35"/>
      <c r="N56" s="117">
        <v>-1687731.5833333333</v>
      </c>
      <c r="O56" s="94">
        <f>N56</f>
        <v>-1687731.5833333333</v>
      </c>
      <c r="P56" s="118"/>
      <c r="Q56" s="35"/>
      <c r="R56" s="117">
        <v>-438970.66666666669</v>
      </c>
      <c r="S56" s="94">
        <f t="shared" ref="S56:S68" si="0">R56</f>
        <v>-438970.66666666669</v>
      </c>
      <c r="T56" s="118"/>
      <c r="U56" s="284"/>
      <c r="V56" s="117"/>
      <c r="W56" s="94">
        <f t="shared" ref="W56:W69" si="1">V56</f>
        <v>0</v>
      </c>
      <c r="X56" s="118"/>
      <c r="Y56" s="284"/>
      <c r="Z56" s="117"/>
      <c r="AA56" s="94">
        <f t="shared" ref="AA56:AA62" si="2">Z56</f>
        <v>0</v>
      </c>
      <c r="AB56" s="118"/>
      <c r="AC56" s="284"/>
      <c r="AD56" s="117"/>
      <c r="AE56" s="94">
        <f t="shared" ref="AE56:AE61" si="3">AD56</f>
        <v>0</v>
      </c>
      <c r="AF56" s="118"/>
      <c r="AG56" s="284"/>
      <c r="AH56" s="117"/>
      <c r="AI56" s="94">
        <f t="shared" ref="AI56:AI62" si="4">AH56</f>
        <v>0</v>
      </c>
      <c r="AJ56" s="118"/>
      <c r="AK56" s="284"/>
      <c r="AL56" s="117"/>
      <c r="AM56" s="94">
        <f t="shared" ref="AM56:AM62" si="5">AL56</f>
        <v>0</v>
      </c>
      <c r="AN56" s="118"/>
      <c r="AO56" s="284"/>
      <c r="AP56" s="117"/>
      <c r="AQ56" s="94">
        <f t="shared" ref="AQ56:AQ62" si="6">AP56</f>
        <v>0</v>
      </c>
      <c r="AR56" s="118"/>
      <c r="AS56" s="284"/>
      <c r="AT56" s="117"/>
      <c r="AU56" s="94">
        <f t="shared" ref="AU56:AU61" si="7">AT56</f>
        <v>0</v>
      </c>
      <c r="AV56" s="118"/>
      <c r="AW56" s="284"/>
    </row>
    <row r="57" spans="1:49" outlineLevel="1" x14ac:dyDescent="0.3">
      <c r="A57" s="15">
        <v>28300551</v>
      </c>
      <c r="B57" s="15" t="s">
        <v>481</v>
      </c>
      <c r="C57" s="24" t="s">
        <v>480</v>
      </c>
      <c r="D57" s="24" t="s">
        <v>412</v>
      </c>
      <c r="E57" s="24" t="s">
        <v>215</v>
      </c>
      <c r="F57" s="117">
        <v>-427833.33333333331</v>
      </c>
      <c r="G57" s="94">
        <f>F57</f>
        <v>-427833.33333333331</v>
      </c>
      <c r="H57" s="118"/>
      <c r="I57" s="35"/>
      <c r="J57" s="117">
        <v>-449333.33333333331</v>
      </c>
      <c r="K57" s="94">
        <f>J57</f>
        <v>-449333.33333333331</v>
      </c>
      <c r="L57" s="118"/>
      <c r="M57" s="35"/>
      <c r="N57" s="117">
        <v>-256080.125</v>
      </c>
      <c r="O57" s="94">
        <f>N57</f>
        <v>-256080.125</v>
      </c>
      <c r="P57" s="118"/>
      <c r="Q57" s="35"/>
      <c r="R57" s="117">
        <v>-67120.708333333328</v>
      </c>
      <c r="S57" s="94">
        <f t="shared" si="0"/>
        <v>-67120.708333333328</v>
      </c>
      <c r="T57" s="118"/>
      <c r="U57" s="284"/>
      <c r="V57" s="117"/>
      <c r="W57" s="94">
        <f t="shared" si="1"/>
        <v>0</v>
      </c>
      <c r="X57" s="118"/>
      <c r="Y57" s="284"/>
      <c r="Z57" s="117"/>
      <c r="AA57" s="94">
        <f t="shared" si="2"/>
        <v>0</v>
      </c>
      <c r="AB57" s="118"/>
      <c r="AC57" s="284"/>
      <c r="AD57" s="117"/>
      <c r="AE57" s="94">
        <f t="shared" si="3"/>
        <v>0</v>
      </c>
      <c r="AF57" s="118"/>
      <c r="AG57" s="284"/>
      <c r="AH57" s="117"/>
      <c r="AI57" s="94">
        <f t="shared" si="4"/>
        <v>0</v>
      </c>
      <c r="AJ57" s="118"/>
      <c r="AK57" s="284"/>
      <c r="AL57" s="117"/>
      <c r="AM57" s="94">
        <f t="shared" si="5"/>
        <v>0</v>
      </c>
      <c r="AN57" s="118"/>
      <c r="AO57" s="284"/>
      <c r="AP57" s="117"/>
      <c r="AQ57" s="94">
        <f t="shared" si="6"/>
        <v>0</v>
      </c>
      <c r="AR57" s="118"/>
      <c r="AS57" s="284"/>
      <c r="AT57" s="117"/>
      <c r="AU57" s="94">
        <f t="shared" si="7"/>
        <v>0</v>
      </c>
      <c r="AV57" s="118"/>
      <c r="AW57" s="284"/>
    </row>
    <row r="58" spans="1:49" outlineLevel="1" x14ac:dyDescent="0.3">
      <c r="A58" s="15">
        <v>28300561</v>
      </c>
      <c r="B58" s="15" t="s">
        <v>482</v>
      </c>
      <c r="C58" s="24" t="s">
        <v>483</v>
      </c>
      <c r="D58" s="24" t="s">
        <v>412</v>
      </c>
      <c r="E58" s="24" t="s">
        <v>215</v>
      </c>
      <c r="F58" s="117"/>
      <c r="G58" s="94"/>
      <c r="H58" s="118"/>
      <c r="I58" s="35"/>
      <c r="J58" s="117"/>
      <c r="K58" s="94"/>
      <c r="L58" s="118"/>
      <c r="M58" s="35"/>
      <c r="N58" s="117"/>
      <c r="O58" s="94"/>
      <c r="P58" s="118"/>
      <c r="Q58" s="35"/>
      <c r="R58" s="117">
        <v>-17305286.333333332</v>
      </c>
      <c r="S58" s="94">
        <f t="shared" si="0"/>
        <v>-17305286.333333332</v>
      </c>
      <c r="T58" s="118"/>
      <c r="U58" s="284"/>
      <c r="V58" s="117">
        <v>-17850717.159583334</v>
      </c>
      <c r="W58" s="94">
        <f t="shared" si="1"/>
        <v>-17850717.159583334</v>
      </c>
      <c r="X58" s="118"/>
      <c r="Y58" s="284"/>
      <c r="Z58" s="117">
        <v>-16927394.790416669</v>
      </c>
      <c r="AA58" s="94">
        <f t="shared" si="2"/>
        <v>-16927394.790416669</v>
      </c>
      <c r="AB58" s="118"/>
      <c r="AC58" s="284"/>
      <c r="AD58" s="117">
        <v>-16004071.200000001</v>
      </c>
      <c r="AE58" s="94">
        <f t="shared" si="3"/>
        <v>-16004071.200000001</v>
      </c>
      <c r="AF58" s="118"/>
      <c r="AG58" s="284"/>
      <c r="AH58" s="117">
        <v>-15080749.774166666</v>
      </c>
      <c r="AI58" s="94">
        <f t="shared" si="4"/>
        <v>-15080749.774166666</v>
      </c>
      <c r="AJ58" s="118"/>
      <c r="AK58" s="284"/>
      <c r="AL58" s="117">
        <v>-14157425.431666665</v>
      </c>
      <c r="AM58" s="94">
        <f t="shared" si="5"/>
        <v>-14157425.431666665</v>
      </c>
      <c r="AN58" s="118"/>
      <c r="AO58" s="284"/>
      <c r="AP58" s="117">
        <v>-13304635.125000002</v>
      </c>
      <c r="AQ58" s="94">
        <f t="shared" si="6"/>
        <v>-13304635.125000002</v>
      </c>
      <c r="AR58" s="118"/>
      <c r="AS58" s="284"/>
      <c r="AT58" s="117">
        <v>-12495445.210833333</v>
      </c>
      <c r="AU58" s="94">
        <f t="shared" si="7"/>
        <v>-12495445.210833333</v>
      </c>
      <c r="AV58" s="118"/>
      <c r="AW58" s="284"/>
    </row>
    <row r="59" spans="1:49" outlineLevel="1" x14ac:dyDescent="0.3">
      <c r="A59" s="290">
        <v>28300571</v>
      </c>
      <c r="B59" s="15" t="s">
        <v>484</v>
      </c>
      <c r="C59" s="24" t="s">
        <v>485</v>
      </c>
      <c r="D59" s="24" t="s">
        <v>412</v>
      </c>
      <c r="E59" s="24" t="s">
        <v>215</v>
      </c>
      <c r="F59" s="117">
        <v>-33875</v>
      </c>
      <c r="G59" s="94">
        <f>F59</f>
        <v>-33875</v>
      </c>
      <c r="H59" s="118"/>
      <c r="I59" s="35"/>
      <c r="J59" s="117">
        <v>-247208.33333333334</v>
      </c>
      <c r="K59" s="94">
        <f>J59</f>
        <v>-247208.33333333334</v>
      </c>
      <c r="L59" s="118"/>
      <c r="M59" s="35"/>
      <c r="N59" s="117">
        <v>0</v>
      </c>
      <c r="O59" s="94">
        <f t="shared" ref="O59:O68" si="8">N59</f>
        <v>0</v>
      </c>
      <c r="P59" s="118"/>
      <c r="Q59" s="35"/>
      <c r="R59" s="117">
        <v>0</v>
      </c>
      <c r="S59" s="94">
        <f t="shared" si="0"/>
        <v>0</v>
      </c>
      <c r="T59" s="118"/>
      <c r="U59" s="284"/>
      <c r="V59" s="117">
        <v>0</v>
      </c>
      <c r="W59" s="94">
        <f t="shared" si="1"/>
        <v>0</v>
      </c>
      <c r="X59" s="118"/>
      <c r="Y59" s="284"/>
      <c r="Z59" s="117">
        <v>0</v>
      </c>
      <c r="AA59" s="94">
        <f t="shared" si="2"/>
        <v>0</v>
      </c>
      <c r="AB59" s="118"/>
      <c r="AC59" s="284"/>
      <c r="AD59" s="117"/>
      <c r="AE59" s="94">
        <f t="shared" si="3"/>
        <v>0</v>
      </c>
      <c r="AF59" s="118"/>
      <c r="AG59" s="284"/>
      <c r="AH59" s="117"/>
      <c r="AI59" s="94">
        <f t="shared" si="4"/>
        <v>0</v>
      </c>
      <c r="AJ59" s="118"/>
      <c r="AK59" s="284"/>
      <c r="AL59" s="117"/>
      <c r="AM59" s="94">
        <f t="shared" si="5"/>
        <v>0</v>
      </c>
      <c r="AN59" s="118"/>
      <c r="AO59" s="284"/>
      <c r="AP59" s="117"/>
      <c r="AQ59" s="94">
        <f t="shared" si="6"/>
        <v>0</v>
      </c>
      <c r="AR59" s="118"/>
      <c r="AS59" s="284"/>
      <c r="AT59" s="117"/>
      <c r="AU59" s="94">
        <f t="shared" si="7"/>
        <v>0</v>
      </c>
      <c r="AV59" s="118"/>
      <c r="AW59" s="284"/>
    </row>
    <row r="60" spans="1:49" outlineLevel="1" x14ac:dyDescent="0.3">
      <c r="A60" s="290">
        <v>28300601</v>
      </c>
      <c r="B60" s="15" t="s">
        <v>486</v>
      </c>
      <c r="C60" s="24" t="s">
        <v>485</v>
      </c>
      <c r="D60" s="24" t="s">
        <v>412</v>
      </c>
      <c r="E60" s="24" t="s">
        <v>215</v>
      </c>
      <c r="F60" s="117"/>
      <c r="G60" s="94">
        <f>F60</f>
        <v>0</v>
      </c>
      <c r="H60" s="118"/>
      <c r="I60" s="35"/>
      <c r="J60" s="117">
        <v>1471666.6666666667</v>
      </c>
      <c r="K60" s="94">
        <f>J60</f>
        <v>1471666.6666666667</v>
      </c>
      <c r="L60" s="118"/>
      <c r="M60" s="35"/>
      <c r="N60" s="117">
        <v>1061750</v>
      </c>
      <c r="O60" s="94">
        <f t="shared" si="8"/>
        <v>1061750</v>
      </c>
      <c r="P60" s="118"/>
      <c r="Q60" s="35"/>
      <c r="R60" s="117">
        <v>0</v>
      </c>
      <c r="S60" s="94">
        <f t="shared" si="0"/>
        <v>0</v>
      </c>
      <c r="T60" s="118"/>
      <c r="U60" s="284"/>
      <c r="V60" s="117">
        <v>0</v>
      </c>
      <c r="W60" s="94">
        <f t="shared" si="1"/>
        <v>0</v>
      </c>
      <c r="X60" s="118"/>
      <c r="Y60" s="284"/>
      <c r="Z60" s="117">
        <v>0</v>
      </c>
      <c r="AA60" s="94">
        <f t="shared" si="2"/>
        <v>0</v>
      </c>
      <c r="AB60" s="118"/>
      <c r="AC60" s="284"/>
      <c r="AD60" s="117"/>
      <c r="AE60" s="94">
        <f t="shared" si="3"/>
        <v>0</v>
      </c>
      <c r="AF60" s="118"/>
      <c r="AG60" s="284"/>
      <c r="AH60" s="117"/>
      <c r="AI60" s="94">
        <f t="shared" si="4"/>
        <v>0</v>
      </c>
      <c r="AJ60" s="118"/>
      <c r="AK60" s="284"/>
      <c r="AL60" s="117"/>
      <c r="AM60" s="94">
        <f t="shared" si="5"/>
        <v>0</v>
      </c>
      <c r="AN60" s="118"/>
      <c r="AO60" s="284"/>
      <c r="AP60" s="117"/>
      <c r="AQ60" s="94">
        <f t="shared" si="6"/>
        <v>0</v>
      </c>
      <c r="AR60" s="118"/>
      <c r="AS60" s="284"/>
      <c r="AT60" s="117"/>
      <c r="AU60" s="94">
        <f t="shared" si="7"/>
        <v>0</v>
      </c>
      <c r="AV60" s="118"/>
      <c r="AW60" s="284"/>
    </row>
    <row r="61" spans="1:49" outlineLevel="1" x14ac:dyDescent="0.3">
      <c r="A61" s="290">
        <v>28300611</v>
      </c>
      <c r="B61" s="15" t="s">
        <v>487</v>
      </c>
      <c r="C61" s="24" t="s">
        <v>485</v>
      </c>
      <c r="D61" s="24" t="s">
        <v>412</v>
      </c>
      <c r="E61" s="24" t="s">
        <v>215</v>
      </c>
      <c r="F61" s="117"/>
      <c r="G61" s="94">
        <f>F61</f>
        <v>0</v>
      </c>
      <c r="H61" s="118"/>
      <c r="I61" s="35"/>
      <c r="J61" s="117">
        <v>-8032791.666666667</v>
      </c>
      <c r="K61" s="94">
        <f>J61</f>
        <v>-8032791.666666667</v>
      </c>
      <c r="L61" s="118"/>
      <c r="M61" s="35"/>
      <c r="N61" s="117">
        <v>-5474041.666666667</v>
      </c>
      <c r="O61" s="94">
        <f t="shared" si="8"/>
        <v>-5474041.666666667</v>
      </c>
      <c r="P61" s="118"/>
      <c r="Q61" s="35"/>
      <c r="R61" s="117">
        <v>0</v>
      </c>
      <c r="S61" s="94">
        <f t="shared" si="0"/>
        <v>0</v>
      </c>
      <c r="T61" s="118"/>
      <c r="U61" s="284"/>
      <c r="V61" s="117">
        <v>0</v>
      </c>
      <c r="W61" s="94">
        <f t="shared" si="1"/>
        <v>0</v>
      </c>
      <c r="X61" s="118"/>
      <c r="Y61" s="284"/>
      <c r="Z61" s="117">
        <v>0</v>
      </c>
      <c r="AA61" s="94">
        <f t="shared" si="2"/>
        <v>0</v>
      </c>
      <c r="AB61" s="118"/>
      <c r="AC61" s="284"/>
      <c r="AD61" s="117"/>
      <c r="AE61" s="94">
        <f t="shared" si="3"/>
        <v>0</v>
      </c>
      <c r="AF61" s="118"/>
      <c r="AG61" s="284"/>
      <c r="AH61" s="117"/>
      <c r="AI61" s="94">
        <f t="shared" si="4"/>
        <v>0</v>
      </c>
      <c r="AJ61" s="118"/>
      <c r="AK61" s="284"/>
      <c r="AL61" s="117"/>
      <c r="AM61" s="94">
        <f t="shared" si="5"/>
        <v>0</v>
      </c>
      <c r="AN61" s="118"/>
      <c r="AO61" s="284"/>
      <c r="AP61" s="117"/>
      <c r="AQ61" s="94">
        <f t="shared" si="6"/>
        <v>0</v>
      </c>
      <c r="AR61" s="118"/>
      <c r="AS61" s="284"/>
      <c r="AT61" s="117"/>
      <c r="AU61" s="94">
        <f t="shared" si="7"/>
        <v>0</v>
      </c>
      <c r="AV61" s="118"/>
      <c r="AW61" s="284"/>
    </row>
    <row r="62" spans="1:49" outlineLevel="1" x14ac:dyDescent="0.3">
      <c r="A62" s="290">
        <v>28300631</v>
      </c>
      <c r="B62" s="15" t="s">
        <v>488</v>
      </c>
      <c r="C62" s="24" t="s">
        <v>485</v>
      </c>
      <c r="D62" s="24" t="s">
        <v>412</v>
      </c>
      <c r="E62" s="24" t="s">
        <v>215</v>
      </c>
      <c r="F62" s="117"/>
      <c r="G62" s="94"/>
      <c r="H62" s="118"/>
      <c r="I62" s="35"/>
      <c r="J62" s="117">
        <v>7000</v>
      </c>
      <c r="K62" s="94">
        <f>J62</f>
        <v>7000</v>
      </c>
      <c r="L62" s="118"/>
      <c r="M62" s="35"/>
      <c r="N62" s="117">
        <v>0</v>
      </c>
      <c r="O62" s="94">
        <f t="shared" si="8"/>
        <v>0</v>
      </c>
      <c r="P62" s="118"/>
      <c r="Q62" s="35"/>
      <c r="R62" s="117">
        <v>0</v>
      </c>
      <c r="S62" s="94">
        <f t="shared" si="0"/>
        <v>0</v>
      </c>
      <c r="T62" s="118"/>
      <c r="U62" s="284"/>
      <c r="V62" s="117">
        <v>0</v>
      </c>
      <c r="W62" s="94">
        <f t="shared" si="1"/>
        <v>0</v>
      </c>
      <c r="X62" s="118"/>
      <c r="Y62" s="284"/>
      <c r="Z62" s="117">
        <v>0</v>
      </c>
      <c r="AA62" s="94">
        <f t="shared" si="2"/>
        <v>0</v>
      </c>
      <c r="AB62" s="118"/>
      <c r="AC62" s="284"/>
      <c r="AD62" s="117"/>
      <c r="AE62" s="94"/>
      <c r="AF62" s="118"/>
      <c r="AG62" s="284"/>
      <c r="AH62" s="117"/>
      <c r="AI62" s="94">
        <f t="shared" si="4"/>
        <v>0</v>
      </c>
      <c r="AJ62" s="118"/>
      <c r="AK62" s="284"/>
      <c r="AL62" s="117"/>
      <c r="AM62" s="94">
        <f t="shared" si="5"/>
        <v>0</v>
      </c>
      <c r="AN62" s="118"/>
      <c r="AO62" s="284"/>
      <c r="AP62" s="117"/>
      <c r="AQ62" s="94">
        <f t="shared" si="6"/>
        <v>0</v>
      </c>
      <c r="AR62" s="118"/>
      <c r="AS62" s="284"/>
      <c r="AT62" s="117"/>
      <c r="AU62" s="94"/>
      <c r="AV62" s="118"/>
      <c r="AW62" s="284"/>
    </row>
    <row r="63" spans="1:49" outlineLevel="1" x14ac:dyDescent="0.3">
      <c r="A63" s="290">
        <v>28300631</v>
      </c>
      <c r="B63" s="15" t="s">
        <v>488</v>
      </c>
      <c r="C63" s="24" t="s">
        <v>489</v>
      </c>
      <c r="D63" s="24" t="s">
        <v>412</v>
      </c>
      <c r="E63" s="24" t="s">
        <v>215</v>
      </c>
      <c r="F63" s="117"/>
      <c r="G63" s="94"/>
      <c r="H63" s="118"/>
      <c r="I63" s="35"/>
      <c r="J63" s="117"/>
      <c r="K63" s="94"/>
      <c r="L63" s="118"/>
      <c r="M63" s="35"/>
      <c r="N63" s="117">
        <v>79416.666666666672</v>
      </c>
      <c r="O63" s="94">
        <f t="shared" si="8"/>
        <v>79416.666666666672</v>
      </c>
      <c r="P63" s="118"/>
      <c r="Q63" s="35"/>
      <c r="R63" s="117">
        <v>0</v>
      </c>
      <c r="S63" s="94">
        <f t="shared" si="0"/>
        <v>0</v>
      </c>
      <c r="T63" s="118"/>
      <c r="U63" s="284"/>
      <c r="V63" s="117">
        <v>0</v>
      </c>
      <c r="W63" s="94">
        <f t="shared" si="1"/>
        <v>0</v>
      </c>
      <c r="X63" s="118"/>
      <c r="Y63" s="284"/>
      <c r="Z63" s="117"/>
      <c r="AA63" s="94"/>
      <c r="AB63" s="118"/>
      <c r="AC63" s="284"/>
      <c r="AD63" s="117"/>
      <c r="AE63" s="94"/>
      <c r="AF63" s="118"/>
      <c r="AG63" s="284"/>
      <c r="AH63" s="117"/>
      <c r="AI63" s="94"/>
      <c r="AJ63" s="118"/>
      <c r="AK63" s="284"/>
      <c r="AL63" s="117"/>
      <c r="AM63" s="94"/>
      <c r="AN63" s="118"/>
      <c r="AO63" s="284"/>
      <c r="AP63" s="117"/>
      <c r="AQ63" s="94"/>
      <c r="AR63" s="118"/>
      <c r="AS63" s="284"/>
      <c r="AT63" s="117"/>
      <c r="AU63" s="94"/>
      <c r="AV63" s="118"/>
      <c r="AW63" s="284"/>
    </row>
    <row r="64" spans="1:49" outlineLevel="1" x14ac:dyDescent="0.3">
      <c r="A64" s="290">
        <v>28300641</v>
      </c>
      <c r="B64" s="15" t="s">
        <v>490</v>
      </c>
      <c r="C64" s="24" t="s">
        <v>485</v>
      </c>
      <c r="D64" s="24" t="s">
        <v>412</v>
      </c>
      <c r="E64" s="24" t="s">
        <v>215</v>
      </c>
      <c r="F64" s="117"/>
      <c r="G64" s="94"/>
      <c r="H64" s="118"/>
      <c r="I64" s="35"/>
      <c r="J64" s="117">
        <v>-68625</v>
      </c>
      <c r="K64" s="94">
        <f>J64</f>
        <v>-68625</v>
      </c>
      <c r="L64" s="118"/>
      <c r="M64" s="35"/>
      <c r="N64" s="117">
        <v>0</v>
      </c>
      <c r="O64" s="94">
        <f t="shared" si="8"/>
        <v>0</v>
      </c>
      <c r="P64" s="118"/>
      <c r="Q64" s="35"/>
      <c r="R64" s="117">
        <v>0</v>
      </c>
      <c r="S64" s="94">
        <f t="shared" si="0"/>
        <v>0</v>
      </c>
      <c r="T64" s="118"/>
      <c r="U64" s="284"/>
      <c r="V64" s="117">
        <v>0</v>
      </c>
      <c r="W64" s="94">
        <f t="shared" si="1"/>
        <v>0</v>
      </c>
      <c r="X64" s="118"/>
      <c r="Y64" s="284"/>
      <c r="Z64" s="117">
        <v>0</v>
      </c>
      <c r="AA64" s="94">
        <f>Z64</f>
        <v>0</v>
      </c>
      <c r="AB64" s="118"/>
      <c r="AC64" s="284"/>
      <c r="AD64" s="117"/>
      <c r="AE64" s="94"/>
      <c r="AF64" s="118"/>
      <c r="AG64" s="284"/>
      <c r="AH64" s="117"/>
      <c r="AI64" s="94">
        <f>AH64</f>
        <v>0</v>
      </c>
      <c r="AJ64" s="118"/>
      <c r="AK64" s="284"/>
      <c r="AL64" s="117"/>
      <c r="AM64" s="94">
        <f>AL64</f>
        <v>0</v>
      </c>
      <c r="AN64" s="118"/>
      <c r="AO64" s="284"/>
      <c r="AP64" s="117"/>
      <c r="AQ64" s="94">
        <f>AP64</f>
        <v>0</v>
      </c>
      <c r="AR64" s="118"/>
      <c r="AS64" s="284"/>
      <c r="AT64" s="117"/>
      <c r="AU64" s="94"/>
      <c r="AV64" s="118"/>
      <c r="AW64" s="284"/>
    </row>
    <row r="65" spans="1:49" outlineLevel="1" x14ac:dyDescent="0.3">
      <c r="A65" s="290">
        <v>28300641</v>
      </c>
      <c r="B65" s="15" t="s">
        <v>490</v>
      </c>
      <c r="C65" s="24" t="s">
        <v>489</v>
      </c>
      <c r="D65" s="24" t="s">
        <v>412</v>
      </c>
      <c r="E65" s="24" t="s">
        <v>215</v>
      </c>
      <c r="F65" s="117"/>
      <c r="G65" s="94"/>
      <c r="H65" s="118"/>
      <c r="I65" s="35"/>
      <c r="J65" s="117"/>
      <c r="K65" s="94"/>
      <c r="L65" s="118"/>
      <c r="M65" s="35"/>
      <c r="N65" s="117">
        <v>-427125</v>
      </c>
      <c r="O65" s="94">
        <f t="shared" si="8"/>
        <v>-427125</v>
      </c>
      <c r="P65" s="118"/>
      <c r="Q65" s="35"/>
      <c r="R65" s="117">
        <v>0</v>
      </c>
      <c r="S65" s="94">
        <f t="shared" si="0"/>
        <v>0</v>
      </c>
      <c r="T65" s="118"/>
      <c r="U65" s="284"/>
      <c r="V65" s="117">
        <v>0</v>
      </c>
      <c r="W65" s="94">
        <f t="shared" si="1"/>
        <v>0</v>
      </c>
      <c r="X65" s="118"/>
      <c r="Y65" s="284"/>
      <c r="Z65" s="117"/>
      <c r="AA65" s="94"/>
      <c r="AB65" s="118"/>
      <c r="AC65" s="284"/>
      <c r="AD65" s="117"/>
      <c r="AE65" s="94"/>
      <c r="AF65" s="118"/>
      <c r="AG65" s="284"/>
      <c r="AH65" s="117"/>
      <c r="AI65" s="94"/>
      <c r="AJ65" s="118"/>
      <c r="AK65" s="284"/>
      <c r="AL65" s="117"/>
      <c r="AM65" s="94"/>
      <c r="AN65" s="118"/>
      <c r="AO65" s="284"/>
      <c r="AP65" s="117"/>
      <c r="AQ65" s="94"/>
      <c r="AR65" s="118"/>
      <c r="AS65" s="284"/>
      <c r="AT65" s="117"/>
      <c r="AU65" s="94"/>
      <c r="AV65" s="118"/>
      <c r="AW65" s="284"/>
    </row>
    <row r="66" spans="1:49" outlineLevel="1" x14ac:dyDescent="0.3">
      <c r="A66" s="290">
        <v>28300651</v>
      </c>
      <c r="B66" s="15" t="s">
        <v>491</v>
      </c>
      <c r="C66" s="24" t="s">
        <v>415</v>
      </c>
      <c r="D66" s="24" t="s">
        <v>412</v>
      </c>
      <c r="E66" s="24" t="s">
        <v>215</v>
      </c>
      <c r="F66" s="117"/>
      <c r="G66" s="94"/>
      <c r="H66" s="118"/>
      <c r="I66" s="35"/>
      <c r="J66" s="117">
        <v>-464916.66666666669</v>
      </c>
      <c r="K66" s="94">
        <f>J66</f>
        <v>-464916.66666666669</v>
      </c>
      <c r="L66" s="118"/>
      <c r="M66" s="35"/>
      <c r="N66" s="117">
        <v>-12226928.583333334</v>
      </c>
      <c r="O66" s="94">
        <f t="shared" si="8"/>
        <v>-12226928.583333334</v>
      </c>
      <c r="P66" s="118"/>
      <c r="Q66" s="35"/>
      <c r="R66" s="117">
        <v>-11061440.166666666</v>
      </c>
      <c r="S66" s="94">
        <f t="shared" si="0"/>
        <v>-11061440.166666666</v>
      </c>
      <c r="T66" s="118"/>
      <c r="U66" s="284"/>
      <c r="V66" s="117">
        <v>-10631619.385833332</v>
      </c>
      <c r="W66" s="94">
        <f t="shared" si="1"/>
        <v>-10631619.385833332</v>
      </c>
      <c r="X66" s="118"/>
      <c r="Y66" s="284"/>
      <c r="Z66" s="117">
        <v>-10122949.794583334</v>
      </c>
      <c r="AA66" s="94">
        <f>Z66</f>
        <v>-10122949.794583334</v>
      </c>
      <c r="AB66" s="118"/>
      <c r="AC66" s="284"/>
      <c r="AD66" s="117">
        <v>-9621450.1204166654</v>
      </c>
      <c r="AE66" s="94">
        <f>AD66</f>
        <v>-9621450.1204166654</v>
      </c>
      <c r="AF66" s="118"/>
      <c r="AG66" s="284"/>
      <c r="AH66" s="117">
        <v>-8902296.666666666</v>
      </c>
      <c r="AI66" s="94">
        <f>AH66</f>
        <v>-8902296.666666666</v>
      </c>
      <c r="AJ66" s="118"/>
      <c r="AK66" s="284"/>
      <c r="AL66" s="117">
        <v>-7820003.1566666672</v>
      </c>
      <c r="AM66" s="94">
        <f>AL66</f>
        <v>-7820003.1566666672</v>
      </c>
      <c r="AN66" s="118"/>
      <c r="AO66" s="284"/>
      <c r="AP66" s="117">
        <v>-7166075.8825000003</v>
      </c>
      <c r="AQ66" s="94">
        <f>AP66</f>
        <v>-7166075.8825000003</v>
      </c>
      <c r="AR66" s="118"/>
      <c r="AS66" s="284"/>
      <c r="AT66" s="117">
        <v>-6140522.9679166665</v>
      </c>
      <c r="AU66" s="94">
        <f>AT66</f>
        <v>-6140522.9679166665</v>
      </c>
      <c r="AV66" s="118"/>
      <c r="AW66" s="284"/>
    </row>
    <row r="67" spans="1:49" outlineLevel="1" x14ac:dyDescent="0.3">
      <c r="A67" s="290">
        <v>28300661</v>
      </c>
      <c r="B67" s="15" t="s">
        <v>492</v>
      </c>
      <c r="C67" s="24" t="s">
        <v>485</v>
      </c>
      <c r="D67" s="24" t="s">
        <v>412</v>
      </c>
      <c r="E67" s="24" t="s">
        <v>215</v>
      </c>
      <c r="F67" s="117"/>
      <c r="G67" s="94"/>
      <c r="H67" s="118"/>
      <c r="I67" s="35"/>
      <c r="J67" s="117"/>
      <c r="K67" s="94"/>
      <c r="L67" s="118"/>
      <c r="M67" s="35"/>
      <c r="N67" s="117">
        <v>-10403785.916666666</v>
      </c>
      <c r="O67" s="94">
        <f t="shared" si="8"/>
        <v>-10403785.916666666</v>
      </c>
      <c r="P67" s="118"/>
      <c r="Q67" s="35"/>
      <c r="R67" s="117">
        <v>-13826131.958333334</v>
      </c>
      <c r="S67" s="94">
        <f t="shared" si="0"/>
        <v>-13826131.958333334</v>
      </c>
      <c r="T67" s="118"/>
      <c r="U67" s="284"/>
      <c r="V67" s="117">
        <v>-12816365.93125</v>
      </c>
      <c r="W67" s="94">
        <f t="shared" si="1"/>
        <v>-12816365.93125</v>
      </c>
      <c r="X67" s="118"/>
      <c r="Y67" s="284"/>
      <c r="Z67" s="117">
        <v>-11806592.35</v>
      </c>
      <c r="AA67" s="94">
        <f>Z67</f>
        <v>-11806592.35</v>
      </c>
      <c r="AB67" s="118"/>
      <c r="AC67" s="284"/>
      <c r="AD67" s="117">
        <v>-10796824.15</v>
      </c>
      <c r="AE67" s="94">
        <f>AD67</f>
        <v>-10796824.15</v>
      </c>
      <c r="AF67" s="118"/>
      <c r="AG67" s="284"/>
      <c r="AH67" s="117">
        <v>-9787055.9500000011</v>
      </c>
      <c r="AI67" s="94">
        <f>AH67</f>
        <v>-9787055.9500000011</v>
      </c>
      <c r="AJ67" s="118"/>
      <c r="AK67" s="284"/>
      <c r="AL67" s="117">
        <v>-8777287.75</v>
      </c>
      <c r="AM67" s="94">
        <f>AL67</f>
        <v>-8777287.75</v>
      </c>
      <c r="AN67" s="118"/>
      <c r="AO67" s="284"/>
      <c r="AP67" s="117">
        <v>-7767519.5499999998</v>
      </c>
      <c r="AQ67" s="94">
        <f>AP67</f>
        <v>-7767519.5499999998</v>
      </c>
      <c r="AR67" s="118"/>
      <c r="AS67" s="284"/>
      <c r="AT67" s="117">
        <v>-6959704.9899999993</v>
      </c>
      <c r="AU67" s="94">
        <f>AT67</f>
        <v>-6959704.9899999993</v>
      </c>
      <c r="AV67" s="118"/>
      <c r="AW67" s="284"/>
    </row>
    <row r="68" spans="1:49" outlineLevel="1" x14ac:dyDescent="0.3">
      <c r="A68" s="290">
        <v>28300671</v>
      </c>
      <c r="B68" s="15" t="s">
        <v>493</v>
      </c>
      <c r="C68" s="24" t="s">
        <v>489</v>
      </c>
      <c r="D68" s="24" t="s">
        <v>412</v>
      </c>
      <c r="E68" s="24" t="s">
        <v>215</v>
      </c>
      <c r="F68" s="117"/>
      <c r="G68" s="94"/>
      <c r="H68" s="118"/>
      <c r="I68" s="35"/>
      <c r="J68" s="117"/>
      <c r="K68" s="94"/>
      <c r="L68" s="118"/>
      <c r="M68" s="35"/>
      <c r="N68" s="117">
        <v>-928707.95833333337</v>
      </c>
      <c r="O68" s="94">
        <f t="shared" si="8"/>
        <v>-928707.95833333337</v>
      </c>
      <c r="P68" s="118"/>
      <c r="Q68" s="35"/>
      <c r="R68" s="117">
        <v>-452099.75</v>
      </c>
      <c r="S68" s="94">
        <f t="shared" si="0"/>
        <v>-452099.75</v>
      </c>
      <c r="T68" s="118"/>
      <c r="U68" s="284"/>
      <c r="V68" s="117">
        <v>3.5416666666666665</v>
      </c>
      <c r="W68" s="94">
        <f t="shared" si="1"/>
        <v>3.5416666666666665</v>
      </c>
      <c r="X68" s="118"/>
      <c r="Y68" s="284"/>
      <c r="Z68" s="117"/>
      <c r="AA68" s="94"/>
      <c r="AB68" s="118"/>
      <c r="AC68" s="284"/>
      <c r="AD68" s="117"/>
      <c r="AE68" s="94"/>
      <c r="AF68" s="118"/>
      <c r="AG68" s="284"/>
      <c r="AH68" s="117"/>
      <c r="AI68" s="94"/>
      <c r="AJ68" s="118"/>
      <c r="AK68" s="284"/>
      <c r="AL68" s="117"/>
      <c r="AM68" s="94"/>
      <c r="AN68" s="118"/>
      <c r="AO68" s="284"/>
      <c r="AP68" s="117"/>
      <c r="AQ68" s="94"/>
      <c r="AR68" s="118"/>
      <c r="AS68" s="284"/>
      <c r="AT68" s="117"/>
      <c r="AU68" s="94"/>
      <c r="AV68" s="118"/>
      <c r="AW68" s="284"/>
    </row>
    <row r="69" spans="1:49" outlineLevel="1" x14ac:dyDescent="0.3">
      <c r="A69" s="290">
        <v>28300721</v>
      </c>
      <c r="B69" s="15" t="s">
        <v>494</v>
      </c>
      <c r="C69" s="24" t="s">
        <v>465</v>
      </c>
      <c r="D69" s="24" t="s">
        <v>412</v>
      </c>
      <c r="E69" s="24" t="s">
        <v>215</v>
      </c>
      <c r="F69" s="117"/>
      <c r="G69" s="94"/>
      <c r="H69" s="118"/>
      <c r="I69" s="35"/>
      <c r="J69" s="117"/>
      <c r="K69" s="94"/>
      <c r="L69" s="118"/>
      <c r="M69" s="35"/>
      <c r="N69" s="117"/>
      <c r="O69" s="94"/>
      <c r="P69" s="118"/>
      <c r="Q69" s="35"/>
      <c r="R69" s="117"/>
      <c r="S69" s="94"/>
      <c r="T69" s="118"/>
      <c r="U69" s="284"/>
      <c r="V69" s="117">
        <v>-3124811.2174999998</v>
      </c>
      <c r="W69" s="94">
        <f t="shared" si="1"/>
        <v>-3124811.2174999998</v>
      </c>
      <c r="X69" s="118"/>
      <c r="Y69" s="284"/>
      <c r="Z69" s="117">
        <v>-4471582.7199999997</v>
      </c>
      <c r="AA69" s="94">
        <f>Z69</f>
        <v>-4471582.7199999997</v>
      </c>
      <c r="AB69" s="118"/>
      <c r="AC69" s="284"/>
      <c r="AD69" s="117">
        <v>-2887067.561666667</v>
      </c>
      <c r="AE69" s="94">
        <f>AD69</f>
        <v>-2887067.561666667</v>
      </c>
      <c r="AF69" s="118"/>
      <c r="AG69" s="284"/>
      <c r="AH69" s="117">
        <v>-1312390.32</v>
      </c>
      <c r="AI69" s="94">
        <f>AH69</f>
        <v>-1312390.32</v>
      </c>
      <c r="AJ69" s="118"/>
      <c r="AK69" s="284"/>
      <c r="AL69" s="117">
        <v>-87491.634999999995</v>
      </c>
      <c r="AM69" s="94">
        <f>AL69</f>
        <v>-87491.634999999995</v>
      </c>
      <c r="AN69" s="118"/>
      <c r="AO69" s="284"/>
      <c r="AP69" s="117"/>
      <c r="AQ69" s="94">
        <f>AP69</f>
        <v>0</v>
      </c>
      <c r="AR69" s="118"/>
      <c r="AS69" s="284"/>
      <c r="AT69" s="117"/>
      <c r="AU69" s="94"/>
      <c r="AV69" s="118"/>
      <c r="AW69" s="284"/>
    </row>
    <row r="70" spans="1:49" outlineLevel="1" x14ac:dyDescent="0.3">
      <c r="A70" s="290">
        <v>28300731</v>
      </c>
      <c r="B70" s="15" t="s">
        <v>495</v>
      </c>
      <c r="C70" s="24" t="s">
        <v>432</v>
      </c>
      <c r="D70" s="24" t="s">
        <v>412</v>
      </c>
      <c r="E70" s="24" t="s">
        <v>215</v>
      </c>
      <c r="F70" s="117"/>
      <c r="G70" s="94"/>
      <c r="H70" s="118"/>
      <c r="I70" s="35"/>
      <c r="J70" s="117"/>
      <c r="K70" s="94"/>
      <c r="L70" s="118"/>
      <c r="M70" s="35"/>
      <c r="N70" s="117"/>
      <c r="O70" s="94"/>
      <c r="P70" s="118"/>
      <c r="Q70" s="35"/>
      <c r="R70" s="117"/>
      <c r="S70" s="94"/>
      <c r="T70" s="118"/>
      <c r="U70" s="284"/>
      <c r="V70" s="117"/>
      <c r="W70" s="94"/>
      <c r="X70" s="118"/>
      <c r="Y70" s="284"/>
      <c r="Z70" s="117">
        <v>-5656856.137083333</v>
      </c>
      <c r="AA70" s="94">
        <f>Z70</f>
        <v>-5656856.137083333</v>
      </c>
      <c r="AB70" s="118"/>
      <c r="AC70" s="284"/>
      <c r="AD70" s="117">
        <v>-8381488.1283333329</v>
      </c>
      <c r="AE70" s="94">
        <f>AD70</f>
        <v>-8381488.1283333329</v>
      </c>
      <c r="AF70" s="118"/>
      <c r="AG70" s="284"/>
      <c r="AH70" s="117">
        <v>-6855974.2199999997</v>
      </c>
      <c r="AI70" s="94">
        <f>AH70</f>
        <v>-6855974.2199999997</v>
      </c>
      <c r="AJ70" s="118"/>
      <c r="AK70" s="284"/>
      <c r="AL70" s="117">
        <v>-5273825.82</v>
      </c>
      <c r="AM70" s="94">
        <f>AL70</f>
        <v>-5273825.82</v>
      </c>
      <c r="AN70" s="118"/>
      <c r="AO70" s="284"/>
      <c r="AP70" s="117">
        <v>-3691677.42</v>
      </c>
      <c r="AQ70" s="94">
        <f>AP70</f>
        <v>-3691677.42</v>
      </c>
      <c r="AR70" s="118"/>
      <c r="AS70" s="284"/>
      <c r="AT70" s="117">
        <v>-2425958.7000000002</v>
      </c>
      <c r="AU70" s="94">
        <f>AT70</f>
        <v>-2425958.7000000002</v>
      </c>
      <c r="AV70" s="118"/>
      <c r="AW70" s="284"/>
    </row>
    <row r="71" spans="1:49" outlineLevel="1" x14ac:dyDescent="0.3">
      <c r="A71" s="290">
        <v>28300741</v>
      </c>
      <c r="B71" s="15" t="s">
        <v>496</v>
      </c>
      <c r="C71" s="24" t="s">
        <v>477</v>
      </c>
      <c r="D71" s="24" t="s">
        <v>412</v>
      </c>
      <c r="E71" s="24" t="s">
        <v>215</v>
      </c>
      <c r="F71" s="117"/>
      <c r="G71" s="94"/>
      <c r="H71" s="118"/>
      <c r="I71" s="35"/>
      <c r="J71" s="117"/>
      <c r="K71" s="94"/>
      <c r="L71" s="118"/>
      <c r="M71" s="35"/>
      <c r="N71" s="117"/>
      <c r="O71" s="94"/>
      <c r="P71" s="118"/>
      <c r="Q71" s="35"/>
      <c r="R71" s="117"/>
      <c r="S71" s="94"/>
      <c r="T71" s="118"/>
      <c r="U71" s="284"/>
      <c r="V71" s="117"/>
      <c r="W71" s="94"/>
      <c r="X71" s="118"/>
      <c r="Y71" s="284"/>
      <c r="Z71" s="117">
        <v>-330764.55041666667</v>
      </c>
      <c r="AA71" s="94">
        <f>Z71</f>
        <v>-330764.55041666667</v>
      </c>
      <c r="AB71" s="118"/>
      <c r="AC71" s="284"/>
      <c r="AD71" s="117">
        <v>-1000073.4762499998</v>
      </c>
      <c r="AE71" s="94">
        <f>AD71</f>
        <v>-1000073.4762499998</v>
      </c>
      <c r="AF71" s="118"/>
      <c r="AG71" s="284"/>
      <c r="AH71" s="117">
        <v>-785576.02</v>
      </c>
      <c r="AI71" s="94">
        <f>AH71</f>
        <v>-785576.02</v>
      </c>
      <c r="AJ71" s="118"/>
      <c r="AK71" s="284"/>
      <c r="AL71" s="117">
        <v>-549901.42000000004</v>
      </c>
      <c r="AM71" s="94">
        <f>AL71</f>
        <v>-549901.42000000004</v>
      </c>
      <c r="AN71" s="118"/>
      <c r="AO71" s="284"/>
      <c r="AP71" s="117">
        <v>-314226.82</v>
      </c>
      <c r="AQ71" s="94">
        <f>AP71</f>
        <v>-314226.82</v>
      </c>
      <c r="AR71" s="118"/>
      <c r="AS71" s="284"/>
      <c r="AT71" s="117">
        <v>-127651.84291666666</v>
      </c>
      <c r="AU71" s="94">
        <f>AT71</f>
        <v>-127651.84291666666</v>
      </c>
      <c r="AV71" s="118"/>
      <c r="AW71" s="284"/>
    </row>
    <row r="72" spans="1:49" outlineLevel="1" x14ac:dyDescent="0.3">
      <c r="A72" s="290">
        <v>28302061</v>
      </c>
      <c r="B72" s="15" t="s">
        <v>497</v>
      </c>
      <c r="C72" s="24" t="s">
        <v>480</v>
      </c>
      <c r="D72" s="24" t="s">
        <v>412</v>
      </c>
      <c r="E72" s="24" t="s">
        <v>215</v>
      </c>
      <c r="F72" s="117"/>
      <c r="G72" s="94"/>
      <c r="H72" s="118"/>
      <c r="I72" s="35"/>
      <c r="J72" s="117"/>
      <c r="K72" s="94"/>
      <c r="L72" s="118"/>
      <c r="M72" s="35"/>
      <c r="N72" s="117"/>
      <c r="O72" s="94"/>
      <c r="P72" s="118"/>
      <c r="Q72" s="35"/>
      <c r="R72" s="117"/>
      <c r="S72" s="94"/>
      <c r="T72" s="118"/>
      <c r="U72" s="284"/>
      <c r="V72" s="117"/>
      <c r="W72" s="94"/>
      <c r="X72" s="118"/>
      <c r="Y72" s="284"/>
      <c r="Z72" s="117"/>
      <c r="AA72" s="94"/>
      <c r="AB72" s="118"/>
      <c r="AC72" s="284"/>
      <c r="AD72" s="117">
        <v>-204278.87083333335</v>
      </c>
      <c r="AE72" s="94">
        <f>AD72</f>
        <v>-204278.87083333335</v>
      </c>
      <c r="AF72" s="118"/>
      <c r="AG72" s="284"/>
      <c r="AH72" s="117">
        <v>-4318588.5550000006</v>
      </c>
      <c r="AI72" s="94">
        <f>AH72</f>
        <v>-4318588.5550000006</v>
      </c>
      <c r="AJ72" s="118"/>
      <c r="AK72" s="284"/>
      <c r="AL72" s="117">
        <v>-3105745.2400000016</v>
      </c>
      <c r="AM72" s="94">
        <f>AL72</f>
        <v>-3105745.2400000016</v>
      </c>
      <c r="AN72" s="118"/>
      <c r="AO72" s="284"/>
      <c r="AP72" s="117">
        <v>-1918720.2399999995</v>
      </c>
      <c r="AQ72" s="94">
        <f>AP72</f>
        <v>-1918720.2399999995</v>
      </c>
      <c r="AR72" s="118"/>
      <c r="AS72" s="284"/>
      <c r="AT72" s="117">
        <v>-923787.87875000015</v>
      </c>
      <c r="AU72" s="94">
        <f>AT72</f>
        <v>-923787.87875000015</v>
      </c>
      <c r="AV72" s="118"/>
      <c r="AW72" s="284"/>
    </row>
    <row r="73" spans="1:49" outlineLevel="1" x14ac:dyDescent="0.3">
      <c r="F73" s="291"/>
      <c r="G73" s="292"/>
      <c r="H73" s="293"/>
      <c r="J73" s="291"/>
      <c r="K73" s="292"/>
      <c r="L73" s="293"/>
      <c r="N73" s="291"/>
      <c r="O73" s="292"/>
      <c r="P73" s="293"/>
      <c r="R73" s="291"/>
      <c r="S73" s="292"/>
      <c r="T73" s="293"/>
      <c r="V73" s="291"/>
      <c r="W73" s="292"/>
      <c r="X73" s="293"/>
      <c r="Z73" s="291"/>
      <c r="AA73" s="292"/>
      <c r="AB73" s="293"/>
      <c r="AD73" s="291"/>
      <c r="AE73" s="292"/>
      <c r="AF73" s="293"/>
      <c r="AH73" s="291"/>
      <c r="AI73" s="292"/>
      <c r="AJ73" s="293"/>
      <c r="AL73" s="291"/>
      <c r="AM73" s="292"/>
      <c r="AN73" s="293"/>
      <c r="AP73" s="291"/>
      <c r="AQ73" s="292"/>
      <c r="AR73" s="293"/>
      <c r="AT73" s="291"/>
      <c r="AU73" s="292"/>
      <c r="AV73" s="293"/>
    </row>
    <row r="74" spans="1:49" ht="15" outlineLevel="1" thickBot="1" x14ac:dyDescent="0.35">
      <c r="F74" s="294">
        <f>SUM(F6:F73)</f>
        <v>-727619132.1316669</v>
      </c>
      <c r="G74" s="295">
        <f>SUM(G6:G73)</f>
        <v>-515196416.06378323</v>
      </c>
      <c r="H74" s="296">
        <f>SUM(H6:H73)</f>
        <v>-212422716.06788337</v>
      </c>
      <c r="I74" s="16"/>
      <c r="J74" s="294">
        <f>SUM(J6:J73)</f>
        <v>-859699397.96499991</v>
      </c>
      <c r="K74" s="295">
        <f>SUM(K6:K73)</f>
        <v>-602379391.21711242</v>
      </c>
      <c r="L74" s="296">
        <f>SUM(L6:L73)</f>
        <v>-257320006.74788749</v>
      </c>
      <c r="M74" s="16"/>
      <c r="N74" s="294">
        <f>SUM(N6:N73)</f>
        <v>-911654802.97791636</v>
      </c>
      <c r="O74" s="295">
        <f>SUM(O6:O73)</f>
        <v>-652224958.81892455</v>
      </c>
      <c r="P74" s="296">
        <f>SUM(P6:P73)</f>
        <v>-259429844.15899199</v>
      </c>
      <c r="Q74" s="16"/>
      <c r="R74" s="294">
        <f>SUM(R6:R73)</f>
        <v>-1069868392.9018403</v>
      </c>
      <c r="S74" s="295">
        <f>SUM(S6:S73)</f>
        <v>-772206072.90748167</v>
      </c>
      <c r="T74" s="296">
        <f>SUM(T6:T73)</f>
        <v>-298016915.52492213</v>
      </c>
      <c r="U74" s="174"/>
      <c r="V74" s="294">
        <f>SUM(V6:V73)</f>
        <v>-1263501846.4329166</v>
      </c>
      <c r="W74" s="295">
        <f>SUM(W6:W73)</f>
        <v>-922981767.96589363</v>
      </c>
      <c r="X74" s="296">
        <f>SUM(X6:X73)</f>
        <v>-340520078.46702307</v>
      </c>
      <c r="Y74" s="174"/>
      <c r="Z74" s="294">
        <f>SUM(Z6:Z73)</f>
        <v>-1423586365.165833</v>
      </c>
      <c r="AA74" s="295">
        <f>SUM(AA6:AA73)</f>
        <v>-1028589439.314997</v>
      </c>
      <c r="AB74" s="296">
        <f>SUM(AB6:AB73)</f>
        <v>-394996925.85083658</v>
      </c>
      <c r="AC74" s="174"/>
      <c r="AD74" s="294">
        <f>SUM(AD6:AD73)</f>
        <v>-1574172899.125</v>
      </c>
      <c r="AE74" s="295">
        <f>SUM(AE6:AE73)</f>
        <v>-1143495981.9477732</v>
      </c>
      <c r="AF74" s="296">
        <f>SUM(AF6:AF73)</f>
        <v>-430676917.17722696</v>
      </c>
      <c r="AG74" s="174"/>
      <c r="AH74" s="294">
        <f>SUM(AH6:AH73)</f>
        <v>-1660440057.07375</v>
      </c>
      <c r="AI74" s="295">
        <f>SUM(AI6:AI73)</f>
        <v>-1195542548.0282867</v>
      </c>
      <c r="AJ74" s="296">
        <f>SUM(AJ6:AJ73)</f>
        <v>-464897509.04546338</v>
      </c>
      <c r="AK74" s="174"/>
      <c r="AL74" s="294">
        <f>SUM(AL6:AL73)</f>
        <v>-1801939762.124167</v>
      </c>
      <c r="AM74" s="295">
        <f>SUM(AM6:AM73)</f>
        <v>-1284340815.7207193</v>
      </c>
      <c r="AN74" s="296">
        <f>SUM(AN6:AN73)</f>
        <v>-517598946.40344745</v>
      </c>
      <c r="AO74" s="174"/>
      <c r="AP74" s="294">
        <f>SUM(AP6:AP73)</f>
        <v>-1987593833.2483332</v>
      </c>
      <c r="AQ74" s="295">
        <f>SUM(AQ6:AQ73)</f>
        <v>-1408309927.3545785</v>
      </c>
      <c r="AR74" s="296">
        <f>SUM(AR6:AR73)</f>
        <v>-579283905.89375472</v>
      </c>
      <c r="AS74" s="174"/>
      <c r="AT74" s="294">
        <f>SUM(AT6:AT73)</f>
        <v>-2047716770.2745833</v>
      </c>
      <c r="AU74" s="295">
        <f>SUM(AU6:AU73)</f>
        <v>-1443684469.5857882</v>
      </c>
      <c r="AV74" s="296">
        <f>SUM(AV6:AV73)</f>
        <v>-604032300.68879509</v>
      </c>
      <c r="AW74" s="174"/>
    </row>
    <row r="75" spans="1:49" ht="12" customHeight="1" outlineLevel="1" thickTop="1" thickBot="1" x14ac:dyDescent="0.35">
      <c r="E75" s="297" t="s">
        <v>295</v>
      </c>
      <c r="F75" s="298"/>
      <c r="G75" s="299">
        <v>0</v>
      </c>
      <c r="H75" s="300">
        <v>6.788337230682373E-2</v>
      </c>
      <c r="I75" s="102"/>
      <c r="J75" s="298"/>
      <c r="K75" s="299">
        <v>0</v>
      </c>
      <c r="L75" s="300">
        <v>-0.25211250782012939</v>
      </c>
      <c r="M75" s="102"/>
      <c r="N75" s="298"/>
      <c r="O75" s="299">
        <v>0</v>
      </c>
      <c r="P75" s="300">
        <v>0.15899199247360229</v>
      </c>
      <c r="Q75" s="102"/>
      <c r="R75" s="298"/>
      <c r="S75" s="299">
        <v>0</v>
      </c>
      <c r="T75" s="300">
        <v>6.0692310333251953E-2</v>
      </c>
      <c r="U75" s="301"/>
      <c r="V75" s="298"/>
      <c r="W75" s="299">
        <v>0</v>
      </c>
      <c r="X75" s="300">
        <v>0.40503090620040894</v>
      </c>
      <c r="Y75" s="301"/>
      <c r="Z75" s="298"/>
      <c r="AA75" s="299">
        <v>0</v>
      </c>
      <c r="AB75" s="300">
        <v>0.16600197553634644</v>
      </c>
      <c r="AC75" s="301"/>
      <c r="AD75" s="298"/>
      <c r="AE75" s="299">
        <v>0</v>
      </c>
      <c r="AF75" s="300">
        <v>3.7489533424377441E-3</v>
      </c>
      <c r="AG75" s="301"/>
      <c r="AH75" s="298"/>
      <c r="AI75" s="299">
        <v>0</v>
      </c>
      <c r="AJ75" s="300">
        <v>0.36294209957122803</v>
      </c>
      <c r="AK75" s="301"/>
      <c r="AL75" s="298"/>
      <c r="AM75" s="299">
        <v>0</v>
      </c>
      <c r="AN75" s="300">
        <v>-0.19615280628204346</v>
      </c>
      <c r="AO75" s="301"/>
      <c r="AP75" s="298"/>
      <c r="AQ75" s="299">
        <v>0</v>
      </c>
      <c r="AR75" s="300">
        <v>0</v>
      </c>
      <c r="AS75" s="301"/>
      <c r="AT75" s="298"/>
      <c r="AU75" s="299">
        <v>4.093170166015625E-2</v>
      </c>
      <c r="AV75" s="300">
        <v>6.9849491119384766E-3</v>
      </c>
      <c r="AW75" s="301"/>
    </row>
    <row r="76" spans="1:49" ht="12" customHeight="1" outlineLevel="1" x14ac:dyDescent="0.3">
      <c r="E76" s="297"/>
      <c r="F76" s="302"/>
      <c r="G76" s="303"/>
      <c r="H76" s="303"/>
      <c r="I76" s="102"/>
      <c r="J76" s="302"/>
      <c r="K76" s="303"/>
      <c r="L76" s="303"/>
      <c r="M76" s="102"/>
      <c r="N76" s="302"/>
      <c r="O76" s="303"/>
      <c r="P76" s="303"/>
      <c r="Q76" s="102"/>
      <c r="R76" s="302"/>
      <c r="S76" s="303"/>
      <c r="T76" s="303"/>
      <c r="U76" s="301"/>
      <c r="V76" s="302"/>
      <c r="W76" s="303"/>
      <c r="X76" s="303"/>
      <c r="Y76" s="301"/>
      <c r="Z76" s="302"/>
      <c r="AA76" s="303"/>
      <c r="AB76" s="303"/>
      <c r="AC76" s="301"/>
      <c r="AD76" s="302"/>
      <c r="AE76" s="303"/>
      <c r="AF76" s="303"/>
      <c r="AG76" s="301"/>
      <c r="AH76" s="302"/>
      <c r="AI76" s="303"/>
      <c r="AJ76" s="303"/>
      <c r="AK76" s="301"/>
      <c r="AL76" s="302"/>
      <c r="AM76" s="303"/>
      <c r="AN76" s="303"/>
      <c r="AO76" s="301"/>
      <c r="AP76" s="302"/>
      <c r="AQ76" s="303"/>
      <c r="AR76" s="303"/>
      <c r="AS76" s="301"/>
      <c r="AT76" s="302"/>
      <c r="AU76" s="303"/>
      <c r="AV76" s="303"/>
      <c r="AW76" s="301"/>
    </row>
    <row r="77" spans="1:49" ht="12" customHeight="1" x14ac:dyDescent="0.3">
      <c r="B77" s="30" t="s">
        <v>0</v>
      </c>
      <c r="E77" s="297"/>
      <c r="F77" s="302"/>
      <c r="G77" s="303"/>
      <c r="H77" s="303"/>
      <c r="I77" s="102"/>
      <c r="J77" s="302"/>
      <c r="K77" s="303"/>
      <c r="L77" s="303"/>
      <c r="M77" s="102"/>
      <c r="N77" s="302"/>
      <c r="O77" s="303"/>
      <c r="P77" s="303"/>
      <c r="Q77" s="102"/>
      <c r="R77" s="302"/>
      <c r="S77" s="303"/>
      <c r="T77" s="303"/>
      <c r="U77" s="301"/>
      <c r="V77" s="302"/>
      <c r="W77" s="303"/>
      <c r="X77" s="303"/>
      <c r="Y77" s="301"/>
      <c r="Z77" s="302"/>
      <c r="AA77" s="303"/>
      <c r="AB77" s="303"/>
      <c r="AC77" s="301"/>
      <c r="AD77" s="302"/>
      <c r="AE77" s="303"/>
      <c r="AF77" s="303"/>
      <c r="AG77" s="301"/>
      <c r="AH77" s="302"/>
      <c r="AI77" s="303"/>
      <c r="AJ77" s="303"/>
      <c r="AK77" s="301"/>
      <c r="AL77" s="302"/>
      <c r="AM77" s="303"/>
      <c r="AN77" s="303"/>
      <c r="AO77" s="301"/>
      <c r="AP77" s="302"/>
      <c r="AQ77" s="303"/>
      <c r="AR77" s="303"/>
      <c r="AS77" s="301"/>
      <c r="AT77" s="302"/>
      <c r="AU77" s="303"/>
      <c r="AV77" s="303"/>
      <c r="AW77" s="301"/>
    </row>
    <row r="78" spans="1:49" x14ac:dyDescent="0.3">
      <c r="B78" s="15" t="s">
        <v>498</v>
      </c>
      <c r="F78" s="16">
        <f>SUMIF($D$6:$D$72,"Plant",F$6:F$72)</f>
        <v>-757251239.21166682</v>
      </c>
      <c r="G78" s="16">
        <f>SUMIF($D$6:$D$72,"Plant",G$6:G$72)</f>
        <v>-551306074.15662503</v>
      </c>
      <c r="H78" s="16">
        <f>SUMIF($D$6:$D$72,"Plant",H$6:H$72)</f>
        <v>-205945165.0550417</v>
      </c>
      <c r="J78" s="16">
        <f>SUMIF($D$6:$D$72,"Plant",J$6:J$72)</f>
        <v>-926338174.62583327</v>
      </c>
      <c r="K78" s="16">
        <f>SUMIF($D$6:$D$72,"Plant",K$6:K$72)</f>
        <v>-664946215.17857909</v>
      </c>
      <c r="L78" s="16">
        <f>SUMIF($D$6:$D$72,"Plant",L$6:L$72)</f>
        <v>-261391959.44725418</v>
      </c>
      <c r="N78" s="16">
        <f>SUMIF($D$6:$D$72,"Plant",N$6:N$72)</f>
        <v>-1011489299.069437</v>
      </c>
      <c r="O78" s="16">
        <f>SUMIF($D$6:$D$72,"Plant",O$6:O$72)</f>
        <v>-735064556.66285312</v>
      </c>
      <c r="P78" s="16">
        <f>SUMIF($D$6:$D$72,"Plant",P$6:P$72)</f>
        <v>-276424742.40658385</v>
      </c>
      <c r="R78" s="16">
        <f>SUMIF($D$6:$D$72,"Plant",R$6:R$72)</f>
        <v>-1206557355.4735069</v>
      </c>
      <c r="S78" s="16">
        <f>SUMIF($D$6:$D$72,"Plant",S$6:S$72)</f>
        <v>-867572261.25030184</v>
      </c>
      <c r="T78" s="16">
        <f>SUMIF($D$6:$D$72,"Plant",T$6:T$72)</f>
        <v>-338985094.22320497</v>
      </c>
      <c r="V78" s="16">
        <f>SUMIF($D$6:$D$72,"Plant",V$6:V$72)</f>
        <v>-1340030484.3687501</v>
      </c>
      <c r="W78" s="16">
        <f>SUMIF($D$6:$D$72,"Plant",W$6:W$72)</f>
        <v>-943834217.29418719</v>
      </c>
      <c r="X78" s="16">
        <f>SUMIF($D$6:$D$72,"Plant",X$6:X$72)</f>
        <v>-396196267.07456291</v>
      </c>
      <c r="Z78" s="16">
        <f>SUMIF($D$6:$D$72,"Plant",Z$6:Z$72)</f>
        <v>-1511077408.2941668</v>
      </c>
      <c r="AA78" s="16">
        <f>SUMIF($D$6:$D$72,"Plant",AA$6:AA$72)</f>
        <v>-1081989419.5529795</v>
      </c>
      <c r="AB78" s="16">
        <f>SUMIF($D$6:$D$72,"Plant",AB$6:AB$72)</f>
        <v>-429087988.74118733</v>
      </c>
      <c r="AD78" s="16">
        <f>SUMIF($D$6:$D$72,"Plant",AD$6:AD$72)</f>
        <v>-1653086175.1249998</v>
      </c>
      <c r="AE78" s="16">
        <f>SUMIF($D$6:$D$72,"Plant",AE$6:AE$72)</f>
        <v>-1187293230.9798069</v>
      </c>
      <c r="AF78" s="16">
        <f>SUMIF($D$6:$D$72,"Plant",AF$6:AF$72)</f>
        <v>-465792944.14519292</v>
      </c>
      <c r="AH78" s="16">
        <f>SUMIF($D$6:$D$72,"Plant",AH$6:AH$72)</f>
        <v>-1740848736.8966665</v>
      </c>
      <c r="AI78" s="16">
        <f>SUMIF($D$6:$D$72,"Plant",AI$6:AI$72)</f>
        <v>-1246564738.1331372</v>
      </c>
      <c r="AJ78" s="16">
        <f>SUMIF($D$6:$D$72,"Plant",AJ$6:AJ$72)</f>
        <v>-494283998.76352936</v>
      </c>
      <c r="AL78" s="16">
        <f>SUMIF($D$6:$D$72,"Plant",AL$6:AL$72)</f>
        <v>-1846995950.3600001</v>
      </c>
      <c r="AM78" s="16">
        <f>SUMIF($D$6:$D$72,"Plant",AM$6:AM$72)</f>
        <v>-1313627349.1037829</v>
      </c>
      <c r="AN78" s="16">
        <f>SUMIF($D$6:$D$72,"Plant",AN$6:AN$72)</f>
        <v>-533368601.25621724</v>
      </c>
      <c r="AP78" s="16">
        <f>SUMIF($D$6:$D$72,"Plant",AP$6:AP$72)</f>
        <v>-1970937705.1679168</v>
      </c>
      <c r="AQ78" s="16">
        <f>SUMIF($D$6:$D$72,"Plant",AQ$6:AQ$72)</f>
        <v>-1393851091.3815989</v>
      </c>
      <c r="AR78" s="16">
        <f>SUMIF($D$6:$D$72,"Plant",AR$6:AR$72)</f>
        <v>-577086613.78631783</v>
      </c>
      <c r="AT78" s="16">
        <f>SUMIF($D$6:$D$72,"Plant",AT$6:AT$72)</f>
        <v>-2018190411.3608332</v>
      </c>
      <c r="AU78" s="16">
        <f>SUMIF($D$6:$D$72,"Plant",AU$6:AU$72)</f>
        <v>-1417858076.2208116</v>
      </c>
      <c r="AV78" s="16">
        <f>SUMIF($D$6:$D$72,"Plant",AV$6:AV$72)</f>
        <v>-600332335.14002168</v>
      </c>
    </row>
    <row r="79" spans="1:49" x14ac:dyDescent="0.3">
      <c r="B79" s="15" t="s">
        <v>499</v>
      </c>
      <c r="F79" s="94">
        <f>SUMIF($D$6:$D$72,"Non-P",F$6:F$72)</f>
        <v>29632107.080000013</v>
      </c>
      <c r="G79" s="94">
        <f>SUMIF($D$6:$D$72,"Non-P",G$6:G$72)</f>
        <v>36109658.09284167</v>
      </c>
      <c r="H79" s="94">
        <f>SUMIF($D$6:$D$72,"Non-P",H$6:H$72)</f>
        <v>-6477551.0128416652</v>
      </c>
      <c r="J79" s="94">
        <f>SUMIF($D$6:$D$72,"Non-P",J$6:J$72)</f>
        <v>66638776.660833322</v>
      </c>
      <c r="K79" s="94">
        <f>SUMIF($D$6:$D$72,"Non-P",K$6:K$72)</f>
        <v>62566823.96146667</v>
      </c>
      <c r="L79" s="94">
        <f>SUMIF($D$6:$D$72,"Non-P",L$6:L$72)</f>
        <v>4071952.6993666664</v>
      </c>
      <c r="N79" s="94">
        <f>SUMIF($D$6:$D$72,"Non-P",N$6:N$72)</f>
        <v>99834496.091520578</v>
      </c>
      <c r="O79" s="94">
        <f>SUMIF($D$6:$D$72,"Non-P",O$6:O$72)</f>
        <v>82839597.84392865</v>
      </c>
      <c r="P79" s="94">
        <f>SUMIF($D$6:$D$72,"Non-P",P$6:P$72)</f>
        <v>16994898.247591894</v>
      </c>
      <c r="R79" s="94">
        <f>SUMIF($D$6:$D$72,"Non-P",R$6:R$72)</f>
        <v>136688962.5716666</v>
      </c>
      <c r="S79" s="94">
        <f>SUMIF($D$6:$D$72,"Non-P",S$6:S$72)</f>
        <v>95366188.342820331</v>
      </c>
      <c r="T79" s="94">
        <f>SUMIF($D$6:$D$72,"Non-P",T$6:T$72)</f>
        <v>40968178.698282845</v>
      </c>
      <c r="V79" s="94">
        <f>SUMIF($D$6:$D$72,"Non-P",V$6:V$72)</f>
        <v>76528637.93583332</v>
      </c>
      <c r="W79" s="94">
        <f>SUMIF($D$6:$D$72,"Non-P",W$6:W$72)</f>
        <v>20852449.328293558</v>
      </c>
      <c r="X79" s="94">
        <f>SUMIF($D$6:$D$72,"Non-P",X$6:X$72)</f>
        <v>55676188.60753978</v>
      </c>
      <c r="Z79" s="94">
        <f>SUMIF($D$6:$D$72,"Non-P",Z$6:Z$72)</f>
        <v>87491043.12833333</v>
      </c>
      <c r="AA79" s="94">
        <f>SUMIF($D$6:$D$72,"Non-P",AA$6:AA$72)</f>
        <v>53399980.237982541</v>
      </c>
      <c r="AB79" s="94">
        <f>SUMIF($D$6:$D$72,"Non-P",AB$6:AB$72)</f>
        <v>34091062.890350774</v>
      </c>
      <c r="AD79" s="94">
        <f>SUMIF($D$6:$D$72,"Non-P",AD$6:AD$72)</f>
        <v>78913275.99999997</v>
      </c>
      <c r="AE79" s="94">
        <f>SUMIF($D$6:$D$72,"Non-P",AE$6:AE$72)</f>
        <v>43797249.032034039</v>
      </c>
      <c r="AF79" s="94">
        <f>SUMIF($D$6:$D$72,"Non-P",AF$6:AF$72)</f>
        <v>35116026.967965946</v>
      </c>
      <c r="AH79" s="94">
        <f>SUMIF($D$6:$D$72,"Non-P",AH$6:AH$72)</f>
        <v>80408679.822916672</v>
      </c>
      <c r="AI79" s="94">
        <f>SUMIF($D$6:$D$72,"Non-P",AI$6:AI$72)</f>
        <v>51022190.104850657</v>
      </c>
      <c r="AJ79" s="94">
        <f>SUMIF($D$6:$D$72,"Non-P",AJ$6:AJ$72)</f>
        <v>29386489.718066007</v>
      </c>
      <c r="AL79" s="94">
        <f>SUMIF($D$6:$D$72,"Non-P",AL$6:AL$72)</f>
        <v>45056188.235833324</v>
      </c>
      <c r="AM79" s="94">
        <f>SUMIF($D$6:$D$72,"Non-P",AM$6:AM$72)</f>
        <v>29286533.38306354</v>
      </c>
      <c r="AN79" s="94">
        <f>SUMIF($D$6:$D$72,"Non-P",AN$6:AN$72)</f>
        <v>15769654.852769798</v>
      </c>
      <c r="AP79" s="94">
        <f>SUMIF($D$6:$D$72,"Non-P",AP$6:AP$72)</f>
        <v>-16656128.080416668</v>
      </c>
      <c r="AQ79" s="94">
        <f>SUMIF($D$6:$D$72,"Non-P",AQ$6:AQ$72)</f>
        <v>-14458835.972979773</v>
      </c>
      <c r="AR79" s="94">
        <f>SUMIF($D$6:$D$72,"Non-P",AR$6:AR$72)</f>
        <v>-2197292.107436893</v>
      </c>
      <c r="AT79" s="94">
        <f>SUMIF($D$6:$D$72,"Non-P",AT$6:AT$72)</f>
        <v>-29526358.913749997</v>
      </c>
      <c r="AU79" s="94">
        <f>SUMIF($D$6:$D$72,"Non-P",AU$6:AU$72)</f>
        <v>-25826393.364976622</v>
      </c>
      <c r="AV79" s="94">
        <f>SUMIF($D$6:$D$72,"Non-P",AV$6:AV$72)</f>
        <v>-3699965.5487733753</v>
      </c>
    </row>
    <row r="80" spans="1:49" ht="15" thickBot="1" x14ac:dyDescent="0.35">
      <c r="B80" s="15" t="s">
        <v>0</v>
      </c>
      <c r="F80" s="78">
        <f>SUM(F78:F79)</f>
        <v>-727619132.13166678</v>
      </c>
      <c r="G80" s="78">
        <f>SUM(G78:G79)</f>
        <v>-515196416.06378335</v>
      </c>
      <c r="H80" s="78">
        <f>SUM(H78:H79)</f>
        <v>-212422716.06788337</v>
      </c>
      <c r="J80" s="78">
        <f>SUM(J78:J79)</f>
        <v>-859699397.96499991</v>
      </c>
      <c r="K80" s="78">
        <f>SUM(K78:K79)</f>
        <v>-602379391.21711242</v>
      </c>
      <c r="L80" s="78">
        <f>SUM(L78:L79)</f>
        <v>-257320006.74788752</v>
      </c>
      <c r="N80" s="78">
        <f>SUM(N78:N79)</f>
        <v>-911654802.97791648</v>
      </c>
      <c r="O80" s="78">
        <f>SUM(O78:O79)</f>
        <v>-652224958.81892443</v>
      </c>
      <c r="P80" s="78">
        <f>SUM(P78:P79)</f>
        <v>-259429844.15899196</v>
      </c>
      <c r="R80" s="78">
        <f>SUM(R78:R79)</f>
        <v>-1069868392.9018403</v>
      </c>
      <c r="S80" s="78">
        <f>SUM(S78:S79)</f>
        <v>-772206072.90748155</v>
      </c>
      <c r="T80" s="78">
        <f>SUM(T78:T79)</f>
        <v>-298016915.52492213</v>
      </c>
      <c r="V80" s="78">
        <f>SUM(V78:V79)</f>
        <v>-1263501846.4329169</v>
      </c>
      <c r="W80" s="78">
        <f>SUM(W78:W79)</f>
        <v>-922981767.96589363</v>
      </c>
      <c r="X80" s="78">
        <f>SUM(X78:X79)</f>
        <v>-340520078.46702313</v>
      </c>
      <c r="Z80" s="78">
        <f>SUM(Z78:Z79)</f>
        <v>-1423586365.1658335</v>
      </c>
      <c r="AA80" s="78">
        <f>SUM(AA78:AA79)</f>
        <v>-1028589439.314997</v>
      </c>
      <c r="AB80" s="78">
        <f>SUM(AB78:AB79)</f>
        <v>-394996925.85083658</v>
      </c>
      <c r="AD80" s="78">
        <f>SUM(AD78:AD79)</f>
        <v>-1574172899.1249998</v>
      </c>
      <c r="AE80" s="78">
        <f>SUM(AE78:AE79)</f>
        <v>-1143495981.947773</v>
      </c>
      <c r="AF80" s="78">
        <f>SUM(AF78:AF79)</f>
        <v>-430676917.17722696</v>
      </c>
      <c r="AH80" s="78">
        <f>SUM(AH78:AH79)</f>
        <v>-1660440057.0737498</v>
      </c>
      <c r="AI80" s="78">
        <f>SUM(AI78:AI79)</f>
        <v>-1195542548.0282865</v>
      </c>
      <c r="AJ80" s="78">
        <f>SUM(AJ78:AJ79)</f>
        <v>-464897509.04546332</v>
      </c>
      <c r="AL80" s="78">
        <f>SUM(AL78:AL79)</f>
        <v>-1801939762.1241667</v>
      </c>
      <c r="AM80" s="78">
        <f>SUM(AM78:AM79)</f>
        <v>-1284340815.7207193</v>
      </c>
      <c r="AN80" s="78">
        <f>SUM(AN78:AN79)</f>
        <v>-517598946.40344745</v>
      </c>
      <c r="AP80" s="78">
        <f>SUM(AP78:AP79)</f>
        <v>-1987593833.2483335</v>
      </c>
      <c r="AQ80" s="78">
        <f>SUM(AQ78:AQ79)</f>
        <v>-1408309927.3545787</v>
      </c>
      <c r="AR80" s="78">
        <f>SUM(AR78:AR79)</f>
        <v>-579283905.89375472</v>
      </c>
      <c r="AT80" s="78">
        <f>SUM(AT78:AT79)</f>
        <v>-2047716770.2745831</v>
      </c>
      <c r="AU80" s="78">
        <f>SUM(AU78:AU79)</f>
        <v>-1443684469.5857882</v>
      </c>
      <c r="AV80" s="78">
        <f>SUM(AV78:AV79)</f>
        <v>-604032300.68879509</v>
      </c>
    </row>
    <row r="81" spans="2:49" ht="15" thickTop="1" x14ac:dyDescent="0.3"/>
    <row r="82" spans="2:49" x14ac:dyDescent="0.3">
      <c r="B82" s="15" t="s">
        <v>500</v>
      </c>
      <c r="F82" s="16">
        <f>SUM(G82:H82)</f>
        <v>-141027161.22271714</v>
      </c>
      <c r="G82" s="16">
        <v>-70063115.165935382</v>
      </c>
      <c r="H82" s="16">
        <v>-70964046.056781754</v>
      </c>
      <c r="J82" s="16">
        <f>SUM(K82:L82)</f>
        <v>-225941158.83580479</v>
      </c>
      <c r="K82" s="16">
        <v>-127927618.43577306</v>
      </c>
      <c r="L82" s="16">
        <v>-98013540.400031731</v>
      </c>
      <c r="N82" s="16">
        <f>SUM(O82:P82)</f>
        <v>-317474396</v>
      </c>
      <c r="O82" s="16">
        <v>-189750672.68629</v>
      </c>
      <c r="P82" s="16">
        <v>-127723723.31370999</v>
      </c>
      <c r="R82" s="16">
        <f>SUM(S82:T82)</f>
        <v>-403702120.79999995</v>
      </c>
      <c r="S82" s="16">
        <v>-245919205.50235</v>
      </c>
      <c r="T82" s="16">
        <v>-157782915.29764998</v>
      </c>
      <c r="V82" s="16">
        <f>SUM(W82:X82)</f>
        <v>-576381432.14999998</v>
      </c>
      <c r="W82" s="16">
        <v>-402776248.51195496</v>
      </c>
      <c r="X82" s="16">
        <v>-173605183.63804498</v>
      </c>
      <c r="Z82" s="16">
        <f>SUM(AA82:AB82)</f>
        <v>-700380095.04999983</v>
      </c>
      <c r="AA82" s="16">
        <v>-507688064.02071989</v>
      </c>
      <c r="AB82" s="16">
        <v>-192692031.02927998</v>
      </c>
      <c r="AD82" s="16">
        <f>SUM(AE82:AF82)</f>
        <v>-757067112.8499999</v>
      </c>
      <c r="AE82" s="16">
        <v>-543196211.02112496</v>
      </c>
      <c r="AF82" s="16">
        <v>-213870901.82887501</v>
      </c>
      <c r="AH82" s="16">
        <f>SUM(AI82:AJ82)</f>
        <v>-796402162.79999995</v>
      </c>
      <c r="AI82" s="16">
        <v>-572080443.58302999</v>
      </c>
      <c r="AJ82" s="16">
        <v>-224321719.21696997</v>
      </c>
      <c r="AL82" s="16">
        <f>SUM(AM82:AN82)</f>
        <v>-872601400.95000005</v>
      </c>
      <c r="AM82" s="16">
        <v>-624457444.67862499</v>
      </c>
      <c r="AN82" s="16">
        <v>-248143956.271375</v>
      </c>
      <c r="AP82" s="16">
        <f>SUM(AQ82:AR82)</f>
        <v>-993025940.5</v>
      </c>
      <c r="AQ82" s="16">
        <v>-701431957.66734993</v>
      </c>
      <c r="AR82" s="16">
        <v>-291593982.83265001</v>
      </c>
      <c r="AT82" s="16">
        <f>SUM(AU82:AV82)</f>
        <v>-983417641.0999999</v>
      </c>
      <c r="AU82" s="16">
        <v>-694039964.85955</v>
      </c>
      <c r="AV82" s="16">
        <v>-289377676.24044997</v>
      </c>
    </row>
    <row r="84" spans="2:49" x14ac:dyDescent="0.3">
      <c r="B84" s="30" t="s">
        <v>501</v>
      </c>
    </row>
    <row r="85" spans="2:49" x14ac:dyDescent="0.3">
      <c r="B85" s="15" t="s">
        <v>498</v>
      </c>
      <c r="F85" s="16">
        <f>F78-F82</f>
        <v>-616224077.98894966</v>
      </c>
      <c r="G85" s="16">
        <f>G78-G82</f>
        <v>-481242958.99068964</v>
      </c>
      <c r="H85" s="16">
        <f>H78-H82</f>
        <v>-134981118.99825996</v>
      </c>
      <c r="J85" s="16">
        <f>J78-J82</f>
        <v>-700397015.79002845</v>
      </c>
      <c r="K85" s="16">
        <f>K78-K82</f>
        <v>-537018596.74280608</v>
      </c>
      <c r="L85" s="16">
        <f>L78-L82</f>
        <v>-163378419.04722244</v>
      </c>
      <c r="N85" s="16">
        <f>N78-N82</f>
        <v>-694014903.06943703</v>
      </c>
      <c r="O85" s="16">
        <f>O78-O82</f>
        <v>-545313883.9765631</v>
      </c>
      <c r="P85" s="16">
        <f>P78-P82</f>
        <v>-148701019.09287387</v>
      </c>
      <c r="R85" s="16">
        <f>R78-R82</f>
        <v>-802855234.67350698</v>
      </c>
      <c r="S85" s="16">
        <f>S78-S82</f>
        <v>-621653055.74795187</v>
      </c>
      <c r="T85" s="16">
        <f>T78-T82</f>
        <v>-181202178.92555499</v>
      </c>
      <c r="U85" s="15"/>
      <c r="V85" s="16">
        <f>V78-V82</f>
        <v>-763649052.21875012</v>
      </c>
      <c r="W85" s="16">
        <f>W78-W82</f>
        <v>-541057968.78223228</v>
      </c>
      <c r="X85" s="16">
        <f>X78-X82</f>
        <v>-222591083.43651792</v>
      </c>
      <c r="Y85" s="15"/>
      <c r="Z85" s="16">
        <f>Z78-Z82</f>
        <v>-810697313.24416697</v>
      </c>
      <c r="AA85" s="16">
        <f>AA78-AA82</f>
        <v>-574301355.53225958</v>
      </c>
      <c r="AB85" s="16">
        <f>AB78-AB82</f>
        <v>-236395957.71190736</v>
      </c>
      <c r="AC85" s="15"/>
      <c r="AD85" s="16">
        <f>AD78-AD82</f>
        <v>-896019062.27499986</v>
      </c>
      <c r="AE85" s="16">
        <f>AE78-AE82</f>
        <v>-644097019.95868194</v>
      </c>
      <c r="AF85" s="16">
        <f>AF78-AF82</f>
        <v>-251922042.31631792</v>
      </c>
      <c r="AG85" s="15"/>
      <c r="AH85" s="16">
        <f>AH78-AH82</f>
        <v>-944446574.09666657</v>
      </c>
      <c r="AI85" s="16">
        <f>AI78-AI82</f>
        <v>-674484294.55010724</v>
      </c>
      <c r="AJ85" s="16">
        <f>AJ78-AJ82</f>
        <v>-269962279.54655939</v>
      </c>
      <c r="AK85" s="15"/>
      <c r="AL85" s="16">
        <f>AL78-AL82</f>
        <v>-974394549.41000009</v>
      </c>
      <c r="AM85" s="16">
        <f>AM78-AM82</f>
        <v>-689169904.4251579</v>
      </c>
      <c r="AN85" s="16">
        <f>AN78-AN82</f>
        <v>-285224644.98484224</v>
      </c>
      <c r="AO85" s="15"/>
      <c r="AP85" s="16">
        <f>AP78-AP82</f>
        <v>-977911764.66791677</v>
      </c>
      <c r="AQ85" s="16">
        <f>AQ78-AQ82</f>
        <v>-692419133.71424901</v>
      </c>
      <c r="AR85" s="16">
        <f>AR78-AR82</f>
        <v>-285492630.95366782</v>
      </c>
      <c r="AS85" s="15"/>
      <c r="AT85" s="16">
        <f>AT78-AT82</f>
        <v>-1034772770.2608333</v>
      </c>
      <c r="AU85" s="16">
        <f>AU78-AU82</f>
        <v>-723818111.36126161</v>
      </c>
      <c r="AV85" s="16">
        <f>AV78-AV82</f>
        <v>-310954658.89957172</v>
      </c>
      <c r="AW85" s="15"/>
    </row>
    <row r="86" spans="2:49" x14ac:dyDescent="0.3">
      <c r="B86" s="15" t="s">
        <v>499</v>
      </c>
      <c r="F86" s="35">
        <f>F79</f>
        <v>29632107.080000013</v>
      </c>
      <c r="G86" s="35">
        <f>G79</f>
        <v>36109658.09284167</v>
      </c>
      <c r="H86" s="35">
        <f>H79</f>
        <v>-6477551.0128416652</v>
      </c>
      <c r="J86" s="35">
        <f>J79</f>
        <v>66638776.660833322</v>
      </c>
      <c r="K86" s="35">
        <f>K79</f>
        <v>62566823.96146667</v>
      </c>
      <c r="L86" s="35">
        <f>L79</f>
        <v>4071952.6993666664</v>
      </c>
      <c r="N86" s="35">
        <f>N79</f>
        <v>99834496.091520578</v>
      </c>
      <c r="O86" s="35">
        <f>O79</f>
        <v>82839597.84392865</v>
      </c>
      <c r="P86" s="35">
        <f>P79</f>
        <v>16994898.247591894</v>
      </c>
      <c r="R86" s="35">
        <f>R79</f>
        <v>136688962.5716666</v>
      </c>
      <c r="S86" s="35">
        <f>S79</f>
        <v>95366188.342820331</v>
      </c>
      <c r="T86" s="35">
        <f>T79</f>
        <v>40968178.698282845</v>
      </c>
      <c r="U86" s="15"/>
      <c r="V86" s="35">
        <f>V79</f>
        <v>76528637.93583332</v>
      </c>
      <c r="W86" s="35">
        <f>W79</f>
        <v>20852449.328293558</v>
      </c>
      <c r="X86" s="35">
        <f>X79</f>
        <v>55676188.60753978</v>
      </c>
      <c r="Y86" s="15"/>
      <c r="Z86" s="35">
        <f>Z79</f>
        <v>87491043.12833333</v>
      </c>
      <c r="AA86" s="35">
        <f>AA79</f>
        <v>53399980.237982541</v>
      </c>
      <c r="AB86" s="35">
        <f>AB79</f>
        <v>34091062.890350774</v>
      </c>
      <c r="AC86" s="15"/>
      <c r="AD86" s="35">
        <f>AD79</f>
        <v>78913275.99999997</v>
      </c>
      <c r="AE86" s="35">
        <f>AE79</f>
        <v>43797249.032034039</v>
      </c>
      <c r="AF86" s="35">
        <f>AF79</f>
        <v>35116026.967965946</v>
      </c>
      <c r="AG86" s="15"/>
      <c r="AH86" s="35">
        <f>AH79</f>
        <v>80408679.822916672</v>
      </c>
      <c r="AI86" s="35">
        <f>AI79</f>
        <v>51022190.104850657</v>
      </c>
      <c r="AJ86" s="35">
        <f>AJ79</f>
        <v>29386489.718066007</v>
      </c>
      <c r="AK86" s="15"/>
      <c r="AL86" s="35">
        <f>AL79</f>
        <v>45056188.235833324</v>
      </c>
      <c r="AM86" s="35">
        <f>AM79</f>
        <v>29286533.38306354</v>
      </c>
      <c r="AN86" s="35">
        <f>AN79</f>
        <v>15769654.852769798</v>
      </c>
      <c r="AO86" s="15"/>
      <c r="AP86" s="35">
        <f>AP79</f>
        <v>-16656128.080416668</v>
      </c>
      <c r="AQ86" s="35">
        <f>AQ79</f>
        <v>-14458835.972979773</v>
      </c>
      <c r="AR86" s="35">
        <f>AR79</f>
        <v>-2197292.107436893</v>
      </c>
      <c r="AS86" s="15"/>
      <c r="AT86" s="35">
        <f>AT79</f>
        <v>-29526358.913749997</v>
      </c>
      <c r="AU86" s="35">
        <f>AU79</f>
        <v>-25826393.364976622</v>
      </c>
      <c r="AV86" s="35">
        <f>AV79</f>
        <v>-3699965.5487733753</v>
      </c>
      <c r="AW86" s="15"/>
    </row>
    <row r="87" spans="2:49" ht="15" thickBot="1" x14ac:dyDescent="0.35">
      <c r="B87" s="15" t="s">
        <v>0</v>
      </c>
      <c r="F87" s="78">
        <f>SUM(F85:F86)</f>
        <v>-586591970.90894961</v>
      </c>
      <c r="G87" s="78">
        <f>SUM(G85:G86)</f>
        <v>-445133300.89784795</v>
      </c>
      <c r="H87" s="78">
        <f>SUM(H85:H86)</f>
        <v>-141458670.01110163</v>
      </c>
      <c r="J87" s="78">
        <f>SUM(J85:J86)</f>
        <v>-633758239.12919509</v>
      </c>
      <c r="K87" s="78">
        <f>SUM(K85:K86)</f>
        <v>-474451772.78133941</v>
      </c>
      <c r="L87" s="78">
        <f>SUM(L85:L86)</f>
        <v>-159306466.34785578</v>
      </c>
      <c r="N87" s="78">
        <f>SUM(N85:N86)</f>
        <v>-594180406.97791648</v>
      </c>
      <c r="O87" s="78">
        <f>SUM(O85:O86)</f>
        <v>-462474286.13263446</v>
      </c>
      <c r="P87" s="78">
        <f>SUM(P85:P86)</f>
        <v>-131706120.84528197</v>
      </c>
      <c r="R87" s="78">
        <f>SUM(R85:R86)</f>
        <v>-666166272.10184038</v>
      </c>
      <c r="S87" s="78">
        <f>SUM(S85:S86)</f>
        <v>-526286867.40513152</v>
      </c>
      <c r="T87" s="78">
        <f>SUM(T85:T86)</f>
        <v>-140234000.22727215</v>
      </c>
      <c r="U87" s="15"/>
      <c r="V87" s="78">
        <f>SUM(V85:V86)</f>
        <v>-687120414.28291678</v>
      </c>
      <c r="W87" s="78">
        <f>SUM(W85:W86)</f>
        <v>-520205519.45393872</v>
      </c>
      <c r="X87" s="78">
        <f>SUM(X85:X86)</f>
        <v>-166914894.82897815</v>
      </c>
      <c r="Y87" s="15"/>
      <c r="Z87" s="78">
        <f>SUM(Z85:Z86)</f>
        <v>-723206270.11583364</v>
      </c>
      <c r="AA87" s="78">
        <f>SUM(AA85:AA86)</f>
        <v>-520901375.29427707</v>
      </c>
      <c r="AB87" s="78">
        <f>SUM(AB85:AB86)</f>
        <v>-202304894.82155657</v>
      </c>
      <c r="AC87" s="15"/>
      <c r="AD87" s="78">
        <f>SUM(AD85:AD86)</f>
        <v>-817105786.27499986</v>
      </c>
      <c r="AE87" s="78">
        <f>SUM(AE85:AE86)</f>
        <v>-600299770.9266479</v>
      </c>
      <c r="AF87" s="78">
        <f>SUM(AF85:AF86)</f>
        <v>-216806015.34835196</v>
      </c>
      <c r="AG87" s="15"/>
      <c r="AH87" s="78">
        <f>SUM(AH85:AH86)</f>
        <v>-864037894.27374995</v>
      </c>
      <c r="AI87" s="78">
        <f>SUM(AI85:AI86)</f>
        <v>-623462104.44525659</v>
      </c>
      <c r="AJ87" s="78">
        <f>SUM(AJ85:AJ86)</f>
        <v>-240575789.82849339</v>
      </c>
      <c r="AK87" s="15"/>
      <c r="AL87" s="78">
        <f>SUM(AL85:AL86)</f>
        <v>-929338361.1741668</v>
      </c>
      <c r="AM87" s="78">
        <f>SUM(AM85:AM86)</f>
        <v>-659883371.04209435</v>
      </c>
      <c r="AN87" s="78">
        <f>SUM(AN85:AN86)</f>
        <v>-269454990.13207245</v>
      </c>
      <c r="AO87" s="15"/>
      <c r="AP87" s="78">
        <f>SUM(AP85:AP86)</f>
        <v>-994567892.74833345</v>
      </c>
      <c r="AQ87" s="78">
        <f>SUM(AQ85:AQ86)</f>
        <v>-706877969.6872288</v>
      </c>
      <c r="AR87" s="78">
        <f>SUM(AR85:AR86)</f>
        <v>-287689923.06110471</v>
      </c>
      <c r="AS87" s="15"/>
      <c r="AT87" s="78">
        <f>SUM(AT85:AT86)</f>
        <v>-1064299129.1745833</v>
      </c>
      <c r="AU87" s="78">
        <f>SUM(AU85:AU86)</f>
        <v>-749644504.72623825</v>
      </c>
      <c r="AV87" s="78">
        <f>SUM(AV85:AV86)</f>
        <v>-314654624.44834507</v>
      </c>
      <c r="AW87" s="15"/>
    </row>
    <row r="88" spans="2:49" ht="15" thickTop="1" x14ac:dyDescent="0.3">
      <c r="G88" s="16"/>
    </row>
    <row r="89" spans="2:49" x14ac:dyDescent="0.3">
      <c r="G89" s="16"/>
      <c r="H89" s="16"/>
    </row>
    <row r="90" spans="2:49" x14ac:dyDescent="0.3">
      <c r="G90" s="16"/>
    </row>
    <row r="93" spans="2:49" x14ac:dyDescent="0.3">
      <c r="G93" s="16"/>
      <c r="H93" s="16"/>
    </row>
    <row r="94" spans="2:49" x14ac:dyDescent="0.3">
      <c r="G94" s="16"/>
      <c r="H94" s="16"/>
    </row>
  </sheetData>
  <autoFilter ref="A5:AV72"/>
  <pageMargins left="0.2" right="0.2" top="0.25" bottom="0.25" header="0.3" footer="0.3"/>
  <pageSetup scale="40" fitToWidth="2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19"/>
  <sheetViews>
    <sheetView workbookViewId="0">
      <selection sqref="A1:XFD1048576"/>
    </sheetView>
  </sheetViews>
  <sheetFormatPr defaultColWidth="9.109375" defaultRowHeight="14.4" x14ac:dyDescent="0.3"/>
  <cols>
    <col min="1" max="1" width="9.109375" style="15"/>
    <col min="2" max="4" width="13.5546875" style="15" bestFit="1" customWidth="1"/>
    <col min="5" max="5" width="10" style="15" bestFit="1" customWidth="1"/>
    <col min="6" max="6" width="13.5546875" style="15" bestFit="1" customWidth="1"/>
    <col min="7" max="7" width="10" style="15" bestFit="1" customWidth="1"/>
    <col min="8" max="8" width="13.5546875" style="15" bestFit="1" customWidth="1"/>
    <col min="9" max="9" width="10" style="15" bestFit="1" customWidth="1"/>
    <col min="10" max="10" width="13.5546875" style="15" bestFit="1" customWidth="1"/>
    <col min="11" max="11" width="10.33203125" style="15" bestFit="1" customWidth="1"/>
    <col min="12" max="16384" width="9.109375" style="15"/>
  </cols>
  <sheetData>
    <row r="2" spans="1:12" x14ac:dyDescent="0.3">
      <c r="E2" s="273"/>
      <c r="F2" s="274"/>
      <c r="G2" s="273"/>
      <c r="H2" s="274"/>
      <c r="I2" s="273"/>
      <c r="J2" s="274"/>
    </row>
    <row r="3" spans="1:12" x14ac:dyDescent="0.3">
      <c r="E3" s="103" t="s">
        <v>502</v>
      </c>
      <c r="F3" s="104"/>
      <c r="G3" s="103" t="s">
        <v>503</v>
      </c>
      <c r="H3" s="104"/>
      <c r="I3" s="103" t="s">
        <v>504</v>
      </c>
      <c r="J3" s="104"/>
      <c r="L3" s="97"/>
    </row>
    <row r="4" spans="1:12" x14ac:dyDescent="0.3">
      <c r="A4" s="66"/>
      <c r="B4" s="64"/>
      <c r="C4" s="64"/>
      <c r="D4" s="64"/>
      <c r="E4" s="105" t="s">
        <v>505</v>
      </c>
      <c r="F4" s="106"/>
      <c r="G4" s="105" t="s">
        <v>506</v>
      </c>
      <c r="H4" s="106" t="s">
        <v>506</v>
      </c>
      <c r="I4" s="105" t="s">
        <v>507</v>
      </c>
      <c r="J4" s="106" t="s">
        <v>507</v>
      </c>
      <c r="L4" s="97"/>
    </row>
    <row r="5" spans="1:12" x14ac:dyDescent="0.3">
      <c r="A5" s="66"/>
      <c r="B5" s="64"/>
      <c r="C5" s="64" t="s">
        <v>508</v>
      </c>
      <c r="D5" s="64"/>
      <c r="E5" s="105" t="s">
        <v>509</v>
      </c>
      <c r="F5" s="106" t="s">
        <v>510</v>
      </c>
      <c r="G5" s="105" t="s">
        <v>511</v>
      </c>
      <c r="H5" s="106" t="s">
        <v>511</v>
      </c>
      <c r="I5" s="105" t="s">
        <v>512</v>
      </c>
      <c r="J5" s="106" t="s">
        <v>512</v>
      </c>
      <c r="L5" s="97"/>
    </row>
    <row r="6" spans="1:12" x14ac:dyDescent="0.3">
      <c r="A6" s="44" t="s">
        <v>112</v>
      </c>
      <c r="B6" s="44" t="s">
        <v>513</v>
      </c>
      <c r="C6" s="44" t="s">
        <v>514</v>
      </c>
      <c r="D6" s="44" t="s">
        <v>515</v>
      </c>
      <c r="E6" s="107" t="s">
        <v>209</v>
      </c>
      <c r="F6" s="108" t="s">
        <v>516</v>
      </c>
      <c r="G6" s="107" t="s">
        <v>517</v>
      </c>
      <c r="H6" s="108" t="s">
        <v>518</v>
      </c>
      <c r="I6" s="107" t="s">
        <v>519</v>
      </c>
      <c r="J6" s="108" t="s">
        <v>520</v>
      </c>
      <c r="K6" s="44" t="s">
        <v>775</v>
      </c>
      <c r="L6" s="97"/>
    </row>
    <row r="7" spans="1:12" x14ac:dyDescent="0.3">
      <c r="E7" s="275"/>
      <c r="F7" s="276"/>
      <c r="G7" s="275"/>
      <c r="H7" s="276"/>
      <c r="I7" s="275"/>
      <c r="J7" s="276"/>
      <c r="L7" s="97"/>
    </row>
    <row r="8" spans="1:12" x14ac:dyDescent="0.3">
      <c r="A8" s="24">
        <v>2008</v>
      </c>
      <c r="B8" s="16">
        <v>748633614</v>
      </c>
      <c r="C8" s="23">
        <v>0.95675599999999994</v>
      </c>
      <c r="D8" s="16">
        <f>B8/C8</f>
        <v>782470780.42886591</v>
      </c>
      <c r="E8" s="277">
        <v>2.833E-3</v>
      </c>
      <c r="F8" s="278">
        <f>$D8*E8</f>
        <v>2216739.720954977</v>
      </c>
      <c r="G8" s="277">
        <v>2E-3</v>
      </c>
      <c r="H8" s="278">
        <f>$D8*G8</f>
        <v>1564941.5608577318</v>
      </c>
      <c r="I8" s="277">
        <v>3.8411000000000001E-2</v>
      </c>
      <c r="J8" s="278">
        <f>$D8*I8</f>
        <v>30055485.147053167</v>
      </c>
      <c r="K8" s="15" t="s">
        <v>613</v>
      </c>
    </row>
    <row r="9" spans="1:12" x14ac:dyDescent="0.3">
      <c r="A9" s="24">
        <v>2009</v>
      </c>
      <c r="B9" s="16">
        <v>719024102</v>
      </c>
      <c r="C9" s="23">
        <v>0.95669700000000002</v>
      </c>
      <c r="D9" s="16">
        <f t="shared" ref="D9:D18" si="0">B9/C9</f>
        <v>751569307.73275137</v>
      </c>
      <c r="E9" s="277">
        <v>2.895E-3</v>
      </c>
      <c r="F9" s="278">
        <f t="shared" ref="F9:H18" si="1">$D9*E9</f>
        <v>2175793.145886315</v>
      </c>
      <c r="G9" s="277">
        <v>2E-3</v>
      </c>
      <c r="H9" s="278">
        <f t="shared" si="1"/>
        <v>1503138.6154655027</v>
      </c>
      <c r="I9" s="277">
        <v>3.8407999999999998E-2</v>
      </c>
      <c r="J9" s="278">
        <f t="shared" ref="J9:J18" si="2">$D9*I9</f>
        <v>28866273.971399512</v>
      </c>
      <c r="K9" s="15" t="s">
        <v>614</v>
      </c>
    </row>
    <row r="10" spans="1:12" x14ac:dyDescent="0.3">
      <c r="A10" s="24">
        <v>2010</v>
      </c>
      <c r="B10" s="16">
        <v>617107482</v>
      </c>
      <c r="C10" s="23">
        <v>0.95613899999999996</v>
      </c>
      <c r="D10" s="16">
        <f t="shared" si="0"/>
        <v>645416076.53280544</v>
      </c>
      <c r="E10" s="277">
        <v>3.4749999999999998E-3</v>
      </c>
      <c r="F10" s="278">
        <f t="shared" si="1"/>
        <v>2242820.865951499</v>
      </c>
      <c r="G10" s="277">
        <v>2E-3</v>
      </c>
      <c r="H10" s="278">
        <f t="shared" si="1"/>
        <v>1290832.1530656109</v>
      </c>
      <c r="I10" s="277">
        <v>3.8386000000000003E-2</v>
      </c>
      <c r="J10" s="278">
        <f t="shared" si="2"/>
        <v>24774941.513788272</v>
      </c>
      <c r="K10" s="15" t="s">
        <v>615</v>
      </c>
    </row>
    <row r="11" spans="1:12" x14ac:dyDescent="0.3">
      <c r="A11" s="24">
        <v>2011</v>
      </c>
      <c r="B11" s="16">
        <v>605715801.08493996</v>
      </c>
      <c r="C11" s="23">
        <v>0.95575699999999997</v>
      </c>
      <c r="D11" s="16">
        <f t="shared" si="0"/>
        <v>633755024.64009154</v>
      </c>
      <c r="E11" s="277">
        <v>3.872E-3</v>
      </c>
      <c r="F11" s="278">
        <f t="shared" si="1"/>
        <v>2453899.4554064344</v>
      </c>
      <c r="G11" s="277">
        <v>2E-3</v>
      </c>
      <c r="H11" s="278">
        <f t="shared" si="1"/>
        <v>1267510.0492801832</v>
      </c>
      <c r="I11" s="277">
        <v>3.8371000000000002E-2</v>
      </c>
      <c r="J11" s="278">
        <f t="shared" si="2"/>
        <v>24317814.050464954</v>
      </c>
      <c r="K11" s="15" t="s">
        <v>616</v>
      </c>
    </row>
    <row r="12" spans="1:12" x14ac:dyDescent="0.3">
      <c r="A12" s="24">
        <v>2012</v>
      </c>
      <c r="B12" s="16">
        <v>560813869.29040086</v>
      </c>
      <c r="C12" s="23">
        <v>0.95533800000000002</v>
      </c>
      <c r="D12" s="16">
        <f t="shared" si="0"/>
        <v>587031887.44758487</v>
      </c>
      <c r="E12" s="277">
        <v>4.3080000000000002E-3</v>
      </c>
      <c r="F12" s="278">
        <f t="shared" si="1"/>
        <v>2528933.3711241959</v>
      </c>
      <c r="G12" s="277">
        <v>2E-3</v>
      </c>
      <c r="H12" s="278">
        <f t="shared" si="1"/>
        <v>1174063.7748951698</v>
      </c>
      <c r="I12" s="277">
        <v>3.8353999999999999E-2</v>
      </c>
      <c r="J12" s="278">
        <f t="shared" si="2"/>
        <v>22515021.011164669</v>
      </c>
      <c r="K12" s="15" t="s">
        <v>617</v>
      </c>
    </row>
    <row r="13" spans="1:12" x14ac:dyDescent="0.3">
      <c r="A13" s="24">
        <v>2013</v>
      </c>
      <c r="B13" s="16">
        <v>523872653.31882</v>
      </c>
      <c r="C13" s="23">
        <v>0.95503099999999996</v>
      </c>
      <c r="D13" s="16">
        <f t="shared" si="0"/>
        <v>548539946.15758026</v>
      </c>
      <c r="E13" s="277">
        <v>4.627E-3</v>
      </c>
      <c r="F13" s="278">
        <f t="shared" si="1"/>
        <v>2538094.3308711238</v>
      </c>
      <c r="G13" s="277">
        <v>2E-3</v>
      </c>
      <c r="H13" s="278">
        <f t="shared" si="1"/>
        <v>1097079.8923151605</v>
      </c>
      <c r="I13" s="277">
        <v>3.8342000000000001E-2</v>
      </c>
      <c r="J13" s="278">
        <f t="shared" si="2"/>
        <v>21032118.615573943</v>
      </c>
      <c r="K13" s="15" t="s">
        <v>618</v>
      </c>
    </row>
    <row r="14" spans="1:12" x14ac:dyDescent="0.3">
      <c r="A14" s="24">
        <v>2014</v>
      </c>
      <c r="B14" s="16">
        <v>459635246.7404871</v>
      </c>
      <c r="C14" s="23">
        <v>0.954677</v>
      </c>
      <c r="D14" s="16">
        <f t="shared" si="0"/>
        <v>481456290.18033022</v>
      </c>
      <c r="E14" s="277">
        <v>4.9950000000000003E-3</v>
      </c>
      <c r="F14" s="278">
        <f t="shared" si="1"/>
        <v>2404874.1694507496</v>
      </c>
      <c r="G14" s="277">
        <v>2E-3</v>
      </c>
      <c r="H14" s="278">
        <f t="shared" si="1"/>
        <v>962912.58036066045</v>
      </c>
      <c r="I14" s="277">
        <v>3.8328000000000001E-2</v>
      </c>
      <c r="J14" s="278">
        <f t="shared" si="2"/>
        <v>18453256.690031696</v>
      </c>
      <c r="K14" s="15" t="s">
        <v>619</v>
      </c>
    </row>
    <row r="15" spans="1:12" x14ac:dyDescent="0.3">
      <c r="A15" s="24">
        <v>2015</v>
      </c>
      <c r="B15" s="16">
        <v>393482613.42999899</v>
      </c>
      <c r="C15" s="23">
        <v>0.95504</v>
      </c>
      <c r="D15" s="16">
        <f t="shared" si="0"/>
        <v>412006422.17079806</v>
      </c>
      <c r="E15" s="277">
        <v>4.6179999999999997E-3</v>
      </c>
      <c r="F15" s="278">
        <f t="shared" si="1"/>
        <v>1902645.6575847454</v>
      </c>
      <c r="G15" s="277">
        <v>2E-3</v>
      </c>
      <c r="H15" s="278">
        <f t="shared" si="1"/>
        <v>824012.84434159612</v>
      </c>
      <c r="I15" s="277">
        <v>3.8342000000000001E-2</v>
      </c>
      <c r="J15" s="278">
        <f t="shared" si="2"/>
        <v>15797150.23887274</v>
      </c>
      <c r="K15" s="15" t="s">
        <v>620</v>
      </c>
    </row>
    <row r="16" spans="1:12" x14ac:dyDescent="0.3">
      <c r="A16" s="24">
        <v>2016</v>
      </c>
      <c r="B16" s="16">
        <v>339012398.52999997</v>
      </c>
      <c r="C16" s="23">
        <v>0.95480100000000001</v>
      </c>
      <c r="D16" s="16">
        <f t="shared" si="0"/>
        <v>355060791.23293751</v>
      </c>
      <c r="E16" s="277">
        <v>4.8659999999999997E-3</v>
      </c>
      <c r="F16" s="278">
        <f t="shared" si="1"/>
        <v>1727725.8101394738</v>
      </c>
      <c r="G16" s="277">
        <v>2E-3</v>
      </c>
      <c r="H16" s="278">
        <f t="shared" si="1"/>
        <v>710121.58246587508</v>
      </c>
      <c r="I16" s="277">
        <v>3.8332999999999999E-2</v>
      </c>
      <c r="J16" s="278">
        <f t="shared" si="2"/>
        <v>13610545.310332194</v>
      </c>
      <c r="K16" s="15" t="s">
        <v>621</v>
      </c>
    </row>
    <row r="17" spans="1:11" x14ac:dyDescent="0.3">
      <c r="A17" s="24">
        <v>2017</v>
      </c>
      <c r="B17" s="16">
        <v>376162554.76999998</v>
      </c>
      <c r="C17" s="23">
        <v>0.95466600000000001</v>
      </c>
      <c r="D17" s="16">
        <f t="shared" si="0"/>
        <v>394025297.61193967</v>
      </c>
      <c r="E17" s="277">
        <v>5.0070000000000002E-3</v>
      </c>
      <c r="F17" s="278">
        <f t="shared" si="1"/>
        <v>1972884.665142982</v>
      </c>
      <c r="G17" s="277">
        <v>2E-3</v>
      </c>
      <c r="H17" s="278">
        <f t="shared" si="1"/>
        <v>788050.59522387933</v>
      </c>
      <c r="I17" s="277">
        <v>3.8327E-2</v>
      </c>
      <c r="J17" s="278">
        <f t="shared" si="2"/>
        <v>15101807.581572812</v>
      </c>
      <c r="K17" s="15" t="s">
        <v>622</v>
      </c>
    </row>
    <row r="18" spans="1:11" x14ac:dyDescent="0.3">
      <c r="A18" s="24">
        <v>2018</v>
      </c>
      <c r="B18" s="16">
        <v>320201348.01999885</v>
      </c>
      <c r="C18" s="23">
        <v>0.95455299999999998</v>
      </c>
      <c r="D18" s="16">
        <f t="shared" si="0"/>
        <v>335446379.63528359</v>
      </c>
      <c r="E18" s="277">
        <v>5.1240000000000001E-3</v>
      </c>
      <c r="F18" s="278">
        <f t="shared" si="1"/>
        <v>1718827.2492511931</v>
      </c>
      <c r="G18" s="277">
        <v>2E-3</v>
      </c>
      <c r="H18" s="278">
        <f t="shared" si="1"/>
        <v>670892.75927056721</v>
      </c>
      <c r="I18" s="277">
        <v>3.8323000000000003E-2</v>
      </c>
      <c r="J18" s="278">
        <f t="shared" si="2"/>
        <v>12855311.606762974</v>
      </c>
      <c r="K18" s="15" t="s">
        <v>623</v>
      </c>
    </row>
    <row r="19" spans="1:11" x14ac:dyDescent="0.3">
      <c r="E19" s="279"/>
      <c r="F19" s="280"/>
      <c r="G19" s="279"/>
      <c r="H19" s="280"/>
      <c r="I19" s="279"/>
      <c r="J19" s="280"/>
    </row>
  </sheetData>
  <pageMargins left="0.7" right="0.7" top="0.75" bottom="0.75" header="0.3" footer="0.3"/>
  <pageSetup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"/>
  <sheetViews>
    <sheetView workbookViewId="0">
      <pane xSplit="1" ySplit="3" topLeftCell="B19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4.4" x14ac:dyDescent="0.3"/>
  <cols>
    <col min="1" max="1" width="20.6640625" style="15" customWidth="1"/>
    <col min="2" max="2" width="16.44140625" style="15" bestFit="1" customWidth="1"/>
    <col min="3" max="3" width="13.33203125" style="15" bestFit="1" customWidth="1"/>
    <col min="4" max="4" width="14.44140625" style="15" bestFit="1" customWidth="1"/>
    <col min="5" max="5" width="19.6640625" style="15" bestFit="1" customWidth="1"/>
    <col min="6" max="6" width="16.44140625" style="15" bestFit="1" customWidth="1"/>
    <col min="7" max="7" width="17.6640625" style="15" bestFit="1" customWidth="1"/>
    <col min="8" max="8" width="16" style="15" bestFit="1" customWidth="1"/>
    <col min="9" max="9" width="12.6640625" style="15" bestFit="1" customWidth="1"/>
    <col min="10" max="10" width="14" style="15" bestFit="1" customWidth="1"/>
    <col min="11" max="11" width="16" style="15" bestFit="1" customWidth="1"/>
    <col min="12" max="12" width="12.6640625" style="15" bestFit="1" customWidth="1"/>
    <col min="13" max="13" width="14" style="15" bestFit="1" customWidth="1"/>
    <col min="14" max="16384" width="9.109375" style="15"/>
  </cols>
  <sheetData>
    <row r="1" spans="1:14" ht="18" x14ac:dyDescent="0.35">
      <c r="A1" s="67" t="s">
        <v>521</v>
      </c>
      <c r="D1" s="35"/>
    </row>
    <row r="2" spans="1:14" ht="15" thickBot="1" x14ac:dyDescent="0.35"/>
    <row r="3" spans="1:14" ht="29.4" thickBot="1" x14ac:dyDescent="0.35">
      <c r="B3" s="99" t="s">
        <v>522</v>
      </c>
      <c r="C3" s="99" t="s">
        <v>523</v>
      </c>
      <c r="D3" s="99" t="s">
        <v>524</v>
      </c>
      <c r="E3" s="99" t="s">
        <v>525</v>
      </c>
      <c r="F3" s="99" t="s">
        <v>526</v>
      </c>
      <c r="G3" s="99" t="s">
        <v>527</v>
      </c>
      <c r="H3" s="99" t="s">
        <v>528</v>
      </c>
      <c r="I3" s="99" t="s">
        <v>529</v>
      </c>
      <c r="J3" s="99" t="s">
        <v>530</v>
      </c>
      <c r="K3" s="100" t="s">
        <v>531</v>
      </c>
      <c r="L3" s="100" t="s">
        <v>532</v>
      </c>
      <c r="M3" s="100" t="s">
        <v>533</v>
      </c>
      <c r="N3" s="12" t="s">
        <v>534</v>
      </c>
    </row>
    <row r="4" spans="1:14" x14ac:dyDescent="0.3">
      <c r="A4" s="265">
        <v>42674</v>
      </c>
      <c r="B4" s="117">
        <v>634174.33280000009</v>
      </c>
      <c r="C4" s="94">
        <v>323937.66720000003</v>
      </c>
      <c r="D4" s="118">
        <f t="shared" ref="D4:D36" si="0">SUM(B4:C4)</f>
        <v>958112.00000000012</v>
      </c>
      <c r="E4" s="117">
        <v>-1762.4761665733333</v>
      </c>
      <c r="F4" s="94">
        <v>-900.27676675999999</v>
      </c>
      <c r="G4" s="118">
        <f>SUM(E4:F4)</f>
        <v>-2662.7529333333332</v>
      </c>
      <c r="H4" s="117">
        <v>-50485.937282119834</v>
      </c>
      <c r="I4" s="94">
        <v>-25788.329649621872</v>
      </c>
      <c r="J4" s="118">
        <f>SUM(H4:I4)</f>
        <v>-76274.266931741702</v>
      </c>
      <c r="K4" s="117">
        <f>B4+E4+H4</f>
        <v>581925.91935130686</v>
      </c>
      <c r="L4" s="94">
        <f t="shared" ref="L4:L36" si="1">C4+F4+I4</f>
        <v>297249.06078361819</v>
      </c>
      <c r="M4" s="118">
        <f>SUM(K4:L4)</f>
        <v>879174.98013492511</v>
      </c>
      <c r="N4" s="101" t="s">
        <v>535</v>
      </c>
    </row>
    <row r="5" spans="1:14" x14ac:dyDescent="0.3">
      <c r="A5" s="265">
        <v>42704</v>
      </c>
      <c r="B5" s="117">
        <v>634174.33280000009</v>
      </c>
      <c r="C5" s="94">
        <v>323937.66720000003</v>
      </c>
      <c r="D5" s="118">
        <f t="shared" si="0"/>
        <v>958112.00000000012</v>
      </c>
      <c r="E5" s="117">
        <v>-5287.4284997200002</v>
      </c>
      <c r="F5" s="94">
        <v>-2700.8303002799998</v>
      </c>
      <c r="G5" s="118">
        <f t="shared" ref="G5:G36" si="2">SUM(E5:F5)</f>
        <v>-7988.2587999999996</v>
      </c>
      <c r="H5" s="117">
        <v>-100355.00790593897</v>
      </c>
      <c r="I5" s="94">
        <v>-51261.562430877726</v>
      </c>
      <c r="J5" s="118">
        <f t="shared" ref="J5:J36" si="3">SUM(H5:I5)</f>
        <v>-151616.57033681669</v>
      </c>
      <c r="K5" s="117">
        <f t="shared" ref="K5:K36" si="4">B5+E5+H5</f>
        <v>528531.89639434114</v>
      </c>
      <c r="L5" s="94">
        <f t="shared" si="1"/>
        <v>269975.27446884231</v>
      </c>
      <c r="M5" s="118">
        <f t="shared" ref="M5:M36" si="5">SUM(K5:L5)</f>
        <v>798507.17086318345</v>
      </c>
      <c r="N5" s="101" t="s">
        <v>535</v>
      </c>
    </row>
    <row r="6" spans="1:14" x14ac:dyDescent="0.3">
      <c r="A6" s="265">
        <v>42735</v>
      </c>
      <c r="B6" s="117">
        <v>766513.31485700002</v>
      </c>
      <c r="C6" s="94">
        <v>391536.71514300001</v>
      </c>
      <c r="D6" s="118">
        <f t="shared" si="0"/>
        <v>1158050.03</v>
      </c>
      <c r="E6" s="117">
        <v>-9180.1729205000793</v>
      </c>
      <c r="F6" s="94">
        <v>-4689.2528545415871</v>
      </c>
      <c r="G6" s="118">
        <f t="shared" si="2"/>
        <v>-13869.425775041665</v>
      </c>
      <c r="H6" s="117">
        <v>-150095.35129908641</v>
      </c>
      <c r="I6" s="94">
        <v>-76669.041054874018</v>
      </c>
      <c r="J6" s="118">
        <f t="shared" si="3"/>
        <v>-226764.39235396043</v>
      </c>
      <c r="K6" s="117">
        <f t="shared" si="4"/>
        <v>607237.79063741351</v>
      </c>
      <c r="L6" s="94">
        <f t="shared" si="1"/>
        <v>310178.42123358441</v>
      </c>
      <c r="M6" s="118">
        <f t="shared" si="5"/>
        <v>917416.21187099791</v>
      </c>
      <c r="N6" s="101" t="s">
        <v>535</v>
      </c>
    </row>
    <row r="7" spans="1:14" x14ac:dyDescent="0.3">
      <c r="A7" s="265">
        <v>42766</v>
      </c>
      <c r="B7" s="117">
        <v>766513.31485700002</v>
      </c>
      <c r="C7" s="94">
        <v>391536.71514300001</v>
      </c>
      <c r="D7" s="118">
        <f t="shared" si="0"/>
        <v>1158050.03</v>
      </c>
      <c r="E7" s="117">
        <v>-13440.709428913571</v>
      </c>
      <c r="F7" s="94">
        <v>-6865.5444295447614</v>
      </c>
      <c r="G7" s="118">
        <f t="shared" si="2"/>
        <v>-20306.253858458331</v>
      </c>
      <c r="H7" s="117">
        <v>-219584.94151797143</v>
      </c>
      <c r="I7" s="94">
        <v>-112164.47911652234</v>
      </c>
      <c r="J7" s="118">
        <f t="shared" si="3"/>
        <v>-331749.42063449376</v>
      </c>
      <c r="K7" s="117">
        <f t="shared" si="4"/>
        <v>533487.66391011502</v>
      </c>
      <c r="L7" s="94">
        <f t="shared" si="1"/>
        <v>272506.69159693288</v>
      </c>
      <c r="M7" s="118">
        <f t="shared" si="5"/>
        <v>805994.35550704785</v>
      </c>
      <c r="N7" s="101" t="s">
        <v>535</v>
      </c>
    </row>
    <row r="8" spans="1:14" x14ac:dyDescent="0.3">
      <c r="A8" s="265">
        <v>42794</v>
      </c>
      <c r="B8" s="117">
        <v>771667.85485700006</v>
      </c>
      <c r="C8" s="94">
        <v>391536.71514300001</v>
      </c>
      <c r="D8" s="118">
        <f t="shared" si="0"/>
        <v>1163204.57</v>
      </c>
      <c r="E8" s="117">
        <v>-17707.323999077063</v>
      </c>
      <c r="F8" s="94">
        <v>-9041.8360045479367</v>
      </c>
      <c r="G8" s="118">
        <f t="shared" si="2"/>
        <v>-26749.160003625002</v>
      </c>
      <c r="H8" s="117">
        <v>-289406.86102660757</v>
      </c>
      <c r="I8" s="94">
        <v>-147659.91717817067</v>
      </c>
      <c r="J8" s="118">
        <f t="shared" si="3"/>
        <v>-437066.77820477821</v>
      </c>
      <c r="K8" s="117">
        <f t="shared" si="4"/>
        <v>464553.6698313154</v>
      </c>
      <c r="L8" s="94">
        <f t="shared" si="1"/>
        <v>234834.96196028139</v>
      </c>
      <c r="M8" s="118">
        <f t="shared" si="5"/>
        <v>699388.63179159677</v>
      </c>
      <c r="N8" s="101" t="s">
        <v>535</v>
      </c>
    </row>
    <row r="9" spans="1:14" x14ac:dyDescent="0.3">
      <c r="A9" s="265">
        <v>42825</v>
      </c>
      <c r="B9" s="117">
        <v>4546964.8843100006</v>
      </c>
      <c r="C9" s="94">
        <v>2317572.3456900003</v>
      </c>
      <c r="D9" s="118">
        <f t="shared" si="0"/>
        <v>6864537.2300000004</v>
      </c>
      <c r="E9" s="117">
        <v>-49941.547353212882</v>
      </c>
      <c r="F9" s="94">
        <v>-25498.116439870464</v>
      </c>
      <c r="G9" s="118">
        <f t="shared" si="2"/>
        <v>-75439.663793083339</v>
      </c>
      <c r="H9" s="117">
        <v>-454050.02361007506</v>
      </c>
      <c r="I9" s="94">
        <v>-231592.33310615219</v>
      </c>
      <c r="J9" s="118">
        <f t="shared" si="3"/>
        <v>-685642.35671622725</v>
      </c>
      <c r="K9" s="117">
        <f t="shared" si="4"/>
        <v>4042973.3133467129</v>
      </c>
      <c r="L9" s="94">
        <f t="shared" si="1"/>
        <v>2060481.8961439775</v>
      </c>
      <c r="M9" s="118">
        <f t="shared" si="5"/>
        <v>6103455.2094906904</v>
      </c>
      <c r="N9" s="101" t="s">
        <v>535</v>
      </c>
    </row>
    <row r="10" spans="1:14" x14ac:dyDescent="0.3">
      <c r="A10" s="265">
        <v>42855</v>
      </c>
      <c r="B10" s="117">
        <v>4549527.6843100004</v>
      </c>
      <c r="C10" s="94">
        <v>2317572.3456900003</v>
      </c>
      <c r="D10" s="118">
        <f t="shared" si="0"/>
        <v>6867100.0300000012</v>
      </c>
      <c r="E10" s="117">
        <v>-110140.30354090434</v>
      </c>
      <c r="F10" s="94">
        <v>-56234.375592512341</v>
      </c>
      <c r="G10" s="118">
        <f t="shared" si="2"/>
        <v>-166374.67913341668</v>
      </c>
      <c r="H10" s="117">
        <v>-608905.59970179829</v>
      </c>
      <c r="I10" s="94">
        <v>-310526.75648307201</v>
      </c>
      <c r="J10" s="118">
        <f t="shared" si="3"/>
        <v>-919432.35618487024</v>
      </c>
      <c r="K10" s="117">
        <f t="shared" si="4"/>
        <v>3830481.7810672978</v>
      </c>
      <c r="L10" s="94">
        <f t="shared" si="1"/>
        <v>1950811.2136144158</v>
      </c>
      <c r="M10" s="118">
        <f t="shared" si="5"/>
        <v>5781292.9946817141</v>
      </c>
      <c r="N10" s="101" t="s">
        <v>535</v>
      </c>
    </row>
    <row r="11" spans="1:14" x14ac:dyDescent="0.3">
      <c r="A11" s="265">
        <v>42886</v>
      </c>
      <c r="B11" s="117">
        <v>6225995.1847990016</v>
      </c>
      <c r="C11" s="94">
        <v>3173502.0152010005</v>
      </c>
      <c r="D11" s="118">
        <f t="shared" si="0"/>
        <v>9399497.200000003</v>
      </c>
      <c r="E11" s="117">
        <v>-175430.16334814022</v>
      </c>
      <c r="F11" s="94">
        <v>-89569.15043381814</v>
      </c>
      <c r="G11" s="118">
        <f t="shared" si="2"/>
        <v>-264999.31378195836</v>
      </c>
      <c r="H11" s="117">
        <v>-761979.28952668072</v>
      </c>
      <c r="I11" s="94">
        <v>-388551.69936895941</v>
      </c>
      <c r="J11" s="118">
        <f t="shared" si="3"/>
        <v>-1150530.9888956402</v>
      </c>
      <c r="K11" s="117">
        <f t="shared" si="4"/>
        <v>5288585.7319241809</v>
      </c>
      <c r="L11" s="94">
        <f t="shared" si="1"/>
        <v>2695381.1653982229</v>
      </c>
      <c r="M11" s="118">
        <f t="shared" si="5"/>
        <v>7983966.8973224033</v>
      </c>
      <c r="N11" s="101" t="s">
        <v>535</v>
      </c>
    </row>
    <row r="12" spans="1:14" x14ac:dyDescent="0.3">
      <c r="A12" s="265">
        <v>42916</v>
      </c>
      <c r="B12" s="117">
        <v>6226127.7147990009</v>
      </c>
      <c r="C12" s="94">
        <v>3173502.0152010005</v>
      </c>
      <c r="D12" s="118">
        <f t="shared" si="0"/>
        <v>9399629.7300000004</v>
      </c>
      <c r="E12" s="117">
        <v>-245808.22798654553</v>
      </c>
      <c r="F12" s="94">
        <v>-125502.42405878784</v>
      </c>
      <c r="G12" s="118">
        <f t="shared" si="2"/>
        <v>-371310.65204533341</v>
      </c>
      <c r="H12" s="117">
        <v>-913272.10766065388</v>
      </c>
      <c r="I12" s="94">
        <v>-465667.16768056445</v>
      </c>
      <c r="J12" s="118">
        <f t="shared" si="3"/>
        <v>-1378939.2753412183</v>
      </c>
      <c r="K12" s="117">
        <f t="shared" si="4"/>
        <v>5067047.3791518016</v>
      </c>
      <c r="L12" s="94">
        <f t="shared" si="1"/>
        <v>2582332.4234616482</v>
      </c>
      <c r="M12" s="118">
        <f t="shared" si="5"/>
        <v>7649379.8026134502</v>
      </c>
      <c r="N12" s="101" t="s">
        <v>535</v>
      </c>
    </row>
    <row r="13" spans="1:14" x14ac:dyDescent="0.3">
      <c r="A13" s="265">
        <v>42947</v>
      </c>
      <c r="B13" s="117">
        <v>6226127.7147990009</v>
      </c>
      <c r="C13" s="94">
        <v>3183525.5352010005</v>
      </c>
      <c r="D13" s="118">
        <f t="shared" si="0"/>
        <v>9409653.2500000019</v>
      </c>
      <c r="E13" s="117">
        <v>-316186.47537590918</v>
      </c>
      <c r="F13" s="94">
        <v>-161456.59354109087</v>
      </c>
      <c r="G13" s="118">
        <f t="shared" si="2"/>
        <v>-477643.06891700008</v>
      </c>
      <c r="H13" s="117">
        <v>-1064564.8618317919</v>
      </c>
      <c r="I13" s="94">
        <v>-545519.84087986953</v>
      </c>
      <c r="J13" s="118">
        <f t="shared" si="3"/>
        <v>-1610084.7027116613</v>
      </c>
      <c r="K13" s="117">
        <f t="shared" si="4"/>
        <v>4845376.3775912998</v>
      </c>
      <c r="L13" s="94">
        <f t="shared" si="1"/>
        <v>2476549.10078004</v>
      </c>
      <c r="M13" s="118">
        <f t="shared" si="5"/>
        <v>7321925.4783713399</v>
      </c>
      <c r="N13" s="101" t="s">
        <v>535</v>
      </c>
    </row>
    <row r="14" spans="1:14" x14ac:dyDescent="0.3">
      <c r="A14" s="265">
        <v>42978</v>
      </c>
      <c r="B14" s="117">
        <v>6226127.7147990009</v>
      </c>
      <c r="C14" s="94">
        <v>3183525.5352010005</v>
      </c>
      <c r="D14" s="118">
        <f t="shared" si="0"/>
        <v>9409653.2500000019</v>
      </c>
      <c r="E14" s="117">
        <v>-386564.70952727285</v>
      </c>
      <c r="F14" s="94">
        <v>-197431.63859472724</v>
      </c>
      <c r="G14" s="118">
        <f t="shared" si="2"/>
        <v>-583996.34812200011</v>
      </c>
      <c r="H14" s="117">
        <v>-1215857.6206362294</v>
      </c>
      <c r="I14" s="94">
        <v>-625365.20762920787</v>
      </c>
      <c r="J14" s="118">
        <f t="shared" si="3"/>
        <v>-1841222.8282654374</v>
      </c>
      <c r="K14" s="117">
        <f t="shared" si="4"/>
        <v>4623705.3846354987</v>
      </c>
      <c r="L14" s="94">
        <f t="shared" si="1"/>
        <v>2360728.6889770655</v>
      </c>
      <c r="M14" s="118">
        <f t="shared" si="5"/>
        <v>6984434.0736125642</v>
      </c>
      <c r="N14" s="101" t="s">
        <v>535</v>
      </c>
    </row>
    <row r="15" spans="1:14" x14ac:dyDescent="0.3">
      <c r="A15" s="265">
        <v>43008</v>
      </c>
      <c r="B15" s="117">
        <v>7156053.9927289998</v>
      </c>
      <c r="C15" s="94">
        <v>3658533.9572710004</v>
      </c>
      <c r="D15" s="118">
        <f t="shared" si="0"/>
        <v>10814587.949999999</v>
      </c>
      <c r="E15" s="117">
        <v>-459527.35055471695</v>
      </c>
      <c r="F15" s="94">
        <v>-234726.80445936648</v>
      </c>
      <c r="G15" s="118">
        <f t="shared" si="2"/>
        <v>-694254.15501408349</v>
      </c>
      <c r="H15" s="117">
        <v>-1366245.8370340387</v>
      </c>
      <c r="I15" s="94">
        <v>-704748.53209469502</v>
      </c>
      <c r="J15" s="118">
        <f t="shared" si="3"/>
        <v>-2070994.3691287339</v>
      </c>
      <c r="K15" s="117">
        <f t="shared" si="4"/>
        <v>5330280.8051402438</v>
      </c>
      <c r="L15" s="94">
        <f t="shared" si="1"/>
        <v>2719058.6207169387</v>
      </c>
      <c r="M15" s="118">
        <f t="shared" si="5"/>
        <v>8049339.4258571826</v>
      </c>
      <c r="N15" s="101" t="s">
        <v>535</v>
      </c>
    </row>
    <row r="16" spans="1:14" x14ac:dyDescent="0.3">
      <c r="A16" s="265">
        <v>43039</v>
      </c>
      <c r="B16" s="117">
        <v>7259839.4194650017</v>
      </c>
      <c r="C16" s="94">
        <v>3756005.8705350007</v>
      </c>
      <c r="D16" s="118">
        <f t="shared" si="0"/>
        <v>11015845.290000003</v>
      </c>
      <c r="E16" s="117">
        <v>-535361.74590071198</v>
      </c>
      <c r="F16" s="94">
        <v>-273529.3418419548</v>
      </c>
      <c r="G16" s="118">
        <f t="shared" si="2"/>
        <v>-808891.08774266671</v>
      </c>
      <c r="H16" s="117">
        <v>-1515628.9394203557</v>
      </c>
      <c r="I16" s="94">
        <v>-783604.27652890037</v>
      </c>
      <c r="J16" s="118">
        <f t="shared" si="3"/>
        <v>-2299233.215949256</v>
      </c>
      <c r="K16" s="117">
        <f t="shared" si="4"/>
        <v>5208848.7341439342</v>
      </c>
      <c r="L16" s="94">
        <f t="shared" si="1"/>
        <v>2698872.2521641455</v>
      </c>
      <c r="M16" s="118">
        <f t="shared" si="5"/>
        <v>7907720.9863080792</v>
      </c>
      <c r="N16" s="101" t="s">
        <v>535</v>
      </c>
    </row>
    <row r="17" spans="1:14" x14ac:dyDescent="0.3">
      <c r="A17" s="265">
        <v>43069</v>
      </c>
      <c r="B17" s="117">
        <v>8102180.6547680022</v>
      </c>
      <c r="C17" s="94">
        <v>4190162.285232001</v>
      </c>
      <c r="D17" s="118">
        <f t="shared" si="0"/>
        <v>12292342.940000003</v>
      </c>
      <c r="E17" s="117">
        <v>-613816.35797883209</v>
      </c>
      <c r="F17" s="94">
        <v>-313713.85060333472</v>
      </c>
      <c r="G17" s="118">
        <f t="shared" si="2"/>
        <v>-927530.20858216682</v>
      </c>
      <c r="H17" s="117">
        <v>-1664094.965950429</v>
      </c>
      <c r="I17" s="94">
        <v>-861976.33098052861</v>
      </c>
      <c r="J17" s="118">
        <f t="shared" si="3"/>
        <v>-2526071.2969309576</v>
      </c>
      <c r="K17" s="117">
        <f t="shared" si="4"/>
        <v>5824269.3308387417</v>
      </c>
      <c r="L17" s="94">
        <f t="shared" si="1"/>
        <v>3014472.1036481378</v>
      </c>
      <c r="M17" s="118">
        <f t="shared" si="5"/>
        <v>8838741.434486879</v>
      </c>
      <c r="N17" s="101" t="s">
        <v>535</v>
      </c>
    </row>
    <row r="18" spans="1:14" x14ac:dyDescent="0.3">
      <c r="A18" s="265">
        <v>43100</v>
      </c>
      <c r="B18" s="117">
        <v>10042475.856518002</v>
      </c>
      <c r="C18" s="94">
        <v>5193895.1934820013</v>
      </c>
      <c r="D18" s="118">
        <f t="shared" si="0"/>
        <v>15236371.050000004</v>
      </c>
      <c r="E18" s="117">
        <v>-709177.4901467351</v>
      </c>
      <c r="F18" s="94">
        <v>-362767.0141018068</v>
      </c>
      <c r="G18" s="118">
        <f t="shared" si="2"/>
        <v>-1071944.5042485418</v>
      </c>
      <c r="H18" s="117">
        <v>-1814520.8104490782</v>
      </c>
      <c r="I18" s="94">
        <v>-937244.35627417453</v>
      </c>
      <c r="J18" s="118">
        <f t="shared" si="3"/>
        <v>-2751765.1667232527</v>
      </c>
      <c r="K18" s="117">
        <f t="shared" si="4"/>
        <v>7518777.5559221879</v>
      </c>
      <c r="L18" s="94">
        <f t="shared" si="1"/>
        <v>3893883.8231060198</v>
      </c>
      <c r="M18" s="118">
        <f t="shared" si="5"/>
        <v>11412661.379028209</v>
      </c>
      <c r="N18" s="101" t="s">
        <v>535</v>
      </c>
    </row>
    <row r="19" spans="1:14" x14ac:dyDescent="0.3">
      <c r="A19" s="265">
        <v>43131</v>
      </c>
      <c r="B19" s="117">
        <v>12398416.604886003</v>
      </c>
      <c r="C19" s="94">
        <v>6367617.0251140008</v>
      </c>
      <c r="D19" s="118">
        <f t="shared" si="0"/>
        <v>18766033.630000003</v>
      </c>
      <c r="E19" s="117">
        <v>-824297.83743064746</v>
      </c>
      <c r="F19" s="94">
        <v>-422101.80837143614</v>
      </c>
      <c r="G19" s="118">
        <f t="shared" si="2"/>
        <v>-1246399.6458020837</v>
      </c>
      <c r="H19" s="117">
        <v>-1922189.8470026432</v>
      </c>
      <c r="I19" s="94">
        <v>-967324.26754607644</v>
      </c>
      <c r="J19" s="118">
        <f t="shared" si="3"/>
        <v>-2889514.1145487195</v>
      </c>
      <c r="K19" s="117">
        <f t="shared" si="4"/>
        <v>9651928.920452714</v>
      </c>
      <c r="L19" s="94">
        <f t="shared" si="1"/>
        <v>4978190.9491964886</v>
      </c>
      <c r="M19" s="118">
        <f t="shared" si="5"/>
        <v>14630119.869649202</v>
      </c>
      <c r="N19" s="101" t="s">
        <v>535</v>
      </c>
    </row>
    <row r="20" spans="1:14" x14ac:dyDescent="0.3">
      <c r="A20" s="265">
        <v>43159</v>
      </c>
      <c r="B20" s="117">
        <v>14666447.039359001</v>
      </c>
      <c r="C20" s="94">
        <v>7519114.8506410001</v>
      </c>
      <c r="D20" s="118">
        <f t="shared" si="0"/>
        <v>22185561.890000001</v>
      </c>
      <c r="E20" s="117">
        <v>-952174.27289408038</v>
      </c>
      <c r="F20" s="94">
        <v>-487898.78574791987</v>
      </c>
      <c r="G20" s="118">
        <f t="shared" si="2"/>
        <v>-1440073.0586420002</v>
      </c>
      <c r="H20" s="117">
        <v>-2027180.1050385097</v>
      </c>
      <c r="I20" s="94">
        <v>-996047.12036553933</v>
      </c>
      <c r="J20" s="118">
        <f t="shared" si="3"/>
        <v>-3023227.2254040493</v>
      </c>
      <c r="K20" s="117">
        <f t="shared" si="4"/>
        <v>11687092.66142641</v>
      </c>
      <c r="L20" s="94">
        <f t="shared" si="1"/>
        <v>6035168.9445275404</v>
      </c>
      <c r="M20" s="118">
        <f t="shared" si="5"/>
        <v>17722261.60595395</v>
      </c>
      <c r="N20" s="101" t="s">
        <v>535</v>
      </c>
    </row>
    <row r="21" spans="1:14" x14ac:dyDescent="0.3">
      <c r="A21" s="265">
        <v>43190</v>
      </c>
      <c r="B21" s="117">
        <v>30291199.919358999</v>
      </c>
      <c r="C21" s="94">
        <v>7519114.8506410001</v>
      </c>
      <c r="D21" s="118">
        <f t="shared" si="0"/>
        <v>37810314.769999996</v>
      </c>
      <c r="E21" s="117">
        <v>-1122137.4535026946</v>
      </c>
      <c r="F21" s="94">
        <v>-556895.96411684738</v>
      </c>
      <c r="G21" s="118">
        <f t="shared" si="2"/>
        <v>-1679033.417619542</v>
      </c>
      <c r="H21" s="117">
        <v>-2123332.1465938874</v>
      </c>
      <c r="I21" s="94">
        <v>-1024097.9309765887</v>
      </c>
      <c r="J21" s="118">
        <f t="shared" si="3"/>
        <v>-3147430.0775704761</v>
      </c>
      <c r="K21" s="117">
        <f t="shared" si="4"/>
        <v>27045730.319262415</v>
      </c>
      <c r="L21" s="94">
        <f t="shared" si="1"/>
        <v>5938120.9555475637</v>
      </c>
      <c r="M21" s="118">
        <f t="shared" si="5"/>
        <v>32983851.274809979</v>
      </c>
      <c r="N21" s="101" t="s">
        <v>535</v>
      </c>
    </row>
    <row r="22" spans="1:14" x14ac:dyDescent="0.3">
      <c r="A22" s="265">
        <v>43220</v>
      </c>
      <c r="B22" s="117">
        <v>30655994.846895002</v>
      </c>
      <c r="C22" s="94">
        <v>8008757.3531050002</v>
      </c>
      <c r="D22" s="118">
        <f t="shared" si="0"/>
        <v>38664752.200000003</v>
      </c>
      <c r="E22" s="117">
        <v>-1328860.9575243776</v>
      </c>
      <c r="F22" s="94">
        <v>-626901.05641970609</v>
      </c>
      <c r="G22" s="118">
        <f t="shared" si="2"/>
        <v>-1955762.0139440838</v>
      </c>
      <c r="H22" s="117">
        <v>-2211764.5202325219</v>
      </c>
      <c r="I22" s="94">
        <v>-1051937.0796615127</v>
      </c>
      <c r="J22" s="118">
        <f t="shared" si="3"/>
        <v>-3263701.5998940347</v>
      </c>
      <c r="K22" s="117">
        <f t="shared" si="4"/>
        <v>27115369.369138103</v>
      </c>
      <c r="L22" s="94">
        <f t="shared" si="1"/>
        <v>6329919.2170237815</v>
      </c>
      <c r="M22" s="118">
        <f t="shared" si="5"/>
        <v>33445288.586161885</v>
      </c>
      <c r="N22" s="101" t="s">
        <v>535</v>
      </c>
    </row>
    <row r="23" spans="1:14" x14ac:dyDescent="0.3">
      <c r="A23" s="265">
        <v>43251</v>
      </c>
      <c r="B23" s="117">
        <v>30736788.037383001</v>
      </c>
      <c r="C23" s="94">
        <v>8036541.572617</v>
      </c>
      <c r="D23" s="118">
        <f t="shared" si="0"/>
        <v>38773329.609999999</v>
      </c>
      <c r="E23" s="117">
        <v>-1513884.2688854493</v>
      </c>
      <c r="F23" s="94">
        <v>-686317.98194792611</v>
      </c>
      <c r="G23" s="118">
        <f t="shared" si="2"/>
        <v>-2200202.2508333754</v>
      </c>
      <c r="H23" s="117">
        <v>-2304753.9343298832</v>
      </c>
      <c r="I23" s="94">
        <v>-1081999.7433691109</v>
      </c>
      <c r="J23" s="118">
        <f t="shared" si="3"/>
        <v>-3386753.6776989941</v>
      </c>
      <c r="K23" s="117">
        <f t="shared" si="4"/>
        <v>26918149.83416767</v>
      </c>
      <c r="L23" s="94">
        <f t="shared" si="1"/>
        <v>6268223.8472999632</v>
      </c>
      <c r="M23" s="118">
        <f t="shared" si="5"/>
        <v>33186373.681467634</v>
      </c>
      <c r="N23" s="101" t="s">
        <v>535</v>
      </c>
    </row>
    <row r="24" spans="1:14" x14ac:dyDescent="0.3">
      <c r="A24" s="265">
        <v>43281</v>
      </c>
      <c r="B24" s="117">
        <v>44394583.510395996</v>
      </c>
      <c r="C24" s="94">
        <v>16153819.989604</v>
      </c>
      <c r="D24" s="118">
        <f t="shared" si="0"/>
        <v>60548403.5</v>
      </c>
      <c r="E24" s="117">
        <v>-1898019.1355115911</v>
      </c>
      <c r="F24" s="94">
        <v>-850612.76972995116</v>
      </c>
      <c r="G24" s="118">
        <f t="shared" si="2"/>
        <v>-2748631.9052415425</v>
      </c>
      <c r="H24" s="117">
        <v>-2355929.9218215817</v>
      </c>
      <c r="I24" s="94">
        <v>-1090038.0560034101</v>
      </c>
      <c r="J24" s="118">
        <f t="shared" si="3"/>
        <v>-3445967.9778249916</v>
      </c>
      <c r="K24" s="117">
        <f t="shared" si="4"/>
        <v>40140634.453062825</v>
      </c>
      <c r="L24" s="94">
        <f t="shared" si="1"/>
        <v>14213169.163870638</v>
      </c>
      <c r="M24" s="118">
        <f t="shared" si="5"/>
        <v>54353803.616933465</v>
      </c>
      <c r="N24" s="101" t="s">
        <v>535</v>
      </c>
    </row>
    <row r="25" spans="1:14" x14ac:dyDescent="0.3">
      <c r="A25" s="265">
        <v>43312</v>
      </c>
      <c r="B25" s="117">
        <v>48285611.310396001</v>
      </c>
      <c r="C25" s="94">
        <v>20449773.849603999</v>
      </c>
      <c r="D25" s="118">
        <f t="shared" si="0"/>
        <v>68735385.159999996</v>
      </c>
      <c r="E25" s="117">
        <v>-2557271.0372973997</v>
      </c>
      <c r="F25" s="94">
        <v>-1165123.1679064762</v>
      </c>
      <c r="G25" s="118">
        <f t="shared" si="2"/>
        <v>-3722394.2052038759</v>
      </c>
      <c r="H25" s="117">
        <v>-2672766.1795831434</v>
      </c>
      <c r="I25" s="94">
        <v>-1222023.8935414688</v>
      </c>
      <c r="J25" s="118">
        <f t="shared" si="3"/>
        <v>-3894790.0731246122</v>
      </c>
      <c r="K25" s="117">
        <f t="shared" si="4"/>
        <v>43055574.093515456</v>
      </c>
      <c r="L25" s="94">
        <f t="shared" si="1"/>
        <v>18062626.788156055</v>
      </c>
      <c r="M25" s="118">
        <f t="shared" si="5"/>
        <v>61118200.881671511</v>
      </c>
      <c r="N25" s="101" t="s">
        <v>536</v>
      </c>
    </row>
    <row r="26" spans="1:14" x14ac:dyDescent="0.3">
      <c r="A26" s="265">
        <v>43343</v>
      </c>
      <c r="B26" s="117">
        <v>53598407.806595258</v>
      </c>
      <c r="C26" s="94">
        <v>23130928.223404739</v>
      </c>
      <c r="D26" s="118">
        <f t="shared" si="0"/>
        <v>76729336.030000001</v>
      </c>
      <c r="E26" s="117">
        <v>-3240873.2563574552</v>
      </c>
      <c r="F26" s="94">
        <v>-1491363.6164683795</v>
      </c>
      <c r="G26" s="118">
        <f t="shared" si="2"/>
        <v>-4732236.8728258349</v>
      </c>
      <c r="H26" s="117">
        <v>-2984488.8707171143</v>
      </c>
      <c r="I26" s="94">
        <v>-1351546.4204985991</v>
      </c>
      <c r="J26" s="118">
        <f t="shared" si="3"/>
        <v>-4336035.2912157131</v>
      </c>
      <c r="K26" s="117">
        <f t="shared" si="4"/>
        <v>47373045.679520689</v>
      </c>
      <c r="L26" s="94">
        <f t="shared" si="1"/>
        <v>20288018.18643776</v>
      </c>
      <c r="M26" s="118">
        <f t="shared" si="5"/>
        <v>67661063.865958452</v>
      </c>
      <c r="N26" s="101" t="s">
        <v>536</v>
      </c>
    </row>
    <row r="27" spans="1:14" x14ac:dyDescent="0.3">
      <c r="A27" s="265">
        <v>43373</v>
      </c>
      <c r="B27" s="117">
        <v>56859109.816595256</v>
      </c>
      <c r="C27" s="94">
        <v>23474618.18340474</v>
      </c>
      <c r="D27" s="118">
        <f t="shared" si="0"/>
        <v>80333728</v>
      </c>
      <c r="E27" s="117">
        <v>-3939420.3596300106</v>
      </c>
      <c r="F27" s="94">
        <v>-1819107.7086052829</v>
      </c>
      <c r="G27" s="118">
        <f t="shared" si="2"/>
        <v>-5758528.068235293</v>
      </c>
      <c r="H27" s="117">
        <v>-3293073.1361664589</v>
      </c>
      <c r="I27" s="94">
        <v>-1480753.1823049786</v>
      </c>
      <c r="J27" s="118">
        <f t="shared" si="3"/>
        <v>-4773826.3184714373</v>
      </c>
      <c r="K27" s="117">
        <f t="shared" si="4"/>
        <v>49626616.320798784</v>
      </c>
      <c r="L27" s="94">
        <f t="shared" si="1"/>
        <v>20174757.29249448</v>
      </c>
      <c r="M27" s="118">
        <f t="shared" si="5"/>
        <v>69801373.61329326</v>
      </c>
      <c r="N27" s="101" t="s">
        <v>536</v>
      </c>
    </row>
    <row r="28" spans="1:14" x14ac:dyDescent="0.3">
      <c r="A28" s="265">
        <v>43404</v>
      </c>
      <c r="B28" s="117">
        <v>64531734.136595257</v>
      </c>
      <c r="C28" s="94">
        <v>24069036.323404737</v>
      </c>
      <c r="D28" s="118">
        <f t="shared" si="0"/>
        <v>88600770.459999993</v>
      </c>
      <c r="E28" s="117">
        <v>-4673133.6577025652</v>
      </c>
      <c r="F28" s="94">
        <v>-2149452.3801046861</v>
      </c>
      <c r="G28" s="118">
        <f t="shared" si="2"/>
        <v>-6822586.0378072513</v>
      </c>
      <c r="H28" s="117">
        <v>-3594272.5007078056</v>
      </c>
      <c r="I28" s="94">
        <v>-1609413.8224452338</v>
      </c>
      <c r="J28" s="118">
        <f t="shared" si="3"/>
        <v>-5203686.3231530394</v>
      </c>
      <c r="K28" s="117">
        <f t="shared" si="4"/>
        <v>56264327.978184886</v>
      </c>
      <c r="L28" s="94">
        <f t="shared" si="1"/>
        <v>20310170.120854817</v>
      </c>
      <c r="M28" s="118">
        <f t="shared" si="5"/>
        <v>76574498.099039704</v>
      </c>
      <c r="N28" s="101" t="s">
        <v>536</v>
      </c>
    </row>
    <row r="29" spans="1:14" x14ac:dyDescent="0.3">
      <c r="A29" s="265">
        <v>43434</v>
      </c>
      <c r="B29" s="117">
        <v>64659699.386595257</v>
      </c>
      <c r="C29" s="94">
        <v>24116006.323404737</v>
      </c>
      <c r="D29" s="118">
        <f t="shared" si="0"/>
        <v>88775705.709999993</v>
      </c>
      <c r="E29" s="117">
        <v>-5407433.463170954</v>
      </c>
      <c r="F29" s="94">
        <v>-2480002.5453540892</v>
      </c>
      <c r="G29" s="118">
        <f t="shared" si="2"/>
        <v>-7887436.0085250437</v>
      </c>
      <c r="H29" s="117">
        <v>-3895348.6986960256</v>
      </c>
      <c r="I29" s="94">
        <v>-1738031.3088979884</v>
      </c>
      <c r="J29" s="118">
        <f t="shared" si="3"/>
        <v>-5633380.0075940136</v>
      </c>
      <c r="K29" s="117">
        <f t="shared" si="4"/>
        <v>55356917.224728279</v>
      </c>
      <c r="L29" s="94">
        <f t="shared" si="1"/>
        <v>19897972.469152659</v>
      </c>
      <c r="M29" s="118">
        <f t="shared" si="5"/>
        <v>75254889.693880945</v>
      </c>
      <c r="N29" s="101" t="s">
        <v>536</v>
      </c>
    </row>
    <row r="30" spans="1:14" x14ac:dyDescent="0.3">
      <c r="A30" s="265">
        <v>43465</v>
      </c>
      <c r="B30" s="117">
        <v>65960577.016595259</v>
      </c>
      <c r="C30" s="94">
        <v>25901244.283404738</v>
      </c>
      <c r="D30" s="118">
        <f t="shared" si="0"/>
        <v>91861821.299999997</v>
      </c>
      <c r="E30" s="117">
        <v>-6147695.6244435096</v>
      </c>
      <c r="F30" s="94">
        <v>-2818363.1266784924</v>
      </c>
      <c r="G30" s="118">
        <f t="shared" si="2"/>
        <v>-8966058.7511220016</v>
      </c>
      <c r="H30" s="117">
        <v>-4195172.8019653708</v>
      </c>
      <c r="I30" s="94">
        <v>-1865008.6079749931</v>
      </c>
      <c r="J30" s="118">
        <f t="shared" si="3"/>
        <v>-6060181.4099403638</v>
      </c>
      <c r="K30" s="117">
        <f t="shared" si="4"/>
        <v>55617708.59018638</v>
      </c>
      <c r="L30" s="94">
        <f t="shared" si="1"/>
        <v>21217872.54875125</v>
      </c>
      <c r="M30" s="118">
        <f t="shared" si="5"/>
        <v>76835581.138937622</v>
      </c>
      <c r="N30" s="101" t="s">
        <v>536</v>
      </c>
    </row>
    <row r="31" spans="1:14" x14ac:dyDescent="0.3">
      <c r="A31" s="265">
        <v>43496</v>
      </c>
      <c r="B31" s="117">
        <v>69170421.126595259</v>
      </c>
      <c r="C31" s="94">
        <v>27430165.703404739</v>
      </c>
      <c r="D31" s="118">
        <f t="shared" si="0"/>
        <v>96600586.829999998</v>
      </c>
      <c r="E31" s="117">
        <v>-6902669.5712202312</v>
      </c>
      <c r="F31" s="94">
        <v>-3163412.7392153954</v>
      </c>
      <c r="G31" s="118">
        <f t="shared" si="2"/>
        <v>-10066082.310435627</v>
      </c>
      <c r="H31" s="117">
        <v>-4505775.1929025799</v>
      </c>
      <c r="I31" s="94">
        <v>-1985058.9091480449</v>
      </c>
      <c r="J31" s="118">
        <f t="shared" si="3"/>
        <v>-6490834.1020506248</v>
      </c>
      <c r="K31" s="117">
        <f t="shared" si="4"/>
        <v>57761976.362472445</v>
      </c>
      <c r="L31" s="94">
        <f t="shared" si="1"/>
        <v>22281694.055041298</v>
      </c>
      <c r="M31" s="118">
        <f t="shared" si="5"/>
        <v>80043670.417513743</v>
      </c>
      <c r="N31" s="101" t="s">
        <v>536</v>
      </c>
    </row>
    <row r="32" spans="1:14" x14ac:dyDescent="0.3">
      <c r="A32" s="265">
        <v>43524</v>
      </c>
      <c r="B32" s="117">
        <v>73237780.856595248</v>
      </c>
      <c r="C32" s="94">
        <v>27932655.043404736</v>
      </c>
      <c r="D32" s="118">
        <f t="shared" si="0"/>
        <v>101170435.89999998</v>
      </c>
      <c r="E32" s="117">
        <v>-7676285.5834261198</v>
      </c>
      <c r="F32" s="94">
        <v>-3510660.7426147987</v>
      </c>
      <c r="G32" s="118">
        <f t="shared" si="2"/>
        <v>-11186946.326040918</v>
      </c>
      <c r="H32" s="117">
        <v>-4812462.7500996646</v>
      </c>
      <c r="I32" s="94">
        <v>-2104647.5482399729</v>
      </c>
      <c r="J32" s="118">
        <f t="shared" si="3"/>
        <v>-6917110.298339637</v>
      </c>
      <c r="K32" s="117">
        <f t="shared" si="4"/>
        <v>60749032.523069464</v>
      </c>
      <c r="L32" s="94">
        <f t="shared" si="1"/>
        <v>22317346.752549965</v>
      </c>
      <c r="M32" s="118">
        <f t="shared" si="5"/>
        <v>83066379.275619432</v>
      </c>
      <c r="N32" s="101" t="s">
        <v>536</v>
      </c>
    </row>
    <row r="33" spans="1:14" x14ac:dyDescent="0.3">
      <c r="A33" s="265">
        <v>43555</v>
      </c>
      <c r="B33" s="117">
        <v>78296166.706595257</v>
      </c>
      <c r="C33" s="94">
        <v>31736155.493404739</v>
      </c>
      <c r="D33" s="118">
        <f t="shared" si="0"/>
        <v>110032322.19999999</v>
      </c>
      <c r="E33" s="117">
        <v>-8473085.8641111758</v>
      </c>
      <c r="F33" s="94">
        <v>-3874549.0604829518</v>
      </c>
      <c r="G33" s="118">
        <f t="shared" si="2"/>
        <v>-12347634.924594127</v>
      </c>
      <c r="H33" s="117">
        <v>-5114281.6109161247</v>
      </c>
      <c r="I33" s="94">
        <v>-2220741.7212934634</v>
      </c>
      <c r="J33" s="118">
        <f t="shared" si="3"/>
        <v>-7335023.332209588</v>
      </c>
      <c r="K33" s="117">
        <f t="shared" si="4"/>
        <v>64708799.231567964</v>
      </c>
      <c r="L33" s="94">
        <f t="shared" si="1"/>
        <v>25640864.711628322</v>
      </c>
      <c r="M33" s="118">
        <f t="shared" si="5"/>
        <v>90349663.943196282</v>
      </c>
      <c r="N33" s="101" t="s">
        <v>536</v>
      </c>
    </row>
    <row r="34" spans="1:14" x14ac:dyDescent="0.3">
      <c r="A34" s="265">
        <v>43585</v>
      </c>
      <c r="B34" s="117">
        <v>78520537.90659526</v>
      </c>
      <c r="C34" s="94">
        <v>31736155.493404739</v>
      </c>
      <c r="D34" s="118">
        <f t="shared" si="0"/>
        <v>110256693.40000001</v>
      </c>
      <c r="E34" s="117">
        <v>-9270914.5127962306</v>
      </c>
      <c r="F34" s="94">
        <v>-4238437.3783511044</v>
      </c>
      <c r="G34" s="118">
        <f t="shared" si="2"/>
        <v>-13509351.891147334</v>
      </c>
      <c r="H34" s="117">
        <v>-5415884.5144525841</v>
      </c>
      <c r="I34" s="94">
        <v>-2336835.8943469529</v>
      </c>
      <c r="J34" s="118">
        <f t="shared" si="3"/>
        <v>-7752720.4087995365</v>
      </c>
      <c r="K34" s="117">
        <f t="shared" si="4"/>
        <v>63833738.879346453</v>
      </c>
      <c r="L34" s="94">
        <f t="shared" si="1"/>
        <v>25160882.220706683</v>
      </c>
      <c r="M34" s="118">
        <f t="shared" si="5"/>
        <v>88994621.100053132</v>
      </c>
      <c r="N34" s="101" t="s">
        <v>536</v>
      </c>
    </row>
    <row r="35" spans="1:14" x14ac:dyDescent="0.3">
      <c r="A35" s="265">
        <v>43616</v>
      </c>
      <c r="B35" s="117">
        <v>78520537.90659526</v>
      </c>
      <c r="C35" s="94">
        <v>31736155.493404739</v>
      </c>
      <c r="D35" s="118">
        <f t="shared" si="0"/>
        <v>110256693.40000001</v>
      </c>
      <c r="E35" s="117">
        <v>-10068743.161481285</v>
      </c>
      <c r="F35" s="94">
        <v>-4602325.696219258</v>
      </c>
      <c r="G35" s="118">
        <f t="shared" si="2"/>
        <v>-14671068.857700543</v>
      </c>
      <c r="H35" s="117">
        <v>-5717487.4179890435</v>
      </c>
      <c r="I35" s="94">
        <v>-2452930.0674004434</v>
      </c>
      <c r="J35" s="118">
        <f t="shared" si="3"/>
        <v>-8170417.4853894869</v>
      </c>
      <c r="K35" s="117">
        <f t="shared" si="4"/>
        <v>62734307.327124923</v>
      </c>
      <c r="L35" s="94">
        <f t="shared" si="1"/>
        <v>24680899.729785036</v>
      </c>
      <c r="M35" s="118">
        <f t="shared" si="5"/>
        <v>87415207.056909963</v>
      </c>
      <c r="N35" s="101" t="s">
        <v>536</v>
      </c>
    </row>
    <row r="36" spans="1:14" ht="15" thickBot="1" x14ac:dyDescent="0.35">
      <c r="A36" s="265">
        <v>43646</v>
      </c>
      <c r="B36" s="266">
        <v>90599561.746595263</v>
      </c>
      <c r="C36" s="267">
        <v>38367077.573404737</v>
      </c>
      <c r="D36" s="268">
        <f t="shared" si="0"/>
        <v>128966639.31999999</v>
      </c>
      <c r="E36" s="266">
        <v>-10921934.002766341</v>
      </c>
      <c r="F36" s="267">
        <v>-4995224.2981874105</v>
      </c>
      <c r="G36" s="268">
        <f t="shared" si="2"/>
        <v>-15917158.300953751</v>
      </c>
      <c r="H36" s="266">
        <v>-6007464.2610795023</v>
      </c>
      <c r="I36" s="267">
        <v>-2562932.0807929332</v>
      </c>
      <c r="J36" s="268">
        <f t="shared" si="3"/>
        <v>-8570396.3418724351</v>
      </c>
      <c r="K36" s="266">
        <f t="shared" si="4"/>
        <v>73670163.482749417</v>
      </c>
      <c r="L36" s="267">
        <f t="shared" si="1"/>
        <v>30808921.194424391</v>
      </c>
      <c r="M36" s="268">
        <f t="shared" si="5"/>
        <v>104479084.67717381</v>
      </c>
      <c r="N36" s="101" t="s">
        <v>536</v>
      </c>
    </row>
    <row r="37" spans="1:14" x14ac:dyDescent="0.3">
      <c r="A37" s="269" t="s">
        <v>537</v>
      </c>
      <c r="B37" s="270">
        <v>0</v>
      </c>
      <c r="C37" s="270">
        <v>0</v>
      </c>
      <c r="D37" s="102"/>
      <c r="E37" s="270">
        <v>0</v>
      </c>
      <c r="F37" s="270">
        <v>0</v>
      </c>
      <c r="G37" s="102"/>
      <c r="H37" s="270">
        <v>0</v>
      </c>
      <c r="I37" s="270">
        <v>0</v>
      </c>
      <c r="J37" s="102"/>
      <c r="K37" s="270"/>
      <c r="L37" s="270"/>
      <c r="M37" s="102"/>
    </row>
    <row r="38" spans="1:14" x14ac:dyDescent="0.3">
      <c r="A38" s="271" t="s">
        <v>597</v>
      </c>
    </row>
    <row r="39" spans="1:14" x14ac:dyDescent="0.3">
      <c r="A39" s="272">
        <v>2016</v>
      </c>
      <c r="B39" s="60">
        <f>SUM(B4:B6)/12</f>
        <v>169571.83170475002</v>
      </c>
      <c r="C39" s="60">
        <f t="shared" ref="C39:M39" si="6">SUM(C4:C6)/12</f>
        <v>86617.67079525</v>
      </c>
      <c r="D39" s="60">
        <f t="shared" si="6"/>
        <v>256189.50250000003</v>
      </c>
      <c r="E39" s="60">
        <f t="shared" si="6"/>
        <v>-1352.5064655661179</v>
      </c>
      <c r="F39" s="60">
        <f t="shared" si="6"/>
        <v>-690.86332679846555</v>
      </c>
      <c r="G39" s="60">
        <f t="shared" si="6"/>
        <v>-2043.3697923645832</v>
      </c>
      <c r="H39" s="60">
        <f t="shared" si="6"/>
        <v>-25078.024707262102</v>
      </c>
      <c r="I39" s="60">
        <f t="shared" si="6"/>
        <v>-12809.91109461447</v>
      </c>
      <c r="J39" s="60">
        <f t="shared" si="6"/>
        <v>-37887.935801876571</v>
      </c>
      <c r="K39" s="60">
        <f t="shared" si="6"/>
        <v>143141.30053192179</v>
      </c>
      <c r="L39" s="60">
        <f t="shared" si="6"/>
        <v>73116.89637383708</v>
      </c>
      <c r="M39" s="60">
        <f t="shared" si="6"/>
        <v>216258.19690575884</v>
      </c>
    </row>
    <row r="40" spans="1:14" x14ac:dyDescent="0.3">
      <c r="A40" s="272">
        <v>2017</v>
      </c>
      <c r="B40" s="60">
        <f>SUM(B7:B18)/12</f>
        <v>5674966.8325841678</v>
      </c>
      <c r="C40" s="60">
        <f t="shared" ref="C40:M40" si="7">SUM(C7:C18)/12</f>
        <v>2910905.877415834</v>
      </c>
      <c r="D40" s="60">
        <f t="shared" si="7"/>
        <v>8585872.7100000009</v>
      </c>
      <c r="E40" s="60">
        <f t="shared" si="7"/>
        <v>-302758.53376174771</v>
      </c>
      <c r="F40" s="60">
        <f t="shared" si="7"/>
        <v>-154694.72417511354</v>
      </c>
      <c r="G40" s="60">
        <f t="shared" si="7"/>
        <v>-457453.25793686113</v>
      </c>
      <c r="H40" s="60">
        <f t="shared" si="7"/>
        <v>-990675.98819714261</v>
      </c>
      <c r="I40" s="60">
        <f t="shared" si="7"/>
        <v>-509551.74144340138</v>
      </c>
      <c r="J40" s="60">
        <f t="shared" si="7"/>
        <v>-1500227.7296405437</v>
      </c>
      <c r="K40" s="60">
        <f t="shared" si="7"/>
        <v>4381532.3106252775</v>
      </c>
      <c r="L40" s="60">
        <f t="shared" si="7"/>
        <v>2246659.4117973186</v>
      </c>
      <c r="M40" s="60">
        <f t="shared" si="7"/>
        <v>6628191.722422597</v>
      </c>
    </row>
    <row r="41" spans="1:14" x14ac:dyDescent="0.3">
      <c r="A41" s="272">
        <v>2018</v>
      </c>
      <c r="B41" s="60">
        <f>SUM(B19:B30)/12</f>
        <v>43086547.452637523</v>
      </c>
      <c r="C41" s="60">
        <f t="shared" ref="C41:M41" si="8">SUM(C19:C30)/12</f>
        <v>16228881.069029139</v>
      </c>
      <c r="D41" s="60">
        <f t="shared" si="8"/>
        <v>59315428.521666653</v>
      </c>
      <c r="E41" s="60">
        <f t="shared" si="8"/>
        <v>-2800433.4436958949</v>
      </c>
      <c r="F41" s="60">
        <f t="shared" si="8"/>
        <v>-1296178.4092875994</v>
      </c>
      <c r="G41" s="60">
        <f t="shared" si="8"/>
        <v>-4096611.8529834934</v>
      </c>
      <c r="H41" s="60">
        <f t="shared" si="8"/>
        <v>-2798356.0552379121</v>
      </c>
      <c r="I41" s="60">
        <f t="shared" si="8"/>
        <v>-1289851.786132125</v>
      </c>
      <c r="J41" s="60">
        <f t="shared" si="8"/>
        <v>-4088207.8413700368</v>
      </c>
      <c r="K41" s="60">
        <f t="shared" si="8"/>
        <v>37487757.953703716</v>
      </c>
      <c r="L41" s="60">
        <f t="shared" si="8"/>
        <v>13642850.873609414</v>
      </c>
      <c r="M41" s="60">
        <f t="shared" si="8"/>
        <v>51130608.827313125</v>
      </c>
    </row>
    <row r="42" spans="1:14" x14ac:dyDescent="0.3">
      <c r="A42" s="272"/>
    </row>
    <row r="43" spans="1:14" x14ac:dyDescent="0.3">
      <c r="E43" s="35">
        <f>E6</f>
        <v>-9180.1729205000793</v>
      </c>
      <c r="F43" s="35">
        <f>F6</f>
        <v>-4689.2528545415871</v>
      </c>
      <c r="G43" s="35">
        <f>G6</f>
        <v>-13869.425775041665</v>
      </c>
    </row>
    <row r="44" spans="1:14" x14ac:dyDescent="0.3">
      <c r="E44" s="35">
        <f>E18-E6</f>
        <v>-699997.31722623506</v>
      </c>
      <c r="F44" s="35">
        <f>F18-F6</f>
        <v>-358077.76124726521</v>
      </c>
      <c r="G44" s="35">
        <f>G18-G6</f>
        <v>-1058075.0784735002</v>
      </c>
    </row>
    <row r="45" spans="1:14" x14ac:dyDescent="0.3">
      <c r="E45" s="35">
        <f>E30-E18</f>
        <v>-5438518.1342967749</v>
      </c>
      <c r="F45" s="35">
        <f>F30-F18</f>
        <v>-2455596.1125766858</v>
      </c>
      <c r="G45" s="35">
        <f>G30-G18</f>
        <v>-7894114.2468734598</v>
      </c>
    </row>
    <row r="47" spans="1:14" x14ac:dyDescent="0.3">
      <c r="A47" s="15" t="s">
        <v>544</v>
      </c>
    </row>
    <row r="48" spans="1:14" x14ac:dyDescent="0.3">
      <c r="A48" s="15">
        <v>2017</v>
      </c>
      <c r="B48" s="35"/>
      <c r="C48" s="35"/>
      <c r="E48" s="35">
        <f>E18</f>
        <v>-709177.4901467351</v>
      </c>
      <c r="F48" s="35">
        <f>F18</f>
        <v>-362767.0141018068</v>
      </c>
    </row>
    <row r="49" spans="1:6" x14ac:dyDescent="0.3">
      <c r="A49" s="15">
        <v>2018</v>
      </c>
      <c r="B49" s="35"/>
      <c r="C49" s="35"/>
      <c r="E49" s="35">
        <f>E30</f>
        <v>-6147695.6244435096</v>
      </c>
      <c r="F49" s="35">
        <f>F30</f>
        <v>-2818363.1266784924</v>
      </c>
    </row>
    <row r="50" spans="1:6" x14ac:dyDescent="0.3">
      <c r="A50" s="15" t="s">
        <v>598</v>
      </c>
      <c r="B50" s="35"/>
      <c r="C50" s="35"/>
      <c r="E50" s="35">
        <f>-(E49-E48)</f>
        <v>5438518.1342967749</v>
      </c>
      <c r="F50" s="35">
        <f>-(F49-F48)</f>
        <v>2455596.1125766858</v>
      </c>
    </row>
    <row r="55" spans="1:6" x14ac:dyDescent="0.3">
      <c r="A55" s="97"/>
    </row>
    <row r="56" spans="1:6" x14ac:dyDescent="0.3">
      <c r="A56" s="97"/>
    </row>
    <row r="57" spans="1:6" x14ac:dyDescent="0.3">
      <c r="A57" s="97"/>
    </row>
    <row r="58" spans="1:6" x14ac:dyDescent="0.3">
      <c r="A58" s="97"/>
    </row>
    <row r="59" spans="1:6" x14ac:dyDescent="0.3">
      <c r="A59" s="97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W54"/>
  <sheetViews>
    <sheetView workbookViewId="0">
      <pane xSplit="1" ySplit="6" topLeftCell="B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8.6640625" defaultRowHeight="14.4" outlineLevelRow="1" outlineLevelCol="1" x14ac:dyDescent="0.3"/>
  <cols>
    <col min="1" max="1" width="34.33203125" style="15" bestFit="1" customWidth="1"/>
    <col min="2" max="2" width="15.33203125" style="15" customWidth="1"/>
    <col min="3" max="5" width="14.6640625" style="15" customWidth="1"/>
    <col min="6" max="6" width="8.109375" style="15" bestFit="1" customWidth="1"/>
    <col min="7" max="7" width="14" style="15" bestFit="1" customWidth="1"/>
    <col min="8" max="8" width="12.6640625" style="15" customWidth="1"/>
    <col min="9" max="9" width="12.44140625" style="15" bestFit="1" customWidth="1"/>
    <col min="10" max="11" width="13.109375" style="15" bestFit="1" customWidth="1"/>
    <col min="12" max="13" width="14.44140625" style="15" bestFit="1" customWidth="1"/>
    <col min="14" max="55" width="13.109375" style="15" bestFit="1" customWidth="1"/>
    <col min="56" max="85" width="14.44140625" style="15" bestFit="1" customWidth="1"/>
    <col min="86" max="86" width="24" style="15" hidden="1" customWidth="1" outlineLevel="1"/>
    <col min="87" max="87" width="12.88671875" style="15" hidden="1" customWidth="1" outlineLevel="1"/>
    <col min="88" max="88" width="12.6640625" style="15" hidden="1" customWidth="1" outlineLevel="1"/>
    <col min="89" max="89" width="12.88671875" style="15" hidden="1" customWidth="1" outlineLevel="1"/>
    <col min="90" max="90" width="13.109375" style="15" hidden="1" customWidth="1" outlineLevel="1"/>
    <col min="91" max="92" width="0" style="15" hidden="1" customWidth="1" outlineLevel="1"/>
    <col min="93" max="93" width="8.6640625" style="15" collapsed="1"/>
    <col min="94" max="94" width="11.88671875" style="15" bestFit="1" customWidth="1"/>
    <col min="95" max="95" width="12.88671875" style="15" bestFit="1" customWidth="1"/>
    <col min="96" max="97" width="11.88671875" style="15" bestFit="1" customWidth="1"/>
    <col min="98" max="98" width="12.5546875" style="15" bestFit="1" customWidth="1"/>
    <col min="99" max="99" width="13.5546875" style="15" bestFit="1" customWidth="1"/>
    <col min="100" max="100" width="8.6640625" style="15"/>
    <col min="101" max="101" width="14.5546875" style="15" bestFit="1" customWidth="1"/>
    <col min="102" max="16384" width="8.6640625" style="15"/>
  </cols>
  <sheetData>
    <row r="1" spans="1:101" x14ac:dyDescent="0.3">
      <c r="A1" s="66" t="s">
        <v>218</v>
      </c>
      <c r="B1" s="66"/>
      <c r="C1" s="66"/>
    </row>
    <row r="2" spans="1:101" x14ac:dyDescent="0.3">
      <c r="A2" s="15" t="s">
        <v>219</v>
      </c>
      <c r="B2" s="52">
        <f>C44</f>
        <v>8.5934658546482148E-2</v>
      </c>
      <c r="C2" s="52"/>
    </row>
    <row r="3" spans="1:101" x14ac:dyDescent="0.3">
      <c r="A3" s="15" t="s">
        <v>220</v>
      </c>
      <c r="B3" s="52">
        <v>0.4</v>
      </c>
      <c r="C3" s="66"/>
    </row>
    <row r="4" spans="1:101" hidden="1" x14ac:dyDescent="0.3">
      <c r="A4" s="15" t="s">
        <v>221</v>
      </c>
      <c r="B4" s="52">
        <v>9.481012658227847E-2</v>
      </c>
      <c r="C4" s="66"/>
      <c r="M4" s="82" t="s">
        <v>222</v>
      </c>
      <c r="N4" s="82"/>
      <c r="O4" s="82"/>
      <c r="P4" s="82"/>
      <c r="Q4" s="82"/>
      <c r="R4" s="82"/>
      <c r="T4" s="82"/>
      <c r="U4" s="82"/>
      <c r="V4" s="82"/>
      <c r="W4" s="82"/>
      <c r="X4" s="82"/>
      <c r="Y4" s="82"/>
      <c r="Z4" s="82"/>
      <c r="AA4" s="82"/>
      <c r="AB4" s="82"/>
      <c r="AC4" s="82" t="s">
        <v>223</v>
      </c>
      <c r="AD4" s="82"/>
      <c r="AE4" s="82" t="s">
        <v>222</v>
      </c>
      <c r="AF4" s="82"/>
      <c r="AG4" s="82"/>
      <c r="AH4" s="82"/>
      <c r="AI4" s="82"/>
      <c r="AJ4" s="82"/>
      <c r="AK4" s="82"/>
      <c r="AL4" s="82" t="s">
        <v>223</v>
      </c>
      <c r="AM4" s="82"/>
      <c r="AN4" s="82"/>
      <c r="AO4" s="82"/>
      <c r="AP4" s="82"/>
      <c r="AQ4" s="82" t="s">
        <v>222</v>
      </c>
      <c r="AR4" s="82"/>
      <c r="AS4" s="82"/>
      <c r="AT4" s="82"/>
      <c r="AU4" s="82"/>
      <c r="AV4" s="82"/>
      <c r="AW4" s="82"/>
      <c r="AX4" s="82" t="s">
        <v>223</v>
      </c>
      <c r="AY4" s="82"/>
      <c r="AZ4" s="82"/>
      <c r="BA4" s="82"/>
      <c r="BB4" s="82"/>
      <c r="BC4" s="82" t="s">
        <v>222</v>
      </c>
      <c r="BD4" s="82"/>
      <c r="BE4" s="82"/>
      <c r="BF4" s="82"/>
      <c r="BG4" s="82"/>
      <c r="BH4" s="82"/>
      <c r="BI4" s="82"/>
      <c r="BJ4" s="82" t="s">
        <v>223</v>
      </c>
      <c r="BK4" s="82"/>
      <c r="BL4" s="82"/>
      <c r="BM4" s="82"/>
      <c r="BN4" s="82"/>
      <c r="BO4" s="82" t="s">
        <v>222</v>
      </c>
      <c r="BP4" s="82"/>
      <c r="BQ4" s="82"/>
      <c r="BR4" s="82"/>
      <c r="BS4" s="82"/>
    </row>
    <row r="5" spans="1:101" x14ac:dyDescent="0.3">
      <c r="A5" s="66"/>
      <c r="B5" s="66">
        <f>YEAR(B6)</f>
        <v>2018</v>
      </c>
      <c r="C5" s="66">
        <f t="shared" ref="C5:BN5" si="0">YEAR(C6)</f>
        <v>2018</v>
      </c>
      <c r="D5" s="66">
        <f t="shared" si="0"/>
        <v>2018</v>
      </c>
      <c r="E5" s="66">
        <f t="shared" si="0"/>
        <v>2018</v>
      </c>
      <c r="F5" s="66">
        <f t="shared" si="0"/>
        <v>2018</v>
      </c>
      <c r="G5" s="66">
        <f t="shared" si="0"/>
        <v>2018</v>
      </c>
      <c r="H5" s="66">
        <f t="shared" si="0"/>
        <v>2018</v>
      </c>
      <c r="I5" s="66">
        <f t="shared" si="0"/>
        <v>2018</v>
      </c>
      <c r="J5" s="66">
        <f t="shared" si="0"/>
        <v>2018</v>
      </c>
      <c r="K5" s="66">
        <f t="shared" si="0"/>
        <v>2018</v>
      </c>
      <c r="L5" s="66">
        <f t="shared" si="0"/>
        <v>2018</v>
      </c>
      <c r="M5" s="66">
        <f t="shared" si="0"/>
        <v>2018</v>
      </c>
      <c r="N5" s="66">
        <f t="shared" si="0"/>
        <v>2019</v>
      </c>
      <c r="O5" s="66">
        <f t="shared" si="0"/>
        <v>2019</v>
      </c>
      <c r="P5" s="66">
        <f t="shared" si="0"/>
        <v>2019</v>
      </c>
      <c r="Q5" s="66">
        <f t="shared" si="0"/>
        <v>2019</v>
      </c>
      <c r="R5" s="66">
        <f t="shared" si="0"/>
        <v>2019</v>
      </c>
      <c r="S5" s="66">
        <f t="shared" si="0"/>
        <v>2019</v>
      </c>
      <c r="T5" s="66">
        <f t="shared" si="0"/>
        <v>2019</v>
      </c>
      <c r="U5" s="66">
        <f t="shared" si="0"/>
        <v>2019</v>
      </c>
      <c r="V5" s="66">
        <f t="shared" si="0"/>
        <v>2019</v>
      </c>
      <c r="W5" s="66">
        <f t="shared" si="0"/>
        <v>2019</v>
      </c>
      <c r="X5" s="66">
        <f t="shared" si="0"/>
        <v>2019</v>
      </c>
      <c r="Y5" s="66">
        <f t="shared" si="0"/>
        <v>2019</v>
      </c>
      <c r="Z5" s="66">
        <f t="shared" si="0"/>
        <v>2020</v>
      </c>
      <c r="AA5" s="66">
        <f t="shared" si="0"/>
        <v>2020</v>
      </c>
      <c r="AB5" s="66">
        <f t="shared" si="0"/>
        <v>2020</v>
      </c>
      <c r="AC5" s="66">
        <f t="shared" si="0"/>
        <v>2020</v>
      </c>
      <c r="AD5" s="66">
        <f t="shared" si="0"/>
        <v>2020</v>
      </c>
      <c r="AE5" s="66">
        <f t="shared" si="0"/>
        <v>2020</v>
      </c>
      <c r="AF5" s="66">
        <f t="shared" si="0"/>
        <v>2020</v>
      </c>
      <c r="AG5" s="66">
        <f t="shared" si="0"/>
        <v>2020</v>
      </c>
      <c r="AH5" s="66">
        <f t="shared" si="0"/>
        <v>2020</v>
      </c>
      <c r="AI5" s="66">
        <f t="shared" si="0"/>
        <v>2020</v>
      </c>
      <c r="AJ5" s="66">
        <f t="shared" si="0"/>
        <v>2020</v>
      </c>
      <c r="AK5" s="66">
        <f t="shared" si="0"/>
        <v>2020</v>
      </c>
      <c r="AL5" s="66">
        <f t="shared" si="0"/>
        <v>2021</v>
      </c>
      <c r="AM5" s="66">
        <f t="shared" si="0"/>
        <v>2021</v>
      </c>
      <c r="AN5" s="66">
        <f t="shared" si="0"/>
        <v>2021</v>
      </c>
      <c r="AO5" s="66">
        <f t="shared" si="0"/>
        <v>2021</v>
      </c>
      <c r="AP5" s="66">
        <f t="shared" si="0"/>
        <v>2021</v>
      </c>
      <c r="AQ5" s="66">
        <f t="shared" si="0"/>
        <v>2021</v>
      </c>
      <c r="AR5" s="66">
        <f t="shared" si="0"/>
        <v>2021</v>
      </c>
      <c r="AS5" s="66">
        <f t="shared" si="0"/>
        <v>2021</v>
      </c>
      <c r="AT5" s="66">
        <f t="shared" si="0"/>
        <v>2021</v>
      </c>
      <c r="AU5" s="66">
        <f t="shared" si="0"/>
        <v>2021</v>
      </c>
      <c r="AV5" s="66">
        <f t="shared" si="0"/>
        <v>2021</v>
      </c>
      <c r="AW5" s="66">
        <f t="shared" si="0"/>
        <v>2021</v>
      </c>
      <c r="AX5" s="66">
        <f t="shared" si="0"/>
        <v>2022</v>
      </c>
      <c r="AY5" s="66">
        <f t="shared" si="0"/>
        <v>2022</v>
      </c>
      <c r="AZ5" s="66">
        <f t="shared" si="0"/>
        <v>2022</v>
      </c>
      <c r="BA5" s="66">
        <f t="shared" si="0"/>
        <v>2022</v>
      </c>
      <c r="BB5" s="66">
        <f t="shared" si="0"/>
        <v>2022</v>
      </c>
      <c r="BC5" s="66">
        <f t="shared" si="0"/>
        <v>2022</v>
      </c>
      <c r="BD5" s="66">
        <f t="shared" si="0"/>
        <v>2022</v>
      </c>
      <c r="BE5" s="66">
        <f t="shared" si="0"/>
        <v>2022</v>
      </c>
      <c r="BF5" s="66">
        <f t="shared" si="0"/>
        <v>2022</v>
      </c>
      <c r="BG5" s="66">
        <f t="shared" si="0"/>
        <v>2022</v>
      </c>
      <c r="BH5" s="66">
        <f t="shared" si="0"/>
        <v>2022</v>
      </c>
      <c r="BI5" s="66">
        <f t="shared" si="0"/>
        <v>2022</v>
      </c>
      <c r="BJ5" s="66">
        <f t="shared" si="0"/>
        <v>2023</v>
      </c>
      <c r="BK5" s="66">
        <f t="shared" si="0"/>
        <v>2023</v>
      </c>
      <c r="BL5" s="66">
        <f t="shared" si="0"/>
        <v>2023</v>
      </c>
      <c r="BM5" s="66">
        <f t="shared" si="0"/>
        <v>2023</v>
      </c>
      <c r="BN5" s="66">
        <f t="shared" si="0"/>
        <v>2023</v>
      </c>
      <c r="BO5" s="66">
        <f t="shared" ref="BO5:CG5" si="1">YEAR(BO6)</f>
        <v>2023</v>
      </c>
      <c r="BP5" s="66">
        <f t="shared" si="1"/>
        <v>2023</v>
      </c>
      <c r="BQ5" s="66">
        <f t="shared" si="1"/>
        <v>2023</v>
      </c>
      <c r="BR5" s="66">
        <f t="shared" si="1"/>
        <v>2023</v>
      </c>
      <c r="BS5" s="66">
        <f t="shared" si="1"/>
        <v>2023</v>
      </c>
      <c r="BT5" s="66">
        <f t="shared" si="1"/>
        <v>2023</v>
      </c>
      <c r="BU5" s="66">
        <f t="shared" si="1"/>
        <v>2023</v>
      </c>
      <c r="BV5" s="66">
        <f t="shared" si="1"/>
        <v>2024</v>
      </c>
      <c r="BW5" s="66">
        <f t="shared" si="1"/>
        <v>2024</v>
      </c>
      <c r="BX5" s="66">
        <f t="shared" si="1"/>
        <v>2024</v>
      </c>
      <c r="BY5" s="66">
        <f t="shared" si="1"/>
        <v>2024</v>
      </c>
      <c r="BZ5" s="66">
        <f t="shared" si="1"/>
        <v>2024</v>
      </c>
      <c r="CA5" s="66">
        <f t="shared" si="1"/>
        <v>2024</v>
      </c>
      <c r="CB5" s="66">
        <f t="shared" si="1"/>
        <v>2024</v>
      </c>
      <c r="CC5" s="66">
        <f t="shared" si="1"/>
        <v>2024</v>
      </c>
      <c r="CD5" s="66">
        <f t="shared" si="1"/>
        <v>2024</v>
      </c>
      <c r="CE5" s="66">
        <f t="shared" si="1"/>
        <v>2024</v>
      </c>
      <c r="CF5" s="66">
        <f t="shared" si="1"/>
        <v>2024</v>
      </c>
      <c r="CG5" s="66">
        <f t="shared" si="1"/>
        <v>2024</v>
      </c>
      <c r="CP5" s="15">
        <v>2019</v>
      </c>
      <c r="CQ5" s="15">
        <f>CP5+1</f>
        <v>2020</v>
      </c>
      <c r="CR5" s="15">
        <f>CQ5+1</f>
        <v>2021</v>
      </c>
      <c r="CS5" s="15">
        <f>CR5+1</f>
        <v>2022</v>
      </c>
      <c r="CT5" s="15">
        <f>CS5+1</f>
        <v>2023</v>
      </c>
      <c r="CU5" s="15">
        <f>CT5+1</f>
        <v>2024</v>
      </c>
      <c r="CW5" s="15" t="s">
        <v>224</v>
      </c>
    </row>
    <row r="6" spans="1:101" x14ac:dyDescent="0.3">
      <c r="A6" s="15" t="s">
        <v>225</v>
      </c>
      <c r="B6" s="83">
        <v>43101</v>
      </c>
      <c r="C6" s="84">
        <v>43149</v>
      </c>
      <c r="D6" s="83">
        <v>43160</v>
      </c>
      <c r="E6" s="83">
        <v>43191</v>
      </c>
      <c r="F6" s="83">
        <v>43221</v>
      </c>
      <c r="G6" s="83">
        <v>43252</v>
      </c>
      <c r="H6" s="83">
        <v>43282</v>
      </c>
      <c r="I6" s="83">
        <v>43313</v>
      </c>
      <c r="J6" s="83">
        <v>43344</v>
      </c>
      <c r="K6" s="83">
        <v>43374</v>
      </c>
      <c r="L6" s="83">
        <v>43405</v>
      </c>
      <c r="M6" s="83">
        <v>43435</v>
      </c>
      <c r="N6" s="83">
        <v>43466</v>
      </c>
      <c r="O6" s="83">
        <v>43497</v>
      </c>
      <c r="P6" s="83">
        <v>43525</v>
      </c>
      <c r="Q6" s="83">
        <v>43556</v>
      </c>
      <c r="R6" s="83">
        <v>43586</v>
      </c>
      <c r="S6" s="83">
        <v>43617</v>
      </c>
      <c r="T6" s="83">
        <v>43647</v>
      </c>
      <c r="U6" s="83">
        <v>43678</v>
      </c>
      <c r="V6" s="83">
        <v>43709</v>
      </c>
      <c r="W6" s="83">
        <v>43739</v>
      </c>
      <c r="X6" s="83">
        <v>43770</v>
      </c>
      <c r="Y6" s="83">
        <v>43800</v>
      </c>
      <c r="Z6" s="83">
        <v>43831</v>
      </c>
      <c r="AA6" s="83">
        <v>43862</v>
      </c>
      <c r="AB6" s="85">
        <v>43891</v>
      </c>
      <c r="AC6" s="85">
        <v>43922</v>
      </c>
      <c r="AD6" s="85">
        <v>43952</v>
      </c>
      <c r="AE6" s="85">
        <v>43983</v>
      </c>
      <c r="AF6" s="85">
        <v>44013</v>
      </c>
      <c r="AG6" s="85">
        <v>44044</v>
      </c>
      <c r="AH6" s="85">
        <v>44075</v>
      </c>
      <c r="AI6" s="85">
        <v>44105</v>
      </c>
      <c r="AJ6" s="85">
        <v>44136</v>
      </c>
      <c r="AK6" s="85">
        <v>44166</v>
      </c>
      <c r="AL6" s="85">
        <v>44197</v>
      </c>
      <c r="AM6" s="85">
        <v>44228</v>
      </c>
      <c r="AN6" s="85">
        <v>44256</v>
      </c>
      <c r="AO6" s="85">
        <v>44287</v>
      </c>
      <c r="AP6" s="85">
        <v>44317</v>
      </c>
      <c r="AQ6" s="85">
        <v>44348</v>
      </c>
      <c r="AR6" s="85">
        <v>44378</v>
      </c>
      <c r="AS6" s="85">
        <v>44409</v>
      </c>
      <c r="AT6" s="85">
        <v>44440</v>
      </c>
      <c r="AU6" s="85">
        <v>44470</v>
      </c>
      <c r="AV6" s="85">
        <v>44501</v>
      </c>
      <c r="AW6" s="85">
        <v>44531</v>
      </c>
      <c r="AX6" s="85">
        <v>44562</v>
      </c>
      <c r="AY6" s="85">
        <v>44593</v>
      </c>
      <c r="AZ6" s="85">
        <v>44621</v>
      </c>
      <c r="BA6" s="85">
        <v>44652</v>
      </c>
      <c r="BB6" s="85">
        <v>44682</v>
      </c>
      <c r="BC6" s="85">
        <v>44713</v>
      </c>
      <c r="BD6" s="85">
        <v>44743</v>
      </c>
      <c r="BE6" s="85">
        <v>44774</v>
      </c>
      <c r="BF6" s="85">
        <v>44805</v>
      </c>
      <c r="BG6" s="85">
        <v>44835</v>
      </c>
      <c r="BH6" s="85">
        <v>44866</v>
      </c>
      <c r="BI6" s="85">
        <v>44896</v>
      </c>
      <c r="BJ6" s="85">
        <v>44927</v>
      </c>
      <c r="BK6" s="85">
        <v>44958</v>
      </c>
      <c r="BL6" s="85">
        <v>44986</v>
      </c>
      <c r="BM6" s="85">
        <v>45017</v>
      </c>
      <c r="BN6" s="85">
        <v>45047</v>
      </c>
      <c r="BO6" s="85">
        <v>45078</v>
      </c>
      <c r="BP6" s="85">
        <v>45108</v>
      </c>
      <c r="BQ6" s="85">
        <v>45139</v>
      </c>
      <c r="BR6" s="85">
        <v>45170</v>
      </c>
      <c r="BS6" s="85">
        <v>45200</v>
      </c>
      <c r="BT6" s="85">
        <v>45231</v>
      </c>
      <c r="BU6" s="85">
        <v>45261</v>
      </c>
      <c r="BV6" s="85">
        <v>45292</v>
      </c>
      <c r="BW6" s="85">
        <v>45323</v>
      </c>
      <c r="BX6" s="85">
        <v>45352</v>
      </c>
      <c r="BY6" s="85">
        <v>45383</v>
      </c>
      <c r="BZ6" s="85">
        <v>45413</v>
      </c>
      <c r="CA6" s="85">
        <v>45444</v>
      </c>
      <c r="CB6" s="85">
        <v>45474</v>
      </c>
      <c r="CC6" s="85">
        <v>45505</v>
      </c>
      <c r="CD6" s="85">
        <v>45536</v>
      </c>
      <c r="CE6" s="85">
        <v>45566</v>
      </c>
      <c r="CF6" s="85">
        <v>45597</v>
      </c>
      <c r="CG6" s="85">
        <v>45627</v>
      </c>
      <c r="CH6" s="30" t="s">
        <v>226</v>
      </c>
      <c r="CI6" s="30" t="s">
        <v>227</v>
      </c>
      <c r="CJ6" s="30" t="s">
        <v>228</v>
      </c>
      <c r="CK6" s="30" t="s">
        <v>229</v>
      </c>
      <c r="CL6" s="30" t="s">
        <v>230</v>
      </c>
    </row>
    <row r="7" spans="1:101" x14ac:dyDescent="0.3">
      <c r="A7" s="15" t="s">
        <v>231</v>
      </c>
      <c r="B7" s="187"/>
      <c r="C7" s="187"/>
      <c r="D7" s="187"/>
      <c r="E7" s="187"/>
      <c r="F7" s="187"/>
      <c r="G7" s="20"/>
      <c r="H7" s="20"/>
      <c r="I7" s="20"/>
      <c r="J7" s="20"/>
      <c r="K7" s="20"/>
      <c r="L7" s="20"/>
      <c r="M7" s="20"/>
      <c r="N7" s="18">
        <v>6292606</v>
      </c>
      <c r="O7" s="18">
        <v>6292606.3402848998</v>
      </c>
      <c r="P7" s="18">
        <v>6292606.3402848998</v>
      </c>
      <c r="Q7" s="18">
        <v>6292606.3402848998</v>
      </c>
      <c r="R7" s="18">
        <v>6292606.3402848998</v>
      </c>
      <c r="S7" s="18">
        <v>6292606.3402848998</v>
      </c>
      <c r="T7" s="18">
        <v>6292606.3402848998</v>
      </c>
      <c r="U7" s="18">
        <v>6292606.3402848998</v>
      </c>
      <c r="V7" s="18">
        <v>6292606.3402848998</v>
      </c>
      <c r="W7" s="18">
        <v>6292606.3402848998</v>
      </c>
      <c r="X7" s="18">
        <v>6292606.3402848998</v>
      </c>
      <c r="Y7" s="18">
        <v>16292626.723784899</v>
      </c>
      <c r="Z7" s="18">
        <v>5893808.9504146595</v>
      </c>
      <c r="AA7" s="18">
        <v>5893808.9504146595</v>
      </c>
      <c r="AB7" s="18">
        <v>5893808.9504146595</v>
      </c>
      <c r="AC7" s="18">
        <v>5893808.9504146595</v>
      </c>
      <c r="AD7" s="18">
        <v>5893808.9504146595</v>
      </c>
      <c r="AE7" s="18">
        <v>5893808.9504146595</v>
      </c>
      <c r="AF7" s="18">
        <v>5893808.9504146595</v>
      </c>
      <c r="AG7" s="18">
        <v>5893808.9504146595</v>
      </c>
      <c r="AH7" s="18">
        <v>5893808.9504146595</v>
      </c>
      <c r="AI7" s="18">
        <v>5893808.9504146595</v>
      </c>
      <c r="AJ7" s="18">
        <v>5893808.9504146595</v>
      </c>
      <c r="AK7" s="18">
        <v>9235815.5454387702</v>
      </c>
      <c r="AL7" s="18">
        <v>5558243.9879477797</v>
      </c>
      <c r="AM7" s="18">
        <v>5558243.9879477797</v>
      </c>
      <c r="AN7" s="18">
        <v>5558243.9879477797</v>
      </c>
      <c r="AO7" s="18">
        <v>5558243.9879477797</v>
      </c>
      <c r="AP7" s="18">
        <v>5558243.9879477797</v>
      </c>
      <c r="AQ7" s="18">
        <v>5558243.9879477797</v>
      </c>
      <c r="AR7" s="18">
        <v>5558243.9879477797</v>
      </c>
      <c r="AS7" s="18">
        <v>5558243.9879477797</v>
      </c>
      <c r="AT7" s="18">
        <v>5558243.9879477797</v>
      </c>
      <c r="AU7" s="18">
        <v>5558243.9879477797</v>
      </c>
      <c r="AV7" s="18">
        <v>5558243.9879477797</v>
      </c>
      <c r="AW7" s="18">
        <v>8708499.1325743794</v>
      </c>
      <c r="AX7" s="18">
        <v>5380820.1005858704</v>
      </c>
      <c r="AY7" s="18">
        <v>5380820.1005858704</v>
      </c>
      <c r="AZ7" s="18">
        <v>5380820.1005858704</v>
      </c>
      <c r="BA7" s="18">
        <v>5380820.1005858704</v>
      </c>
      <c r="BB7" s="18">
        <v>5380820.1005858704</v>
      </c>
      <c r="BC7" s="18">
        <v>5380820.1005858704</v>
      </c>
      <c r="BD7" s="18">
        <v>5380820.1005858704</v>
      </c>
      <c r="BE7" s="18">
        <v>5380820.1005858704</v>
      </c>
      <c r="BF7" s="18">
        <v>5380820.1005858704</v>
      </c>
      <c r="BG7" s="18">
        <v>5380820.1005858704</v>
      </c>
      <c r="BH7" s="18">
        <v>5380820.1005858704</v>
      </c>
      <c r="BI7" s="18">
        <v>8430553.8935554009</v>
      </c>
      <c r="BJ7" s="18">
        <v>543915.31511644693</v>
      </c>
      <c r="BK7" s="18">
        <v>3022239.6052219602</v>
      </c>
      <c r="BL7" s="18">
        <v>2850826.8576621898</v>
      </c>
      <c r="BM7" s="18">
        <v>3144334.93054925</v>
      </c>
      <c r="BN7" s="18">
        <v>3533278.1991725201</v>
      </c>
      <c r="BO7" s="18">
        <v>4457973.3131568497</v>
      </c>
      <c r="BP7" s="18">
        <v>4554251.8186876103</v>
      </c>
      <c r="BQ7" s="18">
        <v>4045715.84358167</v>
      </c>
      <c r="BR7" s="18">
        <v>3887082.9983592699</v>
      </c>
      <c r="BS7" s="18">
        <v>3570280.2900697901</v>
      </c>
      <c r="BT7" s="18">
        <v>3139820.64587068</v>
      </c>
      <c r="BU7" s="18">
        <v>5195390.1825517397</v>
      </c>
      <c r="BV7" s="18">
        <v>349405.60090917401</v>
      </c>
      <c r="BW7" s="18">
        <v>1941455.6200315901</v>
      </c>
      <c r="BX7" s="18">
        <v>1831341.8350358699</v>
      </c>
      <c r="BY7" s="18">
        <v>2019888.40051885</v>
      </c>
      <c r="BZ7" s="18">
        <v>2269741.5536035299</v>
      </c>
      <c r="CA7" s="18">
        <v>2863756.17863813</v>
      </c>
      <c r="CB7" s="18">
        <v>2925604.4997732099</v>
      </c>
      <c r="CC7" s="18">
        <v>2598926.2227921998</v>
      </c>
      <c r="CD7" s="18">
        <v>2497022.11553792</v>
      </c>
      <c r="CE7" s="18">
        <v>2293511.3160013501</v>
      </c>
      <c r="CF7" s="18">
        <v>2016988.47049858</v>
      </c>
      <c r="CG7" s="18">
        <v>3337465.1866595801</v>
      </c>
    </row>
    <row r="8" spans="1:101" x14ac:dyDescent="0.3">
      <c r="A8" s="15" t="s">
        <v>232</v>
      </c>
      <c r="B8" s="187"/>
      <c r="C8" s="187"/>
      <c r="D8" s="187"/>
      <c r="E8" s="187"/>
      <c r="F8" s="187"/>
      <c r="G8" s="20"/>
      <c r="H8" s="20"/>
      <c r="I8" s="20"/>
      <c r="J8" s="20"/>
      <c r="K8" s="20"/>
      <c r="L8" s="20"/>
      <c r="M8" s="20"/>
      <c r="N8" s="20">
        <v>37729181.922200002</v>
      </c>
      <c r="O8" s="20">
        <f>N9</f>
        <v>39471584.500746489</v>
      </c>
      <c r="P8" s="20">
        <f t="shared" ref="P8:CA8" si="2">O9</f>
        <v>41372034.007623956</v>
      </c>
      <c r="Q8" s="20">
        <f t="shared" si="2"/>
        <v>38941528.898133658</v>
      </c>
      <c r="R8" s="20">
        <f t="shared" si="2"/>
        <v>45125032.856429413</v>
      </c>
      <c r="S8" s="20">
        <f t="shared" si="2"/>
        <v>51518710.413035758</v>
      </c>
      <c r="T8" s="20">
        <f t="shared" si="2"/>
        <v>39193866.723449364</v>
      </c>
      <c r="U8" s="20">
        <f t="shared" si="2"/>
        <v>38567909.099270135</v>
      </c>
      <c r="V8" s="20">
        <f t="shared" si="2"/>
        <v>38189831.806527808</v>
      </c>
      <c r="W8" s="20">
        <f t="shared" si="2"/>
        <v>37961473.793515652</v>
      </c>
      <c r="X8" s="20">
        <f t="shared" si="2"/>
        <v>37823545.959424876</v>
      </c>
      <c r="Y8" s="20">
        <f t="shared" si="2"/>
        <v>37740237.792717539</v>
      </c>
      <c r="Z8" s="20">
        <f t="shared" si="2"/>
        <v>45709927.271122657</v>
      </c>
      <c r="AA8" s="20">
        <f t="shared" si="2"/>
        <v>42185384.76600986</v>
      </c>
      <c r="AB8" s="20">
        <f t="shared" si="2"/>
        <v>40056327.055179566</v>
      </c>
      <c r="AC8" s="20">
        <f t="shared" si="2"/>
        <v>38770234.823501162</v>
      </c>
      <c r="AD8" s="20">
        <f t="shared" si="2"/>
        <v>37993349.716080323</v>
      </c>
      <c r="AE8" s="20">
        <f t="shared" si="2"/>
        <v>37524059.524237216</v>
      </c>
      <c r="AF8" s="20">
        <f t="shared" si="2"/>
        <v>37240577.086414099</v>
      </c>
      <c r="AG8" s="20">
        <f t="shared" si="2"/>
        <v>37069334.870081984</v>
      </c>
      <c r="AH8" s="20">
        <f t="shared" si="2"/>
        <v>36965893.200539716</v>
      </c>
      <c r="AI8" s="20">
        <f t="shared" si="2"/>
        <v>36903407.563371025</v>
      </c>
      <c r="AJ8" s="20">
        <f t="shared" si="2"/>
        <v>36865662.089330874</v>
      </c>
      <c r="AK8" s="20">
        <f t="shared" si="2"/>
        <v>36842861.316624194</v>
      </c>
      <c r="AL8" s="20">
        <f t="shared" si="2"/>
        <v>39509488.383563474</v>
      </c>
      <c r="AM8" s="20">
        <f t="shared" si="2"/>
        <v>38170773.713455737</v>
      </c>
      <c r="AN8" s="20">
        <f t="shared" si="2"/>
        <v>37362101.15897245</v>
      </c>
      <c r="AO8" s="20">
        <f t="shared" si="2"/>
        <v>36873609.238343909</v>
      </c>
      <c r="AP8" s="20">
        <f t="shared" si="2"/>
        <v>36578527.681295365</v>
      </c>
      <c r="AQ8" s="20">
        <f t="shared" si="2"/>
        <v>36400278.826742843</v>
      </c>
      <c r="AR8" s="20">
        <f t="shared" si="2"/>
        <v>36292604.682458535</v>
      </c>
      <c r="AS8" s="20">
        <f t="shared" si="2"/>
        <v>36227562.349499576</v>
      </c>
      <c r="AT8" s="20">
        <f t="shared" si="2"/>
        <v>36188272.461431615</v>
      </c>
      <c r="AU8" s="20">
        <f t="shared" si="2"/>
        <v>36164538.760099493</v>
      </c>
      <c r="AV8" s="20">
        <f t="shared" si="2"/>
        <v>36150202.028522439</v>
      </c>
      <c r="AW8" s="20">
        <f t="shared" si="2"/>
        <v>36141541.690657906</v>
      </c>
      <c r="AX8" s="20">
        <f t="shared" si="2"/>
        <v>38662919.489611439</v>
      </c>
      <c r="AY8" s="20">
        <f t="shared" si="2"/>
        <v>37517090.039042175</v>
      </c>
      <c r="AZ8" s="20">
        <f t="shared" si="2"/>
        <v>36824932.965183079</v>
      </c>
      <c r="BA8" s="20">
        <f t="shared" si="2"/>
        <v>36406824.131747894</v>
      </c>
      <c r="BB8" s="20">
        <f t="shared" si="2"/>
        <v>36154258.632963262</v>
      </c>
      <c r="BC8" s="20">
        <f t="shared" si="2"/>
        <v>36001692.300766379</v>
      </c>
      <c r="BD8" s="20">
        <f t="shared" si="2"/>
        <v>35909532.105363525</v>
      </c>
      <c r="BE8" s="20">
        <f t="shared" si="2"/>
        <v>35853861.227690913</v>
      </c>
      <c r="BF8" s="20">
        <f t="shared" si="2"/>
        <v>35820232.320902117</v>
      </c>
      <c r="BG8" s="20">
        <f t="shared" si="2"/>
        <v>35799918.228164807</v>
      </c>
      <c r="BH8" s="20">
        <f t="shared" si="2"/>
        <v>35787647.16724892</v>
      </c>
      <c r="BI8" s="20">
        <f t="shared" si="2"/>
        <v>35780234.631629013</v>
      </c>
      <c r="BJ8" s="20">
        <f t="shared" si="2"/>
        <v>38221744.724541634</v>
      </c>
      <c r="BK8" s="20">
        <f t="shared" si="2"/>
        <v>33371232.957162321</v>
      </c>
      <c r="BL8" s="20">
        <f t="shared" si="2"/>
        <v>32428900.128395099</v>
      </c>
      <c r="BM8" s="20">
        <f t="shared" si="2"/>
        <v>31722189.812105328</v>
      </c>
      <c r="BN8" s="20">
        <f t="shared" si="2"/>
        <v>31530693.073134724</v>
      </c>
      <c r="BO8" s="20">
        <f t="shared" si="2"/>
        <v>31726961.741772249</v>
      </c>
      <c r="BP8" s="20">
        <f t="shared" si="2"/>
        <v>32587157.232679449</v>
      </c>
      <c r="BQ8" s="20">
        <f t="shared" si="2"/>
        <v>33183990.986142665</v>
      </c>
      <c r="BR8" s="20">
        <f t="shared" si="2"/>
        <v>33136655.46835554</v>
      </c>
      <c r="BS8" s="20">
        <f t="shared" si="2"/>
        <v>32980832.863763135</v>
      </c>
      <c r="BT8" s="20">
        <f t="shared" si="2"/>
        <v>32632619.373346392</v>
      </c>
      <c r="BU8" s="20">
        <f t="shared" si="2"/>
        <v>32077032.376552984</v>
      </c>
      <c r="BV8" s="20">
        <f t="shared" si="2"/>
        <v>33390055.95392786</v>
      </c>
      <c r="BW8" s="20">
        <f t="shared" si="2"/>
        <v>30296568.855705224</v>
      </c>
      <c r="BX8" s="20">
        <f t="shared" si="2"/>
        <v>29704774.206939369</v>
      </c>
      <c r="BY8" s="20">
        <f t="shared" si="2"/>
        <v>29258976.031085666</v>
      </c>
      <c r="BZ8" s="20">
        <f t="shared" si="2"/>
        <v>29140904.936324641</v>
      </c>
      <c r="CA8" s="20">
        <f t="shared" si="2"/>
        <v>29269972.679082677</v>
      </c>
      <c r="CB8" s="20">
        <f t="shared" ref="CB8:CG8" si="3">CA9</f>
        <v>29824357.617351543</v>
      </c>
      <c r="CC8" s="20">
        <f t="shared" si="3"/>
        <v>30208847.339488871</v>
      </c>
      <c r="CD8" s="20">
        <f t="shared" si="3"/>
        <v>30179097.838429295</v>
      </c>
      <c r="CE8" s="20">
        <f t="shared" si="3"/>
        <v>30079396.687002219</v>
      </c>
      <c r="CF8" s="20">
        <f t="shared" si="3"/>
        <v>29855948.153132826</v>
      </c>
      <c r="CG8" s="20">
        <f t="shared" si="3"/>
        <v>29499189.898208071</v>
      </c>
    </row>
    <row r="9" spans="1:101" x14ac:dyDescent="0.3">
      <c r="A9" s="15" t="s">
        <v>233</v>
      </c>
      <c r="B9" s="187"/>
      <c r="C9" s="187"/>
      <c r="D9" s="187"/>
      <c r="E9" s="187"/>
      <c r="F9" s="187"/>
      <c r="G9" s="20"/>
      <c r="H9" s="20"/>
      <c r="I9" s="20"/>
      <c r="J9" s="20"/>
      <c r="K9" s="20"/>
      <c r="L9" s="20"/>
      <c r="M9" s="20"/>
      <c r="N9" s="20">
        <f>N8+N7-N11+N10</f>
        <v>39471584.500746489</v>
      </c>
      <c r="O9" s="20">
        <f>O8+O7-O11+O10</f>
        <v>41372034.007623956</v>
      </c>
      <c r="P9" s="20">
        <f>P8+P7-P11+P10</f>
        <v>38941528.898133658</v>
      </c>
      <c r="Q9" s="20">
        <f t="shared" ref="Q9:CB9" si="4">Q8+Q7-Q11+Q10</f>
        <v>45125032.856429413</v>
      </c>
      <c r="R9" s="20">
        <f t="shared" si="4"/>
        <v>51518710.413035758</v>
      </c>
      <c r="S9" s="20">
        <f t="shared" si="4"/>
        <v>39193866.723449364</v>
      </c>
      <c r="T9" s="20">
        <f t="shared" si="4"/>
        <v>38567909.099270135</v>
      </c>
      <c r="U9" s="20">
        <f t="shared" si="4"/>
        <v>38189831.806527808</v>
      </c>
      <c r="V9" s="20">
        <f t="shared" si="4"/>
        <v>37961473.793515652</v>
      </c>
      <c r="W9" s="20">
        <f t="shared" si="4"/>
        <v>37823545.959424876</v>
      </c>
      <c r="X9" s="20">
        <f t="shared" si="4"/>
        <v>37740237.792717539</v>
      </c>
      <c r="Y9" s="20">
        <f t="shared" si="4"/>
        <v>45709927.271122657</v>
      </c>
      <c r="Z9" s="20">
        <f t="shared" si="4"/>
        <v>42185384.76600986</v>
      </c>
      <c r="AA9" s="20">
        <f t="shared" si="4"/>
        <v>40056327.055179566</v>
      </c>
      <c r="AB9" s="20">
        <f t="shared" si="4"/>
        <v>38770234.823501162</v>
      </c>
      <c r="AC9" s="20">
        <f t="shared" si="4"/>
        <v>37993349.716080323</v>
      </c>
      <c r="AD9" s="20">
        <f t="shared" si="4"/>
        <v>37524059.524237216</v>
      </c>
      <c r="AE9" s="20">
        <f t="shared" si="4"/>
        <v>37240577.086414099</v>
      </c>
      <c r="AF9" s="20">
        <f t="shared" si="4"/>
        <v>37069334.870081984</v>
      </c>
      <c r="AG9" s="20">
        <f t="shared" si="4"/>
        <v>36965893.200539716</v>
      </c>
      <c r="AH9" s="20">
        <f t="shared" si="4"/>
        <v>36903407.563371025</v>
      </c>
      <c r="AI9" s="20">
        <f t="shared" si="4"/>
        <v>36865662.089330874</v>
      </c>
      <c r="AJ9" s="20">
        <f t="shared" si="4"/>
        <v>36842861.316624194</v>
      </c>
      <c r="AK9" s="20">
        <f t="shared" si="4"/>
        <v>39509488.383563474</v>
      </c>
      <c r="AL9" s="20">
        <f t="shared" si="4"/>
        <v>38170773.713455737</v>
      </c>
      <c r="AM9" s="20">
        <f t="shared" si="4"/>
        <v>37362101.15897245</v>
      </c>
      <c r="AN9" s="20">
        <f t="shared" si="4"/>
        <v>36873609.238343909</v>
      </c>
      <c r="AO9" s="20">
        <f t="shared" si="4"/>
        <v>36578527.681295365</v>
      </c>
      <c r="AP9" s="20">
        <f t="shared" si="4"/>
        <v>36400278.826742843</v>
      </c>
      <c r="AQ9" s="20">
        <f t="shared" si="4"/>
        <v>36292604.682458535</v>
      </c>
      <c r="AR9" s="20">
        <f t="shared" si="4"/>
        <v>36227562.349499576</v>
      </c>
      <c r="AS9" s="20">
        <f t="shared" si="4"/>
        <v>36188272.461431615</v>
      </c>
      <c r="AT9" s="20">
        <f t="shared" si="4"/>
        <v>36164538.760099493</v>
      </c>
      <c r="AU9" s="20">
        <f t="shared" si="4"/>
        <v>36150202.028522439</v>
      </c>
      <c r="AV9" s="20">
        <f t="shared" si="4"/>
        <v>36141541.690657906</v>
      </c>
      <c r="AW9" s="20">
        <f t="shared" si="4"/>
        <v>38662919.489611439</v>
      </c>
      <c r="AX9" s="20">
        <f t="shared" si="4"/>
        <v>37517090.039042175</v>
      </c>
      <c r="AY9" s="20">
        <f t="shared" si="4"/>
        <v>36824932.965183079</v>
      </c>
      <c r="AZ9" s="20">
        <f t="shared" si="4"/>
        <v>36406824.131747894</v>
      </c>
      <c r="BA9" s="20">
        <f t="shared" si="4"/>
        <v>36154258.632963262</v>
      </c>
      <c r="BB9" s="20">
        <f t="shared" si="4"/>
        <v>36001692.300766379</v>
      </c>
      <c r="BC9" s="20">
        <f t="shared" si="4"/>
        <v>35909532.105363525</v>
      </c>
      <c r="BD9" s="20">
        <f t="shared" si="4"/>
        <v>35853861.227690913</v>
      </c>
      <c r="BE9" s="20">
        <f t="shared" si="4"/>
        <v>35820232.320902117</v>
      </c>
      <c r="BF9" s="20">
        <f t="shared" si="4"/>
        <v>35799918.228164807</v>
      </c>
      <c r="BG9" s="20">
        <f t="shared" si="4"/>
        <v>35787647.16724892</v>
      </c>
      <c r="BH9" s="20">
        <f t="shared" si="4"/>
        <v>35780234.631629013</v>
      </c>
      <c r="BI9" s="20">
        <f t="shared" si="4"/>
        <v>38221744.724541634</v>
      </c>
      <c r="BJ9" s="20">
        <f t="shared" si="4"/>
        <v>33371232.957162321</v>
      </c>
      <c r="BK9" s="20">
        <f t="shared" si="4"/>
        <v>32428900.128395099</v>
      </c>
      <c r="BL9" s="20">
        <f t="shared" si="4"/>
        <v>31722189.812105328</v>
      </c>
      <c r="BM9" s="20">
        <f t="shared" si="4"/>
        <v>31530693.073134724</v>
      </c>
      <c r="BN9" s="20">
        <f t="shared" si="4"/>
        <v>31726961.741772249</v>
      </c>
      <c r="BO9" s="20">
        <f t="shared" si="4"/>
        <v>32587157.232679449</v>
      </c>
      <c r="BP9" s="20">
        <f t="shared" si="4"/>
        <v>33183990.986142665</v>
      </c>
      <c r="BQ9" s="20">
        <f t="shared" si="4"/>
        <v>33136655.46835554</v>
      </c>
      <c r="BR9" s="20">
        <f t="shared" si="4"/>
        <v>32980832.863763135</v>
      </c>
      <c r="BS9" s="20">
        <f t="shared" si="4"/>
        <v>32632619.373346392</v>
      </c>
      <c r="BT9" s="20">
        <f t="shared" si="4"/>
        <v>32077032.376552984</v>
      </c>
      <c r="BU9" s="20">
        <f t="shared" si="4"/>
        <v>33390055.95392786</v>
      </c>
      <c r="BV9" s="20">
        <f t="shared" si="4"/>
        <v>30296568.855705224</v>
      </c>
      <c r="BW9" s="20">
        <f t="shared" si="4"/>
        <v>29704774.206939369</v>
      </c>
      <c r="BX9" s="20">
        <f t="shared" si="4"/>
        <v>29258976.031085666</v>
      </c>
      <c r="BY9" s="20">
        <f t="shared" si="4"/>
        <v>29140904.936324641</v>
      </c>
      <c r="BZ9" s="20">
        <f t="shared" si="4"/>
        <v>29269972.679082677</v>
      </c>
      <c r="CA9" s="20">
        <f t="shared" si="4"/>
        <v>29824357.617351543</v>
      </c>
      <c r="CB9" s="20">
        <f t="shared" si="4"/>
        <v>30208847.339488871</v>
      </c>
      <c r="CC9" s="20">
        <f>CC8+CC7-CC11+CC10</f>
        <v>30179097.838429295</v>
      </c>
      <c r="CD9" s="20">
        <f>CD8+CD7-CD11+CD10</f>
        <v>30079396.687002219</v>
      </c>
      <c r="CE9" s="20">
        <f>CE8+CE7-CE11+CE10</f>
        <v>29855948.153132826</v>
      </c>
      <c r="CF9" s="20">
        <f>CF8+CF7-CF11+CF10</f>
        <v>29499189.898208071</v>
      </c>
      <c r="CG9" s="20">
        <f>CG8+CG7-CG11+CG10</f>
        <v>30342750.390372638</v>
      </c>
    </row>
    <row r="10" spans="1:101" x14ac:dyDescent="0.3">
      <c r="A10" s="15" t="s">
        <v>234</v>
      </c>
      <c r="B10" s="187"/>
      <c r="C10" s="187"/>
      <c r="D10" s="187"/>
      <c r="E10" s="187"/>
      <c r="F10" s="187"/>
      <c r="G10" s="20"/>
      <c r="H10" s="20"/>
      <c r="I10" s="20"/>
      <c r="J10" s="20"/>
      <c r="K10" s="20"/>
      <c r="L10" s="20"/>
      <c r="M10" s="20"/>
      <c r="N10" s="20">
        <v>188562.10854649098</v>
      </c>
      <c r="O10" s="20">
        <v>177692.23659254299</v>
      </c>
      <c r="P10" s="20">
        <v>138774.85022481502</v>
      </c>
      <c r="Q10" s="20">
        <v>115268.81801087501</v>
      </c>
      <c r="R10" s="20">
        <v>101071.216321443</v>
      </c>
      <c r="S10" s="20">
        <v>92495.890128694504</v>
      </c>
      <c r="T10" s="20">
        <v>87316.408345741496</v>
      </c>
      <c r="U10" s="20">
        <v>84188.010552240899</v>
      </c>
      <c r="V10" s="20">
        <v>82298.463843805803</v>
      </c>
      <c r="W10" s="20">
        <v>81157.180989439905</v>
      </c>
      <c r="X10" s="20">
        <v>80467.848173344406</v>
      </c>
      <c r="Y10" s="20">
        <v>105040.437710233</v>
      </c>
      <c r="Z10" s="20">
        <v>120912.97088563601</v>
      </c>
      <c r="AA10" s="20">
        <v>102997.711182368</v>
      </c>
      <c r="AB10" s="20">
        <v>92175.704707077108</v>
      </c>
      <c r="AC10" s="20">
        <v>85638.494189839403</v>
      </c>
      <c r="AD10" s="20">
        <v>81689.584951589088</v>
      </c>
      <c r="AE10" s="20">
        <v>79304.181555014991</v>
      </c>
      <c r="AF10" s="20">
        <v>77863.239507203296</v>
      </c>
      <c r="AG10" s="20">
        <v>76992.814828453396</v>
      </c>
      <c r="AH10" s="20">
        <v>76467.020524284497</v>
      </c>
      <c r="AI10" s="20">
        <v>76149.405850613402</v>
      </c>
      <c r="AJ10" s="20">
        <v>75957.545497369894</v>
      </c>
      <c r="AK10" s="20">
        <v>84335.3636773568</v>
      </c>
      <c r="AL10" s="20">
        <v>88543.283329216691</v>
      </c>
      <c r="AM10" s="20">
        <v>81738.592805903609</v>
      </c>
      <c r="AN10" s="20">
        <v>77628.107882695098</v>
      </c>
      <c r="AO10" s="20">
        <v>75145.102043408508</v>
      </c>
      <c r="AP10" s="20">
        <v>73645.201639171399</v>
      </c>
      <c r="AQ10" s="20">
        <v>72739.162198169899</v>
      </c>
      <c r="AR10" s="20">
        <v>72191.854212698701</v>
      </c>
      <c r="AS10" s="20">
        <v>71861.243846963</v>
      </c>
      <c r="AT10" s="20">
        <v>71661.533232768707</v>
      </c>
      <c r="AU10" s="20">
        <v>71540.894760550509</v>
      </c>
      <c r="AV10" s="20">
        <v>71468.0211126582</v>
      </c>
      <c r="AW10" s="20">
        <v>79430.378576385701</v>
      </c>
      <c r="AX10" s="20">
        <v>83789.248138158393</v>
      </c>
      <c r="AY10" s="20">
        <v>77964.993741219398</v>
      </c>
      <c r="AZ10" s="20">
        <v>74446.75734155839</v>
      </c>
      <c r="BA10" s="20">
        <v>72321.508937160892</v>
      </c>
      <c r="BB10" s="20">
        <v>71037.717779514613</v>
      </c>
      <c r="BC10" s="20">
        <v>70262.222673605793</v>
      </c>
      <c r="BD10" s="20">
        <v>69793.772134975297</v>
      </c>
      <c r="BE10" s="20">
        <v>69510.796903447394</v>
      </c>
      <c r="BF10" s="20">
        <v>69339.861073397304</v>
      </c>
      <c r="BG10" s="20">
        <v>69236.604481514194</v>
      </c>
      <c r="BH10" s="20">
        <v>69174.230643541203</v>
      </c>
      <c r="BI10" s="20">
        <v>76887.455529697196</v>
      </c>
      <c r="BJ10" s="20">
        <v>69253.755060043404</v>
      </c>
      <c r="BK10" s="20">
        <v>50897.254529995203</v>
      </c>
      <c r="BL10" s="20">
        <v>45671.728302958596</v>
      </c>
      <c r="BM10" s="20">
        <v>42825.468919969397</v>
      </c>
      <c r="BN10" s="20">
        <v>42840.590321554802</v>
      </c>
      <c r="BO10" s="20">
        <v>46188.338493076495</v>
      </c>
      <c r="BP10" s="20">
        <v>50805.406610935701</v>
      </c>
      <c r="BQ10" s="20">
        <v>52546.6693855591</v>
      </c>
      <c r="BR10" s="20">
        <v>51902.897207789305</v>
      </c>
      <c r="BS10" s="20">
        <v>50305.695920643804</v>
      </c>
      <c r="BT10" s="20">
        <v>47441.711940551002</v>
      </c>
      <c r="BU10" s="20">
        <v>49841.894573133701</v>
      </c>
      <c r="BV10" s="20">
        <v>44199.920406259895</v>
      </c>
      <c r="BW10" s="20">
        <v>32521.913993491398</v>
      </c>
      <c r="BX10" s="20">
        <v>29233.965746481001</v>
      </c>
      <c r="BY10" s="20">
        <v>27447.163702490001</v>
      </c>
      <c r="BZ10" s="20">
        <v>27482.010136126399</v>
      </c>
      <c r="CA10" s="20">
        <v>29647.750869078001</v>
      </c>
      <c r="CB10" s="20">
        <v>32622.878704003695</v>
      </c>
      <c r="CC10" s="20">
        <v>33746.987757537499</v>
      </c>
      <c r="CD10" s="20">
        <v>33336.7815226651</v>
      </c>
      <c r="CE10" s="20">
        <v>32312.777292795803</v>
      </c>
      <c r="CF10" s="20">
        <v>30474.2045416603</v>
      </c>
      <c r="CG10" s="20">
        <v>32016.7947799459</v>
      </c>
    </row>
    <row r="11" spans="1:101" s="25" customFormat="1" x14ac:dyDescent="0.3">
      <c r="A11" s="15" t="s">
        <v>235</v>
      </c>
      <c r="B11" s="187"/>
      <c r="C11" s="187"/>
      <c r="D11" s="14"/>
      <c r="E11" s="14"/>
      <c r="F11" s="14"/>
      <c r="G11" s="19"/>
      <c r="H11" s="19"/>
      <c r="I11" s="19"/>
      <c r="J11" s="19"/>
      <c r="K11" s="19"/>
      <c r="L11" s="19"/>
      <c r="M11" s="19"/>
      <c r="N11" s="19">
        <v>4738765.5300000012</v>
      </c>
      <c r="O11" s="19">
        <v>4569849.0699999779</v>
      </c>
      <c r="P11" s="19">
        <v>8861886.3000000119</v>
      </c>
      <c r="Q11" s="19">
        <v>224371.20000001788</v>
      </c>
      <c r="R11" s="19">
        <v>0</v>
      </c>
      <c r="S11" s="19">
        <v>18709945.919999987</v>
      </c>
      <c r="T11" s="19">
        <v>7005880.3728098692</v>
      </c>
      <c r="U11" s="19">
        <v>6754871.6435794691</v>
      </c>
      <c r="V11" s="19">
        <v>6603262.8171408596</v>
      </c>
      <c r="W11" s="19">
        <v>6511691.3553651096</v>
      </c>
      <c r="X11" s="19">
        <v>6456382.3551655803</v>
      </c>
      <c r="Y11" s="19">
        <v>8427977.68309002</v>
      </c>
      <c r="Z11" s="19">
        <v>9539264.4264130909</v>
      </c>
      <c r="AA11" s="19">
        <v>8125864.3724273192</v>
      </c>
      <c r="AB11" s="19">
        <v>7272076.8868001401</v>
      </c>
      <c r="AC11" s="19">
        <v>6756332.5520253312</v>
      </c>
      <c r="AD11" s="19">
        <v>6444788.7272093492</v>
      </c>
      <c r="AE11" s="19">
        <v>6256595.5697927894</v>
      </c>
      <c r="AF11" s="19">
        <v>6142914.4062539795</v>
      </c>
      <c r="AG11" s="19">
        <v>6074243.43478538</v>
      </c>
      <c r="AH11" s="19">
        <v>6032761.6081076302</v>
      </c>
      <c r="AI11" s="19">
        <v>6007703.8303054199</v>
      </c>
      <c r="AJ11" s="19">
        <v>5992567.2686187103</v>
      </c>
      <c r="AK11" s="19">
        <v>6653523.84217685</v>
      </c>
      <c r="AL11" s="19">
        <v>6985501.941384729</v>
      </c>
      <c r="AM11" s="19">
        <v>6448655.1352369692</v>
      </c>
      <c r="AN11" s="19">
        <v>6124364.0164590096</v>
      </c>
      <c r="AO11" s="19">
        <v>5928470.6470397301</v>
      </c>
      <c r="AP11" s="19">
        <v>5810138.04413947</v>
      </c>
      <c r="AQ11" s="19">
        <v>5738657.2944302596</v>
      </c>
      <c r="AR11" s="19">
        <v>5695478.1751194391</v>
      </c>
      <c r="AS11" s="19">
        <v>5669395.1198627008</v>
      </c>
      <c r="AT11" s="19">
        <v>5653639.2225126699</v>
      </c>
      <c r="AU11" s="19">
        <v>5644121.6142853796</v>
      </c>
      <c r="AV11" s="19">
        <v>5638372.3469249699</v>
      </c>
      <c r="AW11" s="19">
        <v>6266551.7121972302</v>
      </c>
      <c r="AX11" s="19">
        <v>6610438.7992932908</v>
      </c>
      <c r="AY11" s="19">
        <v>6150942.1681861896</v>
      </c>
      <c r="AZ11" s="19">
        <v>5873375.6913626101</v>
      </c>
      <c r="BA11" s="19">
        <v>5705707.1083076596</v>
      </c>
      <c r="BB11" s="19">
        <v>5604424.1505622696</v>
      </c>
      <c r="BC11" s="19">
        <v>5543242.5186623298</v>
      </c>
      <c r="BD11" s="19">
        <v>5506284.7503934605</v>
      </c>
      <c r="BE11" s="19">
        <v>5483959.8042781102</v>
      </c>
      <c r="BF11" s="19">
        <v>5470474.05439658</v>
      </c>
      <c r="BG11" s="19">
        <v>5462327.7659832695</v>
      </c>
      <c r="BH11" s="19">
        <v>5457406.86684932</v>
      </c>
      <c r="BI11" s="19">
        <v>6065931.2561724801</v>
      </c>
      <c r="BJ11" s="19">
        <v>5463680.837555808</v>
      </c>
      <c r="BK11" s="19">
        <v>4015469.688519171</v>
      </c>
      <c r="BL11" s="19">
        <v>3603208.9022549191</v>
      </c>
      <c r="BM11" s="19">
        <v>3378657.1384398234</v>
      </c>
      <c r="BN11" s="19">
        <v>3379850.1208565552</v>
      </c>
      <c r="BO11" s="19">
        <v>3643966.1607427252</v>
      </c>
      <c r="BP11" s="19">
        <v>4008223.4718353292</v>
      </c>
      <c r="BQ11" s="19">
        <v>4145598.0307543552</v>
      </c>
      <c r="BR11" s="19">
        <v>4094808.5001594611</v>
      </c>
      <c r="BS11" s="19">
        <v>3968799.4764071763</v>
      </c>
      <c r="BT11" s="19">
        <v>3742849.3546046382</v>
      </c>
      <c r="BU11" s="19">
        <v>3932208.49975</v>
      </c>
      <c r="BV11" s="19">
        <v>3487092.6195380669</v>
      </c>
      <c r="BW11" s="19">
        <v>2565772.1827909383</v>
      </c>
      <c r="BX11" s="19">
        <v>2306373.9766360503</v>
      </c>
      <c r="BY11" s="19">
        <v>2165406.6589823668</v>
      </c>
      <c r="BZ11" s="19">
        <v>2168155.8209816208</v>
      </c>
      <c r="CA11" s="19">
        <v>2339018.9912383412</v>
      </c>
      <c r="CB11" s="19">
        <v>2573737.6563398819</v>
      </c>
      <c r="CC11" s="19">
        <v>2662422.7116093165</v>
      </c>
      <c r="CD11" s="19">
        <v>2630060.0484876586</v>
      </c>
      <c r="CE11" s="19">
        <v>2549272.6271635387</v>
      </c>
      <c r="CF11" s="19">
        <v>2404220.9299649978</v>
      </c>
      <c r="CG11" s="19">
        <v>2525921.4892749549</v>
      </c>
    </row>
    <row r="12" spans="1:101" s="25" customFormat="1" x14ac:dyDescent="0.3">
      <c r="A12" s="15" t="s">
        <v>236</v>
      </c>
      <c r="B12" s="187"/>
      <c r="C12" s="187"/>
      <c r="D12" s="14"/>
      <c r="E12" s="14"/>
      <c r="F12" s="14"/>
      <c r="G12" s="19"/>
      <c r="H12" s="19"/>
      <c r="I12" s="19"/>
      <c r="J12" s="19"/>
      <c r="K12" s="19"/>
      <c r="L12" s="19"/>
      <c r="M12" s="19">
        <f>B36</f>
        <v>91861821.299999997</v>
      </c>
      <c r="N12" s="19">
        <f t="shared" ref="N12:BY12" si="5">M12+N11</f>
        <v>96600586.829999998</v>
      </c>
      <c r="O12" s="19">
        <f t="shared" si="5"/>
        <v>101170435.89999998</v>
      </c>
      <c r="P12" s="19">
        <f t="shared" si="5"/>
        <v>110032322.19999999</v>
      </c>
      <c r="Q12" s="19">
        <f t="shared" si="5"/>
        <v>110256693.40000001</v>
      </c>
      <c r="R12" s="19">
        <f t="shared" si="5"/>
        <v>110256693.40000001</v>
      </c>
      <c r="S12" s="19">
        <f t="shared" si="5"/>
        <v>128966639.31999999</v>
      </c>
      <c r="T12" s="19">
        <f t="shared" si="5"/>
        <v>135972519.69280985</v>
      </c>
      <c r="U12" s="19">
        <f t="shared" si="5"/>
        <v>142727391.33638933</v>
      </c>
      <c r="V12" s="19">
        <f t="shared" si="5"/>
        <v>149330654.15353018</v>
      </c>
      <c r="W12" s="19">
        <f t="shared" si="5"/>
        <v>155842345.50889528</v>
      </c>
      <c r="X12" s="19">
        <f t="shared" si="5"/>
        <v>162298727.86406085</v>
      </c>
      <c r="Y12" s="19">
        <f t="shared" si="5"/>
        <v>170726705.54715088</v>
      </c>
      <c r="Z12" s="19">
        <f t="shared" si="5"/>
        <v>180265969.97356397</v>
      </c>
      <c r="AA12" s="19">
        <f t="shared" si="5"/>
        <v>188391834.34599128</v>
      </c>
      <c r="AB12" s="19">
        <f t="shared" si="5"/>
        <v>195663911.23279142</v>
      </c>
      <c r="AC12" s="19">
        <f t="shared" si="5"/>
        <v>202420243.78481674</v>
      </c>
      <c r="AD12" s="19">
        <f t="shared" si="5"/>
        <v>208865032.5120261</v>
      </c>
      <c r="AE12" s="19">
        <f t="shared" si="5"/>
        <v>215121628.08181888</v>
      </c>
      <c r="AF12" s="19">
        <f t="shared" si="5"/>
        <v>221264542.48807287</v>
      </c>
      <c r="AG12" s="19">
        <f t="shared" si="5"/>
        <v>227338785.92285824</v>
      </c>
      <c r="AH12" s="19">
        <f t="shared" si="5"/>
        <v>233371547.53096586</v>
      </c>
      <c r="AI12" s="19">
        <f t="shared" si="5"/>
        <v>239379251.36127129</v>
      </c>
      <c r="AJ12" s="19">
        <f t="shared" si="5"/>
        <v>245371818.62988999</v>
      </c>
      <c r="AK12" s="19">
        <f t="shared" si="5"/>
        <v>252025342.47206685</v>
      </c>
      <c r="AL12" s="19">
        <f t="shared" si="5"/>
        <v>259010844.41345158</v>
      </c>
      <c r="AM12" s="19">
        <f t="shared" si="5"/>
        <v>265459499.54868856</v>
      </c>
      <c r="AN12" s="19">
        <f t="shared" si="5"/>
        <v>271583863.56514758</v>
      </c>
      <c r="AO12" s="19">
        <f t="shared" si="5"/>
        <v>277512334.21218729</v>
      </c>
      <c r="AP12" s="19">
        <f t="shared" si="5"/>
        <v>283322472.25632674</v>
      </c>
      <c r="AQ12" s="19">
        <f t="shared" si="5"/>
        <v>289061129.55075699</v>
      </c>
      <c r="AR12" s="19">
        <f t="shared" si="5"/>
        <v>294756607.72587645</v>
      </c>
      <c r="AS12" s="19">
        <f t="shared" si="5"/>
        <v>300426002.84573913</v>
      </c>
      <c r="AT12" s="19">
        <f t="shared" si="5"/>
        <v>306079642.06825179</v>
      </c>
      <c r="AU12" s="19">
        <f t="shared" si="5"/>
        <v>311723763.6825372</v>
      </c>
      <c r="AV12" s="19">
        <f t="shared" si="5"/>
        <v>317362136.02946216</v>
      </c>
      <c r="AW12" s="19">
        <f t="shared" si="5"/>
        <v>323628687.7416594</v>
      </c>
      <c r="AX12" s="19">
        <f t="shared" si="5"/>
        <v>330239126.54095268</v>
      </c>
      <c r="AY12" s="19">
        <f t="shared" si="5"/>
        <v>336390068.70913887</v>
      </c>
      <c r="AZ12" s="19">
        <f t="shared" si="5"/>
        <v>342263444.40050149</v>
      </c>
      <c r="BA12" s="19">
        <f t="shared" si="5"/>
        <v>347969151.50880915</v>
      </c>
      <c r="BB12" s="19">
        <f t="shared" si="5"/>
        <v>353573575.65937144</v>
      </c>
      <c r="BC12" s="19">
        <f t="shared" si="5"/>
        <v>359116818.17803377</v>
      </c>
      <c r="BD12" s="19">
        <f t="shared" si="5"/>
        <v>364623102.92842722</v>
      </c>
      <c r="BE12" s="19">
        <f t="shared" si="5"/>
        <v>370107062.73270535</v>
      </c>
      <c r="BF12" s="19">
        <f t="shared" si="5"/>
        <v>375577536.78710192</v>
      </c>
      <c r="BG12" s="19">
        <f t="shared" si="5"/>
        <v>381039864.55308521</v>
      </c>
      <c r="BH12" s="19">
        <f t="shared" si="5"/>
        <v>386497271.41993451</v>
      </c>
      <c r="BI12" s="19">
        <f t="shared" si="5"/>
        <v>392563202.67610699</v>
      </c>
      <c r="BJ12" s="19">
        <f t="shared" si="5"/>
        <v>398026883.51366282</v>
      </c>
      <c r="BK12" s="19">
        <f t="shared" si="5"/>
        <v>402042353.20218199</v>
      </c>
      <c r="BL12" s="19">
        <f t="shared" si="5"/>
        <v>405645562.10443693</v>
      </c>
      <c r="BM12" s="19">
        <f t="shared" si="5"/>
        <v>409024219.24287677</v>
      </c>
      <c r="BN12" s="19">
        <f t="shared" si="5"/>
        <v>412404069.36373335</v>
      </c>
      <c r="BO12" s="19">
        <f t="shared" si="5"/>
        <v>416048035.52447605</v>
      </c>
      <c r="BP12" s="19">
        <f t="shared" si="5"/>
        <v>420056258.99631137</v>
      </c>
      <c r="BQ12" s="19">
        <f t="shared" si="5"/>
        <v>424201857.02706569</v>
      </c>
      <c r="BR12" s="19">
        <f t="shared" si="5"/>
        <v>428296665.52722514</v>
      </c>
      <c r="BS12" s="19">
        <f t="shared" si="5"/>
        <v>432265465.00363231</v>
      </c>
      <c r="BT12" s="19">
        <f t="shared" si="5"/>
        <v>436008314.35823697</v>
      </c>
      <c r="BU12" s="19">
        <f t="shared" si="5"/>
        <v>439940522.85798699</v>
      </c>
      <c r="BV12" s="19">
        <f t="shared" si="5"/>
        <v>443427615.47752506</v>
      </c>
      <c r="BW12" s="19">
        <f t="shared" si="5"/>
        <v>445993387.66031599</v>
      </c>
      <c r="BX12" s="19">
        <f t="shared" si="5"/>
        <v>448299761.63695204</v>
      </c>
      <c r="BY12" s="19">
        <f t="shared" si="5"/>
        <v>450465168.29593444</v>
      </c>
      <c r="BZ12" s="19">
        <f t="shared" ref="BZ12:CG12" si="6">BY12+BZ11</f>
        <v>452633324.11691606</v>
      </c>
      <c r="CA12" s="19">
        <f t="shared" si="6"/>
        <v>454972343.10815442</v>
      </c>
      <c r="CB12" s="19">
        <f t="shared" si="6"/>
        <v>457546080.7644943</v>
      </c>
      <c r="CC12" s="19">
        <f t="shared" si="6"/>
        <v>460208503.4761036</v>
      </c>
      <c r="CD12" s="19">
        <f t="shared" si="6"/>
        <v>462838563.52459127</v>
      </c>
      <c r="CE12" s="19">
        <f t="shared" si="6"/>
        <v>465387836.1517548</v>
      </c>
      <c r="CF12" s="19">
        <f t="shared" si="6"/>
        <v>467792057.08171982</v>
      </c>
      <c r="CG12" s="19">
        <f t="shared" si="6"/>
        <v>470317978.57099479</v>
      </c>
      <c r="CP12" s="19">
        <f t="shared" ref="CP12:CU12" si="7">AVERAGEIF($B$5:$CG$5,CP$5,$B12:$CG12)</f>
        <v>131181809.59606968</v>
      </c>
      <c r="CQ12" s="19">
        <f t="shared" si="7"/>
        <v>217456659.02801111</v>
      </c>
      <c r="CR12" s="19">
        <f t="shared" si="7"/>
        <v>291660581.97000712</v>
      </c>
      <c r="CS12" s="19">
        <f t="shared" si="7"/>
        <v>361663352.17451406</v>
      </c>
      <c r="CT12" s="19">
        <f t="shared" si="7"/>
        <v>418663350.56015223</v>
      </c>
      <c r="CU12" s="19">
        <f t="shared" si="7"/>
        <v>456656884.98878795</v>
      </c>
      <c r="CW12" s="19">
        <f>AVERAGE(AD12:AO12)</f>
        <v>243025374.22820377</v>
      </c>
    </row>
    <row r="13" spans="1:101" s="25" customFormat="1" x14ac:dyDescent="0.3">
      <c r="A13" s="15" t="s">
        <v>237</v>
      </c>
      <c r="B13" s="187"/>
      <c r="C13" s="187"/>
      <c r="D13" s="14"/>
      <c r="E13" s="14"/>
      <c r="F13" s="14"/>
      <c r="G13" s="19"/>
      <c r="H13" s="19"/>
      <c r="I13" s="19"/>
      <c r="J13" s="19"/>
      <c r="K13" s="19"/>
      <c r="L13" s="19"/>
      <c r="M13" s="19">
        <f t="shared" ref="M13:BX13" si="8">M12*$B$2/12</f>
        <v>657842.85390612169</v>
      </c>
      <c r="N13" s="19">
        <f t="shared" si="8"/>
        <v>691778.20371882082</v>
      </c>
      <c r="O13" s="19">
        <f t="shared" si="8"/>
        <v>724503.90533877152</v>
      </c>
      <c r="P13" s="19">
        <f>P12*$B$2/12</f>
        <v>787965.83644445892</v>
      </c>
      <c r="Q13" s="19">
        <f t="shared" si="8"/>
        <v>789572.60831609776</v>
      </c>
      <c r="R13" s="19">
        <f t="shared" si="8"/>
        <v>789572.60831609776</v>
      </c>
      <c r="S13" s="19">
        <f t="shared" si="8"/>
        <v>923558.67615429312</v>
      </c>
      <c r="T13" s="19">
        <f t="shared" si="8"/>
        <v>973729.33762553614</v>
      </c>
      <c r="U13" s="19">
        <f t="shared" si="8"/>
        <v>1022102.469976896</v>
      </c>
      <c r="V13" s="19">
        <f t="shared" si="8"/>
        <v>1069389.8979338694</v>
      </c>
      <c r="W13" s="19">
        <f t="shared" si="8"/>
        <v>1116021.5623658176</v>
      </c>
      <c r="X13" s="19">
        <f t="shared" si="8"/>
        <v>1162257.1467938747</v>
      </c>
      <c r="Y13" s="19">
        <f t="shared" si="8"/>
        <v>1222611.7621633508</v>
      </c>
      <c r="Z13" s="19">
        <f t="shared" si="8"/>
        <v>1290924.5481023851</v>
      </c>
      <c r="AA13" s="19">
        <f t="shared" si="8"/>
        <v>1349115.6631223492</v>
      </c>
      <c r="AB13" s="19">
        <f t="shared" si="8"/>
        <v>1401192.6168049269</v>
      </c>
      <c r="AC13" s="19">
        <f t="shared" si="8"/>
        <v>1449576.211045325</v>
      </c>
      <c r="AD13" s="19">
        <f t="shared" si="8"/>
        <v>1495728.7709350714</v>
      </c>
      <c r="AE13" s="19">
        <f t="shared" si="8"/>
        <v>1540533.6379312025</v>
      </c>
      <c r="AF13" s="19">
        <f t="shared" si="8"/>
        <v>1584524.4089296777</v>
      </c>
      <c r="AG13" s="19">
        <f t="shared" si="8"/>
        <v>1628023.4118877186</v>
      </c>
      <c r="AH13" s="19">
        <f t="shared" si="8"/>
        <v>1671225.3542948067</v>
      </c>
      <c r="AI13" s="19">
        <f t="shared" si="8"/>
        <v>1714247.8524036144</v>
      </c>
      <c r="AJ13" s="19">
        <f t="shared" si="8"/>
        <v>1757161.9542407452</v>
      </c>
      <c r="AK13" s="19">
        <f t="shared" si="8"/>
        <v>1804809.3125331076</v>
      </c>
      <c r="AL13" s="19">
        <f t="shared" si="8"/>
        <v>1854834.0395421647</v>
      </c>
      <c r="AM13" s="19">
        <f t="shared" si="8"/>
        <v>1901014.2876363818</v>
      </c>
      <c r="AN13" s="19">
        <f t="shared" si="8"/>
        <v>1944872.2151837794</v>
      </c>
      <c r="AO13" s="19">
        <f t="shared" si="8"/>
        <v>1987327.3069134625</v>
      </c>
      <c r="AP13" s="19">
        <f t="shared" si="8"/>
        <v>2028934.9926577166</v>
      </c>
      <c r="AQ13" s="19">
        <f t="shared" si="8"/>
        <v>2070030.7889170619</v>
      </c>
      <c r="AR13" s="19">
        <f t="shared" si="8"/>
        <v>2110817.3699368811</v>
      </c>
      <c r="AS13" s="19">
        <f t="shared" si="8"/>
        <v>2151417.1644194224</v>
      </c>
      <c r="AT13" s="19">
        <f t="shared" si="8"/>
        <v>2191904.127430391</v>
      </c>
      <c r="AU13" s="19">
        <f t="shared" si="8"/>
        <v>2232322.9327402604</v>
      </c>
      <c r="AV13" s="19">
        <f t="shared" si="8"/>
        <v>2272700.5662728376</v>
      </c>
      <c r="AW13" s="19">
        <f t="shared" si="8"/>
        <v>2317576.7314104661</v>
      </c>
      <c r="AX13" s="19">
        <f t="shared" si="8"/>
        <v>2364915.5481654401</v>
      </c>
      <c r="AY13" s="19">
        <f t="shared" si="8"/>
        <v>2408963.8077456267</v>
      </c>
      <c r="AZ13" s="19">
        <f t="shared" si="8"/>
        <v>2451024.3522916646</v>
      </c>
      <c r="BA13" s="19">
        <f t="shared" si="8"/>
        <v>2491884.1849682187</v>
      </c>
      <c r="BB13" s="19">
        <f t="shared" si="8"/>
        <v>2532018.7079455713</v>
      </c>
      <c r="BC13" s="19">
        <f t="shared" si="8"/>
        <v>2571715.0957023702</v>
      </c>
      <c r="BD13" s="19">
        <f t="shared" si="8"/>
        <v>2611146.8206927674</v>
      </c>
      <c r="BE13" s="19">
        <f t="shared" si="8"/>
        <v>2650418.6717980402</v>
      </c>
      <c r="BF13" s="19">
        <f t="shared" si="8"/>
        <v>2689593.9484607033</v>
      </c>
      <c r="BG13" s="19">
        <f t="shared" si="8"/>
        <v>2728710.8877472654</v>
      </c>
      <c r="BH13" s="19">
        <f t="shared" si="8"/>
        <v>2767792.5873849257</v>
      </c>
      <c r="BI13" s="19">
        <f t="shared" si="8"/>
        <v>2811232.0649903934</v>
      </c>
      <c r="BJ13" s="19">
        <f t="shared" si="8"/>
        <v>2850358.6939222533</v>
      </c>
      <c r="BK13" s="19">
        <f t="shared" si="8"/>
        <v>2879114.3619711404</v>
      </c>
      <c r="BL13" s="19">
        <f t="shared" si="8"/>
        <v>2904917.7391950507</v>
      </c>
      <c r="BM13" s="19">
        <f t="shared" si="8"/>
        <v>2929113.0514898389</v>
      </c>
      <c r="BN13" s="19">
        <f t="shared" si="8"/>
        <v>2953316.9069960136</v>
      </c>
      <c r="BO13" s="19">
        <f t="shared" si="8"/>
        <v>2979412.1559775434</v>
      </c>
      <c r="BP13" s="19">
        <f t="shared" si="8"/>
        <v>3008115.9322633906</v>
      </c>
      <c r="BQ13" s="19">
        <f t="shared" si="8"/>
        <v>3037803.4782003774</v>
      </c>
      <c r="BR13" s="19">
        <f t="shared" si="8"/>
        <v>3067127.3090565801</v>
      </c>
      <c r="BS13" s="19">
        <f t="shared" si="8"/>
        <v>3095548.761376956</v>
      </c>
      <c r="BT13" s="19">
        <f t="shared" si="8"/>
        <v>3122352.1348168622</v>
      </c>
      <c r="BU13" s="19">
        <f t="shared" si="8"/>
        <v>3150511.5510468278</v>
      </c>
      <c r="BV13" s="19">
        <f t="shared" si="8"/>
        <v>3175483.3938451582</v>
      </c>
      <c r="BW13" s="19">
        <f t="shared" si="8"/>
        <v>3193857.4568815082</v>
      </c>
      <c r="BX13" s="19">
        <f t="shared" si="8"/>
        <v>3210373.9118950679</v>
      </c>
      <c r="BY13" s="19">
        <f t="shared" ref="BY13:CG13" si="9">BY12*$B$2/12</f>
        <v>3225880.8687162288</v>
      </c>
      <c r="BZ13" s="19">
        <f t="shared" si="9"/>
        <v>3241407.5128955306</v>
      </c>
      <c r="CA13" s="19">
        <f t="shared" si="9"/>
        <v>3258157.7460910142</v>
      </c>
      <c r="CB13" s="19">
        <f t="shared" si="9"/>
        <v>3276588.8516481635</v>
      </c>
      <c r="CC13" s="19">
        <f t="shared" si="9"/>
        <v>3295655.0505338754</v>
      </c>
      <c r="CD13" s="19">
        <f t="shared" si="9"/>
        <v>3314489.4932191703</v>
      </c>
      <c r="CE13" s="19">
        <f t="shared" si="9"/>
        <v>3332745.3992822692</v>
      </c>
      <c r="CF13" s="19">
        <f t="shared" si="9"/>
        <v>3349962.558006173</v>
      </c>
      <c r="CG13" s="19">
        <f t="shared" si="9"/>
        <v>3368051.2413975117</v>
      </c>
      <c r="CH13" s="62">
        <f>SUM(N13:AB13)</f>
        <v>15314296.843177544</v>
      </c>
      <c r="CI13" s="19">
        <f>SUM(N13:Y13)</f>
        <v>11273064.015147883</v>
      </c>
      <c r="CJ13" s="19">
        <f>SUM(P13:Y13)</f>
        <v>9856781.9060902912</v>
      </c>
      <c r="CK13" s="19">
        <f>SUM(R13:Y13)</f>
        <v>8279243.4613297358</v>
      </c>
      <c r="CL13" s="19">
        <f>SUM(Z13:AB13)</f>
        <v>4041232.8280296614</v>
      </c>
      <c r="CP13" s="19">
        <f t="shared" ref="CP13:CU13" si="10">SUMIF($B$5:$CG$5,CP$5,$B13:$CG13)</f>
        <v>11273064.015147883</v>
      </c>
      <c r="CQ13" s="19">
        <f t="shared" si="10"/>
        <v>18687063.742230929</v>
      </c>
      <c r="CR13" s="19">
        <f t="shared" si="10"/>
        <v>25063752.523060825</v>
      </c>
      <c r="CS13" s="19">
        <f t="shared" si="10"/>
        <v>31079416.677892983</v>
      </c>
      <c r="CT13" s="19">
        <f t="shared" si="10"/>
        <v>35977692.076312833</v>
      </c>
      <c r="CU13" s="19">
        <f t="shared" si="10"/>
        <v>39242653.484411672</v>
      </c>
      <c r="CW13" s="19">
        <f>SUM(AD13:AO13)</f>
        <v>20884302.552431729</v>
      </c>
    </row>
    <row r="14" spans="1:101" s="25" customFormat="1" hidden="1" outlineLevel="1" x14ac:dyDescent="0.3">
      <c r="A14" s="15" t="s">
        <v>238</v>
      </c>
      <c r="B14" s="187"/>
      <c r="C14" s="187"/>
      <c r="D14" s="14"/>
      <c r="E14" s="14"/>
      <c r="F14" s="14"/>
      <c r="G14" s="19"/>
      <c r="H14" s="19"/>
      <c r="I14" s="19"/>
      <c r="J14" s="19"/>
      <c r="K14" s="19"/>
      <c r="L14" s="19"/>
      <c r="M14" s="19"/>
      <c r="N14" s="19"/>
      <c r="O14" s="19"/>
      <c r="P14" s="19">
        <f t="shared" ref="P14:AA14" si="11">P13</f>
        <v>787965.83644445892</v>
      </c>
      <c r="Q14" s="19">
        <f t="shared" si="11"/>
        <v>789572.60831609776</v>
      </c>
      <c r="R14" s="19">
        <f t="shared" si="11"/>
        <v>789572.60831609776</v>
      </c>
      <c r="S14" s="19">
        <f t="shared" si="11"/>
        <v>923558.67615429312</v>
      </c>
      <c r="T14" s="19">
        <f t="shared" si="11"/>
        <v>973729.33762553614</v>
      </c>
      <c r="U14" s="19">
        <f t="shared" si="11"/>
        <v>1022102.469976896</v>
      </c>
      <c r="V14" s="19">
        <f t="shared" si="11"/>
        <v>1069389.8979338694</v>
      </c>
      <c r="W14" s="19">
        <f t="shared" si="11"/>
        <v>1116021.5623658176</v>
      </c>
      <c r="X14" s="19">
        <f t="shared" si="11"/>
        <v>1162257.1467938747</v>
      </c>
      <c r="Y14" s="19">
        <f t="shared" si="11"/>
        <v>1222611.7621633508</v>
      </c>
      <c r="Z14" s="19">
        <f t="shared" si="11"/>
        <v>1290924.5481023851</v>
      </c>
      <c r="AA14" s="19">
        <f t="shared" si="11"/>
        <v>1349115.6631223492</v>
      </c>
      <c r="AB14" s="19">
        <f>AB13</f>
        <v>1401192.6168049269</v>
      </c>
      <c r="AC14" s="19">
        <f>AC13</f>
        <v>1449576.211045325</v>
      </c>
      <c r="AD14" s="19">
        <f t="shared" ref="AD14:AK14" si="12">AD13-$M$13</f>
        <v>837885.91702894971</v>
      </c>
      <c r="AE14" s="19">
        <f t="shared" si="12"/>
        <v>882690.78402508085</v>
      </c>
      <c r="AF14" s="19">
        <f t="shared" si="12"/>
        <v>926681.55502355599</v>
      </c>
      <c r="AG14" s="19">
        <f t="shared" si="12"/>
        <v>970180.55798159691</v>
      </c>
      <c r="AH14" s="19">
        <f t="shared" si="12"/>
        <v>1013382.500388685</v>
      </c>
      <c r="AI14" s="19">
        <f t="shared" si="12"/>
        <v>1056404.9984974926</v>
      </c>
      <c r="AJ14" s="19">
        <f t="shared" si="12"/>
        <v>1099319.1003346234</v>
      </c>
      <c r="AK14" s="19">
        <f t="shared" si="12"/>
        <v>1146966.458626986</v>
      </c>
      <c r="AL14" s="19">
        <f>AL13-$AE$13</f>
        <v>314300.40161096212</v>
      </c>
      <c r="AM14" s="19">
        <f t="shared" ref="AM14:AW14" si="13">AM13-$AE$13</f>
        <v>360480.64970517927</v>
      </c>
      <c r="AN14" s="19">
        <f t="shared" si="13"/>
        <v>404338.57725257683</v>
      </c>
      <c r="AO14" s="19">
        <f t="shared" si="13"/>
        <v>446793.66898225993</v>
      </c>
      <c r="AP14" s="19">
        <f t="shared" si="13"/>
        <v>488401.35472651408</v>
      </c>
      <c r="AQ14" s="19">
        <f t="shared" si="13"/>
        <v>529497.15098585933</v>
      </c>
      <c r="AR14" s="19">
        <f t="shared" si="13"/>
        <v>570283.73200567858</v>
      </c>
      <c r="AS14" s="19">
        <f t="shared" si="13"/>
        <v>610883.52648821985</v>
      </c>
      <c r="AT14" s="19">
        <f t="shared" si="13"/>
        <v>651370.48949918849</v>
      </c>
      <c r="AU14" s="19">
        <f t="shared" si="13"/>
        <v>691789.29480905784</v>
      </c>
      <c r="AV14" s="19">
        <f t="shared" si="13"/>
        <v>732166.92834163504</v>
      </c>
      <c r="AW14" s="19">
        <f t="shared" si="13"/>
        <v>777043.0934792636</v>
      </c>
      <c r="AX14" s="19">
        <f t="shared" ref="AX14:BC14" si="14">AX13-$AQ$13</f>
        <v>294884.75924837822</v>
      </c>
      <c r="AY14" s="19">
        <f t="shared" si="14"/>
        <v>338933.01882856479</v>
      </c>
      <c r="AZ14" s="19">
        <f t="shared" si="14"/>
        <v>380993.5633746027</v>
      </c>
      <c r="BA14" s="19">
        <f t="shared" si="14"/>
        <v>421853.3960511568</v>
      </c>
      <c r="BB14" s="19">
        <f t="shared" si="14"/>
        <v>461987.91902850941</v>
      </c>
      <c r="BC14" s="19">
        <f t="shared" si="14"/>
        <v>501684.30678530829</v>
      </c>
      <c r="BD14" s="19">
        <f>BD13-$BC$13</f>
        <v>39431.724990397226</v>
      </c>
      <c r="BE14" s="19">
        <f t="shared" ref="BE14:CG14" si="15">BE13-$BC$13</f>
        <v>78703.576095669996</v>
      </c>
      <c r="BF14" s="19">
        <f t="shared" si="15"/>
        <v>117878.85275833309</v>
      </c>
      <c r="BG14" s="19">
        <f t="shared" si="15"/>
        <v>156995.79204489524</v>
      </c>
      <c r="BH14" s="19">
        <f t="shared" si="15"/>
        <v>196077.49168255553</v>
      </c>
      <c r="BI14" s="19">
        <f t="shared" si="15"/>
        <v>239516.96928802319</v>
      </c>
      <c r="BJ14" s="19">
        <f t="shared" si="15"/>
        <v>278643.59821988316</v>
      </c>
      <c r="BK14" s="19">
        <f t="shared" si="15"/>
        <v>307399.26626877021</v>
      </c>
      <c r="BL14" s="19">
        <f t="shared" si="15"/>
        <v>333202.64349268051</v>
      </c>
      <c r="BM14" s="19">
        <f t="shared" si="15"/>
        <v>357397.9557874687</v>
      </c>
      <c r="BN14" s="19">
        <f t="shared" si="15"/>
        <v>381601.81129364343</v>
      </c>
      <c r="BO14" s="19">
        <f t="shared" si="15"/>
        <v>407697.06027517328</v>
      </c>
      <c r="BP14" s="19">
        <f t="shared" si="15"/>
        <v>436400.83656102046</v>
      </c>
      <c r="BQ14" s="19">
        <f t="shared" si="15"/>
        <v>466088.38249800727</v>
      </c>
      <c r="BR14" s="19">
        <f t="shared" si="15"/>
        <v>495412.2133542099</v>
      </c>
      <c r="BS14" s="19">
        <f t="shared" si="15"/>
        <v>523833.66567458585</v>
      </c>
      <c r="BT14" s="19">
        <f t="shared" si="15"/>
        <v>550637.03911449201</v>
      </c>
      <c r="BU14" s="19">
        <f t="shared" si="15"/>
        <v>578796.45534445764</v>
      </c>
      <c r="BV14" s="19">
        <f t="shared" si="15"/>
        <v>603768.298142788</v>
      </c>
      <c r="BW14" s="19">
        <f t="shared" si="15"/>
        <v>622142.36117913807</v>
      </c>
      <c r="BX14" s="19">
        <f t="shared" si="15"/>
        <v>638658.81619269773</v>
      </c>
      <c r="BY14" s="19">
        <f t="shared" si="15"/>
        <v>654165.77301385859</v>
      </c>
      <c r="BZ14" s="19">
        <f t="shared" si="15"/>
        <v>669692.41719316039</v>
      </c>
      <c r="CA14" s="19">
        <f t="shared" si="15"/>
        <v>686442.65038864408</v>
      </c>
      <c r="CB14" s="19">
        <f t="shared" si="15"/>
        <v>704873.75594579335</v>
      </c>
      <c r="CC14" s="19">
        <f t="shared" si="15"/>
        <v>723939.95483150519</v>
      </c>
      <c r="CD14" s="19">
        <f t="shared" si="15"/>
        <v>742774.39751680009</v>
      </c>
      <c r="CE14" s="19">
        <f t="shared" si="15"/>
        <v>761030.30357989902</v>
      </c>
      <c r="CF14" s="19">
        <f t="shared" si="15"/>
        <v>778247.46230380284</v>
      </c>
      <c r="CG14" s="19">
        <f t="shared" si="15"/>
        <v>796336.14569514152</v>
      </c>
      <c r="CH14" s="62"/>
      <c r="CI14" s="19"/>
      <c r="CJ14" s="19"/>
      <c r="CK14" s="19"/>
      <c r="CL14" s="19"/>
      <c r="CW14" s="19">
        <f t="shared" ref="CW14" si="16">AVERAGE(AD14:AO14)</f>
        <v>788285.43078816228</v>
      </c>
    </row>
    <row r="15" spans="1:101" s="25" customFormat="1" collapsed="1" x14ac:dyDescent="0.3">
      <c r="A15" s="15" t="s">
        <v>239</v>
      </c>
      <c r="B15" s="15"/>
      <c r="C15" s="15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CH15" s="62">
        <f>SUM(H13:M13)</f>
        <v>657842.85390612169</v>
      </c>
      <c r="CI15" s="62">
        <f t="shared" ref="CI15:CL17" si="17">CI$13*$CN15</f>
        <v>7327491.6098461244</v>
      </c>
      <c r="CJ15" s="62">
        <f t="shared" si="17"/>
        <v>6406908.2389586894</v>
      </c>
      <c r="CK15" s="62">
        <f>CK$13*$CN15</f>
        <v>5381508.2498643287</v>
      </c>
      <c r="CL15" s="62">
        <f>CL$13*$CN15</f>
        <v>2626801.3382192799</v>
      </c>
      <c r="CM15" s="25" t="s">
        <v>240</v>
      </c>
      <c r="CN15" s="189">
        <v>0.65</v>
      </c>
    </row>
    <row r="16" spans="1:101" s="25" customFormat="1" x14ac:dyDescent="0.3">
      <c r="A16" s="15" t="s">
        <v>241</v>
      </c>
      <c r="B16" s="15"/>
      <c r="C16" s="15"/>
      <c r="D16" s="188"/>
      <c r="E16" s="188"/>
      <c r="F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86">
        <f>CH13+CH15</f>
        <v>15972139.697083665</v>
      </c>
      <c r="CI16" s="62">
        <f t="shared" si="17"/>
        <v>3945572.405301759</v>
      </c>
      <c r="CJ16" s="62">
        <f t="shared" si="17"/>
        <v>3449873.6671316018</v>
      </c>
      <c r="CK16" s="62">
        <f t="shared" si="17"/>
        <v>2897735.2114654072</v>
      </c>
      <c r="CL16" s="62">
        <f t="shared" si="17"/>
        <v>1414431.4898103813</v>
      </c>
      <c r="CM16" s="25" t="s">
        <v>242</v>
      </c>
      <c r="CN16" s="189">
        <v>0.35</v>
      </c>
    </row>
    <row r="17" spans="1:101" s="25" customFormat="1" x14ac:dyDescent="0.3">
      <c r="A17" s="15" t="s">
        <v>243</v>
      </c>
      <c r="B17" s="15"/>
      <c r="C17" s="15"/>
      <c r="D17" s="188"/>
      <c r="E17" s="188"/>
      <c r="F17" s="188"/>
      <c r="G17" s="62"/>
      <c r="H17" s="62"/>
      <c r="I17" s="62"/>
      <c r="J17" s="62"/>
      <c r="K17" s="62"/>
      <c r="L17" s="62"/>
      <c r="M17" s="62">
        <f>C36-M13</f>
        <v>-9623901.8539061211</v>
      </c>
      <c r="N17" s="62">
        <f t="shared" ref="N17:BY17" si="18">M17-N13</f>
        <v>-10315680.057624942</v>
      </c>
      <c r="O17" s="62">
        <f t="shared" si="18"/>
        <v>-11040183.962963713</v>
      </c>
      <c r="P17" s="62">
        <f t="shared" si="18"/>
        <v>-11828149.799408171</v>
      </c>
      <c r="Q17" s="62">
        <f t="shared" si="18"/>
        <v>-12617722.407724269</v>
      </c>
      <c r="R17" s="62">
        <f t="shared" si="18"/>
        <v>-13407295.016040366</v>
      </c>
      <c r="S17" s="62">
        <f t="shared" si="18"/>
        <v>-14330853.692194659</v>
      </c>
      <c r="T17" s="62">
        <f t="shared" si="18"/>
        <v>-15304583.029820196</v>
      </c>
      <c r="U17" s="62">
        <f t="shared" si="18"/>
        <v>-16326685.499797093</v>
      </c>
      <c r="V17" s="62">
        <f t="shared" si="18"/>
        <v>-17396075.397730961</v>
      </c>
      <c r="W17" s="62">
        <f t="shared" si="18"/>
        <v>-18512096.96009678</v>
      </c>
      <c r="X17" s="62">
        <f t="shared" si="18"/>
        <v>-19674354.106890656</v>
      </c>
      <c r="Y17" s="62">
        <f t="shared" si="18"/>
        <v>-20896965.869054008</v>
      </c>
      <c r="Z17" s="62">
        <f t="shared" si="18"/>
        <v>-22187890.417156395</v>
      </c>
      <c r="AA17" s="62">
        <f t="shared" si="18"/>
        <v>-23537006.080278743</v>
      </c>
      <c r="AB17" s="62">
        <f t="shared" si="18"/>
        <v>-24938198.697083671</v>
      </c>
      <c r="AC17" s="62">
        <f t="shared" si="18"/>
        <v>-26387774.908128995</v>
      </c>
      <c r="AD17" s="62">
        <f t="shared" si="18"/>
        <v>-27883503.679064065</v>
      </c>
      <c r="AE17" s="62">
        <f t="shared" si="18"/>
        <v>-29424037.316995267</v>
      </c>
      <c r="AF17" s="62">
        <f t="shared" si="18"/>
        <v>-31008561.725924946</v>
      </c>
      <c r="AG17" s="62">
        <f t="shared" si="18"/>
        <v>-32636585.137812667</v>
      </c>
      <c r="AH17" s="62">
        <f t="shared" si="18"/>
        <v>-34307810.492107473</v>
      </c>
      <c r="AI17" s="62">
        <f t="shared" si="18"/>
        <v>-36022058.344511084</v>
      </c>
      <c r="AJ17" s="62">
        <f t="shared" si="18"/>
        <v>-37779220.298751831</v>
      </c>
      <c r="AK17" s="62">
        <f t="shared" si="18"/>
        <v>-39584029.611284941</v>
      </c>
      <c r="AL17" s="62">
        <f t="shared" si="18"/>
        <v>-41438863.65082711</v>
      </c>
      <c r="AM17" s="62">
        <f t="shared" si="18"/>
        <v>-43339877.938463494</v>
      </c>
      <c r="AN17" s="62">
        <f t="shared" si="18"/>
        <v>-45284750.153647274</v>
      </c>
      <c r="AO17" s="62">
        <f t="shared" si="18"/>
        <v>-47272077.460560739</v>
      </c>
      <c r="AP17" s="62">
        <f t="shared" si="18"/>
        <v>-49301012.453218453</v>
      </c>
      <c r="AQ17" s="62">
        <f t="shared" si="18"/>
        <v>-51371043.242135517</v>
      </c>
      <c r="AR17" s="62">
        <f t="shared" si="18"/>
        <v>-53481860.612072401</v>
      </c>
      <c r="AS17" s="62">
        <f t="shared" si="18"/>
        <v>-55633277.776491821</v>
      </c>
      <c r="AT17" s="62">
        <f t="shared" si="18"/>
        <v>-57825181.903922215</v>
      </c>
      <c r="AU17" s="62">
        <f t="shared" si="18"/>
        <v>-60057504.836662479</v>
      </c>
      <c r="AV17" s="62">
        <f t="shared" si="18"/>
        <v>-62330205.402935319</v>
      </c>
      <c r="AW17" s="62">
        <f t="shared" si="18"/>
        <v>-64647782.134345785</v>
      </c>
      <c r="AX17" s="62">
        <f t="shared" si="18"/>
        <v>-67012697.682511225</v>
      </c>
      <c r="AY17" s="62">
        <f t="shared" si="18"/>
        <v>-69421661.490256846</v>
      </c>
      <c r="AZ17" s="62">
        <f t="shared" si="18"/>
        <v>-71872685.842548504</v>
      </c>
      <c r="BA17" s="62">
        <f t="shared" si="18"/>
        <v>-74364570.027516723</v>
      </c>
      <c r="BB17" s="62">
        <f t="shared" si="18"/>
        <v>-76896588.735462293</v>
      </c>
      <c r="BC17" s="62">
        <f t="shared" si="18"/>
        <v>-79468303.831164658</v>
      </c>
      <c r="BD17" s="62">
        <f t="shared" si="18"/>
        <v>-82079450.651857421</v>
      </c>
      <c r="BE17" s="62">
        <f t="shared" si="18"/>
        <v>-84729869.323655456</v>
      </c>
      <c r="BF17" s="62">
        <f t="shared" si="18"/>
        <v>-87419463.272116154</v>
      </c>
      <c r="BG17" s="62">
        <f t="shared" si="18"/>
        <v>-90148174.159863412</v>
      </c>
      <c r="BH17" s="62">
        <f t="shared" si="18"/>
        <v>-92915966.747248337</v>
      </c>
      <c r="BI17" s="62">
        <f t="shared" si="18"/>
        <v>-95727198.812238723</v>
      </c>
      <c r="BJ17" s="62">
        <f t="shared" si="18"/>
        <v>-98577557.506160975</v>
      </c>
      <c r="BK17" s="62">
        <f t="shared" si="18"/>
        <v>-101456671.86813211</v>
      </c>
      <c r="BL17" s="62">
        <f t="shared" si="18"/>
        <v>-104361589.60732716</v>
      </c>
      <c r="BM17" s="62">
        <f t="shared" si="18"/>
        <v>-107290702.65881701</v>
      </c>
      <c r="BN17" s="62">
        <f t="shared" si="18"/>
        <v>-110244019.56581302</v>
      </c>
      <c r="BO17" s="62">
        <f t="shared" si="18"/>
        <v>-113223431.72179057</v>
      </c>
      <c r="BP17" s="62">
        <f t="shared" si="18"/>
        <v>-116231547.65405396</v>
      </c>
      <c r="BQ17" s="62">
        <f t="shared" si="18"/>
        <v>-119269351.13225433</v>
      </c>
      <c r="BR17" s="62">
        <f t="shared" si="18"/>
        <v>-122336478.44131091</v>
      </c>
      <c r="BS17" s="62">
        <f t="shared" si="18"/>
        <v>-125432027.20268787</v>
      </c>
      <c r="BT17" s="62">
        <f t="shared" si="18"/>
        <v>-128554379.33750473</v>
      </c>
      <c r="BU17" s="62">
        <f t="shared" si="18"/>
        <v>-131704890.88855156</v>
      </c>
      <c r="BV17" s="62">
        <f t="shared" si="18"/>
        <v>-134880374.28239673</v>
      </c>
      <c r="BW17" s="62">
        <f t="shared" si="18"/>
        <v>-138074231.73927826</v>
      </c>
      <c r="BX17" s="62">
        <f t="shared" si="18"/>
        <v>-141284605.65117332</v>
      </c>
      <c r="BY17" s="62">
        <f t="shared" si="18"/>
        <v>-144510486.51988956</v>
      </c>
      <c r="BZ17" s="62">
        <f t="shared" ref="BZ17:CG17" si="19">BY17-BZ13</f>
        <v>-147751894.03278509</v>
      </c>
      <c r="CA17" s="62">
        <f t="shared" si="19"/>
        <v>-151010051.7788761</v>
      </c>
      <c r="CB17" s="62">
        <f t="shared" si="19"/>
        <v>-154286640.63052425</v>
      </c>
      <c r="CC17" s="62">
        <f t="shared" si="19"/>
        <v>-157582295.68105811</v>
      </c>
      <c r="CD17" s="62">
        <f t="shared" si="19"/>
        <v>-160896785.17427728</v>
      </c>
      <c r="CE17" s="62">
        <f t="shared" si="19"/>
        <v>-164229530.57355955</v>
      </c>
      <c r="CF17" s="62">
        <f t="shared" si="19"/>
        <v>-167579493.13156572</v>
      </c>
      <c r="CG17" s="62">
        <f t="shared" si="19"/>
        <v>-170947544.37296322</v>
      </c>
      <c r="CH17" s="62"/>
      <c r="CI17" s="62">
        <f t="shared" si="17"/>
        <v>11273064.015147883</v>
      </c>
      <c r="CJ17" s="62">
        <f t="shared" si="17"/>
        <v>9856781.9060902912</v>
      </c>
      <c r="CK17" s="62">
        <f t="shared" si="17"/>
        <v>8279243.4613297358</v>
      </c>
      <c r="CL17" s="62">
        <f t="shared" si="17"/>
        <v>4041232.8280296614</v>
      </c>
      <c r="CM17" s="25" t="s">
        <v>244</v>
      </c>
      <c r="CN17" s="25">
        <f>SUM(CN15:CN16)</f>
        <v>1</v>
      </c>
      <c r="CP17" s="19">
        <f t="shared" ref="CP17:CU18" si="20">AVERAGEIF($B$5:$CG$5,CP$5,$B17:$CG17)</f>
        <v>-15137553.816612152</v>
      </c>
      <c r="CQ17" s="19">
        <f t="shared" si="20"/>
        <v>-30474723.059091676</v>
      </c>
      <c r="CR17" s="19">
        <f t="shared" si="20"/>
        <v>-52665286.463773549</v>
      </c>
      <c r="CS17" s="19">
        <f t="shared" si="20"/>
        <v>-81004719.214703307</v>
      </c>
      <c r="CT17" s="19">
        <f t="shared" si="20"/>
        <v>-114890220.63203366</v>
      </c>
      <c r="CU17" s="19">
        <f t="shared" si="20"/>
        <v>-152752827.79736227</v>
      </c>
      <c r="CW17" s="19">
        <f t="shared" ref="CW17:CW18" si="21">AVERAGE(AD17:AO17)</f>
        <v>-37165114.650829241</v>
      </c>
    </row>
    <row r="18" spans="1:101" s="25" customFormat="1" x14ac:dyDescent="0.3">
      <c r="A18" s="15" t="s">
        <v>245</v>
      </c>
      <c r="B18" s="15"/>
      <c r="C18" s="15"/>
      <c r="D18" s="188"/>
      <c r="E18" s="188"/>
      <c r="F18" s="188"/>
      <c r="G18" s="62"/>
      <c r="H18" s="62"/>
      <c r="I18" s="62"/>
      <c r="J18" s="62"/>
      <c r="K18" s="62"/>
      <c r="L18" s="62"/>
      <c r="M18" s="62">
        <f>D36</f>
        <v>-6060182</v>
      </c>
      <c r="N18" s="62">
        <f t="shared" ref="N18:BY18" si="22">M18*(N12/M12)</f>
        <v>-6372801.3358755717</v>
      </c>
      <c r="O18" s="62">
        <f t="shared" si="22"/>
        <v>-6674277.1468796656</v>
      </c>
      <c r="P18" s="62">
        <f t="shared" si="22"/>
        <v>-7258901.3474593544</v>
      </c>
      <c r="Q18" s="62">
        <f t="shared" si="22"/>
        <v>-7273703.2563298298</v>
      </c>
      <c r="R18" s="62">
        <f t="shared" si="22"/>
        <v>-7273703.2563298298</v>
      </c>
      <c r="S18" s="62">
        <f t="shared" si="22"/>
        <v>-8508010.1302929018</v>
      </c>
      <c r="T18" s="62">
        <f t="shared" si="22"/>
        <v>-8970192.4551000819</v>
      </c>
      <c r="U18" s="62">
        <f t="shared" si="22"/>
        <v>-9415815.5765168015</v>
      </c>
      <c r="V18" s="62">
        <f t="shared" si="22"/>
        <v>-9851436.9685096722</v>
      </c>
      <c r="W18" s="62">
        <f t="shared" si="22"/>
        <v>-10281017.333702574</v>
      </c>
      <c r="X18" s="62">
        <f t="shared" si="22"/>
        <v>-10706948.929442577</v>
      </c>
      <c r="Y18" s="62">
        <f t="shared" si="22"/>
        <v>-11262947.906260861</v>
      </c>
      <c r="Z18" s="62">
        <f t="shared" si="22"/>
        <v>-11892259.166935692</v>
      </c>
      <c r="AA18" s="62">
        <f t="shared" si="22"/>
        <v>-12428327.539055211</v>
      </c>
      <c r="AB18" s="62">
        <f t="shared" si="22"/>
        <v>-12908071.014944714</v>
      </c>
      <c r="AC18" s="62">
        <f t="shared" si="22"/>
        <v>-13353790.513408411</v>
      </c>
      <c r="AD18" s="62">
        <f t="shared" si="22"/>
        <v>-13778957.270236442</v>
      </c>
      <c r="AE18" s="62">
        <f t="shared" si="22"/>
        <v>-14191708.806367133</v>
      </c>
      <c r="AF18" s="62">
        <f t="shared" si="22"/>
        <v>-14596960.724797376</v>
      </c>
      <c r="AG18" s="62">
        <f t="shared" si="22"/>
        <v>-14997682.376144653</v>
      </c>
      <c r="AH18" s="62">
        <f t="shared" si="22"/>
        <v>-15395667.445353648</v>
      </c>
      <c r="AI18" s="62">
        <f t="shared" si="22"/>
        <v>-15791999.437235765</v>
      </c>
      <c r="AJ18" s="62">
        <f t="shared" si="22"/>
        <v>-16187332.860644301</v>
      </c>
      <c r="AK18" s="62">
        <f t="shared" si="22"/>
        <v>-16626270.004000623</v>
      </c>
      <c r="AL18" s="62">
        <f t="shared" si="22"/>
        <v>-17087107.950897988</v>
      </c>
      <c r="AM18" s="62">
        <f t="shared" si="22"/>
        <v>-17512529.777090006</v>
      </c>
      <c r="AN18" s="62">
        <f t="shared" si="22"/>
        <v>-17916557.914663985</v>
      </c>
      <c r="AO18" s="62">
        <f t="shared" si="22"/>
        <v>-18307662.843722455</v>
      </c>
      <c r="AP18" s="62">
        <f t="shared" si="22"/>
        <v>-18690961.296706744</v>
      </c>
      <c r="AQ18" s="62">
        <f t="shared" si="22"/>
        <v>-19069544.11977423</v>
      </c>
      <c r="AR18" s="62">
        <f t="shared" si="22"/>
        <v>-19445278.389243279</v>
      </c>
      <c r="AS18" s="62">
        <f t="shared" si="22"/>
        <v>-19819291.943188343</v>
      </c>
      <c r="AT18" s="62">
        <f t="shared" si="22"/>
        <v>-20192266.070697453</v>
      </c>
      <c r="AU18" s="62">
        <f t="shared" si="22"/>
        <v>-20564612.31561894</v>
      </c>
      <c r="AV18" s="62">
        <f t="shared" si="22"/>
        <v>-20936579.277764641</v>
      </c>
      <c r="AW18" s="62">
        <f t="shared" si="22"/>
        <v>-21349987.626857832</v>
      </c>
      <c r="AX18" s="62">
        <f t="shared" si="22"/>
        <v>-21786082.422896661</v>
      </c>
      <c r="AY18" s="62">
        <f t="shared" si="22"/>
        <v>-22191863.937819477</v>
      </c>
      <c r="AZ18" s="62">
        <f t="shared" si="22"/>
        <v>-22579334.21807652</v>
      </c>
      <c r="BA18" s="62">
        <f t="shared" si="22"/>
        <v>-22955743.296687268</v>
      </c>
      <c r="BB18" s="62">
        <f t="shared" si="22"/>
        <v>-23325470.67501438</v>
      </c>
      <c r="BC18" s="62">
        <f t="shared" si="22"/>
        <v>-23691161.862689886</v>
      </c>
      <c r="BD18" s="62">
        <f t="shared" si="22"/>
        <v>-24054414.92319946</v>
      </c>
      <c r="BE18" s="62">
        <f t="shared" si="22"/>
        <v>-24416195.193003558</v>
      </c>
      <c r="BF18" s="62">
        <f t="shared" si="22"/>
        <v>-24777085.799424846</v>
      </c>
      <c r="BG18" s="62">
        <f t="shared" si="22"/>
        <v>-25137438.990087222</v>
      </c>
      <c r="BH18" s="62">
        <f t="shared" si="22"/>
        <v>-25497467.54594557</v>
      </c>
      <c r="BI18" s="62">
        <f t="shared" si="22"/>
        <v>-25897640.837653361</v>
      </c>
      <c r="BJ18" s="62">
        <f t="shared" si="22"/>
        <v>-26258083.291296516</v>
      </c>
      <c r="BK18" s="62">
        <f t="shared" si="22"/>
        <v>-26522986.346597787</v>
      </c>
      <c r="BL18" s="62">
        <f t="shared" si="22"/>
        <v>-26760692.299110677</v>
      </c>
      <c r="BM18" s="62">
        <f t="shared" si="22"/>
        <v>-26983584.430844892</v>
      </c>
      <c r="BN18" s="62">
        <f t="shared" si="22"/>
        <v>-27206555.26437781</v>
      </c>
      <c r="BO18" s="62">
        <f t="shared" si="22"/>
        <v>-27446949.998810776</v>
      </c>
      <c r="BP18" s="62">
        <f t="shared" si="22"/>
        <v>-27711375.016649976</v>
      </c>
      <c r="BQ18" s="62">
        <f t="shared" si="22"/>
        <v>-27984862.720351893</v>
      </c>
      <c r="BR18" s="62">
        <f t="shared" si="22"/>
        <v>-28254999.806846969</v>
      </c>
      <c r="BS18" s="62">
        <f t="shared" si="22"/>
        <v>-28516823.998966839</v>
      </c>
      <c r="BT18" s="62">
        <f t="shared" si="22"/>
        <v>-28763742.119754054</v>
      </c>
      <c r="BU18" s="62">
        <f t="shared" si="22"/>
        <v>-29023152.382180803</v>
      </c>
      <c r="BV18" s="62">
        <f t="shared" si="22"/>
        <v>-29253198.07065288</v>
      </c>
      <c r="BW18" s="62">
        <f t="shared" si="22"/>
        <v>-29422463.671728551</v>
      </c>
      <c r="BX18" s="62">
        <f t="shared" si="22"/>
        <v>-29574616.610356152</v>
      </c>
      <c r="BY18" s="62">
        <f t="shared" si="22"/>
        <v>-29717469.846572638</v>
      </c>
      <c r="BZ18" s="62">
        <f t="shared" ref="BZ18:CG18" si="23">BY18*(BZ12/BY12)</f>
        <v>-29860504.446731474</v>
      </c>
      <c r="CA18" s="62">
        <f t="shared" si="23"/>
        <v>-30014810.997459102</v>
      </c>
      <c r="CB18" s="62">
        <f t="shared" si="23"/>
        <v>-30184602.085823614</v>
      </c>
      <c r="CC18" s="62">
        <f t="shared" si="23"/>
        <v>-30360243.782939475</v>
      </c>
      <c r="CD18" s="62">
        <f t="shared" si="23"/>
        <v>-30533750.494859677</v>
      </c>
      <c r="CE18" s="62">
        <f t="shared" si="23"/>
        <v>-30701927.609896138</v>
      </c>
      <c r="CF18" s="62">
        <f t="shared" si="23"/>
        <v>-30860535.573439717</v>
      </c>
      <c r="CG18" s="62">
        <f t="shared" si="23"/>
        <v>-31027172.199255425</v>
      </c>
      <c r="CH18" s="62"/>
      <c r="CP18" s="19">
        <f t="shared" si="20"/>
        <v>-8654146.3035583105</v>
      </c>
      <c r="CQ18" s="19">
        <f t="shared" si="20"/>
        <v>-14345752.263260329</v>
      </c>
      <c r="CR18" s="19">
        <f t="shared" si="20"/>
        <v>-19241031.62718549</v>
      </c>
      <c r="CS18" s="19">
        <f t="shared" si="20"/>
        <v>-23859158.308541518</v>
      </c>
      <c r="CT18" s="19">
        <f t="shared" si="20"/>
        <v>-27619483.972982422</v>
      </c>
      <c r="CU18" s="19">
        <f t="shared" si="20"/>
        <v>-30125941.282476235</v>
      </c>
      <c r="CW18" s="19">
        <f t="shared" si="21"/>
        <v>-16032536.450929532</v>
      </c>
    </row>
    <row r="19" spans="1:101" s="25" customFormat="1" x14ac:dyDescent="0.3">
      <c r="A19" s="15" t="s">
        <v>246</v>
      </c>
      <c r="B19" s="15"/>
      <c r="C19" s="15"/>
      <c r="D19" s="188"/>
      <c r="E19" s="188"/>
      <c r="F19" s="188"/>
      <c r="G19" s="62"/>
      <c r="H19" s="62"/>
      <c r="I19" s="62"/>
      <c r="J19" s="62"/>
      <c r="K19" s="62"/>
      <c r="L19" s="62"/>
      <c r="M19" s="62">
        <f t="shared" ref="M19:BX19" si="24">M12+M17+M18</f>
        <v>76177737.446093872</v>
      </c>
      <c r="N19" s="62">
        <f t="shared" si="24"/>
        <v>79912105.436499491</v>
      </c>
      <c r="O19" s="62">
        <f t="shared" si="24"/>
        <v>83455974.790156603</v>
      </c>
      <c r="P19" s="62">
        <f t="shared" si="24"/>
        <v>90945271.05313246</v>
      </c>
      <c r="Q19" s="62">
        <f t="shared" si="24"/>
        <v>90365267.73594591</v>
      </c>
      <c r="R19" s="62">
        <f t="shared" si="24"/>
        <v>89575695.127629802</v>
      </c>
      <c r="S19" s="62">
        <f t="shared" si="24"/>
        <v>106127775.49751243</v>
      </c>
      <c r="T19" s="62">
        <f t="shared" si="24"/>
        <v>111697744.20788956</v>
      </c>
      <c r="U19" s="62">
        <f t="shared" si="24"/>
        <v>116984890.26007544</v>
      </c>
      <c r="V19" s="62">
        <f t="shared" si="24"/>
        <v>122083141.78728954</v>
      </c>
      <c r="W19" s="62">
        <f t="shared" si="24"/>
        <v>127049231.21509592</v>
      </c>
      <c r="X19" s="62">
        <f t="shared" si="24"/>
        <v>131917424.82772762</v>
      </c>
      <c r="Y19" s="62">
        <f t="shared" si="24"/>
        <v>138566791.77183601</v>
      </c>
      <c r="Z19" s="62">
        <f t="shared" si="24"/>
        <v>146185820.38947189</v>
      </c>
      <c r="AA19" s="62">
        <f t="shared" si="24"/>
        <v>152426500.72665733</v>
      </c>
      <c r="AB19" s="62">
        <f t="shared" si="24"/>
        <v>157817641.52076304</v>
      </c>
      <c r="AC19" s="62">
        <f t="shared" si="24"/>
        <v>162678678.36327931</v>
      </c>
      <c r="AD19" s="62">
        <f t="shared" si="24"/>
        <v>167202571.5627256</v>
      </c>
      <c r="AE19" s="62">
        <f t="shared" si="24"/>
        <v>171505881.95845649</v>
      </c>
      <c r="AF19" s="62">
        <f t="shared" si="24"/>
        <v>175659020.03735057</v>
      </c>
      <c r="AG19" s="62">
        <f t="shared" si="24"/>
        <v>179704518.40890092</v>
      </c>
      <c r="AH19" s="62">
        <f t="shared" si="24"/>
        <v>183668069.59350473</v>
      </c>
      <c r="AI19" s="62">
        <f t="shared" si="24"/>
        <v>187565193.57952443</v>
      </c>
      <c r="AJ19" s="62">
        <f t="shared" si="24"/>
        <v>191405265.47049385</v>
      </c>
      <c r="AK19" s="62">
        <f t="shared" si="24"/>
        <v>195815042.85678127</v>
      </c>
      <c r="AL19" s="62">
        <f t="shared" si="24"/>
        <v>200484872.81172648</v>
      </c>
      <c r="AM19" s="62">
        <f t="shared" si="24"/>
        <v>204607091.83313507</v>
      </c>
      <c r="AN19" s="62">
        <f t="shared" si="24"/>
        <v>208382555.4968363</v>
      </c>
      <c r="AO19" s="62">
        <f t="shared" si="24"/>
        <v>211932593.90790409</v>
      </c>
      <c r="AP19" s="62">
        <f t="shared" si="24"/>
        <v>215330498.50640154</v>
      </c>
      <c r="AQ19" s="62">
        <f t="shared" si="24"/>
        <v>218620542.18884724</v>
      </c>
      <c r="AR19" s="62">
        <f t="shared" si="24"/>
        <v>221829468.72456077</v>
      </c>
      <c r="AS19" s="62">
        <f t="shared" si="24"/>
        <v>224973433.12605897</v>
      </c>
      <c r="AT19" s="62">
        <f t="shared" si="24"/>
        <v>228062194.09363213</v>
      </c>
      <c r="AU19" s="62">
        <f t="shared" si="24"/>
        <v>231101646.53025579</v>
      </c>
      <c r="AV19" s="62">
        <f t="shared" si="24"/>
        <v>234095351.34876218</v>
      </c>
      <c r="AW19" s="62">
        <f t="shared" si="24"/>
        <v>237630917.98045582</v>
      </c>
      <c r="AX19" s="62">
        <f t="shared" si="24"/>
        <v>241440346.43554482</v>
      </c>
      <c r="AY19" s="62">
        <f t="shared" si="24"/>
        <v>244776543.28106254</v>
      </c>
      <c r="AZ19" s="62">
        <f t="shared" si="24"/>
        <v>247811424.33987647</v>
      </c>
      <c r="BA19" s="62">
        <f t="shared" si="24"/>
        <v>250648838.18460515</v>
      </c>
      <c r="BB19" s="62">
        <f t="shared" si="24"/>
        <v>253351516.24889475</v>
      </c>
      <c r="BC19" s="62">
        <f t="shared" si="24"/>
        <v>255957352.48417923</v>
      </c>
      <c r="BD19" s="62">
        <f t="shared" si="24"/>
        <v>258489237.35337031</v>
      </c>
      <c r="BE19" s="62">
        <f t="shared" si="24"/>
        <v>260960998.2160463</v>
      </c>
      <c r="BF19" s="62">
        <f t="shared" si="24"/>
        <v>263380987.71556094</v>
      </c>
      <c r="BG19" s="62">
        <f t="shared" si="24"/>
        <v>265754251.40313458</v>
      </c>
      <c r="BH19" s="62">
        <f t="shared" si="24"/>
        <v>268083837.12674057</v>
      </c>
      <c r="BI19" s="62">
        <f t="shared" si="24"/>
        <v>270938363.0262149</v>
      </c>
      <c r="BJ19" s="62">
        <f t="shared" si="24"/>
        <v>273191242.7162053</v>
      </c>
      <c r="BK19" s="62">
        <f t="shared" si="24"/>
        <v>274062694.98745209</v>
      </c>
      <c r="BL19" s="62">
        <f t="shared" si="24"/>
        <v>274523280.19799912</v>
      </c>
      <c r="BM19" s="62">
        <f t="shared" si="24"/>
        <v>274749932.15321487</v>
      </c>
      <c r="BN19" s="62">
        <f t="shared" si="24"/>
        <v>274953494.53354251</v>
      </c>
      <c r="BO19" s="62">
        <f t="shared" si="24"/>
        <v>275377653.80387473</v>
      </c>
      <c r="BP19" s="62">
        <f t="shared" si="24"/>
        <v>276113336.32560742</v>
      </c>
      <c r="BQ19" s="62">
        <f t="shared" si="24"/>
        <v>276947643.17445952</v>
      </c>
      <c r="BR19" s="62">
        <f t="shared" si="24"/>
        <v>277705187.27906728</v>
      </c>
      <c r="BS19" s="62">
        <f t="shared" si="24"/>
        <v>278316613.80197763</v>
      </c>
      <c r="BT19" s="62">
        <f t="shared" si="24"/>
        <v>278690192.90097815</v>
      </c>
      <c r="BU19" s="62">
        <f t="shared" si="24"/>
        <v>279212479.58725464</v>
      </c>
      <c r="BV19" s="62">
        <f t="shared" si="24"/>
        <v>279294043.12447542</v>
      </c>
      <c r="BW19" s="62">
        <f t="shared" si="24"/>
        <v>278496692.24930918</v>
      </c>
      <c r="BX19" s="62">
        <f t="shared" si="24"/>
        <v>277440539.37542254</v>
      </c>
      <c r="BY19" s="62">
        <f t="shared" ref="BY19:CG19" si="25">BY12+BY17+BY18</f>
        <v>276237211.92947221</v>
      </c>
      <c r="BZ19" s="62">
        <f t="shared" si="25"/>
        <v>275020925.63739955</v>
      </c>
      <c r="CA19" s="62">
        <f t="shared" si="25"/>
        <v>273947480.33181924</v>
      </c>
      <c r="CB19" s="62">
        <f t="shared" si="25"/>
        <v>273074838.04814643</v>
      </c>
      <c r="CC19" s="62">
        <f t="shared" si="25"/>
        <v>272265964.012106</v>
      </c>
      <c r="CD19" s="62">
        <f t="shared" si="25"/>
        <v>271408027.85545433</v>
      </c>
      <c r="CE19" s="62">
        <f t="shared" si="25"/>
        <v>270456377.96829909</v>
      </c>
      <c r="CF19" s="62">
        <f t="shared" si="25"/>
        <v>269352028.37671435</v>
      </c>
      <c r="CG19" s="62">
        <f t="shared" si="25"/>
        <v>268343261.99877611</v>
      </c>
      <c r="CH19" s="62"/>
    </row>
    <row r="20" spans="1:101" s="25" customFormat="1" x14ac:dyDescent="0.3">
      <c r="A20" s="15"/>
      <c r="B20" s="15"/>
      <c r="C20" s="15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  <c r="CH20" s="62"/>
    </row>
    <row r="21" spans="1:101" hidden="1" outlineLevel="1" x14ac:dyDescent="0.3">
      <c r="A21" s="15" t="s">
        <v>247</v>
      </c>
      <c r="B21" s="62">
        <f>B19*$B$4/12</f>
        <v>0</v>
      </c>
      <c r="C21" s="62">
        <f t="shared" ref="C21:BN21" si="26">C19*$B$4/12</f>
        <v>0</v>
      </c>
      <c r="D21" s="62">
        <f t="shared" si="26"/>
        <v>0</v>
      </c>
      <c r="E21" s="62">
        <f t="shared" si="26"/>
        <v>0</v>
      </c>
      <c r="F21" s="62">
        <f t="shared" si="26"/>
        <v>0</v>
      </c>
      <c r="G21" s="62">
        <f t="shared" si="26"/>
        <v>0</v>
      </c>
      <c r="H21" s="62">
        <f t="shared" si="26"/>
        <v>0</v>
      </c>
      <c r="I21" s="62">
        <f t="shared" si="26"/>
        <v>0</v>
      </c>
      <c r="J21" s="62">
        <f t="shared" si="26"/>
        <v>0</v>
      </c>
      <c r="K21" s="62">
        <f t="shared" si="26"/>
        <v>0</v>
      </c>
      <c r="L21" s="62">
        <f t="shared" si="26"/>
        <v>0</v>
      </c>
      <c r="M21" s="62">
        <f t="shared" si="26"/>
        <v>601868.41083464457</v>
      </c>
      <c r="N21" s="62">
        <f t="shared" si="26"/>
        <v>631373.06932424172</v>
      </c>
      <c r="O21" s="62">
        <f t="shared" si="26"/>
        <v>659372.6278251824</v>
      </c>
      <c r="P21" s="62">
        <f t="shared" si="26"/>
        <v>718544.38838392624</v>
      </c>
      <c r="Q21" s="62">
        <f t="shared" si="26"/>
        <v>713961.87272387638</v>
      </c>
      <c r="R21" s="62">
        <f t="shared" si="26"/>
        <v>707723.58281218063</v>
      </c>
      <c r="S21" s="62">
        <f t="shared" si="26"/>
        <v>838498.9857345653</v>
      </c>
      <c r="T21" s="62">
        <f t="shared" si="26"/>
        <v>882506.43894208083</v>
      </c>
      <c r="U21" s="62">
        <f t="shared" si="26"/>
        <v>924279.35448097566</v>
      </c>
      <c r="V21" s="62">
        <f t="shared" si="26"/>
        <v>964559.84386793105</v>
      </c>
      <c r="W21" s="62">
        <f t="shared" si="26"/>
        <v>1003796.1411403675</v>
      </c>
      <c r="X21" s="62">
        <f t="shared" si="26"/>
        <v>1042258.9788604217</v>
      </c>
      <c r="Y21" s="62">
        <f t="shared" si="26"/>
        <v>1094794.5889989997</v>
      </c>
      <c r="Z21" s="62">
        <f t="shared" si="26"/>
        <v>1154991.3446383378</v>
      </c>
      <c r="AA21" s="62">
        <f t="shared" si="26"/>
        <v>1204297.9856990119</v>
      </c>
      <c r="AB21" s="62">
        <f t="shared" si="26"/>
        <v>1246892.5474583493</v>
      </c>
      <c r="AC21" s="62">
        <f t="shared" si="26"/>
        <v>1285298.840655023</v>
      </c>
      <c r="AD21" s="62">
        <f t="shared" si="26"/>
        <v>1321041.4145620407</v>
      </c>
      <c r="AE21" s="62">
        <f t="shared" si="26"/>
        <v>1355041.1981738808</v>
      </c>
      <c r="AF21" s="62">
        <f t="shared" si="26"/>
        <v>1387854.4937550165</v>
      </c>
      <c r="AG21" s="62">
        <f t="shared" si="26"/>
        <v>1419817.3448129406</v>
      </c>
      <c r="AH21" s="62">
        <f t="shared" si="26"/>
        <v>1451132.7439402428</v>
      </c>
      <c r="AI21" s="62">
        <f t="shared" si="26"/>
        <v>1481923.3121420229</v>
      </c>
      <c r="AJ21" s="62">
        <f t="shared" si="26"/>
        <v>1512263.1206476782</v>
      </c>
      <c r="AK21" s="62">
        <f t="shared" si="26"/>
        <v>1547104.0833304764</v>
      </c>
      <c r="AL21" s="62">
        <f t="shared" si="26"/>
        <v>1583999.6807593156</v>
      </c>
      <c r="AM21" s="62">
        <f t="shared" si="26"/>
        <v>1616568.6896942842</v>
      </c>
      <c r="AN21" s="62">
        <f t="shared" si="26"/>
        <v>1646398.0386828098</v>
      </c>
      <c r="AO21" s="62">
        <f t="shared" si="26"/>
        <v>1674446.3379432503</v>
      </c>
      <c r="AP21" s="62">
        <f t="shared" si="26"/>
        <v>1701292.6517014212</v>
      </c>
      <c r="AQ21" s="62">
        <f t="shared" si="26"/>
        <v>1727286.7732009131</v>
      </c>
      <c r="AR21" s="62">
        <f t="shared" si="26"/>
        <v>1752640.0007879324</v>
      </c>
      <c r="AS21" s="62">
        <f t="shared" si="26"/>
        <v>1777479.9726942843</v>
      </c>
      <c r="AT21" s="62">
        <f t="shared" si="26"/>
        <v>1801883.790887452</v>
      </c>
      <c r="AU21" s="62">
        <f t="shared" si="26"/>
        <v>1825898.0300755438</v>
      </c>
      <c r="AV21" s="62">
        <f t="shared" si="26"/>
        <v>1849550.8244749245</v>
      </c>
      <c r="AW21" s="62">
        <f t="shared" si="26"/>
        <v>1877484.7844658373</v>
      </c>
      <c r="AX21" s="62">
        <f t="shared" si="26"/>
        <v>1907582.4839685976</v>
      </c>
      <c r="AY21" s="62">
        <f t="shared" si="26"/>
        <v>1933941.2544041753</v>
      </c>
      <c r="AZ21" s="62">
        <f t="shared" si="26"/>
        <v>1957919.3758498675</v>
      </c>
      <c r="BA21" s="62">
        <f t="shared" si="26"/>
        <v>1980337.3396652872</v>
      </c>
      <c r="BB21" s="62">
        <f t="shared" si="26"/>
        <v>2001690.7771141576</v>
      </c>
      <c r="BC21" s="62">
        <f t="shared" si="26"/>
        <v>2022279.082390825</v>
      </c>
      <c r="BD21" s="62">
        <f t="shared" si="26"/>
        <v>2042283.1094691388</v>
      </c>
      <c r="BE21" s="62">
        <f t="shared" si="26"/>
        <v>2061812.1061584249</v>
      </c>
      <c r="BF21" s="62">
        <f t="shared" si="26"/>
        <v>2080932.065389822</v>
      </c>
      <c r="BG21" s="62">
        <f t="shared" si="26"/>
        <v>2099682.8512758208</v>
      </c>
      <c r="BH21" s="62">
        <f t="shared" si="26"/>
        <v>2118088.5443874332</v>
      </c>
      <c r="BI21" s="62">
        <f t="shared" si="26"/>
        <v>2140641.7078758958</v>
      </c>
      <c r="BJ21" s="62">
        <f t="shared" si="26"/>
        <v>2158441.3585911156</v>
      </c>
      <c r="BK21" s="62">
        <f t="shared" si="26"/>
        <v>2165326.5669367258</v>
      </c>
      <c r="BL21" s="62">
        <f t="shared" si="26"/>
        <v>2168965.5787795498</v>
      </c>
      <c r="BM21" s="62">
        <f t="shared" si="26"/>
        <v>2170756.3204932269</v>
      </c>
      <c r="BN21" s="62">
        <f t="shared" si="26"/>
        <v>2172364.6350804148</v>
      </c>
      <c r="BO21" s="62">
        <f t="shared" ref="BO21:CG21" si="27">BO19*$B$4/12</f>
        <v>2175715.8512563519</v>
      </c>
      <c r="BP21" s="62">
        <f t="shared" si="27"/>
        <v>2181528.3640071722</v>
      </c>
      <c r="BQ21" s="62">
        <f t="shared" si="27"/>
        <v>2188120.0921695163</v>
      </c>
      <c r="BR21" s="62">
        <f t="shared" si="27"/>
        <v>2194105.3298736433</v>
      </c>
      <c r="BS21" s="62">
        <f t="shared" si="27"/>
        <v>2198936.1153763845</v>
      </c>
      <c r="BT21" s="62">
        <f t="shared" si="27"/>
        <v>2201887.7055151118</v>
      </c>
      <c r="BU21" s="62">
        <f t="shared" si="27"/>
        <v>2206014.2110849549</v>
      </c>
      <c r="BV21" s="62">
        <f t="shared" si="27"/>
        <v>2206658.6318589882</v>
      </c>
      <c r="BW21" s="62">
        <f t="shared" si="27"/>
        <v>2200358.8870752379</v>
      </c>
      <c r="BX21" s="62">
        <f t="shared" si="27"/>
        <v>2192014.3881032853</v>
      </c>
      <c r="BY21" s="62">
        <f t="shared" si="27"/>
        <v>2182507.0858140788</v>
      </c>
      <c r="BZ21" s="62">
        <f t="shared" si="27"/>
        <v>2172897.3977047703</v>
      </c>
      <c r="CA21" s="62">
        <f t="shared" si="27"/>
        <v>2164416.2739296686</v>
      </c>
      <c r="CB21" s="62">
        <f t="shared" si="27"/>
        <v>2157521.663481663</v>
      </c>
      <c r="CC21" s="62">
        <f t="shared" si="27"/>
        <v>2151130.8760028207</v>
      </c>
      <c r="CD21" s="62">
        <f t="shared" si="27"/>
        <v>2144352.4563685157</v>
      </c>
      <c r="CE21" s="62">
        <f t="shared" si="27"/>
        <v>2136833.6191799156</v>
      </c>
      <c r="CF21" s="62">
        <f t="shared" si="27"/>
        <v>2128108.3254658123</v>
      </c>
      <c r="CG21" s="62">
        <f t="shared" si="27"/>
        <v>2120138.2198004564</v>
      </c>
      <c r="CH21" s="62">
        <f>SUM(N21:AB21)</f>
        <v>13787851.750890447</v>
      </c>
      <c r="CI21" s="19">
        <f>SUM(N21:Y21)</f>
        <v>10181669.873094749</v>
      </c>
      <c r="CJ21" s="19">
        <f>SUM(P21:Y21)</f>
        <v>8890924.1759453267</v>
      </c>
      <c r="CK21" s="19">
        <f>SUM(R21:Y21)</f>
        <v>7458417.9148375234</v>
      </c>
      <c r="CL21" s="19">
        <f>SUM(Z21:AB21)</f>
        <v>3606181.8777956991</v>
      </c>
    </row>
    <row r="22" spans="1:101" hidden="1" outlineLevel="1" x14ac:dyDescent="0.3">
      <c r="A22" s="15" t="s">
        <v>248</v>
      </c>
      <c r="G22" s="95">
        <v>4870301.4380605901</v>
      </c>
      <c r="H22" s="15" t="s">
        <v>249</v>
      </c>
      <c r="CH22" s="62">
        <f>SUM(H21:M21)</f>
        <v>601868.41083464457</v>
      </c>
      <c r="CI22" s="60">
        <f>CI21*0.6</f>
        <v>6109001.9238568489</v>
      </c>
      <c r="CJ22" s="60">
        <f>CJ21*0.6</f>
        <v>5334554.5055671958</v>
      </c>
      <c r="CK22" s="60">
        <f>CK21*0.6</f>
        <v>4475050.7489025136</v>
      </c>
      <c r="CL22" s="60">
        <f>CL21*0.6</f>
        <v>2163709.1266774195</v>
      </c>
      <c r="CM22" s="15" t="s">
        <v>250</v>
      </c>
    </row>
    <row r="23" spans="1:101" hidden="1" outlineLevel="1" x14ac:dyDescent="0.3">
      <c r="A23" s="15" t="s">
        <v>251</v>
      </c>
      <c r="G23" s="95">
        <v>2635229</v>
      </c>
      <c r="H23" s="15" t="s">
        <v>252</v>
      </c>
      <c r="CH23" s="86">
        <f>CH21+CH22</f>
        <v>14389720.161725091</v>
      </c>
    </row>
    <row r="24" spans="1:101" hidden="1" outlineLevel="1" x14ac:dyDescent="0.3">
      <c r="G24" s="95">
        <v>6266889</v>
      </c>
      <c r="H24" s="15" t="s">
        <v>253</v>
      </c>
    </row>
    <row r="25" spans="1:101" hidden="1" outlineLevel="1" x14ac:dyDescent="0.3">
      <c r="A25" s="15" t="s">
        <v>254</v>
      </c>
    </row>
    <row r="26" spans="1:101" hidden="1" outlineLevel="1" x14ac:dyDescent="0.3">
      <c r="A26" s="15" t="s">
        <v>255</v>
      </c>
      <c r="B26" s="60">
        <f t="shared" ref="B26:BM26" si="28">B13+B21</f>
        <v>0</v>
      </c>
      <c r="C26" s="60">
        <f t="shared" si="28"/>
        <v>0</v>
      </c>
      <c r="D26" s="60">
        <f t="shared" si="28"/>
        <v>0</v>
      </c>
      <c r="E26" s="60">
        <f t="shared" si="28"/>
        <v>0</v>
      </c>
      <c r="F26" s="60">
        <f t="shared" si="28"/>
        <v>0</v>
      </c>
      <c r="G26" s="60">
        <f t="shared" si="28"/>
        <v>0</v>
      </c>
      <c r="H26" s="60">
        <f t="shared" si="28"/>
        <v>0</v>
      </c>
      <c r="I26" s="60">
        <f t="shared" si="28"/>
        <v>0</v>
      </c>
      <c r="J26" s="60">
        <f t="shared" si="28"/>
        <v>0</v>
      </c>
      <c r="K26" s="60">
        <f t="shared" si="28"/>
        <v>0</v>
      </c>
      <c r="L26" s="60">
        <f t="shared" si="28"/>
        <v>0</v>
      </c>
      <c r="M26" s="60">
        <f t="shared" si="28"/>
        <v>1259711.2647407663</v>
      </c>
      <c r="N26" s="60">
        <f t="shared" si="28"/>
        <v>1323151.2730430625</v>
      </c>
      <c r="O26" s="60">
        <f t="shared" si="28"/>
        <v>1383876.533163954</v>
      </c>
      <c r="P26" s="60">
        <f t="shared" si="28"/>
        <v>1506510.2248283853</v>
      </c>
      <c r="Q26" s="60">
        <f t="shared" si="28"/>
        <v>1503534.4810399741</v>
      </c>
      <c r="R26" s="60">
        <f t="shared" si="28"/>
        <v>1497296.1911282784</v>
      </c>
      <c r="S26" s="60">
        <f t="shared" si="28"/>
        <v>1762057.6618888583</v>
      </c>
      <c r="T26" s="60">
        <f t="shared" si="28"/>
        <v>1856235.776567617</v>
      </c>
      <c r="U26" s="60">
        <f t="shared" si="28"/>
        <v>1946381.8244578717</v>
      </c>
      <c r="V26" s="60">
        <f t="shared" si="28"/>
        <v>2033949.7418018004</v>
      </c>
      <c r="W26" s="60">
        <f t="shared" si="28"/>
        <v>2119817.7035061852</v>
      </c>
      <c r="X26" s="60">
        <f t="shared" si="28"/>
        <v>2204516.1256542965</v>
      </c>
      <c r="Y26" s="60">
        <f t="shared" si="28"/>
        <v>2317406.3511623507</v>
      </c>
      <c r="Z26" s="60">
        <f t="shared" si="28"/>
        <v>2445915.8927407227</v>
      </c>
      <c r="AA26" s="60">
        <f t="shared" si="28"/>
        <v>2553413.6488213614</v>
      </c>
      <c r="AB26" s="60">
        <f t="shared" si="28"/>
        <v>2648085.1642632764</v>
      </c>
      <c r="AC26" s="60">
        <f t="shared" si="28"/>
        <v>2734875.051700348</v>
      </c>
      <c r="AD26" s="60">
        <f t="shared" si="28"/>
        <v>2816770.1854971121</v>
      </c>
      <c r="AE26" s="60">
        <f t="shared" si="28"/>
        <v>2895574.8361050831</v>
      </c>
      <c r="AF26" s="60">
        <f t="shared" si="28"/>
        <v>2972378.9026846942</v>
      </c>
      <c r="AG26" s="60">
        <f t="shared" si="28"/>
        <v>3047840.7567006592</v>
      </c>
      <c r="AH26" s="60">
        <f t="shared" si="28"/>
        <v>3122358.0982350493</v>
      </c>
      <c r="AI26" s="60">
        <f t="shared" si="28"/>
        <v>3196171.1645456376</v>
      </c>
      <c r="AJ26" s="60">
        <f t="shared" si="28"/>
        <v>3269425.0748884231</v>
      </c>
      <c r="AK26" s="60">
        <f t="shared" si="28"/>
        <v>3351913.3958635842</v>
      </c>
      <c r="AL26" s="60">
        <f t="shared" si="28"/>
        <v>3438833.72030148</v>
      </c>
      <c r="AM26" s="60">
        <f t="shared" si="28"/>
        <v>3517582.977330666</v>
      </c>
      <c r="AN26" s="60">
        <f t="shared" si="28"/>
        <v>3591270.2538665892</v>
      </c>
      <c r="AO26" s="60">
        <f t="shared" si="28"/>
        <v>3661773.6448567128</v>
      </c>
      <c r="AP26" s="60">
        <f t="shared" si="28"/>
        <v>3730227.6443591379</v>
      </c>
      <c r="AQ26" s="60">
        <f t="shared" si="28"/>
        <v>3797317.5621179752</v>
      </c>
      <c r="AR26" s="60">
        <f t="shared" si="28"/>
        <v>3863457.3707248135</v>
      </c>
      <c r="AS26" s="60">
        <f t="shared" si="28"/>
        <v>3928897.1371137067</v>
      </c>
      <c r="AT26" s="60">
        <f t="shared" si="28"/>
        <v>3993787.9183178432</v>
      </c>
      <c r="AU26" s="60">
        <f t="shared" si="28"/>
        <v>4058220.9628158044</v>
      </c>
      <c r="AV26" s="60">
        <f t="shared" si="28"/>
        <v>4122251.3907477623</v>
      </c>
      <c r="AW26" s="60">
        <f t="shared" si="28"/>
        <v>4195061.5158763034</v>
      </c>
      <c r="AX26" s="60">
        <f t="shared" si="28"/>
        <v>4272498.0321340375</v>
      </c>
      <c r="AY26" s="60">
        <f t="shared" si="28"/>
        <v>4342905.0621498022</v>
      </c>
      <c r="AZ26" s="60">
        <f t="shared" si="28"/>
        <v>4408943.7281415323</v>
      </c>
      <c r="BA26" s="60">
        <f t="shared" si="28"/>
        <v>4472221.5246335063</v>
      </c>
      <c r="BB26" s="60">
        <f t="shared" si="28"/>
        <v>4533709.4850597288</v>
      </c>
      <c r="BC26" s="60">
        <f t="shared" si="28"/>
        <v>4593994.178093195</v>
      </c>
      <c r="BD26" s="60">
        <f t="shared" si="28"/>
        <v>4653429.9301619064</v>
      </c>
      <c r="BE26" s="60">
        <f t="shared" si="28"/>
        <v>4712230.7779564653</v>
      </c>
      <c r="BF26" s="60">
        <f t="shared" si="28"/>
        <v>4770526.013850525</v>
      </c>
      <c r="BG26" s="60">
        <f t="shared" si="28"/>
        <v>4828393.7390230857</v>
      </c>
      <c r="BH26" s="60">
        <f t="shared" si="28"/>
        <v>4885881.1317723589</v>
      </c>
      <c r="BI26" s="60">
        <f t="shared" si="28"/>
        <v>4951873.7728662891</v>
      </c>
      <c r="BJ26" s="60">
        <f t="shared" si="28"/>
        <v>5008800.0525133684</v>
      </c>
      <c r="BK26" s="60">
        <f t="shared" si="28"/>
        <v>5044440.9289078657</v>
      </c>
      <c r="BL26" s="60">
        <f t="shared" si="28"/>
        <v>5073883.3179746009</v>
      </c>
      <c r="BM26" s="60">
        <f t="shared" si="28"/>
        <v>5099869.3719830662</v>
      </c>
      <c r="BN26" s="60">
        <f t="shared" ref="BN26:CG26" si="29">BN13+BN21</f>
        <v>5125681.5420764284</v>
      </c>
      <c r="BO26" s="60">
        <f t="shared" si="29"/>
        <v>5155128.0072338954</v>
      </c>
      <c r="BP26" s="60">
        <f t="shared" si="29"/>
        <v>5189644.2962705623</v>
      </c>
      <c r="BQ26" s="60">
        <f t="shared" si="29"/>
        <v>5225923.5703698937</v>
      </c>
      <c r="BR26" s="60">
        <f t="shared" si="29"/>
        <v>5261232.6389302239</v>
      </c>
      <c r="BS26" s="60">
        <f t="shared" si="29"/>
        <v>5294484.8767533405</v>
      </c>
      <c r="BT26" s="60">
        <f t="shared" si="29"/>
        <v>5324239.8403319735</v>
      </c>
      <c r="BU26" s="60">
        <f t="shared" si="29"/>
        <v>5356525.7621317822</v>
      </c>
      <c r="BV26" s="60">
        <f t="shared" si="29"/>
        <v>5382142.0257041464</v>
      </c>
      <c r="BW26" s="60">
        <f t="shared" si="29"/>
        <v>5394216.3439567462</v>
      </c>
      <c r="BX26" s="60">
        <f t="shared" si="29"/>
        <v>5402388.2999983532</v>
      </c>
      <c r="BY26" s="60">
        <f t="shared" si="29"/>
        <v>5408387.954530308</v>
      </c>
      <c r="BZ26" s="60">
        <f t="shared" si="29"/>
        <v>5414304.9106003009</v>
      </c>
      <c r="CA26" s="60">
        <f t="shared" si="29"/>
        <v>5422574.0200206824</v>
      </c>
      <c r="CB26" s="60">
        <f t="shared" si="29"/>
        <v>5434110.515129827</v>
      </c>
      <c r="CC26" s="60">
        <f t="shared" si="29"/>
        <v>5446785.926536696</v>
      </c>
      <c r="CD26" s="60">
        <f t="shared" si="29"/>
        <v>5458841.949587686</v>
      </c>
      <c r="CE26" s="60">
        <f t="shared" si="29"/>
        <v>5469579.0184621848</v>
      </c>
      <c r="CF26" s="60">
        <f t="shared" si="29"/>
        <v>5478070.8834719853</v>
      </c>
      <c r="CG26" s="60">
        <f t="shared" si="29"/>
        <v>5488189.4611979686</v>
      </c>
      <c r="CH26" s="60">
        <f>CH13+CH21</f>
        <v>29102148.594067991</v>
      </c>
      <c r="CI26" s="19">
        <f>SUM(N26:Y26)</f>
        <v>21454733.888242632</v>
      </c>
      <c r="CJ26" s="19">
        <f>SUM(P26:Y26)</f>
        <v>18747706.082035616</v>
      </c>
      <c r="CK26" s="19">
        <f>SUM(R26:Y26)</f>
        <v>15737661.37616726</v>
      </c>
    </row>
    <row r="27" spans="1:101" hidden="1" outlineLevel="1" x14ac:dyDescent="0.3">
      <c r="A27" s="15" t="s">
        <v>256</v>
      </c>
      <c r="CH27" s="60">
        <f>CH15+CH22</f>
        <v>1259711.2647407663</v>
      </c>
    </row>
    <row r="28" spans="1:101" ht="15" hidden="1" outlineLevel="1" thickBot="1" x14ac:dyDescent="0.35">
      <c r="A28" s="15" t="s">
        <v>254</v>
      </c>
      <c r="CH28" s="87">
        <f>CH16+CH23</f>
        <v>30361859.858808756</v>
      </c>
    </row>
    <row r="29" spans="1:101" collapsed="1" x14ac:dyDescent="0.3"/>
    <row r="30" spans="1:101" ht="21" x14ac:dyDescent="0.4">
      <c r="A30" s="66"/>
      <c r="J30" s="88" t="s">
        <v>17</v>
      </c>
    </row>
    <row r="31" spans="1:101" x14ac:dyDescent="0.3">
      <c r="A31" s="66"/>
      <c r="B31" s="511">
        <v>43435</v>
      </c>
      <c r="C31" s="512"/>
      <c r="D31" s="512"/>
      <c r="E31" s="513"/>
      <c r="L31" s="24" t="s">
        <v>576</v>
      </c>
      <c r="M31" s="514" t="s">
        <v>577</v>
      </c>
      <c r="N31" s="515"/>
      <c r="O31" s="516"/>
      <c r="P31" s="24" t="s">
        <v>576</v>
      </c>
    </row>
    <row r="32" spans="1:101" x14ac:dyDescent="0.3">
      <c r="B32" s="89" t="s">
        <v>257</v>
      </c>
      <c r="C32" s="89" t="s">
        <v>258</v>
      </c>
      <c r="D32" s="89" t="s">
        <v>245</v>
      </c>
      <c r="E32" s="89" t="s">
        <v>246</v>
      </c>
      <c r="L32" s="65">
        <v>2018</v>
      </c>
      <c r="M32" s="65">
        <v>2019</v>
      </c>
      <c r="N32" s="65">
        <v>2020</v>
      </c>
      <c r="O32" s="65">
        <v>2021</v>
      </c>
      <c r="P32" s="65">
        <v>2021</v>
      </c>
    </row>
    <row r="33" spans="1:17" x14ac:dyDescent="0.3">
      <c r="A33" s="15" t="s">
        <v>259</v>
      </c>
      <c r="B33" s="16">
        <f>AMI!B30</f>
        <v>65960577.016595259</v>
      </c>
      <c r="C33" s="16">
        <v>-6147696</v>
      </c>
      <c r="D33" s="16">
        <v>-4195173</v>
      </c>
      <c r="E33" s="16">
        <v>55617709</v>
      </c>
      <c r="K33" s="24" t="str">
        <f>A12</f>
        <v>Plant</v>
      </c>
      <c r="L33" s="20">
        <f>M12</f>
        <v>91861821.299999997</v>
      </c>
      <c r="M33" s="20">
        <f>SUM(N11:Y11)</f>
        <v>78864884.247150913</v>
      </c>
      <c r="N33" s="20">
        <f>SUM(Z11:AK11)</f>
        <v>81298636.924915999</v>
      </c>
      <c r="O33" s="20">
        <f>SUM(AL11:AW11)</f>
        <v>71603345.269592553</v>
      </c>
      <c r="P33" s="20">
        <f>SUM(L33:O33)</f>
        <v>323628687.74165946</v>
      </c>
      <c r="Q33" s="20">
        <f>AW12-P33</f>
        <v>0</v>
      </c>
    </row>
    <row r="34" spans="1:17" x14ac:dyDescent="0.3">
      <c r="A34" s="15" t="s">
        <v>10</v>
      </c>
      <c r="B34" s="16">
        <f>AMI!C30</f>
        <v>25901244.283404738</v>
      </c>
      <c r="C34" s="16">
        <v>-2818363</v>
      </c>
      <c r="D34" s="16">
        <v>-1865009</v>
      </c>
      <c r="E34" s="16">
        <v>21217873</v>
      </c>
      <c r="K34" s="24"/>
    </row>
    <row r="35" spans="1:17" x14ac:dyDescent="0.3">
      <c r="A35" s="15" t="s">
        <v>260</v>
      </c>
      <c r="B35" s="16"/>
      <c r="C35" s="16"/>
      <c r="D35" s="16"/>
      <c r="E35" s="16"/>
      <c r="J35" s="52">
        <f>L35/L33</f>
        <v>0.71804125025110144</v>
      </c>
      <c r="K35" s="24" t="s">
        <v>259</v>
      </c>
      <c r="L35" s="35">
        <f>AMI!B30</f>
        <v>65960577.016595259</v>
      </c>
      <c r="M35" s="35">
        <f>M33*$J$35</f>
        <v>56628240.085732639</v>
      </c>
      <c r="N35" s="35">
        <f t="shared" ref="N35:O35" si="30">N33*$J$35</f>
        <v>58375774.901277043</v>
      </c>
      <c r="O35" s="35">
        <f t="shared" si="30"/>
        <v>51414155.559539527</v>
      </c>
      <c r="P35" s="35">
        <f>SUM(L35:O35)</f>
        <v>232378747.56314448</v>
      </c>
    </row>
    <row r="36" spans="1:17" ht="15" thickBot="1" x14ac:dyDescent="0.35">
      <c r="A36" s="15" t="s">
        <v>0</v>
      </c>
      <c r="B36" s="90">
        <f>SUM(B33:B35)</f>
        <v>91861821.299999997</v>
      </c>
      <c r="C36" s="90">
        <f>SUM(C33:C35)</f>
        <v>-8966059</v>
      </c>
      <c r="D36" s="90">
        <f>SUM(D33:D35)</f>
        <v>-6060182</v>
      </c>
      <c r="E36" s="90">
        <f>SUM(E33:E35)</f>
        <v>76835582</v>
      </c>
      <c r="J36" s="52">
        <f>1-J35</f>
        <v>0.28195874974889856</v>
      </c>
      <c r="K36" s="24" t="s">
        <v>10</v>
      </c>
      <c r="L36" s="35">
        <f>L33-L35</f>
        <v>25901244.283404738</v>
      </c>
      <c r="M36" s="35">
        <f>M33-M35</f>
        <v>22236644.161418274</v>
      </c>
      <c r="N36" s="35">
        <f t="shared" ref="N36:O36" si="31">N33-N35</f>
        <v>22922862.023638956</v>
      </c>
      <c r="O36" s="35">
        <f t="shared" si="31"/>
        <v>20189189.710053027</v>
      </c>
      <c r="P36" s="35">
        <f>SUM(L36:O36)</f>
        <v>91249940.178514987</v>
      </c>
    </row>
    <row r="37" spans="1:17" ht="15.6" thickTop="1" thickBot="1" x14ac:dyDescent="0.35">
      <c r="L37" s="91">
        <f>SUM(L35:L36)</f>
        <v>91861821.299999997</v>
      </c>
      <c r="M37" s="91">
        <f>SUM(M35:M36)</f>
        <v>78864884.247150913</v>
      </c>
      <c r="N37" s="91">
        <f t="shared" ref="N37:P37" si="32">SUM(N35:N36)</f>
        <v>81298636.924915999</v>
      </c>
      <c r="O37" s="91">
        <f t="shared" si="32"/>
        <v>71603345.269592553</v>
      </c>
      <c r="P37" s="91">
        <f t="shared" si="32"/>
        <v>323628687.74165946</v>
      </c>
      <c r="Q37" s="20">
        <f>AW12-P37</f>
        <v>0</v>
      </c>
    </row>
    <row r="38" spans="1:17" ht="15" thickTop="1" x14ac:dyDescent="0.3"/>
    <row r="39" spans="1:17" x14ac:dyDescent="0.3">
      <c r="B39" s="30" t="s">
        <v>261</v>
      </c>
      <c r="C39" s="89" t="s">
        <v>262</v>
      </c>
      <c r="D39" s="89" t="s">
        <v>263</v>
      </c>
    </row>
    <row r="40" spans="1:17" x14ac:dyDescent="0.3">
      <c r="A40" s="15" t="s">
        <v>259</v>
      </c>
      <c r="B40" s="16">
        <f>AMI!E50</f>
        <v>5438518.1342967749</v>
      </c>
      <c r="J40" s="193" t="s">
        <v>580</v>
      </c>
      <c r="K40" s="15" t="s">
        <v>579</v>
      </c>
      <c r="L40" s="16">
        <f>B43</f>
        <v>7894114.2468734607</v>
      </c>
      <c r="M40" s="20">
        <f>SUM(N13:Y13)</f>
        <v>11273064.015147883</v>
      </c>
      <c r="N40" s="20">
        <f>SUM(Z13:AK13)</f>
        <v>18687063.742230929</v>
      </c>
      <c r="O40" s="20">
        <f>SUM(AL13:AW13)</f>
        <v>25063752.523060825</v>
      </c>
    </row>
    <row r="41" spans="1:17" x14ac:dyDescent="0.3">
      <c r="A41" s="15" t="s">
        <v>10</v>
      </c>
      <c r="B41" s="16">
        <f>AMI!F50</f>
        <v>2455596.1125766858</v>
      </c>
      <c r="J41" s="193" t="str">
        <f>J40</f>
        <v xml:space="preserve">Total </v>
      </c>
      <c r="K41" s="15" t="s">
        <v>578</v>
      </c>
      <c r="L41" s="60">
        <f>M17</f>
        <v>-9623901.8539061211</v>
      </c>
      <c r="M41" s="60">
        <f>L41-M40</f>
        <v>-20896965.869054005</v>
      </c>
      <c r="N41" s="60">
        <f t="shared" ref="N41:O41" si="33">M41-N40</f>
        <v>-39584029.611284934</v>
      </c>
      <c r="O41" s="60">
        <f t="shared" si="33"/>
        <v>-64647782.134345755</v>
      </c>
    </row>
    <row r="42" spans="1:17" x14ac:dyDescent="0.3">
      <c r="A42" s="15" t="s">
        <v>260</v>
      </c>
      <c r="B42" s="16"/>
    </row>
    <row r="43" spans="1:17" ht="15" thickBot="1" x14ac:dyDescent="0.35">
      <c r="A43" s="15" t="s">
        <v>0</v>
      </c>
      <c r="B43" s="90">
        <f>SUM(B40:B42)</f>
        <v>7894114.2468734607</v>
      </c>
      <c r="C43" s="95">
        <f>B36/B43</f>
        <v>11.63674839598157</v>
      </c>
      <c r="D43" s="194">
        <f>B43/12</f>
        <v>657842.85390612169</v>
      </c>
      <c r="H43" s="264"/>
      <c r="J43" s="193" t="str">
        <f>K35</f>
        <v xml:space="preserve">Electric </v>
      </c>
      <c r="K43" s="15" t="str">
        <f>K40</f>
        <v>AMORT</v>
      </c>
      <c r="L43" s="35">
        <f>B40</f>
        <v>5438518.1342967749</v>
      </c>
      <c r="M43" s="35">
        <f t="shared" ref="M43:O43" si="34">M40*$J$35</f>
        <v>8094524.9795974875</v>
      </c>
      <c r="N43" s="35">
        <f t="shared" si="34"/>
        <v>13418082.612993523</v>
      </c>
      <c r="O43" s="35">
        <f t="shared" si="34"/>
        <v>17996808.197642792</v>
      </c>
      <c r="P43" s="35">
        <f>SUM(L43:O43)</f>
        <v>44947933.924530581</v>
      </c>
    </row>
    <row r="44" spans="1:17" ht="15" thickTop="1" x14ac:dyDescent="0.3">
      <c r="A44" s="15" t="s">
        <v>264</v>
      </c>
      <c r="C44" s="96">
        <f>1/C43</f>
        <v>8.5934658546482148E-2</v>
      </c>
      <c r="J44" s="193" t="str">
        <f>J43</f>
        <v xml:space="preserve">Electric </v>
      </c>
      <c r="K44" s="15" t="str">
        <f>K41</f>
        <v>RSRV</v>
      </c>
      <c r="L44" s="35">
        <f>L41*$J$35</f>
        <v>-6910358.5194726437</v>
      </c>
      <c r="M44" s="35">
        <f t="shared" ref="M44:O44" si="35">M41*$J$35</f>
        <v>-15004883.499070132</v>
      </c>
      <c r="N44" s="35">
        <f t="shared" si="35"/>
        <v>-28422966.112063654</v>
      </c>
      <c r="O44" s="35">
        <f t="shared" si="35"/>
        <v>-46419774.309706442</v>
      </c>
    </row>
    <row r="45" spans="1:17" x14ac:dyDescent="0.3">
      <c r="J45" s="193"/>
    </row>
    <row r="46" spans="1:17" hidden="1" outlineLevel="1" x14ac:dyDescent="0.3">
      <c r="A46" s="66" t="s">
        <v>265</v>
      </c>
      <c r="J46" s="193"/>
    </row>
    <row r="47" spans="1:17" hidden="1" outlineLevel="1" x14ac:dyDescent="0.3">
      <c r="A47" s="66" t="s">
        <v>266</v>
      </c>
      <c r="B47" s="89" t="s">
        <v>267</v>
      </c>
      <c r="C47" s="89" t="s">
        <v>268</v>
      </c>
      <c r="D47" s="89" t="s">
        <v>0</v>
      </c>
      <c r="J47" s="193"/>
    </row>
    <row r="48" spans="1:17" hidden="1" outlineLevel="1" x14ac:dyDescent="0.3">
      <c r="A48" s="15" t="s">
        <v>269</v>
      </c>
      <c r="B48" s="16">
        <v>11536</v>
      </c>
      <c r="C48" s="16">
        <f>D48-B48</f>
        <v>26861</v>
      </c>
      <c r="D48" s="16">
        <v>38397</v>
      </c>
      <c r="J48" s="193"/>
    </row>
    <row r="49" spans="1:16" hidden="1" outlineLevel="1" x14ac:dyDescent="0.3">
      <c r="A49" s="15" t="s">
        <v>270</v>
      </c>
      <c r="B49" s="16">
        <v>6926</v>
      </c>
      <c r="C49" s="16">
        <f>D49-B49</f>
        <v>3012</v>
      </c>
      <c r="D49" s="16">
        <v>9938</v>
      </c>
      <c r="J49" s="193"/>
    </row>
    <row r="50" spans="1:16" hidden="1" outlineLevel="1" x14ac:dyDescent="0.3">
      <c r="A50" s="15" t="s">
        <v>271</v>
      </c>
      <c r="B50" s="16">
        <v>9065</v>
      </c>
      <c r="C50" s="16">
        <f>D50-B50</f>
        <v>1346</v>
      </c>
      <c r="D50" s="16">
        <v>10411</v>
      </c>
      <c r="J50" s="193"/>
    </row>
    <row r="51" spans="1:16" ht="15" hidden="1" outlineLevel="1" thickBot="1" x14ac:dyDescent="0.35">
      <c r="A51" s="15" t="s">
        <v>0</v>
      </c>
      <c r="B51" s="90">
        <f>SUM(B48:B50)</f>
        <v>27527</v>
      </c>
      <c r="C51" s="90">
        <f>SUM(C48:C50)</f>
        <v>31219</v>
      </c>
      <c r="D51" s="90">
        <f>SUM(D48:D50)</f>
        <v>58746</v>
      </c>
      <c r="J51" s="193"/>
    </row>
    <row r="52" spans="1:16" collapsed="1" x14ac:dyDescent="0.3">
      <c r="J52" s="193"/>
    </row>
    <row r="53" spans="1:16" x14ac:dyDescent="0.3">
      <c r="B53" s="68">
        <f>B33/B$36</f>
        <v>0.71804125025110144</v>
      </c>
      <c r="C53" s="68">
        <f t="shared" ref="C53:E54" si="36">C33/C$36</f>
        <v>0.6856631213334643</v>
      </c>
      <c r="D53" s="68">
        <f t="shared" si="36"/>
        <v>0.69225198187117154</v>
      </c>
      <c r="E53" s="68">
        <f t="shared" si="36"/>
        <v>0.72385355264179552</v>
      </c>
      <c r="J53" s="193" t="str">
        <f>K36</f>
        <v>Gas</v>
      </c>
      <c r="K53" s="15" t="str">
        <f>K43</f>
        <v>AMORT</v>
      </c>
      <c r="L53" s="35">
        <f>B41</f>
        <v>2455596.1125766858</v>
      </c>
      <c r="M53" s="35">
        <f t="shared" ref="M53:O53" si="37">M40*$J$36</f>
        <v>3178539.0355503955</v>
      </c>
      <c r="N53" s="35">
        <f t="shared" si="37"/>
        <v>5268981.1292374069</v>
      </c>
      <c r="O53" s="35">
        <f t="shared" si="37"/>
        <v>7066944.3254180318</v>
      </c>
      <c r="P53" s="35">
        <f>SUM(L53:O53)</f>
        <v>17970060.602782521</v>
      </c>
    </row>
    <row r="54" spans="1:16" x14ac:dyDescent="0.3">
      <c r="B54" s="68">
        <f>B34/B$36</f>
        <v>0.28195874974889856</v>
      </c>
      <c r="C54" s="68">
        <f t="shared" si="36"/>
        <v>0.31433687866653565</v>
      </c>
      <c r="D54" s="68">
        <f t="shared" si="36"/>
        <v>0.30774801812882846</v>
      </c>
      <c r="E54" s="68">
        <f t="shared" si="36"/>
        <v>0.27614644735820443</v>
      </c>
      <c r="J54" s="193" t="str">
        <f>J53</f>
        <v>Gas</v>
      </c>
      <c r="K54" s="15" t="str">
        <f>K44</f>
        <v>RSRV</v>
      </c>
      <c r="L54" s="35">
        <f>L41*$J$36</f>
        <v>-2713543.3344334769</v>
      </c>
      <c r="M54" s="35">
        <f t="shared" ref="M54:O54" si="38">M41*$J$36</f>
        <v>-5892082.3699838724</v>
      </c>
      <c r="N54" s="35">
        <f t="shared" si="38"/>
        <v>-11161063.499221278</v>
      </c>
      <c r="O54" s="35">
        <f t="shared" si="38"/>
        <v>-18228007.824639309</v>
      </c>
    </row>
  </sheetData>
  <mergeCells count="2">
    <mergeCell ref="B31:E31"/>
    <mergeCell ref="M31:O31"/>
  </mergeCells>
  <pageMargins left="0.7" right="0.7" top="0.75" bottom="0.75" header="0.3" footer="0.3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9"/>
  <sheetViews>
    <sheetView workbookViewId="0">
      <pane xSplit="1" ySplit="12" topLeftCell="B43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8.88671875" defaultRowHeight="13.2" outlineLevelRow="1" x14ac:dyDescent="0.25"/>
  <cols>
    <col min="1" max="1" width="24.44140625" style="210" customWidth="1"/>
    <col min="2" max="2" width="12.33203125" style="210" customWidth="1"/>
    <col min="3" max="3" width="15.109375" style="210" bestFit="1" customWidth="1"/>
    <col min="4" max="4" width="11.6640625" style="210" bestFit="1" customWidth="1"/>
    <col min="5" max="5" width="14.109375" style="210" bestFit="1" customWidth="1"/>
    <col min="6" max="6" width="15.88671875" style="210" customWidth="1"/>
    <col min="7" max="7" width="14.5546875" style="210" bestFit="1" customWidth="1"/>
    <col min="8" max="8" width="12.5546875" style="210" bestFit="1" customWidth="1"/>
    <col min="9" max="9" width="12.33203125" style="210" bestFit="1" customWidth="1"/>
    <col min="10" max="10" width="14" style="210" customWidth="1"/>
    <col min="11" max="12" width="13.5546875" style="210" customWidth="1"/>
    <col min="13" max="13" width="7.33203125" style="210" bestFit="1" customWidth="1"/>
    <col min="14" max="14" width="12.88671875" style="210" bestFit="1" customWidth="1"/>
    <col min="15" max="15" width="8.88671875" style="210"/>
    <col min="16" max="16" width="9.33203125" style="210" bestFit="1" customWidth="1"/>
    <col min="17" max="16384" width="8.88671875" style="210"/>
  </cols>
  <sheetData>
    <row r="1" spans="1:15" s="197" customFormat="1" x14ac:dyDescent="0.25">
      <c r="A1" s="195" t="s">
        <v>18</v>
      </c>
      <c r="B1" s="196"/>
      <c r="C1" s="196"/>
      <c r="D1" s="196"/>
      <c r="E1" s="196"/>
      <c r="J1" s="196"/>
      <c r="K1" s="196"/>
      <c r="L1" s="198"/>
      <c r="M1" s="199"/>
      <c r="N1" s="198"/>
    </row>
    <row r="2" spans="1:15" s="197" customFormat="1" ht="14.4" x14ac:dyDescent="0.25">
      <c r="A2" s="195" t="s">
        <v>540</v>
      </c>
      <c r="C2" s="200"/>
      <c r="D2" s="201"/>
      <c r="F2" s="196"/>
      <c r="G2" s="202"/>
      <c r="H2" s="203"/>
      <c r="I2" s="196"/>
      <c r="J2" s="196"/>
      <c r="K2" s="196"/>
      <c r="L2" s="204"/>
      <c r="M2" s="199"/>
      <c r="N2" s="198"/>
      <c r="O2" s="97"/>
    </row>
    <row r="3" spans="1:15" s="197" customFormat="1" ht="14.4" x14ac:dyDescent="0.25">
      <c r="A3" s="205"/>
      <c r="C3" s="206"/>
      <c r="D3" s="207"/>
      <c r="E3" s="207"/>
      <c r="F3" s="196"/>
      <c r="G3" s="208"/>
      <c r="J3" s="209"/>
      <c r="K3" s="209"/>
      <c r="L3" s="204"/>
      <c r="M3" s="199"/>
      <c r="N3" s="202"/>
      <c r="O3" s="97"/>
    </row>
    <row r="4" spans="1:15" s="197" customFormat="1" ht="6.6" customHeight="1" x14ac:dyDescent="0.25">
      <c r="A4" s="210"/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97"/>
    </row>
    <row r="5" spans="1:15" s="197" customFormat="1" ht="14.4" x14ac:dyDescent="0.25">
      <c r="A5" s="212" t="s">
        <v>541</v>
      </c>
      <c r="B5" s="213">
        <v>2017</v>
      </c>
      <c r="C5" s="213">
        <f>+B5+1</f>
        <v>2018</v>
      </c>
      <c r="D5" s="213">
        <f>+C5+1</f>
        <v>2019</v>
      </c>
      <c r="E5" s="213">
        <f>+D5+1</f>
        <v>2020</v>
      </c>
      <c r="F5" s="213" t="s">
        <v>0</v>
      </c>
      <c r="G5" s="208"/>
      <c r="H5" s="208"/>
      <c r="I5" s="208"/>
      <c r="J5" s="208"/>
      <c r="K5" s="208"/>
      <c r="L5" s="208"/>
      <c r="O5" s="97"/>
    </row>
    <row r="6" spans="1:15" s="197" customFormat="1" ht="14.4" x14ac:dyDescent="0.25">
      <c r="A6" s="214" t="s">
        <v>542</v>
      </c>
      <c r="B6" s="215">
        <v>0.16666666666666666</v>
      </c>
      <c r="C6" s="215">
        <v>0.33333333333333331</v>
      </c>
      <c r="D6" s="215">
        <v>0.33333333333333331</v>
      </c>
      <c r="E6" s="215">
        <v>0.16666666666666666</v>
      </c>
      <c r="F6" s="216">
        <f>B6+C6+D6+E6</f>
        <v>0.99999999999999989</v>
      </c>
      <c r="G6" s="208"/>
      <c r="H6" s="208"/>
      <c r="I6" s="208"/>
      <c r="J6" s="208"/>
      <c r="K6" s="208"/>
      <c r="L6" s="208"/>
      <c r="O6" s="97"/>
    </row>
    <row r="7" spans="1:15" s="197" customFormat="1" ht="7.2" customHeight="1" thickBot="1" x14ac:dyDescent="0.3">
      <c r="A7" s="217"/>
      <c r="B7" s="211"/>
      <c r="C7" s="211"/>
      <c r="D7" s="211"/>
      <c r="E7" s="211"/>
      <c r="F7" s="211"/>
      <c r="G7" s="211"/>
      <c r="H7" s="218"/>
      <c r="I7" s="218"/>
      <c r="J7" s="218"/>
    </row>
    <row r="8" spans="1:15" x14ac:dyDescent="0.25">
      <c r="A8" s="219"/>
      <c r="B8" s="220" t="s">
        <v>543</v>
      </c>
      <c r="C8" s="221"/>
      <c r="D8" s="220" t="s">
        <v>544</v>
      </c>
      <c r="E8" s="221"/>
      <c r="F8" s="220" t="s">
        <v>186</v>
      </c>
      <c r="G8" s="221"/>
      <c r="H8" s="220" t="s">
        <v>545</v>
      </c>
      <c r="I8" s="221"/>
      <c r="J8" s="222"/>
      <c r="K8" s="222"/>
      <c r="L8" s="222" t="s">
        <v>245</v>
      </c>
    </row>
    <row r="9" spans="1:15" x14ac:dyDescent="0.25">
      <c r="A9" s="224"/>
      <c r="B9" s="225"/>
      <c r="C9" s="226"/>
      <c r="D9" s="225"/>
      <c r="E9" s="226"/>
      <c r="F9" s="227"/>
      <c r="G9" s="226"/>
      <c r="H9" s="228"/>
      <c r="I9" s="229"/>
      <c r="J9" s="230" t="s">
        <v>546</v>
      </c>
      <c r="K9" s="231" t="s">
        <v>284</v>
      </c>
      <c r="L9" s="230" t="s">
        <v>547</v>
      </c>
    </row>
    <row r="10" spans="1:15" x14ac:dyDescent="0.25">
      <c r="A10" s="232"/>
      <c r="B10" s="228" t="s">
        <v>548</v>
      </c>
      <c r="C10" s="229" t="s">
        <v>549</v>
      </c>
      <c r="D10" s="228" t="s">
        <v>550</v>
      </c>
      <c r="E10" s="229" t="s">
        <v>551</v>
      </c>
      <c r="F10" s="228" t="s">
        <v>548</v>
      </c>
      <c r="G10" s="229" t="s">
        <v>549</v>
      </c>
      <c r="H10" s="228" t="s">
        <v>548</v>
      </c>
      <c r="I10" s="229" t="s">
        <v>552</v>
      </c>
      <c r="J10" s="230" t="s">
        <v>553</v>
      </c>
      <c r="K10" s="231">
        <v>0.21</v>
      </c>
      <c r="L10" s="230" t="s">
        <v>554</v>
      </c>
    </row>
    <row r="11" spans="1:15" x14ac:dyDescent="0.25">
      <c r="A11" s="232"/>
      <c r="B11" s="228"/>
      <c r="C11" s="229"/>
      <c r="D11" s="228" t="s">
        <v>555</v>
      </c>
      <c r="E11" s="229" t="s">
        <v>556</v>
      </c>
      <c r="F11" s="228" t="s">
        <v>557</v>
      </c>
      <c r="G11" s="229" t="s">
        <v>558</v>
      </c>
      <c r="H11" s="228"/>
      <c r="I11" s="229"/>
      <c r="J11" s="230"/>
      <c r="K11" s="231" t="s">
        <v>559</v>
      </c>
      <c r="L11" s="230" t="s">
        <v>560</v>
      </c>
    </row>
    <row r="12" spans="1:15" x14ac:dyDescent="0.25">
      <c r="A12" s="234" t="s">
        <v>561</v>
      </c>
      <c r="B12" s="235" t="s">
        <v>211</v>
      </c>
      <c r="C12" s="236" t="s">
        <v>212</v>
      </c>
      <c r="D12" s="235"/>
      <c r="E12" s="236" t="s">
        <v>562</v>
      </c>
      <c r="F12" s="235" t="s">
        <v>563</v>
      </c>
      <c r="G12" s="236" t="s">
        <v>564</v>
      </c>
      <c r="H12" s="235" t="s">
        <v>565</v>
      </c>
      <c r="I12" s="236" t="s">
        <v>566</v>
      </c>
      <c r="J12" s="237" t="s">
        <v>567</v>
      </c>
      <c r="K12" s="238">
        <v>0.21</v>
      </c>
      <c r="L12" s="239" t="s">
        <v>568</v>
      </c>
    </row>
    <row r="13" spans="1:15" x14ac:dyDescent="0.25">
      <c r="A13" s="241"/>
      <c r="B13" s="241"/>
      <c r="C13" s="241"/>
      <c r="D13" s="241"/>
      <c r="E13" s="241"/>
      <c r="F13" s="241"/>
      <c r="G13" s="241"/>
      <c r="H13" s="241"/>
      <c r="I13" s="241"/>
      <c r="J13" s="242"/>
      <c r="K13" s="243"/>
      <c r="L13" s="244"/>
    </row>
    <row r="14" spans="1:15" x14ac:dyDescent="0.25">
      <c r="A14" s="245"/>
      <c r="B14" s="241"/>
      <c r="C14" s="241"/>
      <c r="D14" s="241"/>
      <c r="E14" s="241"/>
      <c r="F14" s="241"/>
      <c r="G14" s="241"/>
      <c r="H14" s="241"/>
      <c r="I14" s="241"/>
      <c r="J14" s="242"/>
      <c r="K14" s="243"/>
      <c r="L14" s="244"/>
    </row>
    <row r="15" spans="1:15" x14ac:dyDescent="0.25">
      <c r="A15" s="245">
        <v>42766</v>
      </c>
      <c r="B15" s="246">
        <f t="shared" ref="B15:B41" si="0">C15</f>
        <v>1000612.26</v>
      </c>
      <c r="C15" s="247">
        <v>1000612.26</v>
      </c>
      <c r="D15" s="247">
        <f>$B$26*$B$6/12</f>
        <v>197579.3086111111</v>
      </c>
      <c r="E15" s="247">
        <v>27794.785000000003</v>
      </c>
      <c r="F15" s="246">
        <f>-D15+F14</f>
        <v>-197579.3086111111</v>
      </c>
      <c r="G15" s="247">
        <f t="shared" ref="G15:G38" si="1">+G14-E15</f>
        <v>-27794.785000000003</v>
      </c>
      <c r="H15" s="246">
        <f t="shared" ref="H15:I38" si="2">B15+F15</f>
        <v>803032.95138888888</v>
      </c>
      <c r="I15" s="246">
        <f t="shared" si="2"/>
        <v>972817.47499999998</v>
      </c>
      <c r="J15" s="246">
        <f t="shared" ref="J15:J43" si="3">I15-H15</f>
        <v>169784.5236111111</v>
      </c>
      <c r="K15" s="246">
        <f>-J15*$K$10</f>
        <v>-35654.749958333327</v>
      </c>
      <c r="L15" s="248">
        <f t="shared" ref="L15:L50" si="4">-K15+K14</f>
        <v>35654.749958333327</v>
      </c>
    </row>
    <row r="16" spans="1:15" x14ac:dyDescent="0.25">
      <c r="A16" s="245">
        <v>42794</v>
      </c>
      <c r="B16" s="246">
        <f t="shared" si="0"/>
        <v>1000612.26</v>
      </c>
      <c r="C16" s="247">
        <v>1000612.26</v>
      </c>
      <c r="D16" s="247">
        <f t="shared" ref="D16:D25" si="5">$B$26*$B$6/12</f>
        <v>197579.3086111111</v>
      </c>
      <c r="E16" s="247">
        <v>27794.785000000003</v>
      </c>
      <c r="F16" s="246">
        <f t="shared" ref="F16:F38" si="6">-D16+F15</f>
        <v>-395158.61722222221</v>
      </c>
      <c r="G16" s="247">
        <f t="shared" si="1"/>
        <v>-55589.570000000007</v>
      </c>
      <c r="H16" s="246">
        <f t="shared" si="2"/>
        <v>605453.64277777774</v>
      </c>
      <c r="I16" s="246">
        <f t="shared" si="2"/>
        <v>945022.69</v>
      </c>
      <c r="J16" s="246">
        <f t="shared" si="3"/>
        <v>339569.0472222222</v>
      </c>
      <c r="K16" s="246">
        <f t="shared" ref="K16:K38" si="7">-J16*$K$10</f>
        <v>-71309.499916666653</v>
      </c>
      <c r="L16" s="248">
        <f t="shared" si="4"/>
        <v>35654.749958333327</v>
      </c>
    </row>
    <row r="17" spans="1:12" x14ac:dyDescent="0.25">
      <c r="A17" s="245">
        <v>42825</v>
      </c>
      <c r="B17" s="246">
        <f t="shared" si="0"/>
        <v>2821592.99</v>
      </c>
      <c r="C17" s="247">
        <v>2821592.99</v>
      </c>
      <c r="D17" s="247">
        <f t="shared" si="5"/>
        <v>197579.3086111111</v>
      </c>
      <c r="E17" s="247">
        <v>27794.785000000003</v>
      </c>
      <c r="F17" s="246">
        <f t="shared" si="6"/>
        <v>-592737.92583333328</v>
      </c>
      <c r="G17" s="247">
        <f t="shared" si="1"/>
        <v>-83384.35500000001</v>
      </c>
      <c r="H17" s="246">
        <f t="shared" si="2"/>
        <v>2228855.0641666669</v>
      </c>
      <c r="I17" s="246">
        <f t="shared" si="2"/>
        <v>2738208.6350000002</v>
      </c>
      <c r="J17" s="246">
        <f t="shared" si="3"/>
        <v>509353.5708333333</v>
      </c>
      <c r="K17" s="246">
        <f t="shared" si="7"/>
        <v>-106964.24987499999</v>
      </c>
      <c r="L17" s="248">
        <f t="shared" si="4"/>
        <v>35654.749958333341</v>
      </c>
    </row>
    <row r="18" spans="1:12" x14ac:dyDescent="0.25">
      <c r="A18" s="245">
        <v>42855</v>
      </c>
      <c r="B18" s="246">
        <f t="shared" si="0"/>
        <v>2821592.99</v>
      </c>
      <c r="C18" s="247">
        <v>2821592.99</v>
      </c>
      <c r="D18" s="247">
        <f t="shared" si="5"/>
        <v>197579.3086111111</v>
      </c>
      <c r="E18" s="247">
        <v>78377.583055555544</v>
      </c>
      <c r="F18" s="246">
        <f t="shared" si="6"/>
        <v>-790317.23444444442</v>
      </c>
      <c r="G18" s="247">
        <f t="shared" si="1"/>
        <v>-161761.93805555557</v>
      </c>
      <c r="H18" s="246">
        <f t="shared" si="2"/>
        <v>2031275.7555555557</v>
      </c>
      <c r="I18" s="246">
        <f t="shared" si="2"/>
        <v>2659831.0519444449</v>
      </c>
      <c r="J18" s="246">
        <f t="shared" si="3"/>
        <v>628555.2963888892</v>
      </c>
      <c r="K18" s="246">
        <f t="shared" si="7"/>
        <v>-131996.61224166673</v>
      </c>
      <c r="L18" s="248">
        <f t="shared" si="4"/>
        <v>25032.362366666741</v>
      </c>
    </row>
    <row r="19" spans="1:12" x14ac:dyDescent="0.25">
      <c r="A19" s="245">
        <v>42886</v>
      </c>
      <c r="B19" s="246">
        <f t="shared" si="0"/>
        <v>2821592.99</v>
      </c>
      <c r="C19" s="247">
        <v>2821592.99</v>
      </c>
      <c r="D19" s="247">
        <f t="shared" si="5"/>
        <v>197579.3086111111</v>
      </c>
      <c r="E19" s="247">
        <v>78377.583055555544</v>
      </c>
      <c r="F19" s="246">
        <f t="shared" si="6"/>
        <v>-987896.54305555555</v>
      </c>
      <c r="G19" s="247">
        <f t="shared" si="1"/>
        <v>-240139.5211111111</v>
      </c>
      <c r="H19" s="246">
        <f t="shared" si="2"/>
        <v>1833696.4469444447</v>
      </c>
      <c r="I19" s="246">
        <f t="shared" si="2"/>
        <v>2581453.4688888891</v>
      </c>
      <c r="J19" s="246">
        <f>I19-H19</f>
        <v>747757.02194444439</v>
      </c>
      <c r="K19" s="246">
        <f t="shared" si="7"/>
        <v>-157028.97460833332</v>
      </c>
      <c r="L19" s="248">
        <f t="shared" si="4"/>
        <v>25032.362366666581</v>
      </c>
    </row>
    <row r="20" spans="1:12" x14ac:dyDescent="0.25">
      <c r="A20" s="245">
        <v>42916</v>
      </c>
      <c r="B20" s="246">
        <f t="shared" si="0"/>
        <v>2843278.64</v>
      </c>
      <c r="C20" s="247">
        <v>2843278.64</v>
      </c>
      <c r="D20" s="247">
        <f t="shared" si="5"/>
        <v>197579.3086111111</v>
      </c>
      <c r="E20" s="247">
        <v>78979.96222222221</v>
      </c>
      <c r="F20" s="246">
        <f t="shared" si="6"/>
        <v>-1185475.8516666666</v>
      </c>
      <c r="G20" s="247">
        <f t="shared" si="1"/>
        <v>-319119.48333333328</v>
      </c>
      <c r="H20" s="246">
        <f t="shared" si="2"/>
        <v>1657802.7883333336</v>
      </c>
      <c r="I20" s="246">
        <f t="shared" si="2"/>
        <v>2524159.1566666667</v>
      </c>
      <c r="J20" s="246">
        <f t="shared" si="3"/>
        <v>866356.36833333317</v>
      </c>
      <c r="K20" s="246">
        <f t="shared" si="7"/>
        <v>-181934.83734999996</v>
      </c>
      <c r="L20" s="248">
        <f t="shared" si="4"/>
        <v>24905.862741666642</v>
      </c>
    </row>
    <row r="21" spans="1:12" x14ac:dyDescent="0.25">
      <c r="A21" s="245">
        <v>42947</v>
      </c>
      <c r="B21" s="246">
        <f t="shared" si="0"/>
        <v>2843278.64</v>
      </c>
      <c r="C21" s="247">
        <v>2843278.64</v>
      </c>
      <c r="D21" s="247">
        <f t="shared" si="5"/>
        <v>197579.3086111111</v>
      </c>
      <c r="E21" s="247">
        <v>78979.96222222221</v>
      </c>
      <c r="F21" s="246">
        <f t="shared" si="6"/>
        <v>-1383055.1602777776</v>
      </c>
      <c r="G21" s="247">
        <f t="shared" si="1"/>
        <v>-398099.44555555552</v>
      </c>
      <c r="H21" s="246">
        <f t="shared" si="2"/>
        <v>1460223.4797222225</v>
      </c>
      <c r="I21" s="246">
        <f t="shared" si="2"/>
        <v>2445179.1944444445</v>
      </c>
      <c r="J21" s="246">
        <f t="shared" si="3"/>
        <v>984955.71472222195</v>
      </c>
      <c r="K21" s="246">
        <f t="shared" si="7"/>
        <v>-206840.7000916666</v>
      </c>
      <c r="L21" s="248">
        <f t="shared" si="4"/>
        <v>24905.862741666642</v>
      </c>
    </row>
    <row r="22" spans="1:12" x14ac:dyDescent="0.25">
      <c r="A22" s="245">
        <v>42978</v>
      </c>
      <c r="B22" s="246">
        <f t="shared" si="0"/>
        <v>2843278.64</v>
      </c>
      <c r="C22" s="247">
        <v>2843278.64</v>
      </c>
      <c r="D22" s="247">
        <f t="shared" si="5"/>
        <v>197579.3086111111</v>
      </c>
      <c r="E22" s="247">
        <v>78979.96222222221</v>
      </c>
      <c r="F22" s="246">
        <f t="shared" si="6"/>
        <v>-1580634.4688888886</v>
      </c>
      <c r="G22" s="247">
        <f t="shared" si="1"/>
        <v>-477079.40777777776</v>
      </c>
      <c r="H22" s="246">
        <f t="shared" si="2"/>
        <v>1262644.1711111115</v>
      </c>
      <c r="I22" s="246">
        <f t="shared" si="2"/>
        <v>2366199.2322222223</v>
      </c>
      <c r="J22" s="246">
        <f t="shared" si="3"/>
        <v>1103555.0611111107</v>
      </c>
      <c r="K22" s="246">
        <f t="shared" si="7"/>
        <v>-231746.56283333324</v>
      </c>
      <c r="L22" s="248">
        <f t="shared" si="4"/>
        <v>24905.862741666642</v>
      </c>
    </row>
    <row r="23" spans="1:12" x14ac:dyDescent="0.25">
      <c r="A23" s="245">
        <v>43008</v>
      </c>
      <c r="B23" s="246">
        <f t="shared" si="0"/>
        <v>2843278.64</v>
      </c>
      <c r="C23" s="247">
        <v>2843278.64</v>
      </c>
      <c r="D23" s="247">
        <f t="shared" si="5"/>
        <v>197579.3086111111</v>
      </c>
      <c r="E23" s="247">
        <v>78979.96222222221</v>
      </c>
      <c r="F23" s="246">
        <f t="shared" si="6"/>
        <v>-1778213.7774999996</v>
      </c>
      <c r="G23" s="247">
        <f t="shared" si="1"/>
        <v>-556059.37</v>
      </c>
      <c r="H23" s="246">
        <f t="shared" si="2"/>
        <v>1065064.8625000005</v>
      </c>
      <c r="I23" s="246">
        <f t="shared" si="2"/>
        <v>2287219.27</v>
      </c>
      <c r="J23" s="246">
        <f t="shared" si="3"/>
        <v>1222154.4074999995</v>
      </c>
      <c r="K23" s="246">
        <f t="shared" si="7"/>
        <v>-256652.42557499988</v>
      </c>
      <c r="L23" s="248">
        <f t="shared" si="4"/>
        <v>24905.862741666642</v>
      </c>
    </row>
    <row r="24" spans="1:12" x14ac:dyDescent="0.25">
      <c r="A24" s="245">
        <v>43039</v>
      </c>
      <c r="B24" s="246">
        <f t="shared" si="0"/>
        <v>2843278.64</v>
      </c>
      <c r="C24" s="247">
        <v>2843278.64</v>
      </c>
      <c r="D24" s="247">
        <f t="shared" si="5"/>
        <v>197579.3086111111</v>
      </c>
      <c r="E24" s="247">
        <v>78979.96222222221</v>
      </c>
      <c r="F24" s="246">
        <f t="shared" si="6"/>
        <v>-1975793.0861111106</v>
      </c>
      <c r="G24" s="247">
        <f t="shared" si="1"/>
        <v>-635039.33222222223</v>
      </c>
      <c r="H24" s="246">
        <f t="shared" si="2"/>
        <v>867485.5538888895</v>
      </c>
      <c r="I24" s="246">
        <f t="shared" si="2"/>
        <v>2208239.3077777778</v>
      </c>
      <c r="J24" s="246">
        <f t="shared" si="3"/>
        <v>1340753.7538888883</v>
      </c>
      <c r="K24" s="246">
        <f t="shared" si="7"/>
        <v>-281558.28831666656</v>
      </c>
      <c r="L24" s="248">
        <f t="shared" si="4"/>
        <v>24905.862741666671</v>
      </c>
    </row>
    <row r="25" spans="1:12" x14ac:dyDescent="0.25">
      <c r="A25" s="245">
        <v>43069</v>
      </c>
      <c r="B25" s="246">
        <f t="shared" si="0"/>
        <v>2850956.49</v>
      </c>
      <c r="C25" s="247">
        <v>2850956.49</v>
      </c>
      <c r="D25" s="247">
        <f t="shared" si="5"/>
        <v>197579.3086111111</v>
      </c>
      <c r="E25" s="247">
        <v>78979.96222222221</v>
      </c>
      <c r="F25" s="246">
        <f t="shared" si="6"/>
        <v>-2173372.3947222219</v>
      </c>
      <c r="G25" s="247">
        <f t="shared" si="1"/>
        <v>-714019.29444444447</v>
      </c>
      <c r="H25" s="246">
        <f t="shared" si="2"/>
        <v>677584.09527777834</v>
      </c>
      <c r="I25" s="246">
        <f t="shared" si="2"/>
        <v>2136937.1955555556</v>
      </c>
      <c r="J25" s="246">
        <f t="shared" si="3"/>
        <v>1459353.1002777773</v>
      </c>
      <c r="K25" s="246">
        <f t="shared" si="7"/>
        <v>-306464.15105833323</v>
      </c>
      <c r="L25" s="248">
        <f t="shared" si="4"/>
        <v>24905.862741666671</v>
      </c>
    </row>
    <row r="26" spans="1:12" x14ac:dyDescent="0.25">
      <c r="A26" s="245">
        <v>43100</v>
      </c>
      <c r="B26" s="246">
        <f t="shared" si="0"/>
        <v>14225710.219999999</v>
      </c>
      <c r="C26" s="247">
        <v>14225710.219999999</v>
      </c>
      <c r="D26" s="247">
        <f>$B$26*$B$6/12</f>
        <v>197579.3086111111</v>
      </c>
      <c r="E26" s="247">
        <v>79011.953263888878</v>
      </c>
      <c r="F26" s="246">
        <f t="shared" si="6"/>
        <v>-2370951.7033333331</v>
      </c>
      <c r="G26" s="247">
        <f t="shared" si="1"/>
        <v>-793031.24770833331</v>
      </c>
      <c r="H26" s="246">
        <f t="shared" si="2"/>
        <v>11854758.516666666</v>
      </c>
      <c r="I26" s="246">
        <f t="shared" si="2"/>
        <v>13432678.972291665</v>
      </c>
      <c r="J26" s="246">
        <f t="shared" si="3"/>
        <v>1577920.4556249995</v>
      </c>
      <c r="K26" s="246">
        <f t="shared" si="7"/>
        <v>-331363.29568124987</v>
      </c>
      <c r="L26" s="248">
        <f t="shared" si="4"/>
        <v>24899.144622916647</v>
      </c>
    </row>
    <row r="27" spans="1:12" x14ac:dyDescent="0.25">
      <c r="A27" s="245">
        <v>43131</v>
      </c>
      <c r="B27" s="246">
        <f t="shared" si="0"/>
        <v>14225710.219999999</v>
      </c>
      <c r="C27" s="247">
        <v>14225710.219999999</v>
      </c>
      <c r="D27" s="247">
        <f>$B$26*$C$6/12+(($B$38-$B$26)*$B$6)/12</f>
        <v>2296700.8747222219</v>
      </c>
      <c r="E27" s="247">
        <v>356156.80920833326</v>
      </c>
      <c r="F27" s="246">
        <f t="shared" si="6"/>
        <v>-4667652.578055555</v>
      </c>
      <c r="G27" s="247">
        <f t="shared" si="1"/>
        <v>-1149188.0569166667</v>
      </c>
      <c r="H27" s="246">
        <f t="shared" si="2"/>
        <v>9558057.6419444438</v>
      </c>
      <c r="I27" s="246">
        <f t="shared" si="2"/>
        <v>13076522.163083332</v>
      </c>
      <c r="J27" s="246">
        <f t="shared" si="3"/>
        <v>3518464.5211388879</v>
      </c>
      <c r="K27" s="246">
        <f t="shared" si="7"/>
        <v>-738877.54943916644</v>
      </c>
      <c r="L27" s="248">
        <f t="shared" si="4"/>
        <v>407514.25375791657</v>
      </c>
    </row>
    <row r="28" spans="1:12" x14ac:dyDescent="0.25">
      <c r="A28" s="245">
        <v>43159</v>
      </c>
      <c r="B28" s="246">
        <f t="shared" si="0"/>
        <v>14225710.219999999</v>
      </c>
      <c r="C28" s="247">
        <v>14225710.219999999</v>
      </c>
      <c r="D28" s="247">
        <f t="shared" ref="D28:D37" si="8">$B$26*$C$6/12+(($B$38-$B$26)*$B$6)/12</f>
        <v>2296700.8747222219</v>
      </c>
      <c r="E28" s="247">
        <v>356156.80920833326</v>
      </c>
      <c r="F28" s="246">
        <f t="shared" si="6"/>
        <v>-6964353.4527777769</v>
      </c>
      <c r="G28" s="247">
        <f t="shared" si="1"/>
        <v>-1505344.8661249999</v>
      </c>
      <c r="H28" s="246">
        <f t="shared" si="2"/>
        <v>7261356.7672222219</v>
      </c>
      <c r="I28" s="246">
        <f t="shared" si="2"/>
        <v>12720365.353874998</v>
      </c>
      <c r="J28" s="246">
        <f t="shared" si="3"/>
        <v>5459008.5866527762</v>
      </c>
      <c r="K28" s="246">
        <f t="shared" si="7"/>
        <v>-1146391.8031970831</v>
      </c>
      <c r="L28" s="248">
        <f t="shared" si="4"/>
        <v>407514.25375791662</v>
      </c>
    </row>
    <row r="29" spans="1:12" x14ac:dyDescent="0.25">
      <c r="A29" s="245">
        <v>43190</v>
      </c>
      <c r="B29" s="246">
        <f t="shared" si="0"/>
        <v>14385367.18</v>
      </c>
      <c r="C29" s="247">
        <v>14385367.18</v>
      </c>
      <c r="D29" s="247">
        <f t="shared" si="8"/>
        <v>2296700.8747222219</v>
      </c>
      <c r="E29" s="247">
        <v>356156.80920833326</v>
      </c>
      <c r="F29" s="246">
        <f t="shared" si="6"/>
        <v>-9261054.3274999987</v>
      </c>
      <c r="G29" s="247">
        <f t="shared" si="1"/>
        <v>-1861501.6753333332</v>
      </c>
      <c r="H29" s="246">
        <f t="shared" si="2"/>
        <v>5124312.852500001</v>
      </c>
      <c r="I29" s="246">
        <f t="shared" si="2"/>
        <v>12523865.504666667</v>
      </c>
      <c r="J29" s="246">
        <f t="shared" si="3"/>
        <v>7399552.6521666665</v>
      </c>
      <c r="K29" s="246">
        <f t="shared" si="7"/>
        <v>-1553906.0569549999</v>
      </c>
      <c r="L29" s="248">
        <f t="shared" si="4"/>
        <v>407514.25375791686</v>
      </c>
    </row>
    <row r="30" spans="1:12" x14ac:dyDescent="0.25">
      <c r="A30" s="245">
        <v>43220</v>
      </c>
      <c r="B30" s="246">
        <f t="shared" si="0"/>
        <v>18180267.780000001</v>
      </c>
      <c r="C30" s="247">
        <v>18180267.780000001</v>
      </c>
      <c r="D30" s="247">
        <f t="shared" si="8"/>
        <v>2296700.8747222219</v>
      </c>
      <c r="E30" s="247">
        <v>466005.63031944435</v>
      </c>
      <c r="F30" s="246">
        <f t="shared" si="6"/>
        <v>-11557755.202222221</v>
      </c>
      <c r="G30" s="247">
        <f t="shared" si="1"/>
        <v>-2327507.3056527777</v>
      </c>
      <c r="H30" s="246">
        <f t="shared" si="2"/>
        <v>6622512.5777777806</v>
      </c>
      <c r="I30" s="246">
        <f t="shared" si="2"/>
        <v>15852760.474347223</v>
      </c>
      <c r="J30" s="246">
        <f t="shared" si="3"/>
        <v>9230247.896569442</v>
      </c>
      <c r="K30" s="246">
        <f t="shared" si="7"/>
        <v>-1938352.0582795828</v>
      </c>
      <c r="L30" s="248">
        <f t="shared" si="4"/>
        <v>384446.00132458284</v>
      </c>
    </row>
    <row r="31" spans="1:12" x14ac:dyDescent="0.25">
      <c r="A31" s="245">
        <v>43251</v>
      </c>
      <c r="B31" s="246">
        <f t="shared" si="0"/>
        <v>18180267.780000001</v>
      </c>
      <c r="C31" s="247">
        <v>18180267.780000001</v>
      </c>
      <c r="D31" s="247">
        <f t="shared" si="8"/>
        <v>2296700.8747222219</v>
      </c>
      <c r="E31" s="247">
        <v>466005.63031944435</v>
      </c>
      <c r="F31" s="246">
        <f t="shared" si="6"/>
        <v>-13854456.076944442</v>
      </c>
      <c r="G31" s="247">
        <f t="shared" si="1"/>
        <v>-2793512.9359722221</v>
      </c>
      <c r="H31" s="246">
        <f t="shared" si="2"/>
        <v>4325811.7030555587</v>
      </c>
      <c r="I31" s="246">
        <f t="shared" si="2"/>
        <v>15386754.84402778</v>
      </c>
      <c r="J31" s="246">
        <f t="shared" si="3"/>
        <v>11060943.140972221</v>
      </c>
      <c r="K31" s="246">
        <f t="shared" si="7"/>
        <v>-2322798.0596041665</v>
      </c>
      <c r="L31" s="248">
        <f t="shared" si="4"/>
        <v>384446.00132458378</v>
      </c>
    </row>
    <row r="32" spans="1:12" x14ac:dyDescent="0.25">
      <c r="A32" s="245">
        <v>43281</v>
      </c>
      <c r="B32" s="246">
        <f t="shared" si="0"/>
        <v>19129030.460000001</v>
      </c>
      <c r="C32" s="247">
        <v>19129030.460000001</v>
      </c>
      <c r="D32" s="247">
        <f t="shared" si="8"/>
        <v>2296700.8747222219</v>
      </c>
      <c r="E32" s="247">
        <v>487339.37309722212</v>
      </c>
      <c r="F32" s="246">
        <f t="shared" si="6"/>
        <v>-16151156.951666664</v>
      </c>
      <c r="G32" s="247">
        <f t="shared" si="1"/>
        <v>-3280852.3090694444</v>
      </c>
      <c r="H32" s="246">
        <f t="shared" si="2"/>
        <v>2977873.5083333366</v>
      </c>
      <c r="I32" s="246">
        <f t="shared" si="2"/>
        <v>15848178.150930557</v>
      </c>
      <c r="J32" s="246">
        <f t="shared" si="3"/>
        <v>12870304.642597221</v>
      </c>
      <c r="K32" s="246">
        <f t="shared" si="7"/>
        <v>-2702763.9749454162</v>
      </c>
      <c r="L32" s="248">
        <f t="shared" si="4"/>
        <v>379965.91534124967</v>
      </c>
    </row>
    <row r="33" spans="1:15" x14ac:dyDescent="0.25">
      <c r="A33" s="245">
        <v>43312</v>
      </c>
      <c r="B33" s="246">
        <f t="shared" si="0"/>
        <v>19129030.460000001</v>
      </c>
      <c r="C33" s="247">
        <v>19129030.460000001</v>
      </c>
      <c r="D33" s="247">
        <f t="shared" si="8"/>
        <v>2296700.8747222219</v>
      </c>
      <c r="E33" s="247">
        <v>492360.14920833323</v>
      </c>
      <c r="F33" s="246">
        <f t="shared" si="6"/>
        <v>-18447857.826388888</v>
      </c>
      <c r="G33" s="247">
        <f t="shared" si="1"/>
        <v>-3773212.4582777778</v>
      </c>
      <c r="H33" s="246">
        <f t="shared" si="2"/>
        <v>681172.63361111283</v>
      </c>
      <c r="I33" s="246">
        <f t="shared" si="2"/>
        <v>15355818.001722224</v>
      </c>
      <c r="J33" s="246">
        <f t="shared" si="3"/>
        <v>14674645.368111111</v>
      </c>
      <c r="K33" s="246">
        <f t="shared" si="7"/>
        <v>-3081675.5273033334</v>
      </c>
      <c r="L33" s="248">
        <f t="shared" si="4"/>
        <v>378911.55235791719</v>
      </c>
    </row>
    <row r="34" spans="1:15" x14ac:dyDescent="0.25">
      <c r="A34" s="245">
        <v>43343</v>
      </c>
      <c r="B34" s="246">
        <f t="shared" si="0"/>
        <v>19129030.460000001</v>
      </c>
      <c r="C34" s="247">
        <v>19129030.460000001</v>
      </c>
      <c r="D34" s="247">
        <f t="shared" si="8"/>
        <v>2296700.8747222219</v>
      </c>
      <c r="E34" s="247">
        <v>492360.14920833323</v>
      </c>
      <c r="F34" s="246">
        <f t="shared" si="6"/>
        <v>-20744558.701111108</v>
      </c>
      <c r="G34" s="247">
        <f t="shared" si="1"/>
        <v>-4265572.6074861111</v>
      </c>
      <c r="H34" s="246">
        <f t="shared" si="2"/>
        <v>-1615528.2411111072</v>
      </c>
      <c r="I34" s="246">
        <f t="shared" si="2"/>
        <v>14863457.852513891</v>
      </c>
      <c r="J34" s="246">
        <f t="shared" si="3"/>
        <v>16478986.093624998</v>
      </c>
      <c r="K34" s="246">
        <f t="shared" si="7"/>
        <v>-3460587.0796612496</v>
      </c>
      <c r="L34" s="248">
        <f t="shared" si="4"/>
        <v>378911.55235791625</v>
      </c>
      <c r="O34" s="252"/>
    </row>
    <row r="35" spans="1:15" x14ac:dyDescent="0.25">
      <c r="A35" s="245">
        <v>43373</v>
      </c>
      <c r="B35" s="246">
        <f t="shared" si="0"/>
        <v>21840583.530000001</v>
      </c>
      <c r="C35" s="247">
        <v>21840583.530000001</v>
      </c>
      <c r="D35" s="247">
        <f t="shared" si="8"/>
        <v>2296700.8747222219</v>
      </c>
      <c r="E35" s="247">
        <v>492360.14920833323</v>
      </c>
      <c r="F35" s="246">
        <f t="shared" si="6"/>
        <v>-23041259.575833328</v>
      </c>
      <c r="G35" s="247">
        <f t="shared" si="1"/>
        <v>-4757932.7566944445</v>
      </c>
      <c r="H35" s="246">
        <f t="shared" si="2"/>
        <v>-1200676.0458333269</v>
      </c>
      <c r="I35" s="246">
        <f t="shared" si="2"/>
        <v>17082650.773305558</v>
      </c>
      <c r="J35" s="246">
        <f t="shared" si="3"/>
        <v>18283326.819138885</v>
      </c>
      <c r="K35" s="246">
        <f t="shared" si="7"/>
        <v>-3839498.6320191654</v>
      </c>
      <c r="L35" s="248">
        <f t="shared" si="4"/>
        <v>378911.55235791579</v>
      </c>
    </row>
    <row r="36" spans="1:15" x14ac:dyDescent="0.25">
      <c r="A36" s="245">
        <v>43404</v>
      </c>
      <c r="B36" s="246">
        <f t="shared" si="0"/>
        <v>139767461.56999999</v>
      </c>
      <c r="C36" s="247">
        <v>139767461.56999999</v>
      </c>
      <c r="D36" s="247">
        <f t="shared" si="8"/>
        <v>2296700.8747222219</v>
      </c>
      <c r="E36" s="247">
        <v>1491731.8160972225</v>
      </c>
      <c r="F36" s="246">
        <f t="shared" si="6"/>
        <v>-25337960.450555548</v>
      </c>
      <c r="G36" s="247">
        <f t="shared" si="1"/>
        <v>-6249664.5727916667</v>
      </c>
      <c r="H36" s="246">
        <f t="shared" si="2"/>
        <v>114429501.11944444</v>
      </c>
      <c r="I36" s="246">
        <f t="shared" si="2"/>
        <v>133517796.99720833</v>
      </c>
      <c r="J36" s="246">
        <f t="shared" si="3"/>
        <v>19088295.877763882</v>
      </c>
      <c r="K36" s="246">
        <f t="shared" si="7"/>
        <v>-4008542.1343304152</v>
      </c>
      <c r="L36" s="248">
        <f t="shared" si="4"/>
        <v>169043.50231124973</v>
      </c>
    </row>
    <row r="37" spans="1:15" x14ac:dyDescent="0.25">
      <c r="A37" s="245">
        <v>43434</v>
      </c>
      <c r="B37" s="246">
        <f t="shared" si="0"/>
        <v>139767461.56999999</v>
      </c>
      <c r="C37" s="247">
        <v>139767461.56999999</v>
      </c>
      <c r="D37" s="247">
        <f t="shared" si="8"/>
        <v>2296700.8747222219</v>
      </c>
      <c r="E37" s="247">
        <v>2031844.2540099213</v>
      </c>
      <c r="F37" s="246">
        <f t="shared" si="6"/>
        <v>-27634661.325277768</v>
      </c>
      <c r="G37" s="247">
        <f t="shared" si="1"/>
        <v>-8281508.8268015878</v>
      </c>
      <c r="H37" s="246">
        <f t="shared" si="2"/>
        <v>112132800.24472222</v>
      </c>
      <c r="I37" s="246">
        <f t="shared" si="2"/>
        <v>131485952.74319841</v>
      </c>
      <c r="J37" s="246">
        <f t="shared" si="3"/>
        <v>19353152.498476192</v>
      </c>
      <c r="K37" s="246">
        <f t="shared" si="7"/>
        <v>-4064162.0246800003</v>
      </c>
      <c r="L37" s="248">
        <f t="shared" si="4"/>
        <v>55619.890349585097</v>
      </c>
    </row>
    <row r="38" spans="1:15" x14ac:dyDescent="0.25">
      <c r="A38" s="245">
        <v>43465</v>
      </c>
      <c r="B38" s="246">
        <f t="shared" si="0"/>
        <v>151136752.75999999</v>
      </c>
      <c r="C38" s="247">
        <v>151136752.75999999</v>
      </c>
      <c r="D38" s="247">
        <f>$B$26*$C$6/12+(($B$38-$B$26)*$B$6)/12</f>
        <v>2296700.8747222219</v>
      </c>
      <c r="E38" s="246">
        <v>2254729.582065478</v>
      </c>
      <c r="F38" s="246">
        <f t="shared" si="6"/>
        <v>-29931362.199999988</v>
      </c>
      <c r="G38" s="247">
        <f t="shared" si="1"/>
        <v>-10536238.408867065</v>
      </c>
      <c r="H38" s="246">
        <f t="shared" si="2"/>
        <v>121205390.56</v>
      </c>
      <c r="I38" s="246">
        <f t="shared" si="2"/>
        <v>140600514.35113293</v>
      </c>
      <c r="J38" s="246">
        <f t="shared" si="3"/>
        <v>19395123.791132927</v>
      </c>
      <c r="K38" s="246">
        <f t="shared" si="7"/>
        <v>-4072975.9961379147</v>
      </c>
      <c r="L38" s="248">
        <f t="shared" si="4"/>
        <v>8813.9714579144493</v>
      </c>
    </row>
    <row r="39" spans="1:15" ht="14.4" x14ac:dyDescent="0.3">
      <c r="A39" s="245">
        <v>43496</v>
      </c>
      <c r="B39" s="246">
        <f t="shared" si="0"/>
        <v>151136752.75999999</v>
      </c>
      <c r="C39" s="247">
        <v>151136752.75999999</v>
      </c>
      <c r="D39" s="247">
        <f t="shared" ref="D39:D49" si="9">$B$26*$D$6/12+(($B$38-$B$26)*$C$6)/12+(($B$50-$B$38)*$B$6)/12</f>
        <v>4649064.1431944435</v>
      </c>
      <c r="E39" s="247">
        <v>2347657.898176589</v>
      </c>
      <c r="F39" s="246">
        <f>-D39+F38</f>
        <v>-34580426.343194433</v>
      </c>
      <c r="G39" s="247">
        <f>+G38-E39</f>
        <v>-12883896.307043653</v>
      </c>
      <c r="H39" s="246">
        <f>B39+F39</f>
        <v>116556326.41680557</v>
      </c>
      <c r="I39" s="246">
        <f>C39+G39</f>
        <v>138252856.45295635</v>
      </c>
      <c r="J39" s="246">
        <f t="shared" si="3"/>
        <v>21696530.036150783</v>
      </c>
      <c r="K39" s="246">
        <f>-J39*$K$10</f>
        <v>-4556271.3075916646</v>
      </c>
      <c r="L39" s="248">
        <f t="shared" si="4"/>
        <v>483295.31145374989</v>
      </c>
      <c r="N39" s="98"/>
      <c r="O39" s="15"/>
    </row>
    <row r="40" spans="1:15" x14ac:dyDescent="0.25">
      <c r="A40" s="245">
        <v>43524</v>
      </c>
      <c r="B40" s="246">
        <f t="shared" si="0"/>
        <v>168867510.00999999</v>
      </c>
      <c r="C40" s="247">
        <v>168867510.00999999</v>
      </c>
      <c r="D40" s="247">
        <f t="shared" si="9"/>
        <v>4649064.1431944435</v>
      </c>
      <c r="E40" s="247">
        <v>2444505.1820472558</v>
      </c>
      <c r="F40" s="246">
        <f>-D40+F39</f>
        <v>-39229490.486388877</v>
      </c>
      <c r="G40" s="247">
        <f t="shared" ref="G40:G50" si="10">+G39-E40</f>
        <v>-15328401.489090908</v>
      </c>
      <c r="H40" s="246">
        <f t="shared" ref="H40:I43" si="11">B40+F40</f>
        <v>129638019.52361111</v>
      </c>
      <c r="I40" s="246">
        <f t="shared" si="11"/>
        <v>153539108.52090907</v>
      </c>
      <c r="J40" s="246">
        <f t="shared" si="3"/>
        <v>23901088.997297958</v>
      </c>
      <c r="K40" s="246">
        <f t="shared" ref="K40:K50" si="12">-J40*$K$10</f>
        <v>-5019228.6894325707</v>
      </c>
      <c r="L40" s="248">
        <f t="shared" si="4"/>
        <v>462957.38184090611</v>
      </c>
    </row>
    <row r="41" spans="1:15" x14ac:dyDescent="0.25">
      <c r="A41" s="245">
        <v>43555</v>
      </c>
      <c r="B41" s="246">
        <f t="shared" si="0"/>
        <v>181906865.54999998</v>
      </c>
      <c r="C41" s="247">
        <v>181906865.54999998</v>
      </c>
      <c r="D41" s="247">
        <f t="shared" si="9"/>
        <v>4649064.1431944435</v>
      </c>
      <c r="E41" s="247">
        <v>2615378.9388239849</v>
      </c>
      <c r="F41" s="246">
        <f t="shared" ref="F41:F50" si="13">-D41+F40</f>
        <v>-43878554.629583322</v>
      </c>
      <c r="G41" s="247">
        <f t="shared" si="10"/>
        <v>-17943780.427914895</v>
      </c>
      <c r="H41" s="246">
        <f t="shared" si="11"/>
        <v>138028310.92041665</v>
      </c>
      <c r="I41" s="246">
        <f t="shared" si="11"/>
        <v>163963085.12208509</v>
      </c>
      <c r="J41" s="246">
        <f>I41-H41</f>
        <v>25934774.201668441</v>
      </c>
      <c r="K41" s="246">
        <f t="shared" si="12"/>
        <v>-5446302.5823503723</v>
      </c>
      <c r="L41" s="248">
        <f t="shared" si="4"/>
        <v>427073.89291780163</v>
      </c>
    </row>
    <row r="42" spans="1:15" x14ac:dyDescent="0.25">
      <c r="A42" s="245">
        <v>43585</v>
      </c>
      <c r="B42" s="246">
        <f>C42</f>
        <v>182772865.54999998</v>
      </c>
      <c r="C42" s="247">
        <v>182772865.54999998</v>
      </c>
      <c r="D42" s="247">
        <f t="shared" si="9"/>
        <v>4649064.1431944435</v>
      </c>
      <c r="E42" s="247">
        <v>2977583.2593795406</v>
      </c>
      <c r="F42" s="246">
        <f t="shared" si="13"/>
        <v>-48527618.772777766</v>
      </c>
      <c r="G42" s="247">
        <f t="shared" si="10"/>
        <v>-20921363.687294435</v>
      </c>
      <c r="H42" s="246">
        <f t="shared" si="11"/>
        <v>134245246.77722222</v>
      </c>
      <c r="I42" s="246">
        <f t="shared" si="11"/>
        <v>161851501.86270556</v>
      </c>
      <c r="J42" s="246">
        <f t="shared" si="3"/>
        <v>27606255.085483342</v>
      </c>
      <c r="K42" s="246">
        <f t="shared" si="12"/>
        <v>-5797313.5679515013</v>
      </c>
      <c r="L42" s="248">
        <f t="shared" si="4"/>
        <v>351010.98560112901</v>
      </c>
    </row>
    <row r="43" spans="1:15" x14ac:dyDescent="0.25">
      <c r="A43" s="245">
        <v>43616</v>
      </c>
      <c r="B43" s="246">
        <f>C43</f>
        <v>182772865.54999998</v>
      </c>
      <c r="C43" s="247">
        <v>182772865.54999998</v>
      </c>
      <c r="D43" s="247">
        <f t="shared" si="9"/>
        <v>4649064.1431944435</v>
      </c>
      <c r="E43" s="247">
        <v>3001638.8149350961</v>
      </c>
      <c r="F43" s="246">
        <f t="shared" si="13"/>
        <v>-53176682.91597221</v>
      </c>
      <c r="G43" s="247">
        <f t="shared" si="10"/>
        <v>-23923002.50222953</v>
      </c>
      <c r="H43" s="246">
        <f>B43+F43</f>
        <v>129596182.63402778</v>
      </c>
      <c r="I43" s="246">
        <f t="shared" si="11"/>
        <v>158849863.04777044</v>
      </c>
      <c r="J43" s="246">
        <f t="shared" si="3"/>
        <v>29253680.413742661</v>
      </c>
      <c r="K43" s="246">
        <f t="shared" si="12"/>
        <v>-6143272.8868859587</v>
      </c>
      <c r="L43" s="248">
        <f t="shared" si="4"/>
        <v>345959.31893445738</v>
      </c>
      <c r="M43" s="252"/>
    </row>
    <row r="44" spans="1:15" x14ac:dyDescent="0.25">
      <c r="A44" s="245">
        <v>43646</v>
      </c>
      <c r="B44" s="246">
        <f>C44</f>
        <v>183595865.54999998</v>
      </c>
      <c r="C44" s="246">
        <v>183595865.54999998</v>
      </c>
      <c r="D44" s="247">
        <f t="shared" si="9"/>
        <v>4649064.1431944435</v>
      </c>
      <c r="E44" s="247">
        <v>3008497.1482684296</v>
      </c>
      <c r="F44" s="246">
        <f t="shared" si="13"/>
        <v>-57825747.059166655</v>
      </c>
      <c r="G44" s="247">
        <f t="shared" si="10"/>
        <v>-26931499.650497958</v>
      </c>
      <c r="H44" s="246">
        <f t="shared" ref="H44:I50" si="14">B44+F44</f>
        <v>125770118.49083333</v>
      </c>
      <c r="I44" s="246">
        <f t="shared" si="14"/>
        <v>156664365.89950204</v>
      </c>
      <c r="J44" s="246">
        <f>I44-H44</f>
        <v>30894247.408668712</v>
      </c>
      <c r="K44" s="246">
        <f t="shared" si="12"/>
        <v>-6487791.9558204291</v>
      </c>
      <c r="L44" s="248">
        <f t="shared" si="4"/>
        <v>344519.06893447042</v>
      </c>
      <c r="M44" s="253"/>
    </row>
    <row r="45" spans="1:15" outlineLevel="1" x14ac:dyDescent="0.25">
      <c r="A45" s="245">
        <v>43677</v>
      </c>
      <c r="B45" s="246">
        <f>B44</f>
        <v>183595865.54999998</v>
      </c>
      <c r="C45" s="246">
        <v>183595865.54999998</v>
      </c>
      <c r="D45" s="247">
        <f t="shared" si="9"/>
        <v>4649064.1431944435</v>
      </c>
      <c r="E45" s="247">
        <v>3008497.1482684296</v>
      </c>
      <c r="F45" s="246">
        <f>-D45+F44</f>
        <v>-62474811.202361099</v>
      </c>
      <c r="G45" s="247">
        <f>+G44-E45</f>
        <v>-29939996.798766389</v>
      </c>
      <c r="H45" s="246">
        <f t="shared" si="14"/>
        <v>121121054.34763888</v>
      </c>
      <c r="I45" s="246">
        <f t="shared" si="14"/>
        <v>153655868.75123358</v>
      </c>
      <c r="J45" s="246">
        <f t="shared" ref="J45:J50" si="15">I45-H45</f>
        <v>32534814.403594702</v>
      </c>
      <c r="K45" s="246">
        <f t="shared" si="12"/>
        <v>-6832311.0247548874</v>
      </c>
      <c r="L45" s="248">
        <f>-K45+K44</f>
        <v>344519.06893445831</v>
      </c>
      <c r="M45" s="253"/>
    </row>
    <row r="46" spans="1:15" outlineLevel="1" x14ac:dyDescent="0.25">
      <c r="A46" s="245">
        <v>43708</v>
      </c>
      <c r="B46" s="246">
        <f t="shared" ref="B46:B50" si="16">B45</f>
        <v>183595865.54999998</v>
      </c>
      <c r="C46" s="246">
        <v>183595865.54999998</v>
      </c>
      <c r="D46" s="247">
        <f t="shared" si="9"/>
        <v>4649064.1431944435</v>
      </c>
      <c r="E46" s="247">
        <v>3008497.1482684296</v>
      </c>
      <c r="F46" s="246">
        <f t="shared" si="13"/>
        <v>-67123875.345555544</v>
      </c>
      <c r="G46" s="247">
        <f t="shared" si="10"/>
        <v>-32948493.947034821</v>
      </c>
      <c r="H46" s="246">
        <f t="shared" si="14"/>
        <v>116471990.20444444</v>
      </c>
      <c r="I46" s="246">
        <f t="shared" si="14"/>
        <v>150647371.60296518</v>
      </c>
      <c r="J46" s="246">
        <f t="shared" si="15"/>
        <v>34175381.398520738</v>
      </c>
      <c r="K46" s="246">
        <f t="shared" si="12"/>
        <v>-7176830.0936893551</v>
      </c>
      <c r="L46" s="248">
        <f t="shared" si="4"/>
        <v>344519.06893446762</v>
      </c>
      <c r="M46" s="253"/>
      <c r="N46" s="249"/>
    </row>
    <row r="47" spans="1:15" outlineLevel="1" x14ac:dyDescent="0.25">
      <c r="A47" s="245">
        <v>43738</v>
      </c>
      <c r="B47" s="246">
        <f t="shared" si="16"/>
        <v>183595865.54999998</v>
      </c>
      <c r="C47" s="246">
        <v>183595865.54999998</v>
      </c>
      <c r="D47" s="247">
        <f t="shared" si="9"/>
        <v>4649064.1431944435</v>
      </c>
      <c r="E47" s="247">
        <v>3008497.1482684296</v>
      </c>
      <c r="F47" s="246">
        <f t="shared" si="13"/>
        <v>-71772939.488749981</v>
      </c>
      <c r="G47" s="247">
        <f t="shared" si="10"/>
        <v>-35956991.095303252</v>
      </c>
      <c r="H47" s="246">
        <f t="shared" si="14"/>
        <v>111822926.06125</v>
      </c>
      <c r="I47" s="246">
        <f>C47+G47</f>
        <v>147638874.45469671</v>
      </c>
      <c r="J47" s="246">
        <f t="shared" si="15"/>
        <v>35815948.393446714</v>
      </c>
      <c r="K47" s="246">
        <f t="shared" si="12"/>
        <v>-7521349.1626238097</v>
      </c>
      <c r="L47" s="248">
        <f t="shared" si="4"/>
        <v>344519.06893445458</v>
      </c>
      <c r="M47" s="253"/>
    </row>
    <row r="48" spans="1:15" outlineLevel="1" x14ac:dyDescent="0.25">
      <c r="A48" s="245">
        <v>43769</v>
      </c>
      <c r="B48" s="246">
        <f t="shared" si="16"/>
        <v>183595865.54999998</v>
      </c>
      <c r="C48" s="246">
        <v>183595865.54999998</v>
      </c>
      <c r="D48" s="247">
        <f t="shared" si="9"/>
        <v>4649064.1431944435</v>
      </c>
      <c r="E48" s="247">
        <v>3008497.1482684296</v>
      </c>
      <c r="F48" s="246">
        <f t="shared" si="13"/>
        <v>-76422003.631944418</v>
      </c>
      <c r="G48" s="247">
        <f t="shared" si="10"/>
        <v>-38965488.243571684</v>
      </c>
      <c r="H48" s="246">
        <f t="shared" si="14"/>
        <v>107173861.91805556</v>
      </c>
      <c r="I48" s="246">
        <f t="shared" si="14"/>
        <v>144630377.30642831</v>
      </c>
      <c r="J48" s="246">
        <f t="shared" si="15"/>
        <v>37456515.388372749</v>
      </c>
      <c r="K48" s="246">
        <f t="shared" si="12"/>
        <v>-7865868.2315582773</v>
      </c>
      <c r="L48" s="248">
        <f t="shared" si="4"/>
        <v>344519.06893446762</v>
      </c>
      <c r="M48" s="253"/>
    </row>
    <row r="49" spans="1:15" outlineLevel="1" x14ac:dyDescent="0.25">
      <c r="A49" s="245">
        <v>43799</v>
      </c>
      <c r="B49" s="246">
        <f t="shared" si="16"/>
        <v>183595865.54999998</v>
      </c>
      <c r="C49" s="246">
        <v>183595865.54999998</v>
      </c>
      <c r="D49" s="247">
        <f t="shared" si="9"/>
        <v>4649064.1431944435</v>
      </c>
      <c r="E49" s="247">
        <v>3008497.1482684296</v>
      </c>
      <c r="F49" s="246">
        <f t="shared" si="13"/>
        <v>-81071067.775138855</v>
      </c>
      <c r="G49" s="247">
        <f t="shared" si="10"/>
        <v>-41973985.391840115</v>
      </c>
      <c r="H49" s="246">
        <f t="shared" si="14"/>
        <v>102524797.77486113</v>
      </c>
      <c r="I49" s="246">
        <f t="shared" si="14"/>
        <v>141621880.15815985</v>
      </c>
      <c r="J49" s="246">
        <f t="shared" si="15"/>
        <v>39097082.383298725</v>
      </c>
      <c r="K49" s="246">
        <f t="shared" si="12"/>
        <v>-8210387.3004927319</v>
      </c>
      <c r="L49" s="248">
        <f t="shared" si="4"/>
        <v>344519.06893445458</v>
      </c>
      <c r="M49" s="253"/>
    </row>
    <row r="50" spans="1:15" outlineLevel="1" x14ac:dyDescent="0.25">
      <c r="A50" s="245">
        <v>43830</v>
      </c>
      <c r="B50" s="246">
        <f t="shared" si="16"/>
        <v>183595865.54999998</v>
      </c>
      <c r="C50" s="246">
        <v>183595865.54999998</v>
      </c>
      <c r="D50" s="247">
        <f>$B$26*$D$6/12+(($B$38-$B$26)*$C$6)/12+(($B$50-$B$38)*$B$6)/12</f>
        <v>4649064.1431944435</v>
      </c>
      <c r="E50" s="247">
        <v>3008497.1482684296</v>
      </c>
      <c r="F50" s="246">
        <f t="shared" si="13"/>
        <v>-85720131.918333292</v>
      </c>
      <c r="G50" s="247">
        <f t="shared" si="10"/>
        <v>-44982482.540108547</v>
      </c>
      <c r="H50" s="246">
        <f t="shared" si="14"/>
        <v>97875733.63166669</v>
      </c>
      <c r="I50" s="246">
        <f t="shared" si="14"/>
        <v>138613383.00989145</v>
      </c>
      <c r="J50" s="246">
        <f t="shared" si="15"/>
        <v>40737649.37822476</v>
      </c>
      <c r="K50" s="246">
        <f t="shared" si="12"/>
        <v>-8554906.3694271985</v>
      </c>
      <c r="L50" s="248">
        <f t="shared" si="4"/>
        <v>344519.06893446669</v>
      </c>
      <c r="M50" s="253"/>
    </row>
    <row r="51" spans="1:15" x14ac:dyDescent="0.25">
      <c r="A51" s="254" t="s">
        <v>112</v>
      </c>
      <c r="B51" s="255"/>
      <c r="C51" s="255"/>
      <c r="D51" s="255"/>
      <c r="E51" s="255"/>
      <c r="F51" s="255"/>
      <c r="G51" s="256"/>
      <c r="H51" s="255"/>
      <c r="I51" s="255"/>
      <c r="J51" s="255"/>
      <c r="K51" s="255"/>
      <c r="L51" s="257"/>
      <c r="M51" s="197"/>
      <c r="N51" s="252"/>
      <c r="O51" s="252"/>
    </row>
    <row r="52" spans="1:15" x14ac:dyDescent="0.25">
      <c r="A52" s="197"/>
      <c r="B52" s="197"/>
      <c r="C52" s="197"/>
      <c r="D52" s="258"/>
      <c r="E52" s="197"/>
      <c r="F52" s="197"/>
      <c r="G52" s="197"/>
      <c r="H52" s="197"/>
      <c r="I52" s="197"/>
      <c r="J52" s="197"/>
      <c r="K52" s="197"/>
      <c r="L52" s="197"/>
      <c r="M52" s="197"/>
    </row>
    <row r="53" spans="1:15" x14ac:dyDescent="0.25">
      <c r="A53" s="197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</row>
    <row r="54" spans="1:15" x14ac:dyDescent="0.25">
      <c r="A54" s="197">
        <v>2017</v>
      </c>
      <c r="B54" s="197"/>
      <c r="C54" s="259">
        <f>AVERAGE(C15:C26)</f>
        <v>3479921.9499999997</v>
      </c>
      <c r="D54" s="259"/>
      <c r="E54" s="259">
        <f>SUM(E15:E26)</f>
        <v>793031.24770833331</v>
      </c>
      <c r="F54" s="197"/>
      <c r="G54" s="259">
        <f>AVERAGE(G15:G26)</f>
        <v>-371759.81251736119</v>
      </c>
      <c r="H54" s="197"/>
      <c r="I54" s="197"/>
      <c r="J54" s="197"/>
      <c r="K54" s="259">
        <f>AVERAGE(K15:K26)</f>
        <v>-191626.19562552078</v>
      </c>
      <c r="L54" s="259">
        <f>SUM(L15:L26)</f>
        <v>331363.29568124987</v>
      </c>
      <c r="M54" s="197"/>
    </row>
    <row r="55" spans="1:15" x14ac:dyDescent="0.25">
      <c r="A55" s="197">
        <v>2018</v>
      </c>
      <c r="B55" s="197"/>
      <c r="C55" s="259">
        <f>AVERAGE(C27:C38)</f>
        <v>49091389.499166667</v>
      </c>
      <c r="D55" s="259"/>
      <c r="E55" s="259">
        <f>SUM(E27:E38)</f>
        <v>9743207.1611587331</v>
      </c>
      <c r="F55" s="197"/>
      <c r="G55" s="259">
        <f>AVERAGE(G27:G38)</f>
        <v>-4231836.3983323416</v>
      </c>
      <c r="H55" s="197"/>
      <c r="I55" s="197"/>
      <c r="J55" s="197"/>
      <c r="K55" s="259">
        <f>AVERAGE(K27:K38)</f>
        <v>-2744210.9080460411</v>
      </c>
      <c r="L55" s="259">
        <f>SUM(L27:L38)</f>
        <v>3741612.7004566649</v>
      </c>
      <c r="M55" s="197"/>
      <c r="N55" s="197"/>
    </row>
    <row r="56" spans="1:15" x14ac:dyDescent="0.25">
      <c r="A56" s="210">
        <v>2019</v>
      </c>
      <c r="C56" s="252">
        <f>AVERAGE(C39:C50)</f>
        <v>179385659.85583329</v>
      </c>
      <c r="D56" s="252"/>
      <c r="E56" s="252">
        <f>SUM(E39:E50)</f>
        <v>34446244.131241478</v>
      </c>
      <c r="G56" s="252">
        <f>AVERAGE(G39:G50)</f>
        <v>-28558281.840058014</v>
      </c>
      <c r="K56" s="252">
        <f>AVERAGE(K39:K50)</f>
        <v>-6634319.4310482293</v>
      </c>
      <c r="L56" s="252">
        <f>SUM(L39:L50)</f>
        <v>4481930.3732892834</v>
      </c>
    </row>
    <row r="58" spans="1:15" x14ac:dyDescent="0.25">
      <c r="A58" s="210" t="s">
        <v>8</v>
      </c>
      <c r="B58" s="210" t="s">
        <v>392</v>
      </c>
    </row>
    <row r="59" spans="1:15" x14ac:dyDescent="0.25">
      <c r="A59" s="210">
        <f>A54</f>
        <v>2017</v>
      </c>
      <c r="B59" s="233">
        <v>0.66190000000000004</v>
      </c>
      <c r="C59" s="250">
        <f>C54*$B59</f>
        <v>2303360.338705</v>
      </c>
      <c r="D59" s="250"/>
      <c r="E59" s="250">
        <f>E54*$B59</f>
        <v>524907.38285814587</v>
      </c>
      <c r="F59" s="250"/>
      <c r="G59" s="250">
        <f>G54*$B59</f>
        <v>-246067.8199052414</v>
      </c>
      <c r="H59" s="250"/>
      <c r="I59" s="250"/>
      <c r="J59" s="250"/>
      <c r="K59" s="250">
        <f t="shared" ref="K59:L61" si="17">K54*$B59</f>
        <v>-126837.37888453221</v>
      </c>
      <c r="L59" s="250">
        <f t="shared" si="17"/>
        <v>219329.36541141931</v>
      </c>
    </row>
    <row r="60" spans="1:15" x14ac:dyDescent="0.25">
      <c r="A60" s="210">
        <f>A55</f>
        <v>2018</v>
      </c>
      <c r="B60" s="233">
        <v>0.66190000000000004</v>
      </c>
      <c r="C60" s="250">
        <f t="shared" ref="C60:E61" si="18">C55*$B60</f>
        <v>32493590.70949842</v>
      </c>
      <c r="D60" s="250"/>
      <c r="E60" s="250">
        <f t="shared" si="18"/>
        <v>6449028.8199709654</v>
      </c>
      <c r="F60" s="250"/>
      <c r="G60" s="250">
        <f>G55*$B60</f>
        <v>-2801052.512056177</v>
      </c>
      <c r="H60" s="250"/>
      <c r="I60" s="250"/>
      <c r="J60" s="250"/>
      <c r="K60" s="250">
        <f t="shared" si="17"/>
        <v>-1816393.2000356747</v>
      </c>
      <c r="L60" s="250">
        <f t="shared" si="17"/>
        <v>2476573.4464322669</v>
      </c>
    </row>
    <row r="61" spans="1:15" x14ac:dyDescent="0.25">
      <c r="A61" s="210">
        <f>A56</f>
        <v>2019</v>
      </c>
      <c r="B61" s="233">
        <v>0.66190000000000004</v>
      </c>
      <c r="C61" s="250">
        <f t="shared" si="18"/>
        <v>118735368.25857607</v>
      </c>
      <c r="D61" s="250"/>
      <c r="E61" s="250">
        <f t="shared" si="18"/>
        <v>22799968.990468737</v>
      </c>
      <c r="F61" s="250"/>
      <c r="G61" s="250">
        <f>G56*$B61</f>
        <v>-18902726.749934401</v>
      </c>
      <c r="H61" s="250"/>
      <c r="I61" s="250"/>
      <c r="J61" s="250"/>
      <c r="K61" s="250">
        <f t="shared" si="17"/>
        <v>-4391256.0314108236</v>
      </c>
      <c r="L61" s="250">
        <f t="shared" si="17"/>
        <v>2966589.7140801768</v>
      </c>
    </row>
    <row r="62" spans="1:15" x14ac:dyDescent="0.25">
      <c r="C62" s="250"/>
      <c r="D62" s="250"/>
      <c r="E62" s="250"/>
      <c r="F62" s="250"/>
      <c r="G62" s="250"/>
      <c r="H62" s="250"/>
      <c r="I62" s="250"/>
      <c r="J62" s="250"/>
      <c r="K62" s="250"/>
      <c r="L62" s="250"/>
    </row>
    <row r="63" spans="1:15" x14ac:dyDescent="0.25">
      <c r="A63" s="210" t="s">
        <v>10</v>
      </c>
      <c r="C63" s="250"/>
      <c r="D63" s="250"/>
      <c r="E63" s="250"/>
      <c r="F63" s="250"/>
      <c r="G63" s="250"/>
      <c r="H63" s="250"/>
      <c r="I63" s="250"/>
      <c r="J63" s="250"/>
      <c r="K63" s="250"/>
      <c r="L63" s="250"/>
    </row>
    <row r="64" spans="1:15" x14ac:dyDescent="0.25">
      <c r="A64" s="210">
        <f>A59</f>
        <v>2017</v>
      </c>
      <c r="B64" s="233">
        <f>1-B59</f>
        <v>0.33809999999999996</v>
      </c>
      <c r="C64" s="250">
        <f>C54*$B64</f>
        <v>1176561.6112949997</v>
      </c>
      <c r="D64" s="250"/>
      <c r="E64" s="250">
        <f>E54*$B64</f>
        <v>268123.86485018744</v>
      </c>
      <c r="F64" s="250"/>
      <c r="G64" s="250">
        <f>G54*$B64</f>
        <v>-125691.99261211981</v>
      </c>
      <c r="H64" s="250"/>
      <c r="I64" s="250"/>
      <c r="J64" s="250"/>
      <c r="K64" s="250">
        <f t="shared" ref="K64:L66" si="19">K54*$B64</f>
        <v>-64788.816740988565</v>
      </c>
      <c r="L64" s="250">
        <f t="shared" si="19"/>
        <v>112033.93026983057</v>
      </c>
    </row>
    <row r="65" spans="1:12" x14ac:dyDescent="0.25">
      <c r="A65" s="210">
        <f>A60</f>
        <v>2018</v>
      </c>
      <c r="B65" s="233">
        <f>1-B60</f>
        <v>0.33809999999999996</v>
      </c>
      <c r="C65" s="250">
        <f t="shared" ref="C65:E66" si="20">C55*$B65</f>
        <v>16597798.789668249</v>
      </c>
      <c r="D65" s="250"/>
      <c r="E65" s="250">
        <f t="shared" si="20"/>
        <v>3294178.3411877672</v>
      </c>
      <c r="F65" s="250"/>
      <c r="G65" s="250">
        <f>G55*$B65</f>
        <v>-1430783.8862761646</v>
      </c>
      <c r="H65" s="250"/>
      <c r="I65" s="250"/>
      <c r="J65" s="250"/>
      <c r="K65" s="250">
        <f t="shared" si="19"/>
        <v>-927817.70801036642</v>
      </c>
      <c r="L65" s="250">
        <f t="shared" si="19"/>
        <v>1265039.2540243983</v>
      </c>
    </row>
    <row r="66" spans="1:12" x14ac:dyDescent="0.25">
      <c r="A66" s="210">
        <f>A61</f>
        <v>2019</v>
      </c>
      <c r="B66" s="233">
        <f>1-B61</f>
        <v>0.33809999999999996</v>
      </c>
      <c r="C66" s="250">
        <f t="shared" si="20"/>
        <v>60650291.597257227</v>
      </c>
      <c r="D66" s="250"/>
      <c r="E66" s="250">
        <f t="shared" si="20"/>
        <v>11646275.140772741</v>
      </c>
      <c r="F66" s="250"/>
      <c r="G66" s="250">
        <f>G56*$B66</f>
        <v>-9655555.0901236124</v>
      </c>
      <c r="H66" s="250"/>
      <c r="I66" s="250"/>
      <c r="J66" s="250"/>
      <c r="K66" s="250">
        <f t="shared" si="19"/>
        <v>-2243063.3996374062</v>
      </c>
      <c r="L66" s="250">
        <f t="shared" si="19"/>
        <v>1515340.6592091066</v>
      </c>
    </row>
    <row r="67" spans="1:12" x14ac:dyDescent="0.25">
      <c r="D67" s="250"/>
      <c r="E67" s="250"/>
      <c r="F67" s="250"/>
      <c r="G67" s="250"/>
      <c r="H67" s="250"/>
      <c r="I67" s="250"/>
      <c r="J67" s="250"/>
      <c r="K67" s="250"/>
      <c r="L67" s="250"/>
    </row>
    <row r="68" spans="1:12" x14ac:dyDescent="0.25">
      <c r="D68" s="250"/>
      <c r="E68" s="250"/>
      <c r="F68" s="250"/>
      <c r="G68" s="250"/>
      <c r="H68" s="250"/>
      <c r="I68" s="250"/>
      <c r="J68" s="250"/>
      <c r="K68" s="250"/>
      <c r="L68" s="250"/>
    </row>
    <row r="69" spans="1:12" x14ac:dyDescent="0.25">
      <c r="B69" s="260" t="s">
        <v>575</v>
      </c>
      <c r="C69" s="261"/>
    </row>
    <row r="70" spans="1:12" x14ac:dyDescent="0.25">
      <c r="A70" s="262"/>
      <c r="B70" s="250"/>
    </row>
    <row r="71" spans="1:12" x14ac:dyDescent="0.25">
      <c r="B71" s="233">
        <f>B60</f>
        <v>0.66190000000000004</v>
      </c>
      <c r="C71" s="252">
        <f>$C$73*B71</f>
        <v>100037416.65184399</v>
      </c>
      <c r="D71" s="210" t="s">
        <v>573</v>
      </c>
      <c r="G71" s="250"/>
    </row>
    <row r="72" spans="1:12" x14ac:dyDescent="0.25">
      <c r="B72" s="233">
        <f>B65</f>
        <v>0.33809999999999996</v>
      </c>
      <c r="C72" s="252">
        <f>C73-C71</f>
        <v>51099336.108155996</v>
      </c>
      <c r="D72" s="210" t="s">
        <v>574</v>
      </c>
    </row>
    <row r="73" spans="1:12" ht="13.8" thickBot="1" x14ac:dyDescent="0.3">
      <c r="C73" s="263">
        <f>C38</f>
        <v>151136752.75999999</v>
      </c>
      <c r="D73" s="210" t="s">
        <v>572</v>
      </c>
    </row>
    <row r="74" spans="1:12" ht="13.8" thickTop="1" x14ac:dyDescent="0.25"/>
    <row r="76" spans="1:12" ht="14.4" x14ac:dyDescent="0.3">
      <c r="A76" s="15"/>
      <c r="B76" s="15"/>
      <c r="C76" s="15"/>
      <c r="D76" s="15"/>
      <c r="E76" s="15"/>
      <c r="F76" s="15"/>
    </row>
    <row r="77" spans="1:12" ht="14.4" x14ac:dyDescent="0.3">
      <c r="A77" s="15"/>
      <c r="B77" s="35"/>
      <c r="C77" s="35"/>
      <c r="D77" s="15"/>
      <c r="E77" s="35"/>
      <c r="F77" s="35"/>
    </row>
    <row r="78" spans="1:12" ht="14.4" x14ac:dyDescent="0.3">
      <c r="A78" s="15"/>
      <c r="B78" s="35"/>
      <c r="C78" s="35"/>
      <c r="D78" s="15"/>
      <c r="E78" s="35"/>
      <c r="F78" s="35"/>
    </row>
    <row r="79" spans="1:12" ht="14.4" x14ac:dyDescent="0.3">
      <c r="A79" s="15"/>
      <c r="B79" s="35"/>
      <c r="C79" s="35"/>
      <c r="D79" s="15"/>
      <c r="E79" s="35"/>
      <c r="F79" s="35"/>
    </row>
  </sheetData>
  <pageMargins left="0.25" right="0.25" top="0.25" bottom="0.25" header="0.3" footer="0.3"/>
  <pageSetup scale="28" fitToHeight="0" orientation="landscape" r:id="rId1"/>
  <colBreaks count="1" manualBreakCount="1">
    <brk id="12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07"/>
  <sheetViews>
    <sheetView workbookViewId="0">
      <pane xSplit="1" ySplit="12" topLeftCell="B42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8.88671875" defaultRowHeight="13.2" outlineLevelRow="1" outlineLevelCol="1" x14ac:dyDescent="0.25"/>
  <cols>
    <col min="1" max="1" width="24.44140625" style="210" customWidth="1"/>
    <col min="2" max="2" width="12.33203125" style="210" customWidth="1"/>
    <col min="3" max="3" width="15.109375" style="210" bestFit="1" customWidth="1"/>
    <col min="4" max="4" width="12.33203125" style="210" bestFit="1" customWidth="1"/>
    <col min="5" max="5" width="14.109375" style="210" bestFit="1" customWidth="1"/>
    <col min="6" max="6" width="15.88671875" style="210" customWidth="1"/>
    <col min="7" max="7" width="14.5546875" style="210" bestFit="1" customWidth="1"/>
    <col min="8" max="8" width="12.5546875" style="210" bestFit="1" customWidth="1"/>
    <col min="9" max="9" width="12.33203125" style="210" bestFit="1" customWidth="1"/>
    <col min="10" max="10" width="14" style="210" customWidth="1"/>
    <col min="11" max="12" width="13.5546875" style="210" customWidth="1"/>
    <col min="13" max="13" width="3.6640625" style="210" customWidth="1"/>
    <col min="14" max="14" width="14.5546875" style="210" customWidth="1" outlineLevel="1"/>
    <col min="15" max="15" width="11.33203125" style="210" customWidth="1" outlineLevel="1"/>
    <col min="16" max="18" width="13.5546875" style="210" customWidth="1" outlineLevel="1"/>
    <col min="19" max="19" width="11.88671875" style="210" bestFit="1" customWidth="1" outlineLevel="1"/>
    <col min="20" max="20" width="11.88671875" style="210" customWidth="1" outlineLevel="1"/>
    <col min="21" max="16384" width="8.88671875" style="210"/>
  </cols>
  <sheetData>
    <row r="1" spans="1:18" s="197" customFormat="1" x14ac:dyDescent="0.25">
      <c r="A1" s="195" t="s">
        <v>18</v>
      </c>
      <c r="B1" s="196"/>
      <c r="C1" s="196"/>
      <c r="D1" s="196"/>
      <c r="E1" s="196"/>
      <c r="J1" s="196"/>
      <c r="K1" s="196"/>
      <c r="L1" s="198"/>
      <c r="M1" s="199"/>
      <c r="N1" s="198"/>
    </row>
    <row r="2" spans="1:18" s="197" customFormat="1" ht="14.4" x14ac:dyDescent="0.25">
      <c r="A2" s="195" t="s">
        <v>540</v>
      </c>
      <c r="C2" s="200"/>
      <c r="D2" s="201"/>
      <c r="F2" s="196"/>
      <c r="G2" s="202"/>
      <c r="H2" s="203"/>
      <c r="I2" s="196"/>
      <c r="J2" s="196"/>
      <c r="K2" s="196"/>
      <c r="L2" s="204"/>
      <c r="M2" s="199"/>
      <c r="N2" s="198"/>
      <c r="O2" s="97"/>
    </row>
    <row r="3" spans="1:18" s="197" customFormat="1" ht="14.4" x14ac:dyDescent="0.25">
      <c r="A3" s="205"/>
      <c r="C3" s="206"/>
      <c r="D3" s="207"/>
      <c r="E3" s="207"/>
      <c r="F3" s="196"/>
      <c r="G3" s="208"/>
      <c r="J3" s="209"/>
      <c r="K3" s="209"/>
      <c r="L3" s="204"/>
      <c r="M3" s="199"/>
      <c r="N3" s="202"/>
      <c r="O3" s="97"/>
    </row>
    <row r="4" spans="1:18" s="197" customFormat="1" ht="6.6" customHeight="1" x14ac:dyDescent="0.25">
      <c r="A4" s="210"/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97"/>
    </row>
    <row r="5" spans="1:18" s="197" customFormat="1" ht="14.4" x14ac:dyDescent="0.25">
      <c r="A5" s="212" t="s">
        <v>541</v>
      </c>
      <c r="B5" s="213">
        <v>2017</v>
      </c>
      <c r="C5" s="213">
        <f>+B5+1</f>
        <v>2018</v>
      </c>
      <c r="D5" s="213">
        <f>+C5+1</f>
        <v>2019</v>
      </c>
      <c r="E5" s="213">
        <f>+D5+1</f>
        <v>2020</v>
      </c>
      <c r="F5" s="213" t="s">
        <v>0</v>
      </c>
      <c r="G5" s="208"/>
      <c r="H5" s="208"/>
      <c r="I5" s="208"/>
      <c r="J5" s="208"/>
      <c r="K5" s="208"/>
      <c r="L5" s="208"/>
      <c r="O5" s="97"/>
    </row>
    <row r="6" spans="1:18" s="197" customFormat="1" ht="14.4" x14ac:dyDescent="0.25">
      <c r="A6" s="214" t="s">
        <v>542</v>
      </c>
      <c r="B6" s="215">
        <v>0.16666666666666666</v>
      </c>
      <c r="C6" s="215">
        <v>0.33333333333333331</v>
      </c>
      <c r="D6" s="215">
        <v>0.33333333333333331</v>
      </c>
      <c r="E6" s="215">
        <v>0.16666666666666666</v>
      </c>
      <c r="F6" s="216">
        <f>B6+C6+D6+E6</f>
        <v>0.99999999999999989</v>
      </c>
      <c r="G6" s="208"/>
      <c r="H6" s="208"/>
      <c r="I6" s="208"/>
      <c r="J6" s="208"/>
      <c r="K6" s="208"/>
      <c r="L6" s="208"/>
      <c r="O6" s="97"/>
    </row>
    <row r="7" spans="1:18" s="197" customFormat="1" ht="7.2" customHeight="1" thickBot="1" x14ac:dyDescent="0.3">
      <c r="A7" s="217"/>
      <c r="B7" s="211"/>
      <c r="C7" s="211"/>
      <c r="D7" s="211"/>
      <c r="E7" s="211"/>
      <c r="F7" s="211"/>
      <c r="G7" s="211"/>
      <c r="H7" s="218"/>
      <c r="I7" s="218"/>
      <c r="J7" s="218"/>
    </row>
    <row r="8" spans="1:18" x14ac:dyDescent="0.25">
      <c r="A8" s="219"/>
      <c r="B8" s="220" t="s">
        <v>543</v>
      </c>
      <c r="C8" s="221"/>
      <c r="D8" s="220" t="s">
        <v>544</v>
      </c>
      <c r="E8" s="221"/>
      <c r="F8" s="220" t="s">
        <v>186</v>
      </c>
      <c r="G8" s="221"/>
      <c r="H8" s="220" t="s">
        <v>545</v>
      </c>
      <c r="I8" s="221"/>
      <c r="J8" s="222"/>
      <c r="K8" s="223">
        <v>0.35</v>
      </c>
      <c r="L8" s="222" t="s">
        <v>245</v>
      </c>
    </row>
    <row r="9" spans="1:18" x14ac:dyDescent="0.25">
      <c r="A9" s="224"/>
      <c r="B9" s="225"/>
      <c r="C9" s="226"/>
      <c r="D9" s="225"/>
      <c r="E9" s="226"/>
      <c r="F9" s="227"/>
      <c r="G9" s="226"/>
      <c r="H9" s="228"/>
      <c r="I9" s="229"/>
      <c r="J9" s="230" t="s">
        <v>546</v>
      </c>
      <c r="K9" s="231" t="s">
        <v>284</v>
      </c>
      <c r="L9" s="230" t="s">
        <v>547</v>
      </c>
    </row>
    <row r="10" spans="1:18" x14ac:dyDescent="0.25">
      <c r="A10" s="232"/>
      <c r="B10" s="228" t="s">
        <v>548</v>
      </c>
      <c r="C10" s="229" t="s">
        <v>549</v>
      </c>
      <c r="D10" s="228" t="s">
        <v>550</v>
      </c>
      <c r="E10" s="229" t="s">
        <v>551</v>
      </c>
      <c r="F10" s="228" t="s">
        <v>548</v>
      </c>
      <c r="G10" s="229" t="s">
        <v>549</v>
      </c>
      <c r="H10" s="228" t="s">
        <v>548</v>
      </c>
      <c r="I10" s="229" t="s">
        <v>552</v>
      </c>
      <c r="J10" s="230" t="s">
        <v>553</v>
      </c>
      <c r="K10" s="231">
        <v>0.21</v>
      </c>
      <c r="L10" s="230" t="s">
        <v>554</v>
      </c>
    </row>
    <row r="11" spans="1:18" x14ac:dyDescent="0.25">
      <c r="A11" s="232"/>
      <c r="B11" s="228"/>
      <c r="C11" s="229"/>
      <c r="D11" s="228" t="s">
        <v>555</v>
      </c>
      <c r="E11" s="229" t="s">
        <v>556</v>
      </c>
      <c r="F11" s="228" t="s">
        <v>557</v>
      </c>
      <c r="G11" s="229" t="s">
        <v>558</v>
      </c>
      <c r="H11" s="228"/>
      <c r="I11" s="229"/>
      <c r="J11" s="230"/>
      <c r="K11" s="231" t="s">
        <v>559</v>
      </c>
      <c r="L11" s="230" t="s">
        <v>560</v>
      </c>
      <c r="O11" s="210">
        <f>K67/J67</f>
        <v>-0.21293709620407639</v>
      </c>
      <c r="P11" s="233">
        <f>B87</f>
        <v>0.66190000000000004</v>
      </c>
      <c r="Q11" s="233"/>
      <c r="R11" s="233">
        <f>B92</f>
        <v>0.33809999999999996</v>
      </c>
    </row>
    <row r="12" spans="1:18" x14ac:dyDescent="0.25">
      <c r="A12" s="234" t="s">
        <v>561</v>
      </c>
      <c r="B12" s="235" t="s">
        <v>211</v>
      </c>
      <c r="C12" s="236" t="s">
        <v>212</v>
      </c>
      <c r="D12" s="235"/>
      <c r="E12" s="236" t="s">
        <v>562</v>
      </c>
      <c r="F12" s="235" t="s">
        <v>563</v>
      </c>
      <c r="G12" s="236" t="s">
        <v>564</v>
      </c>
      <c r="H12" s="235" t="s">
        <v>565</v>
      </c>
      <c r="I12" s="236" t="s">
        <v>566</v>
      </c>
      <c r="J12" s="237" t="s">
        <v>567</v>
      </c>
      <c r="K12" s="238">
        <v>0.21</v>
      </c>
      <c r="L12" s="239" t="s">
        <v>568</v>
      </c>
      <c r="N12" s="210" t="s">
        <v>777</v>
      </c>
      <c r="O12" s="210" t="s">
        <v>776</v>
      </c>
      <c r="P12" s="240" t="s">
        <v>573</v>
      </c>
      <c r="Q12" s="240"/>
      <c r="R12" s="240" t="s">
        <v>574</v>
      </c>
    </row>
    <row r="13" spans="1:18" x14ac:dyDescent="0.25">
      <c r="A13" s="241"/>
      <c r="B13" s="241"/>
      <c r="C13" s="241"/>
      <c r="D13" s="241"/>
      <c r="E13" s="241"/>
      <c r="F13" s="241"/>
      <c r="G13" s="241"/>
      <c r="H13" s="241"/>
      <c r="I13" s="241"/>
      <c r="J13" s="242"/>
      <c r="K13" s="243"/>
      <c r="L13" s="244"/>
    </row>
    <row r="14" spans="1:18" x14ac:dyDescent="0.25">
      <c r="A14" s="245"/>
      <c r="B14" s="241"/>
      <c r="C14" s="241"/>
      <c r="D14" s="241"/>
      <c r="E14" s="241"/>
      <c r="F14" s="241"/>
      <c r="G14" s="241"/>
      <c r="H14" s="241"/>
      <c r="I14" s="241"/>
      <c r="J14" s="242"/>
      <c r="K14" s="243"/>
      <c r="L14" s="244"/>
    </row>
    <row r="15" spans="1:18" x14ac:dyDescent="0.25">
      <c r="A15" s="245">
        <v>42766</v>
      </c>
      <c r="B15" s="246">
        <f t="shared" ref="B15:B44" si="0">C15</f>
        <v>1000612.26</v>
      </c>
      <c r="C15" s="247">
        <v>1000612.26</v>
      </c>
      <c r="D15" s="247">
        <f t="shared" ref="D15:D26" si="1">$B$26*$B$6/12</f>
        <v>197579.3086111111</v>
      </c>
      <c r="E15" s="247">
        <v>27794.785000000003</v>
      </c>
      <c r="F15" s="246">
        <f t="shared" ref="F15:F46" si="2">-D15+F14</f>
        <v>-197579.3086111111</v>
      </c>
      <c r="G15" s="247">
        <f t="shared" ref="G15:G46" si="3">+G14-E15</f>
        <v>-27794.785000000003</v>
      </c>
      <c r="H15" s="246">
        <f t="shared" ref="H15:H46" si="4">B15+F15</f>
        <v>803032.95138888888</v>
      </c>
      <c r="I15" s="246">
        <f t="shared" ref="I15:I46" si="5">C15+G15</f>
        <v>972817.47499999998</v>
      </c>
      <c r="J15" s="246">
        <f t="shared" ref="J15:J46" si="6">I15-H15</f>
        <v>169784.5236111111</v>
      </c>
      <c r="K15" s="246">
        <f t="shared" ref="K15:K26" si="7">-J15*$K$8</f>
        <v>-59424.583263888882</v>
      </c>
      <c r="L15" s="248">
        <f t="shared" ref="L15:L46" si="8">-K15+K14</f>
        <v>59424.583263888882</v>
      </c>
    </row>
    <row r="16" spans="1:18" x14ac:dyDescent="0.25">
      <c r="A16" s="245">
        <v>42794</v>
      </c>
      <c r="B16" s="246">
        <f t="shared" si="0"/>
        <v>1000612.26</v>
      </c>
      <c r="C16" s="247">
        <v>1000612.26</v>
      </c>
      <c r="D16" s="247">
        <f t="shared" si="1"/>
        <v>197579.3086111111</v>
      </c>
      <c r="E16" s="247">
        <v>27794.785000000003</v>
      </c>
      <c r="F16" s="246">
        <f t="shared" si="2"/>
        <v>-395158.61722222221</v>
      </c>
      <c r="G16" s="247">
        <f t="shared" si="3"/>
        <v>-55589.570000000007</v>
      </c>
      <c r="H16" s="246">
        <f t="shared" si="4"/>
        <v>605453.64277777774</v>
      </c>
      <c r="I16" s="246">
        <f t="shared" si="5"/>
        <v>945022.69</v>
      </c>
      <c r="J16" s="246">
        <f t="shared" si="6"/>
        <v>339569.0472222222</v>
      </c>
      <c r="K16" s="246">
        <f t="shared" si="7"/>
        <v>-118849.16652777776</v>
      </c>
      <c r="L16" s="248">
        <f t="shared" si="8"/>
        <v>59424.583263888882</v>
      </c>
    </row>
    <row r="17" spans="1:18" x14ac:dyDescent="0.25">
      <c r="A17" s="245">
        <v>42825</v>
      </c>
      <c r="B17" s="246">
        <f t="shared" si="0"/>
        <v>2821592.99</v>
      </c>
      <c r="C17" s="247">
        <v>2821592.99</v>
      </c>
      <c r="D17" s="247">
        <f t="shared" si="1"/>
        <v>197579.3086111111</v>
      </c>
      <c r="E17" s="247">
        <v>27794.785000000003</v>
      </c>
      <c r="F17" s="246">
        <f t="shared" si="2"/>
        <v>-592737.92583333328</v>
      </c>
      <c r="G17" s="247">
        <f t="shared" si="3"/>
        <v>-83384.35500000001</v>
      </c>
      <c r="H17" s="246">
        <f t="shared" si="4"/>
        <v>2228855.0641666669</v>
      </c>
      <c r="I17" s="246">
        <f t="shared" si="5"/>
        <v>2738208.6350000002</v>
      </c>
      <c r="J17" s="246">
        <f t="shared" si="6"/>
        <v>509353.5708333333</v>
      </c>
      <c r="K17" s="246">
        <f t="shared" si="7"/>
        <v>-178273.74979166663</v>
      </c>
      <c r="L17" s="248">
        <f t="shared" si="8"/>
        <v>59424.583263888868</v>
      </c>
    </row>
    <row r="18" spans="1:18" x14ac:dyDescent="0.25">
      <c r="A18" s="245">
        <v>42855</v>
      </c>
      <c r="B18" s="246">
        <f t="shared" si="0"/>
        <v>2821592.99</v>
      </c>
      <c r="C18" s="247">
        <v>2821592.99</v>
      </c>
      <c r="D18" s="247">
        <f t="shared" si="1"/>
        <v>197579.3086111111</v>
      </c>
      <c r="E18" s="247">
        <v>78377.583055555544</v>
      </c>
      <c r="F18" s="246">
        <f t="shared" si="2"/>
        <v>-790317.23444444442</v>
      </c>
      <c r="G18" s="247">
        <f t="shared" si="3"/>
        <v>-161761.93805555557</v>
      </c>
      <c r="H18" s="246">
        <f t="shared" si="4"/>
        <v>2031275.7555555557</v>
      </c>
      <c r="I18" s="246">
        <f t="shared" si="5"/>
        <v>2659831.0519444449</v>
      </c>
      <c r="J18" s="246">
        <f t="shared" si="6"/>
        <v>628555.2963888892</v>
      </c>
      <c r="K18" s="246">
        <f t="shared" si="7"/>
        <v>-219994.3537361112</v>
      </c>
      <c r="L18" s="248">
        <f t="shared" si="8"/>
        <v>41720.603944444563</v>
      </c>
    </row>
    <row r="19" spans="1:18" x14ac:dyDescent="0.25">
      <c r="A19" s="245">
        <v>42886</v>
      </c>
      <c r="B19" s="246">
        <f t="shared" si="0"/>
        <v>2821592.99</v>
      </c>
      <c r="C19" s="247">
        <v>2821592.99</v>
      </c>
      <c r="D19" s="247">
        <f t="shared" si="1"/>
        <v>197579.3086111111</v>
      </c>
      <c r="E19" s="247">
        <v>78377.583055555544</v>
      </c>
      <c r="F19" s="246">
        <f t="shared" si="2"/>
        <v>-987896.54305555555</v>
      </c>
      <c r="G19" s="247">
        <f t="shared" si="3"/>
        <v>-240139.5211111111</v>
      </c>
      <c r="H19" s="246">
        <f t="shared" si="4"/>
        <v>1833696.4469444447</v>
      </c>
      <c r="I19" s="246">
        <f t="shared" si="5"/>
        <v>2581453.4688888891</v>
      </c>
      <c r="J19" s="246">
        <f t="shared" si="6"/>
        <v>747757.02194444439</v>
      </c>
      <c r="K19" s="246">
        <f t="shared" si="7"/>
        <v>-261714.95768055553</v>
      </c>
      <c r="L19" s="248">
        <f t="shared" si="8"/>
        <v>41720.60394444433</v>
      </c>
    </row>
    <row r="20" spans="1:18" x14ac:dyDescent="0.25">
      <c r="A20" s="245">
        <v>42916</v>
      </c>
      <c r="B20" s="246">
        <f t="shared" si="0"/>
        <v>2843278.64</v>
      </c>
      <c r="C20" s="247">
        <v>2843278.64</v>
      </c>
      <c r="D20" s="247">
        <f t="shared" si="1"/>
        <v>197579.3086111111</v>
      </c>
      <c r="E20" s="247">
        <v>78979.96222222221</v>
      </c>
      <c r="F20" s="246">
        <f t="shared" si="2"/>
        <v>-1185475.8516666666</v>
      </c>
      <c r="G20" s="247">
        <f t="shared" si="3"/>
        <v>-319119.48333333328</v>
      </c>
      <c r="H20" s="246">
        <f t="shared" si="4"/>
        <v>1657802.7883333336</v>
      </c>
      <c r="I20" s="246">
        <f t="shared" si="5"/>
        <v>2524159.1566666667</v>
      </c>
      <c r="J20" s="246">
        <f t="shared" si="6"/>
        <v>866356.36833333317</v>
      </c>
      <c r="K20" s="246">
        <f t="shared" si="7"/>
        <v>-303224.72891666659</v>
      </c>
      <c r="L20" s="248">
        <f t="shared" si="8"/>
        <v>41509.771236111061</v>
      </c>
    </row>
    <row r="21" spans="1:18" x14ac:dyDescent="0.25">
      <c r="A21" s="245">
        <v>42947</v>
      </c>
      <c r="B21" s="246">
        <f t="shared" si="0"/>
        <v>2843278.64</v>
      </c>
      <c r="C21" s="247">
        <v>2843278.64</v>
      </c>
      <c r="D21" s="247">
        <f t="shared" si="1"/>
        <v>197579.3086111111</v>
      </c>
      <c r="E21" s="247">
        <v>78979.96222222221</v>
      </c>
      <c r="F21" s="246">
        <f t="shared" si="2"/>
        <v>-1383055.1602777776</v>
      </c>
      <c r="G21" s="247">
        <f t="shared" si="3"/>
        <v>-398099.44555555552</v>
      </c>
      <c r="H21" s="246">
        <f t="shared" si="4"/>
        <v>1460223.4797222225</v>
      </c>
      <c r="I21" s="246">
        <f t="shared" si="5"/>
        <v>2445179.1944444445</v>
      </c>
      <c r="J21" s="246">
        <f t="shared" si="6"/>
        <v>984955.71472222195</v>
      </c>
      <c r="K21" s="246">
        <f t="shared" si="7"/>
        <v>-344734.50015277765</v>
      </c>
      <c r="L21" s="248">
        <f t="shared" si="8"/>
        <v>41509.771236111061</v>
      </c>
    </row>
    <row r="22" spans="1:18" x14ac:dyDescent="0.25">
      <c r="A22" s="245">
        <v>42978</v>
      </c>
      <c r="B22" s="246">
        <f t="shared" si="0"/>
        <v>2843278.64</v>
      </c>
      <c r="C22" s="247">
        <v>2843278.64</v>
      </c>
      <c r="D22" s="247">
        <f t="shared" si="1"/>
        <v>197579.3086111111</v>
      </c>
      <c r="E22" s="247">
        <v>78979.96222222221</v>
      </c>
      <c r="F22" s="246">
        <f t="shared" si="2"/>
        <v>-1580634.4688888886</v>
      </c>
      <c r="G22" s="247">
        <f t="shared" si="3"/>
        <v>-477079.40777777776</v>
      </c>
      <c r="H22" s="246">
        <f t="shared" si="4"/>
        <v>1262644.1711111115</v>
      </c>
      <c r="I22" s="246">
        <f t="shared" si="5"/>
        <v>2366199.2322222223</v>
      </c>
      <c r="J22" s="246">
        <f t="shared" si="6"/>
        <v>1103555.0611111107</v>
      </c>
      <c r="K22" s="246">
        <f t="shared" si="7"/>
        <v>-386244.27138888871</v>
      </c>
      <c r="L22" s="248">
        <f t="shared" si="8"/>
        <v>41509.771236111061</v>
      </c>
    </row>
    <row r="23" spans="1:18" x14ac:dyDescent="0.25">
      <c r="A23" s="245">
        <v>43008</v>
      </c>
      <c r="B23" s="246">
        <f t="shared" si="0"/>
        <v>2843278.64</v>
      </c>
      <c r="C23" s="247">
        <v>2843278.64</v>
      </c>
      <c r="D23" s="247">
        <f t="shared" si="1"/>
        <v>197579.3086111111</v>
      </c>
      <c r="E23" s="247">
        <v>78979.96222222221</v>
      </c>
      <c r="F23" s="246">
        <f t="shared" si="2"/>
        <v>-1778213.7774999996</v>
      </c>
      <c r="G23" s="247">
        <f t="shared" si="3"/>
        <v>-556059.37</v>
      </c>
      <c r="H23" s="246">
        <f t="shared" si="4"/>
        <v>1065064.8625000005</v>
      </c>
      <c r="I23" s="246">
        <f t="shared" si="5"/>
        <v>2287219.27</v>
      </c>
      <c r="J23" s="246">
        <f t="shared" si="6"/>
        <v>1222154.4074999995</v>
      </c>
      <c r="K23" s="246">
        <f t="shared" si="7"/>
        <v>-427754.04262499983</v>
      </c>
      <c r="L23" s="248">
        <f t="shared" si="8"/>
        <v>41509.771236111119</v>
      </c>
    </row>
    <row r="24" spans="1:18" x14ac:dyDescent="0.25">
      <c r="A24" s="245">
        <v>43039</v>
      </c>
      <c r="B24" s="246">
        <f t="shared" si="0"/>
        <v>2843278.64</v>
      </c>
      <c r="C24" s="247">
        <v>2843278.64</v>
      </c>
      <c r="D24" s="247">
        <f t="shared" si="1"/>
        <v>197579.3086111111</v>
      </c>
      <c r="E24" s="247">
        <v>78979.96222222221</v>
      </c>
      <c r="F24" s="246">
        <f t="shared" si="2"/>
        <v>-1975793.0861111106</v>
      </c>
      <c r="G24" s="247">
        <f t="shared" si="3"/>
        <v>-635039.33222222223</v>
      </c>
      <c r="H24" s="246">
        <f t="shared" si="4"/>
        <v>867485.5538888895</v>
      </c>
      <c r="I24" s="246">
        <f t="shared" si="5"/>
        <v>2208239.3077777778</v>
      </c>
      <c r="J24" s="246">
        <f t="shared" si="6"/>
        <v>1340753.7538888883</v>
      </c>
      <c r="K24" s="246">
        <f t="shared" si="7"/>
        <v>-469263.81386111089</v>
      </c>
      <c r="L24" s="248">
        <f t="shared" si="8"/>
        <v>41509.771236111061</v>
      </c>
    </row>
    <row r="25" spans="1:18" x14ac:dyDescent="0.25">
      <c r="A25" s="245">
        <v>43069</v>
      </c>
      <c r="B25" s="246">
        <f t="shared" si="0"/>
        <v>2850956.49</v>
      </c>
      <c r="C25" s="247">
        <v>2850956.49</v>
      </c>
      <c r="D25" s="247">
        <f t="shared" si="1"/>
        <v>197579.3086111111</v>
      </c>
      <c r="E25" s="247">
        <v>78979.96222222221</v>
      </c>
      <c r="F25" s="246">
        <f t="shared" si="2"/>
        <v>-2173372.3947222219</v>
      </c>
      <c r="G25" s="247">
        <f t="shared" si="3"/>
        <v>-714019.29444444447</v>
      </c>
      <c r="H25" s="246">
        <f t="shared" si="4"/>
        <v>677584.09527777834</v>
      </c>
      <c r="I25" s="246">
        <f t="shared" si="5"/>
        <v>2136937.1955555556</v>
      </c>
      <c r="J25" s="246">
        <f t="shared" si="6"/>
        <v>1459353.1002777773</v>
      </c>
      <c r="K25" s="246">
        <f t="shared" si="7"/>
        <v>-510773.58509722201</v>
      </c>
      <c r="L25" s="248">
        <f t="shared" si="8"/>
        <v>41509.771236111119</v>
      </c>
    </row>
    <row r="26" spans="1:18" x14ac:dyDescent="0.25">
      <c r="A26" s="245">
        <v>43100</v>
      </c>
      <c r="B26" s="246">
        <f t="shared" si="0"/>
        <v>14225710.219999999</v>
      </c>
      <c r="C26" s="247">
        <v>14225710.219999999</v>
      </c>
      <c r="D26" s="247">
        <f t="shared" si="1"/>
        <v>197579.3086111111</v>
      </c>
      <c r="E26" s="247">
        <v>79011.953263888878</v>
      </c>
      <c r="F26" s="246">
        <f t="shared" si="2"/>
        <v>-2370951.7033333331</v>
      </c>
      <c r="G26" s="247">
        <f t="shared" si="3"/>
        <v>-793031.24770833331</v>
      </c>
      <c r="H26" s="246">
        <f t="shared" si="4"/>
        <v>11854758.516666666</v>
      </c>
      <c r="I26" s="246">
        <f t="shared" si="5"/>
        <v>13432678.972291665</v>
      </c>
      <c r="J26" s="246">
        <f t="shared" si="6"/>
        <v>1577920.4556249995</v>
      </c>
      <c r="K26" s="246">
        <f t="shared" si="7"/>
        <v>-552272.15946874977</v>
      </c>
      <c r="L26" s="248">
        <f t="shared" si="8"/>
        <v>41498.574371527764</v>
      </c>
      <c r="P26" s="249">
        <f>K27*P11</f>
        <v>-635282.62691473053</v>
      </c>
      <c r="Q26" s="249"/>
    </row>
    <row r="27" spans="1:18" x14ac:dyDescent="0.25">
      <c r="A27" s="245">
        <v>43131</v>
      </c>
      <c r="B27" s="246">
        <f t="shared" si="0"/>
        <v>14225710.219999999</v>
      </c>
      <c r="C27" s="247">
        <v>14225710.219999999</v>
      </c>
      <c r="D27" s="247">
        <f t="shared" ref="D27:D38" si="9">$B$26*$C$6/12+(($B$38-$B$26)*$B$6)/12</f>
        <v>2296700.8747222219</v>
      </c>
      <c r="E27" s="247">
        <v>356156.80920833326</v>
      </c>
      <c r="F27" s="246">
        <f t="shared" si="2"/>
        <v>-4667652.578055555</v>
      </c>
      <c r="G27" s="247">
        <f t="shared" si="3"/>
        <v>-1149188.0569166667</v>
      </c>
      <c r="H27" s="246">
        <f t="shared" si="4"/>
        <v>9558057.6419444438</v>
      </c>
      <c r="I27" s="246">
        <f t="shared" si="5"/>
        <v>13076522.163083332</v>
      </c>
      <c r="J27" s="246">
        <f t="shared" si="6"/>
        <v>3518464.5211388879</v>
      </c>
      <c r="K27" s="246">
        <f t="shared" ref="K27:K74" si="10">K26-O27</f>
        <v>-959786.41322666639</v>
      </c>
      <c r="L27" s="248">
        <f t="shared" si="8"/>
        <v>407514.25375791662</v>
      </c>
      <c r="N27" s="250">
        <f t="shared" ref="N27:N74" si="11">D27-E27</f>
        <v>1940544.0655138886</v>
      </c>
      <c r="O27" s="251">
        <f t="shared" ref="O27:O67" si="12">N27*0.21</f>
        <v>407514.25375791657</v>
      </c>
      <c r="P27" s="251">
        <f>O27*$P$11</f>
        <v>269733.684562365</v>
      </c>
      <c r="Q27" s="251"/>
      <c r="R27" s="251">
        <f>O27-P27</f>
        <v>137780.56919555156</v>
      </c>
    </row>
    <row r="28" spans="1:18" x14ac:dyDescent="0.25">
      <c r="A28" s="245">
        <v>43159</v>
      </c>
      <c r="B28" s="246">
        <f t="shared" si="0"/>
        <v>14225710.219999999</v>
      </c>
      <c r="C28" s="247">
        <v>14225710.219999999</v>
      </c>
      <c r="D28" s="247">
        <f t="shared" si="9"/>
        <v>2296700.8747222219</v>
      </c>
      <c r="E28" s="247">
        <v>356156.80920833326</v>
      </c>
      <c r="F28" s="246">
        <f t="shared" si="2"/>
        <v>-6964353.4527777769</v>
      </c>
      <c r="G28" s="247">
        <f t="shared" si="3"/>
        <v>-1505344.8661249999</v>
      </c>
      <c r="H28" s="246">
        <f t="shared" si="4"/>
        <v>7261356.7672222219</v>
      </c>
      <c r="I28" s="246">
        <f t="shared" si="5"/>
        <v>12720365.353874998</v>
      </c>
      <c r="J28" s="246">
        <f t="shared" si="6"/>
        <v>5459008.5866527762</v>
      </c>
      <c r="K28" s="246">
        <f t="shared" si="10"/>
        <v>-1367300.666984583</v>
      </c>
      <c r="L28" s="248">
        <f t="shared" si="8"/>
        <v>407514.25375791662</v>
      </c>
      <c r="N28" s="250">
        <f t="shared" si="11"/>
        <v>1940544.0655138886</v>
      </c>
      <c r="O28" s="251">
        <f t="shared" si="12"/>
        <v>407514.25375791657</v>
      </c>
    </row>
    <row r="29" spans="1:18" x14ac:dyDescent="0.25">
      <c r="A29" s="245">
        <v>43190</v>
      </c>
      <c r="B29" s="246">
        <f t="shared" si="0"/>
        <v>14385367.18</v>
      </c>
      <c r="C29" s="247">
        <v>14385367.18</v>
      </c>
      <c r="D29" s="247">
        <f t="shared" si="9"/>
        <v>2296700.8747222219</v>
      </c>
      <c r="E29" s="247">
        <v>356156.80920833326</v>
      </c>
      <c r="F29" s="246">
        <f t="shared" si="2"/>
        <v>-9261054.3274999987</v>
      </c>
      <c r="G29" s="247">
        <f t="shared" si="3"/>
        <v>-1861501.6753333332</v>
      </c>
      <c r="H29" s="246">
        <f t="shared" si="4"/>
        <v>5124312.852500001</v>
      </c>
      <c r="I29" s="246">
        <f t="shared" si="5"/>
        <v>12523865.504666667</v>
      </c>
      <c r="J29" s="246">
        <f t="shared" si="6"/>
        <v>7399552.6521666665</v>
      </c>
      <c r="K29" s="246">
        <f t="shared" si="10"/>
        <v>-1774814.9207424996</v>
      </c>
      <c r="L29" s="248">
        <f t="shared" si="8"/>
        <v>407514.25375791662</v>
      </c>
      <c r="N29" s="250">
        <f t="shared" si="11"/>
        <v>1940544.0655138886</v>
      </c>
      <c r="O29" s="251">
        <f t="shared" si="12"/>
        <v>407514.25375791657</v>
      </c>
    </row>
    <row r="30" spans="1:18" x14ac:dyDescent="0.25">
      <c r="A30" s="245">
        <v>43220</v>
      </c>
      <c r="B30" s="246">
        <f t="shared" si="0"/>
        <v>18180267.780000001</v>
      </c>
      <c r="C30" s="247">
        <v>18180267.780000001</v>
      </c>
      <c r="D30" s="247">
        <f t="shared" si="9"/>
        <v>2296700.8747222219</v>
      </c>
      <c r="E30" s="247">
        <v>466005.63031944435</v>
      </c>
      <c r="F30" s="246">
        <f t="shared" si="2"/>
        <v>-11557755.202222221</v>
      </c>
      <c r="G30" s="247">
        <f t="shared" si="3"/>
        <v>-2327507.3056527777</v>
      </c>
      <c r="H30" s="246">
        <f t="shared" si="4"/>
        <v>6622512.5777777806</v>
      </c>
      <c r="I30" s="246">
        <f t="shared" si="5"/>
        <v>15852760.474347223</v>
      </c>
      <c r="J30" s="246">
        <f t="shared" si="6"/>
        <v>9230247.896569442</v>
      </c>
      <c r="K30" s="246">
        <f t="shared" si="10"/>
        <v>-2159260.922067083</v>
      </c>
      <c r="L30" s="248">
        <f t="shared" si="8"/>
        <v>384446.00132458331</v>
      </c>
      <c r="N30" s="250">
        <f t="shared" si="11"/>
        <v>1830695.2444027774</v>
      </c>
      <c r="O30" s="251">
        <f t="shared" si="12"/>
        <v>384446.00132458325</v>
      </c>
    </row>
    <row r="31" spans="1:18" x14ac:dyDescent="0.25">
      <c r="A31" s="245">
        <v>43251</v>
      </c>
      <c r="B31" s="246">
        <f t="shared" si="0"/>
        <v>18180267.780000001</v>
      </c>
      <c r="C31" s="247">
        <v>18180267.780000001</v>
      </c>
      <c r="D31" s="247">
        <f t="shared" si="9"/>
        <v>2296700.8747222219</v>
      </c>
      <c r="E31" s="247">
        <v>466005.63031944435</v>
      </c>
      <c r="F31" s="246">
        <f t="shared" si="2"/>
        <v>-13854456.076944442</v>
      </c>
      <c r="G31" s="247">
        <f t="shared" si="3"/>
        <v>-2793512.9359722221</v>
      </c>
      <c r="H31" s="246">
        <f t="shared" si="4"/>
        <v>4325811.7030555587</v>
      </c>
      <c r="I31" s="246">
        <f t="shared" si="5"/>
        <v>15386754.84402778</v>
      </c>
      <c r="J31" s="246">
        <f t="shared" si="6"/>
        <v>11060943.140972221</v>
      </c>
      <c r="K31" s="246">
        <f t="shared" si="10"/>
        <v>-2543706.9233916663</v>
      </c>
      <c r="L31" s="248">
        <f t="shared" si="8"/>
        <v>384446.00132458331</v>
      </c>
      <c r="N31" s="250">
        <f t="shared" si="11"/>
        <v>1830695.2444027774</v>
      </c>
      <c r="O31" s="251">
        <f t="shared" si="12"/>
        <v>384446.00132458325</v>
      </c>
    </row>
    <row r="32" spans="1:18" x14ac:dyDescent="0.25">
      <c r="A32" s="245">
        <v>43281</v>
      </c>
      <c r="B32" s="246">
        <f t="shared" si="0"/>
        <v>19129030.460000001</v>
      </c>
      <c r="C32" s="247">
        <v>19129030.460000001</v>
      </c>
      <c r="D32" s="247">
        <f t="shared" si="9"/>
        <v>2296700.8747222219</v>
      </c>
      <c r="E32" s="247">
        <v>487339.37309722212</v>
      </c>
      <c r="F32" s="246">
        <f t="shared" si="2"/>
        <v>-16151156.951666664</v>
      </c>
      <c r="G32" s="247">
        <f t="shared" si="3"/>
        <v>-3280852.3090694444</v>
      </c>
      <c r="H32" s="246">
        <f t="shared" si="4"/>
        <v>2977873.5083333366</v>
      </c>
      <c r="I32" s="246">
        <f t="shared" si="5"/>
        <v>15848178.150930557</v>
      </c>
      <c r="J32" s="246">
        <f t="shared" si="6"/>
        <v>12870304.642597221</v>
      </c>
      <c r="K32" s="246">
        <f t="shared" si="10"/>
        <v>-2923672.8387329164</v>
      </c>
      <c r="L32" s="248">
        <f t="shared" si="8"/>
        <v>379965.91534125013</v>
      </c>
      <c r="N32" s="250">
        <f t="shared" si="11"/>
        <v>1809361.5016249998</v>
      </c>
      <c r="O32" s="251">
        <f t="shared" si="12"/>
        <v>379965.91534124996</v>
      </c>
    </row>
    <row r="33" spans="1:20" x14ac:dyDescent="0.25">
      <c r="A33" s="245">
        <v>43312</v>
      </c>
      <c r="B33" s="246">
        <f t="shared" si="0"/>
        <v>19129030.460000001</v>
      </c>
      <c r="C33" s="247">
        <v>19129030.460000001</v>
      </c>
      <c r="D33" s="247">
        <f t="shared" si="9"/>
        <v>2296700.8747222219</v>
      </c>
      <c r="E33" s="247">
        <v>492360.14920833323</v>
      </c>
      <c r="F33" s="246">
        <f t="shared" si="2"/>
        <v>-18447857.826388888</v>
      </c>
      <c r="G33" s="247">
        <f t="shared" si="3"/>
        <v>-3773212.4582777778</v>
      </c>
      <c r="H33" s="246">
        <f t="shared" si="4"/>
        <v>681172.63361111283</v>
      </c>
      <c r="I33" s="246">
        <f t="shared" si="5"/>
        <v>15355818.001722224</v>
      </c>
      <c r="J33" s="246">
        <f t="shared" si="6"/>
        <v>14674645.368111111</v>
      </c>
      <c r="K33" s="246">
        <f t="shared" si="10"/>
        <v>-3302584.3910908331</v>
      </c>
      <c r="L33" s="248">
        <f t="shared" si="8"/>
        <v>378911.55235791672</v>
      </c>
      <c r="N33" s="250">
        <f t="shared" si="11"/>
        <v>1804340.7255138885</v>
      </c>
      <c r="O33" s="251">
        <f t="shared" si="12"/>
        <v>378911.5523579166</v>
      </c>
    </row>
    <row r="34" spans="1:20" x14ac:dyDescent="0.25">
      <c r="A34" s="245">
        <v>43343</v>
      </c>
      <c r="B34" s="246">
        <f t="shared" si="0"/>
        <v>19129030.460000001</v>
      </c>
      <c r="C34" s="247">
        <v>19129030.460000001</v>
      </c>
      <c r="D34" s="247">
        <f t="shared" si="9"/>
        <v>2296700.8747222219</v>
      </c>
      <c r="E34" s="247">
        <v>492360.14920833323</v>
      </c>
      <c r="F34" s="246">
        <f t="shared" si="2"/>
        <v>-20744558.701111108</v>
      </c>
      <c r="G34" s="247">
        <f t="shared" si="3"/>
        <v>-4265572.6074861111</v>
      </c>
      <c r="H34" s="246">
        <f t="shared" si="4"/>
        <v>-1615528.2411111072</v>
      </c>
      <c r="I34" s="246">
        <f t="shared" si="5"/>
        <v>14863457.852513891</v>
      </c>
      <c r="J34" s="246">
        <f t="shared" si="6"/>
        <v>16478986.093624998</v>
      </c>
      <c r="K34" s="246">
        <f t="shared" si="10"/>
        <v>-3681495.9434487498</v>
      </c>
      <c r="L34" s="248">
        <f t="shared" si="8"/>
        <v>378911.55235791672</v>
      </c>
      <c r="N34" s="250">
        <f t="shared" si="11"/>
        <v>1804340.7255138885</v>
      </c>
      <c r="O34" s="251">
        <f t="shared" si="12"/>
        <v>378911.5523579166</v>
      </c>
    </row>
    <row r="35" spans="1:20" x14ac:dyDescent="0.25">
      <c r="A35" s="245">
        <v>43373</v>
      </c>
      <c r="B35" s="246">
        <f t="shared" si="0"/>
        <v>21840583.530000001</v>
      </c>
      <c r="C35" s="247">
        <v>21840583.530000001</v>
      </c>
      <c r="D35" s="247">
        <f t="shared" si="9"/>
        <v>2296700.8747222219</v>
      </c>
      <c r="E35" s="247">
        <v>492360.14920833323</v>
      </c>
      <c r="F35" s="246">
        <f t="shared" si="2"/>
        <v>-23041259.575833328</v>
      </c>
      <c r="G35" s="247">
        <f t="shared" si="3"/>
        <v>-4757932.7566944445</v>
      </c>
      <c r="H35" s="246">
        <f t="shared" si="4"/>
        <v>-1200676.0458333269</v>
      </c>
      <c r="I35" s="246">
        <f t="shared" si="5"/>
        <v>17082650.773305558</v>
      </c>
      <c r="J35" s="246">
        <f t="shared" si="6"/>
        <v>18283326.819138885</v>
      </c>
      <c r="K35" s="246">
        <f t="shared" si="10"/>
        <v>-4060407.4958066666</v>
      </c>
      <c r="L35" s="248">
        <f t="shared" si="8"/>
        <v>378911.55235791672</v>
      </c>
      <c r="N35" s="250">
        <f t="shared" si="11"/>
        <v>1804340.7255138885</v>
      </c>
      <c r="O35" s="251">
        <f t="shared" si="12"/>
        <v>378911.5523579166</v>
      </c>
    </row>
    <row r="36" spans="1:20" x14ac:dyDescent="0.25">
      <c r="A36" s="245">
        <v>43404</v>
      </c>
      <c r="B36" s="246">
        <f t="shared" si="0"/>
        <v>139767461.56999999</v>
      </c>
      <c r="C36" s="247">
        <v>139767461.56999999</v>
      </c>
      <c r="D36" s="247">
        <f t="shared" si="9"/>
        <v>2296700.8747222219</v>
      </c>
      <c r="E36" s="247">
        <v>1491731.8160972225</v>
      </c>
      <c r="F36" s="246">
        <f t="shared" si="2"/>
        <v>-25337960.450555548</v>
      </c>
      <c r="G36" s="247">
        <f t="shared" si="3"/>
        <v>-6249664.5727916667</v>
      </c>
      <c r="H36" s="246">
        <f t="shared" si="4"/>
        <v>114429501.11944444</v>
      </c>
      <c r="I36" s="246">
        <f t="shared" si="5"/>
        <v>133517796.99720833</v>
      </c>
      <c r="J36" s="246">
        <f t="shared" si="6"/>
        <v>19088295.877763882</v>
      </c>
      <c r="K36" s="246">
        <f t="shared" si="10"/>
        <v>-4229450.9981179163</v>
      </c>
      <c r="L36" s="248">
        <f t="shared" si="8"/>
        <v>169043.50231124973</v>
      </c>
      <c r="N36" s="250">
        <f t="shared" si="11"/>
        <v>804969.05862499936</v>
      </c>
      <c r="O36" s="251">
        <f t="shared" si="12"/>
        <v>169043.50231124987</v>
      </c>
    </row>
    <row r="37" spans="1:20" x14ac:dyDescent="0.25">
      <c r="A37" s="245">
        <v>43434</v>
      </c>
      <c r="B37" s="246">
        <f t="shared" si="0"/>
        <v>139767461.56999999</v>
      </c>
      <c r="C37" s="247">
        <v>139767461.56999999</v>
      </c>
      <c r="D37" s="247">
        <f t="shared" si="9"/>
        <v>2296700.8747222219</v>
      </c>
      <c r="E37" s="247">
        <v>2031844.2540099213</v>
      </c>
      <c r="F37" s="246">
        <f t="shared" si="2"/>
        <v>-27634661.325277768</v>
      </c>
      <c r="G37" s="247">
        <f t="shared" si="3"/>
        <v>-8281508.8268015878</v>
      </c>
      <c r="H37" s="246">
        <f t="shared" si="4"/>
        <v>112132800.24472222</v>
      </c>
      <c r="I37" s="246">
        <f t="shared" si="5"/>
        <v>131485952.74319841</v>
      </c>
      <c r="J37" s="246">
        <f t="shared" si="6"/>
        <v>19353152.498476192</v>
      </c>
      <c r="K37" s="246">
        <f t="shared" si="10"/>
        <v>-4285070.8884674991</v>
      </c>
      <c r="L37" s="248">
        <f t="shared" si="8"/>
        <v>55619.890349582769</v>
      </c>
      <c r="N37" s="250">
        <f t="shared" si="11"/>
        <v>264856.62071230053</v>
      </c>
      <c r="O37" s="251">
        <f t="shared" si="12"/>
        <v>55619.890349583111</v>
      </c>
    </row>
    <row r="38" spans="1:20" x14ac:dyDescent="0.25">
      <c r="A38" s="245">
        <v>43465</v>
      </c>
      <c r="B38" s="246">
        <f t="shared" si="0"/>
        <v>151136752.75999999</v>
      </c>
      <c r="C38" s="247">
        <v>151136752.75999999</v>
      </c>
      <c r="D38" s="247">
        <f t="shared" si="9"/>
        <v>2296700.8747222219</v>
      </c>
      <c r="E38" s="246">
        <v>2254729.582065478</v>
      </c>
      <c r="F38" s="246">
        <f t="shared" si="2"/>
        <v>-29931362.199999988</v>
      </c>
      <c r="G38" s="247">
        <f t="shared" si="3"/>
        <v>-10536238.408867065</v>
      </c>
      <c r="H38" s="246">
        <f t="shared" si="4"/>
        <v>121205390.56</v>
      </c>
      <c r="I38" s="246">
        <f t="shared" si="5"/>
        <v>140600514.35113293</v>
      </c>
      <c r="J38" s="246">
        <f t="shared" si="6"/>
        <v>19395123.791132927</v>
      </c>
      <c r="K38" s="246">
        <f t="shared" si="10"/>
        <v>-4293884.8599254154</v>
      </c>
      <c r="L38" s="248">
        <f t="shared" si="8"/>
        <v>8813.9714579163119</v>
      </c>
      <c r="N38" s="250">
        <f t="shared" si="11"/>
        <v>41971.292656743899</v>
      </c>
      <c r="O38" s="251">
        <f t="shared" si="12"/>
        <v>8813.9714579162192</v>
      </c>
      <c r="Q38" s="251">
        <f>K38*P11</f>
        <v>-2842122.3887846326</v>
      </c>
      <c r="S38" s="251">
        <f>K38-Q38</f>
        <v>-1451762.4711407828</v>
      </c>
      <c r="T38" s="252">
        <f>SUM(Q38:S38)</f>
        <v>-4293884.8599254154</v>
      </c>
    </row>
    <row r="39" spans="1:20" x14ac:dyDescent="0.25">
      <c r="A39" s="245">
        <v>43496</v>
      </c>
      <c r="B39" s="246">
        <f t="shared" si="0"/>
        <v>151136752.75999999</v>
      </c>
      <c r="C39" s="247">
        <f t="shared" ref="C39:C74" si="13">C38</f>
        <v>151136752.75999999</v>
      </c>
      <c r="D39" s="247">
        <f t="shared" ref="D39:D66" si="14">$B$26*$D$6/12+(($B$38-$B$26)*$C$6)/12+(($B$50-$B$38)*$B$6)/12</f>
        <v>4198243.1322222212</v>
      </c>
      <c r="E39" s="247">
        <f t="shared" ref="E39:E74" si="15">E38</f>
        <v>2254729.582065478</v>
      </c>
      <c r="F39" s="246">
        <f t="shared" si="2"/>
        <v>-34129605.332222208</v>
      </c>
      <c r="G39" s="247">
        <f t="shared" si="3"/>
        <v>-12790967.990932543</v>
      </c>
      <c r="H39" s="246">
        <f t="shared" si="4"/>
        <v>117007147.42777778</v>
      </c>
      <c r="I39" s="246">
        <f t="shared" si="5"/>
        <v>138345784.76906744</v>
      </c>
      <c r="J39" s="246">
        <f t="shared" si="6"/>
        <v>21338637.341289654</v>
      </c>
      <c r="K39" s="246">
        <f t="shared" si="10"/>
        <v>-4702022.7054583319</v>
      </c>
      <c r="L39" s="248">
        <f t="shared" si="8"/>
        <v>408137.84553291649</v>
      </c>
      <c r="N39" s="250">
        <f t="shared" si="11"/>
        <v>1943513.5501567433</v>
      </c>
      <c r="O39" s="251">
        <f t="shared" si="12"/>
        <v>408137.84553291608</v>
      </c>
      <c r="P39" s="251">
        <f t="shared" ref="P39:P74" si="16">$P$11*D39</f>
        <v>2778817.1292178882</v>
      </c>
      <c r="Q39" s="251"/>
      <c r="R39" s="251">
        <f t="shared" ref="R39:R74" si="17">D39-P39</f>
        <v>1419426.003004333</v>
      </c>
    </row>
    <row r="40" spans="1:20" x14ac:dyDescent="0.25">
      <c r="A40" s="245">
        <v>43524</v>
      </c>
      <c r="B40" s="246">
        <f t="shared" si="0"/>
        <v>151136752.75999999</v>
      </c>
      <c r="C40" s="247">
        <f t="shared" si="13"/>
        <v>151136752.75999999</v>
      </c>
      <c r="D40" s="247">
        <f t="shared" si="14"/>
        <v>4198243.1322222212</v>
      </c>
      <c r="E40" s="247">
        <f t="shared" si="15"/>
        <v>2254729.582065478</v>
      </c>
      <c r="F40" s="246">
        <f t="shared" si="2"/>
        <v>-38327848.464444429</v>
      </c>
      <c r="G40" s="247">
        <f t="shared" si="3"/>
        <v>-15045697.572998021</v>
      </c>
      <c r="H40" s="246">
        <f t="shared" si="4"/>
        <v>112808904.29555556</v>
      </c>
      <c r="I40" s="246">
        <f t="shared" si="5"/>
        <v>136091055.18700197</v>
      </c>
      <c r="J40" s="246">
        <f t="shared" si="6"/>
        <v>23282150.891446412</v>
      </c>
      <c r="K40" s="246">
        <f t="shared" si="10"/>
        <v>-5110160.5509912483</v>
      </c>
      <c r="L40" s="248">
        <f t="shared" si="8"/>
        <v>408137.84553291649</v>
      </c>
      <c r="N40" s="250">
        <f t="shared" si="11"/>
        <v>1943513.5501567433</v>
      </c>
      <c r="O40" s="251">
        <f t="shared" si="12"/>
        <v>408137.84553291608</v>
      </c>
      <c r="P40" s="251">
        <f t="shared" si="16"/>
        <v>2778817.1292178882</v>
      </c>
      <c r="Q40" s="251"/>
      <c r="R40" s="251">
        <f t="shared" si="17"/>
        <v>1419426.003004333</v>
      </c>
    </row>
    <row r="41" spans="1:20" x14ac:dyDescent="0.25">
      <c r="A41" s="245">
        <v>43555</v>
      </c>
      <c r="B41" s="246">
        <f t="shared" si="0"/>
        <v>151136752.75999999</v>
      </c>
      <c r="C41" s="247">
        <f t="shared" si="13"/>
        <v>151136752.75999999</v>
      </c>
      <c r="D41" s="247">
        <f t="shared" si="14"/>
        <v>4198243.1322222212</v>
      </c>
      <c r="E41" s="247">
        <f t="shared" si="15"/>
        <v>2254729.582065478</v>
      </c>
      <c r="F41" s="246">
        <f t="shared" si="2"/>
        <v>-42526091.596666649</v>
      </c>
      <c r="G41" s="247">
        <f t="shared" si="3"/>
        <v>-17300427.155063499</v>
      </c>
      <c r="H41" s="246">
        <f t="shared" si="4"/>
        <v>108610661.16333334</v>
      </c>
      <c r="I41" s="246">
        <f t="shared" si="5"/>
        <v>133836325.6049365</v>
      </c>
      <c r="J41" s="246">
        <f t="shared" si="6"/>
        <v>25225664.441603154</v>
      </c>
      <c r="K41" s="246">
        <f t="shared" si="10"/>
        <v>-5518298.3965241648</v>
      </c>
      <c r="L41" s="248">
        <f t="shared" si="8"/>
        <v>408137.84553291649</v>
      </c>
      <c r="N41" s="250">
        <f t="shared" si="11"/>
        <v>1943513.5501567433</v>
      </c>
      <c r="O41" s="251">
        <f t="shared" si="12"/>
        <v>408137.84553291608</v>
      </c>
      <c r="P41" s="251">
        <f t="shared" si="16"/>
        <v>2778817.1292178882</v>
      </c>
      <c r="Q41" s="251"/>
      <c r="R41" s="251">
        <f t="shared" si="17"/>
        <v>1419426.003004333</v>
      </c>
    </row>
    <row r="42" spans="1:20" x14ac:dyDescent="0.25">
      <c r="A42" s="245">
        <v>43585</v>
      </c>
      <c r="B42" s="246">
        <f t="shared" si="0"/>
        <v>151136752.75999999</v>
      </c>
      <c r="C42" s="247">
        <f t="shared" si="13"/>
        <v>151136752.75999999</v>
      </c>
      <c r="D42" s="247">
        <f t="shared" si="14"/>
        <v>4198243.1322222212</v>
      </c>
      <c r="E42" s="247">
        <f t="shared" si="15"/>
        <v>2254729.582065478</v>
      </c>
      <c r="F42" s="246">
        <f t="shared" si="2"/>
        <v>-46724334.728888869</v>
      </c>
      <c r="G42" s="247">
        <f t="shared" si="3"/>
        <v>-19555156.737128977</v>
      </c>
      <c r="H42" s="246">
        <f t="shared" si="4"/>
        <v>104412418.03111112</v>
      </c>
      <c r="I42" s="246">
        <f t="shared" si="5"/>
        <v>131581596.02287102</v>
      </c>
      <c r="J42" s="246">
        <f t="shared" si="6"/>
        <v>27169177.991759896</v>
      </c>
      <c r="K42" s="246">
        <f t="shared" si="10"/>
        <v>-5926436.2420570813</v>
      </c>
      <c r="L42" s="248">
        <f t="shared" si="8"/>
        <v>408137.84553291649</v>
      </c>
      <c r="N42" s="250">
        <f t="shared" si="11"/>
        <v>1943513.5501567433</v>
      </c>
      <c r="O42" s="251">
        <f t="shared" si="12"/>
        <v>408137.84553291608</v>
      </c>
      <c r="P42" s="251">
        <f t="shared" si="16"/>
        <v>2778817.1292178882</v>
      </c>
      <c r="Q42" s="251"/>
      <c r="R42" s="251">
        <f t="shared" si="17"/>
        <v>1419426.003004333</v>
      </c>
    </row>
    <row r="43" spans="1:20" x14ac:dyDescent="0.25">
      <c r="A43" s="245">
        <v>43616</v>
      </c>
      <c r="B43" s="246">
        <f t="shared" si="0"/>
        <v>151136752.75999999</v>
      </c>
      <c r="C43" s="247">
        <f t="shared" si="13"/>
        <v>151136752.75999999</v>
      </c>
      <c r="D43" s="247">
        <f t="shared" si="14"/>
        <v>4198243.1322222212</v>
      </c>
      <c r="E43" s="247">
        <f t="shared" si="15"/>
        <v>2254729.582065478</v>
      </c>
      <c r="F43" s="246">
        <f t="shared" si="2"/>
        <v>-50922577.86111109</v>
      </c>
      <c r="G43" s="247">
        <f t="shared" si="3"/>
        <v>-21809886.319194455</v>
      </c>
      <c r="H43" s="246">
        <f t="shared" si="4"/>
        <v>100214174.8988889</v>
      </c>
      <c r="I43" s="246">
        <f t="shared" si="5"/>
        <v>129326866.44080554</v>
      </c>
      <c r="J43" s="246">
        <f t="shared" si="6"/>
        <v>29112691.541916639</v>
      </c>
      <c r="K43" s="246">
        <f t="shared" si="10"/>
        <v>-6334574.0875899978</v>
      </c>
      <c r="L43" s="248">
        <f t="shared" si="8"/>
        <v>408137.84553291649</v>
      </c>
      <c r="M43" s="252"/>
      <c r="N43" s="250">
        <f t="shared" si="11"/>
        <v>1943513.5501567433</v>
      </c>
      <c r="O43" s="251">
        <f t="shared" si="12"/>
        <v>408137.84553291608</v>
      </c>
      <c r="P43" s="251">
        <f t="shared" si="16"/>
        <v>2778817.1292178882</v>
      </c>
      <c r="Q43" s="251"/>
      <c r="R43" s="251">
        <f t="shared" si="17"/>
        <v>1419426.003004333</v>
      </c>
    </row>
    <row r="44" spans="1:20" x14ac:dyDescent="0.25">
      <c r="A44" s="245">
        <v>43646</v>
      </c>
      <c r="B44" s="246">
        <f t="shared" si="0"/>
        <v>151136752.75999999</v>
      </c>
      <c r="C44" s="247">
        <f t="shared" si="13"/>
        <v>151136752.75999999</v>
      </c>
      <c r="D44" s="247">
        <f t="shared" si="14"/>
        <v>4198243.1322222212</v>
      </c>
      <c r="E44" s="247">
        <f t="shared" si="15"/>
        <v>2254729.582065478</v>
      </c>
      <c r="F44" s="246">
        <f t="shared" si="2"/>
        <v>-55120820.99333331</v>
      </c>
      <c r="G44" s="247">
        <f t="shared" si="3"/>
        <v>-24064615.901259933</v>
      </c>
      <c r="H44" s="246">
        <f t="shared" si="4"/>
        <v>96015931.766666681</v>
      </c>
      <c r="I44" s="246">
        <f t="shared" si="5"/>
        <v>127072136.85874006</v>
      </c>
      <c r="J44" s="246">
        <f t="shared" si="6"/>
        <v>31056205.092073381</v>
      </c>
      <c r="K44" s="246">
        <f t="shared" si="10"/>
        <v>-6742711.9331229143</v>
      </c>
      <c r="L44" s="248">
        <f t="shared" si="8"/>
        <v>408137.84553291649</v>
      </c>
      <c r="M44" s="253"/>
      <c r="N44" s="250">
        <f t="shared" si="11"/>
        <v>1943513.5501567433</v>
      </c>
      <c r="O44" s="251">
        <f t="shared" si="12"/>
        <v>408137.84553291608</v>
      </c>
      <c r="P44" s="251">
        <f t="shared" si="16"/>
        <v>2778817.1292178882</v>
      </c>
      <c r="Q44" s="251"/>
      <c r="R44" s="251">
        <f t="shared" si="17"/>
        <v>1419426.003004333</v>
      </c>
    </row>
    <row r="45" spans="1:20" outlineLevel="1" x14ac:dyDescent="0.25">
      <c r="A45" s="245">
        <v>43677</v>
      </c>
      <c r="B45" s="246">
        <f t="shared" ref="B45:B74" si="18">B44</f>
        <v>151136752.75999999</v>
      </c>
      <c r="C45" s="247">
        <f t="shared" si="13"/>
        <v>151136752.75999999</v>
      </c>
      <c r="D45" s="247">
        <f t="shared" si="14"/>
        <v>4198243.1322222212</v>
      </c>
      <c r="E45" s="247">
        <f t="shared" si="15"/>
        <v>2254729.582065478</v>
      </c>
      <c r="F45" s="246">
        <f t="shared" si="2"/>
        <v>-59319064.12555553</v>
      </c>
      <c r="G45" s="247">
        <f t="shared" si="3"/>
        <v>-26319345.483325411</v>
      </c>
      <c r="H45" s="246">
        <f t="shared" si="4"/>
        <v>91817688.63444446</v>
      </c>
      <c r="I45" s="246">
        <f t="shared" si="5"/>
        <v>124817407.27667458</v>
      </c>
      <c r="J45" s="246">
        <f t="shared" si="6"/>
        <v>32999718.642230123</v>
      </c>
      <c r="K45" s="246">
        <f t="shared" si="10"/>
        <v>-7150849.7786558308</v>
      </c>
      <c r="L45" s="248">
        <f t="shared" si="8"/>
        <v>408137.84553291649</v>
      </c>
      <c r="M45" s="253"/>
      <c r="N45" s="250">
        <f t="shared" si="11"/>
        <v>1943513.5501567433</v>
      </c>
      <c r="O45" s="251">
        <f t="shared" si="12"/>
        <v>408137.84553291608</v>
      </c>
      <c r="P45" s="251">
        <f t="shared" si="16"/>
        <v>2778817.1292178882</v>
      </c>
      <c r="Q45" s="251"/>
      <c r="R45" s="251">
        <f t="shared" si="17"/>
        <v>1419426.003004333</v>
      </c>
    </row>
    <row r="46" spans="1:20" outlineLevel="1" x14ac:dyDescent="0.25">
      <c r="A46" s="245">
        <v>43708</v>
      </c>
      <c r="B46" s="246">
        <f t="shared" si="18"/>
        <v>151136752.75999999</v>
      </c>
      <c r="C46" s="247">
        <f t="shared" si="13"/>
        <v>151136752.75999999</v>
      </c>
      <c r="D46" s="247">
        <f t="shared" si="14"/>
        <v>4198243.1322222212</v>
      </c>
      <c r="E46" s="247">
        <f t="shared" si="15"/>
        <v>2254729.582065478</v>
      </c>
      <c r="F46" s="246">
        <f t="shared" si="2"/>
        <v>-63517307.25777775</v>
      </c>
      <c r="G46" s="247">
        <f t="shared" si="3"/>
        <v>-28574075.065390889</v>
      </c>
      <c r="H46" s="246">
        <f t="shared" si="4"/>
        <v>87619445.50222224</v>
      </c>
      <c r="I46" s="246">
        <f t="shared" si="5"/>
        <v>122562677.69460911</v>
      </c>
      <c r="J46" s="246">
        <f t="shared" si="6"/>
        <v>34943232.192386866</v>
      </c>
      <c r="K46" s="246">
        <f t="shared" si="10"/>
        <v>-7558987.6241887473</v>
      </c>
      <c r="L46" s="248">
        <f t="shared" si="8"/>
        <v>408137.84553291649</v>
      </c>
      <c r="M46" s="253"/>
      <c r="N46" s="250">
        <f t="shared" si="11"/>
        <v>1943513.5501567433</v>
      </c>
      <c r="O46" s="251">
        <f t="shared" si="12"/>
        <v>408137.84553291608</v>
      </c>
      <c r="P46" s="251">
        <f t="shared" si="16"/>
        <v>2778817.1292178882</v>
      </c>
      <c r="Q46" s="251"/>
      <c r="R46" s="251">
        <f t="shared" si="17"/>
        <v>1419426.003004333</v>
      </c>
    </row>
    <row r="47" spans="1:20" outlineLevel="1" x14ac:dyDescent="0.25">
      <c r="A47" s="245">
        <v>43738</v>
      </c>
      <c r="B47" s="246">
        <f t="shared" si="18"/>
        <v>151136752.75999999</v>
      </c>
      <c r="C47" s="247">
        <f t="shared" si="13"/>
        <v>151136752.75999999</v>
      </c>
      <c r="D47" s="247">
        <f t="shared" si="14"/>
        <v>4198243.1322222212</v>
      </c>
      <c r="E47" s="247">
        <f t="shared" si="15"/>
        <v>2254729.582065478</v>
      </c>
      <c r="F47" s="246">
        <f t="shared" ref="F47:F67" si="19">-D47+F46</f>
        <v>-67715550.389999971</v>
      </c>
      <c r="G47" s="247">
        <f t="shared" ref="G47:G74" si="20">+G46-E47</f>
        <v>-30828804.647456367</v>
      </c>
      <c r="H47" s="246">
        <f t="shared" ref="H47:H67" si="21">B47+F47</f>
        <v>83421202.37000002</v>
      </c>
      <c r="I47" s="246">
        <f t="shared" ref="I47:I67" si="22">C47+G47</f>
        <v>120307948.11254363</v>
      </c>
      <c r="J47" s="246">
        <f t="shared" ref="J47:J74" si="23">I47-H47</f>
        <v>36886745.742543608</v>
      </c>
      <c r="K47" s="246">
        <f t="shared" si="10"/>
        <v>-7967125.4697216637</v>
      </c>
      <c r="L47" s="248">
        <f t="shared" ref="L47:L74" si="24">-K47+K46</f>
        <v>408137.84553291649</v>
      </c>
      <c r="M47" s="253"/>
      <c r="N47" s="250">
        <f t="shared" si="11"/>
        <v>1943513.5501567433</v>
      </c>
      <c r="O47" s="251">
        <f t="shared" si="12"/>
        <v>408137.84553291608</v>
      </c>
      <c r="P47" s="251">
        <f t="shared" si="16"/>
        <v>2778817.1292178882</v>
      </c>
      <c r="Q47" s="251"/>
      <c r="R47" s="251">
        <f t="shared" si="17"/>
        <v>1419426.003004333</v>
      </c>
    </row>
    <row r="48" spans="1:20" outlineLevel="1" x14ac:dyDescent="0.25">
      <c r="A48" s="245">
        <v>43769</v>
      </c>
      <c r="B48" s="246">
        <f t="shared" si="18"/>
        <v>151136752.75999999</v>
      </c>
      <c r="C48" s="247">
        <f t="shared" si="13"/>
        <v>151136752.75999999</v>
      </c>
      <c r="D48" s="247">
        <f t="shared" si="14"/>
        <v>4198243.1322222212</v>
      </c>
      <c r="E48" s="247">
        <f t="shared" si="15"/>
        <v>2254729.582065478</v>
      </c>
      <c r="F48" s="246">
        <f t="shared" si="19"/>
        <v>-71913793.522222191</v>
      </c>
      <c r="G48" s="247">
        <f t="shared" si="20"/>
        <v>-33083534.229521845</v>
      </c>
      <c r="H48" s="246">
        <f t="shared" si="21"/>
        <v>79222959.237777799</v>
      </c>
      <c r="I48" s="246">
        <f t="shared" si="22"/>
        <v>118053218.53047815</v>
      </c>
      <c r="J48" s="246">
        <f t="shared" si="23"/>
        <v>38830259.29270035</v>
      </c>
      <c r="K48" s="246">
        <f t="shared" si="10"/>
        <v>-8375263.3152545802</v>
      </c>
      <c r="L48" s="248">
        <f t="shared" si="24"/>
        <v>408137.84553291649</v>
      </c>
      <c r="M48" s="253"/>
      <c r="N48" s="250">
        <f t="shared" si="11"/>
        <v>1943513.5501567433</v>
      </c>
      <c r="O48" s="251">
        <f t="shared" si="12"/>
        <v>408137.84553291608</v>
      </c>
      <c r="P48" s="251">
        <f t="shared" si="16"/>
        <v>2778817.1292178882</v>
      </c>
      <c r="Q48" s="251"/>
      <c r="R48" s="251">
        <f t="shared" si="17"/>
        <v>1419426.003004333</v>
      </c>
    </row>
    <row r="49" spans="1:20" outlineLevel="1" x14ac:dyDescent="0.25">
      <c r="A49" s="245">
        <v>43799</v>
      </c>
      <c r="B49" s="246">
        <f t="shared" si="18"/>
        <v>151136752.75999999</v>
      </c>
      <c r="C49" s="247">
        <f t="shared" si="13"/>
        <v>151136752.75999999</v>
      </c>
      <c r="D49" s="247">
        <f t="shared" si="14"/>
        <v>4198243.1322222212</v>
      </c>
      <c r="E49" s="247">
        <f t="shared" si="15"/>
        <v>2254729.582065478</v>
      </c>
      <c r="F49" s="246">
        <f t="shared" si="19"/>
        <v>-76112036.654444411</v>
      </c>
      <c r="G49" s="247">
        <f t="shared" si="20"/>
        <v>-35338263.811587319</v>
      </c>
      <c r="H49" s="246">
        <f t="shared" si="21"/>
        <v>75024716.105555579</v>
      </c>
      <c r="I49" s="246">
        <f t="shared" si="22"/>
        <v>115798488.94841267</v>
      </c>
      <c r="J49" s="246">
        <f t="shared" si="23"/>
        <v>40773772.842857093</v>
      </c>
      <c r="K49" s="246">
        <f t="shared" si="10"/>
        <v>-8783401.1607874967</v>
      </c>
      <c r="L49" s="248">
        <f t="shared" si="24"/>
        <v>408137.84553291649</v>
      </c>
      <c r="M49" s="253"/>
      <c r="N49" s="250">
        <f t="shared" si="11"/>
        <v>1943513.5501567433</v>
      </c>
      <c r="O49" s="251">
        <f t="shared" si="12"/>
        <v>408137.84553291608</v>
      </c>
      <c r="P49" s="251">
        <f t="shared" si="16"/>
        <v>2778817.1292178882</v>
      </c>
      <c r="Q49" s="251"/>
      <c r="R49" s="251">
        <f t="shared" si="17"/>
        <v>1419426.003004333</v>
      </c>
    </row>
    <row r="50" spans="1:20" outlineLevel="1" x14ac:dyDescent="0.25">
      <c r="A50" s="245">
        <v>43830</v>
      </c>
      <c r="B50" s="246">
        <f t="shared" si="18"/>
        <v>151136752.75999999</v>
      </c>
      <c r="C50" s="247">
        <f t="shared" si="13"/>
        <v>151136752.75999999</v>
      </c>
      <c r="D50" s="247">
        <f t="shared" si="14"/>
        <v>4198243.1322222212</v>
      </c>
      <c r="E50" s="247">
        <f t="shared" si="15"/>
        <v>2254729.582065478</v>
      </c>
      <c r="F50" s="246">
        <f t="shared" si="19"/>
        <v>-80310279.786666632</v>
      </c>
      <c r="G50" s="247">
        <f t="shared" si="20"/>
        <v>-37592993.393652797</v>
      </c>
      <c r="H50" s="246">
        <f t="shared" si="21"/>
        <v>70826472.973333359</v>
      </c>
      <c r="I50" s="246">
        <f t="shared" si="22"/>
        <v>113543759.36634719</v>
      </c>
      <c r="J50" s="246">
        <f t="shared" si="23"/>
        <v>42717286.393013835</v>
      </c>
      <c r="K50" s="246">
        <f t="shared" si="10"/>
        <v>-9191539.0063204132</v>
      </c>
      <c r="L50" s="248">
        <f t="shared" si="24"/>
        <v>408137.84553291649</v>
      </c>
      <c r="M50" s="253"/>
      <c r="N50" s="250">
        <f t="shared" si="11"/>
        <v>1943513.5501567433</v>
      </c>
      <c r="O50" s="251">
        <f t="shared" si="12"/>
        <v>408137.84553291608</v>
      </c>
      <c r="P50" s="251">
        <f t="shared" si="16"/>
        <v>2778817.1292178882</v>
      </c>
      <c r="Q50" s="252"/>
      <c r="R50" s="251">
        <f t="shared" si="17"/>
        <v>1419426.003004333</v>
      </c>
      <c r="S50" s="252"/>
      <c r="T50" s="252">
        <f>SUM(Q50,S50)</f>
        <v>0</v>
      </c>
    </row>
    <row r="51" spans="1:20" outlineLevel="1" x14ac:dyDescent="0.25">
      <c r="A51" s="245">
        <v>43861</v>
      </c>
      <c r="B51" s="246">
        <f t="shared" si="18"/>
        <v>151136752.75999999</v>
      </c>
      <c r="C51" s="247">
        <f t="shared" si="13"/>
        <v>151136752.75999999</v>
      </c>
      <c r="D51" s="247">
        <f t="shared" si="14"/>
        <v>4198243.1322222212</v>
      </c>
      <c r="E51" s="247">
        <f t="shared" si="15"/>
        <v>2254729.582065478</v>
      </c>
      <c r="F51" s="246">
        <f t="shared" si="19"/>
        <v>-84508522.918888852</v>
      </c>
      <c r="G51" s="247">
        <f t="shared" si="20"/>
        <v>-39847722.975718275</v>
      </c>
      <c r="H51" s="246">
        <f t="shared" si="21"/>
        <v>66628229.841111138</v>
      </c>
      <c r="I51" s="246">
        <f t="shared" si="22"/>
        <v>111289029.78428172</v>
      </c>
      <c r="J51" s="246">
        <f t="shared" si="23"/>
        <v>44660799.943170577</v>
      </c>
      <c r="K51" s="246">
        <f t="shared" si="10"/>
        <v>-9599676.8518533297</v>
      </c>
      <c r="L51" s="248">
        <f t="shared" si="24"/>
        <v>408137.84553291649</v>
      </c>
      <c r="M51" s="253"/>
      <c r="N51" s="250">
        <f t="shared" si="11"/>
        <v>1943513.5501567433</v>
      </c>
      <c r="O51" s="251">
        <f t="shared" si="12"/>
        <v>408137.84553291608</v>
      </c>
      <c r="P51" s="251">
        <f t="shared" si="16"/>
        <v>2778817.1292178882</v>
      </c>
      <c r="R51" s="251">
        <f t="shared" si="17"/>
        <v>1419426.003004333</v>
      </c>
    </row>
    <row r="52" spans="1:20" outlineLevel="1" x14ac:dyDescent="0.25">
      <c r="A52" s="245">
        <v>43890</v>
      </c>
      <c r="B52" s="246">
        <f t="shared" si="18"/>
        <v>151136752.75999999</v>
      </c>
      <c r="C52" s="247">
        <f t="shared" si="13"/>
        <v>151136752.75999999</v>
      </c>
      <c r="D52" s="247">
        <f t="shared" si="14"/>
        <v>4198243.1322222212</v>
      </c>
      <c r="E52" s="247">
        <f t="shared" si="15"/>
        <v>2254729.582065478</v>
      </c>
      <c r="F52" s="246">
        <f t="shared" si="19"/>
        <v>-88706766.051111072</v>
      </c>
      <c r="G52" s="247">
        <f t="shared" si="20"/>
        <v>-42102452.557783753</v>
      </c>
      <c r="H52" s="246">
        <f t="shared" si="21"/>
        <v>62429986.708888918</v>
      </c>
      <c r="I52" s="246">
        <f t="shared" si="22"/>
        <v>109034300.20221624</v>
      </c>
      <c r="J52" s="246">
        <f t="shared" si="23"/>
        <v>46604313.49332732</v>
      </c>
      <c r="K52" s="246">
        <f t="shared" si="10"/>
        <v>-10007814.697386246</v>
      </c>
      <c r="L52" s="248">
        <f t="shared" si="24"/>
        <v>408137.84553291649</v>
      </c>
      <c r="M52" s="253"/>
      <c r="N52" s="250">
        <f t="shared" si="11"/>
        <v>1943513.5501567433</v>
      </c>
      <c r="O52" s="251">
        <f t="shared" si="12"/>
        <v>408137.84553291608</v>
      </c>
      <c r="P52" s="251">
        <f t="shared" si="16"/>
        <v>2778817.1292178882</v>
      </c>
      <c r="R52" s="251">
        <f t="shared" si="17"/>
        <v>1419426.003004333</v>
      </c>
    </row>
    <row r="53" spans="1:20" outlineLevel="1" x14ac:dyDescent="0.25">
      <c r="A53" s="245">
        <v>43921</v>
      </c>
      <c r="B53" s="246">
        <f t="shared" si="18"/>
        <v>151136752.75999999</v>
      </c>
      <c r="C53" s="247">
        <f t="shared" si="13"/>
        <v>151136752.75999999</v>
      </c>
      <c r="D53" s="247">
        <f t="shared" si="14"/>
        <v>4198243.1322222212</v>
      </c>
      <c r="E53" s="247">
        <f t="shared" si="15"/>
        <v>2254729.582065478</v>
      </c>
      <c r="F53" s="246">
        <f t="shared" si="19"/>
        <v>-92905009.183333293</v>
      </c>
      <c r="G53" s="247">
        <f t="shared" si="20"/>
        <v>-44357182.139849231</v>
      </c>
      <c r="H53" s="246">
        <f t="shared" si="21"/>
        <v>58231743.576666698</v>
      </c>
      <c r="I53" s="246">
        <f t="shared" si="22"/>
        <v>106779570.62015076</v>
      </c>
      <c r="J53" s="246">
        <f t="shared" si="23"/>
        <v>48547827.043484062</v>
      </c>
      <c r="K53" s="246">
        <f t="shared" si="10"/>
        <v>-10415952.542919163</v>
      </c>
      <c r="L53" s="248">
        <f t="shared" si="24"/>
        <v>408137.84553291649</v>
      </c>
      <c r="M53" s="253"/>
      <c r="N53" s="250">
        <f t="shared" si="11"/>
        <v>1943513.5501567433</v>
      </c>
      <c r="O53" s="251">
        <f t="shared" si="12"/>
        <v>408137.84553291608</v>
      </c>
      <c r="P53" s="251">
        <f t="shared" si="16"/>
        <v>2778817.1292178882</v>
      </c>
      <c r="R53" s="251">
        <f t="shared" si="17"/>
        <v>1419426.003004333</v>
      </c>
    </row>
    <row r="54" spans="1:20" outlineLevel="1" x14ac:dyDescent="0.25">
      <c r="A54" s="245">
        <v>43951</v>
      </c>
      <c r="B54" s="246">
        <f t="shared" si="18"/>
        <v>151136752.75999999</v>
      </c>
      <c r="C54" s="247">
        <f t="shared" si="13"/>
        <v>151136752.75999999</v>
      </c>
      <c r="D54" s="247">
        <f t="shared" si="14"/>
        <v>4198243.1322222212</v>
      </c>
      <c r="E54" s="247">
        <f t="shared" si="15"/>
        <v>2254729.582065478</v>
      </c>
      <c r="F54" s="246">
        <f t="shared" si="19"/>
        <v>-97103252.315555513</v>
      </c>
      <c r="G54" s="247">
        <f t="shared" si="20"/>
        <v>-46611911.721914709</v>
      </c>
      <c r="H54" s="246">
        <f t="shared" si="21"/>
        <v>54033500.444444478</v>
      </c>
      <c r="I54" s="246">
        <f t="shared" si="22"/>
        <v>104524841.03808528</v>
      </c>
      <c r="J54" s="246">
        <f t="shared" si="23"/>
        <v>50491340.593640804</v>
      </c>
      <c r="K54" s="246">
        <f t="shared" si="10"/>
        <v>-10824090.388452079</v>
      </c>
      <c r="L54" s="248">
        <f t="shared" si="24"/>
        <v>408137.84553291649</v>
      </c>
      <c r="M54" s="253"/>
      <c r="N54" s="250">
        <f t="shared" si="11"/>
        <v>1943513.5501567433</v>
      </c>
      <c r="O54" s="251">
        <f t="shared" si="12"/>
        <v>408137.84553291608</v>
      </c>
      <c r="P54" s="251">
        <f t="shared" si="16"/>
        <v>2778817.1292178882</v>
      </c>
      <c r="R54" s="251">
        <f t="shared" si="17"/>
        <v>1419426.003004333</v>
      </c>
    </row>
    <row r="55" spans="1:20" outlineLevel="1" x14ac:dyDescent="0.25">
      <c r="A55" s="245">
        <v>43982</v>
      </c>
      <c r="B55" s="246">
        <f t="shared" si="18"/>
        <v>151136752.75999999</v>
      </c>
      <c r="C55" s="247">
        <f t="shared" si="13"/>
        <v>151136752.75999999</v>
      </c>
      <c r="D55" s="247">
        <f t="shared" si="14"/>
        <v>4198243.1322222212</v>
      </c>
      <c r="E55" s="247">
        <f t="shared" si="15"/>
        <v>2254729.582065478</v>
      </c>
      <c r="F55" s="246">
        <f t="shared" si="19"/>
        <v>-101301495.44777773</v>
      </c>
      <c r="G55" s="247">
        <f t="shared" si="20"/>
        <v>-48866641.303980187</v>
      </c>
      <c r="H55" s="246">
        <f t="shared" si="21"/>
        <v>49835257.312222257</v>
      </c>
      <c r="I55" s="246">
        <f t="shared" si="22"/>
        <v>102270111.4560198</v>
      </c>
      <c r="J55" s="246">
        <f t="shared" si="23"/>
        <v>52434854.143797547</v>
      </c>
      <c r="K55" s="246">
        <f t="shared" si="10"/>
        <v>-11232228.233984996</v>
      </c>
      <c r="L55" s="248">
        <f t="shared" si="24"/>
        <v>408137.84553291649</v>
      </c>
      <c r="M55" s="253"/>
      <c r="N55" s="250">
        <f t="shared" si="11"/>
        <v>1943513.5501567433</v>
      </c>
      <c r="O55" s="251">
        <f t="shared" si="12"/>
        <v>408137.84553291608</v>
      </c>
      <c r="P55" s="251">
        <f t="shared" si="16"/>
        <v>2778817.1292178882</v>
      </c>
      <c r="R55" s="251">
        <f t="shared" si="17"/>
        <v>1419426.003004333</v>
      </c>
    </row>
    <row r="56" spans="1:20" outlineLevel="1" x14ac:dyDescent="0.25">
      <c r="A56" s="245">
        <v>44012</v>
      </c>
      <c r="B56" s="246">
        <f t="shared" si="18"/>
        <v>151136752.75999999</v>
      </c>
      <c r="C56" s="247">
        <f t="shared" si="13"/>
        <v>151136752.75999999</v>
      </c>
      <c r="D56" s="247">
        <f t="shared" si="14"/>
        <v>4198243.1322222212</v>
      </c>
      <c r="E56" s="247">
        <f t="shared" si="15"/>
        <v>2254729.582065478</v>
      </c>
      <c r="F56" s="246">
        <f t="shared" si="19"/>
        <v>-105499738.57999995</v>
      </c>
      <c r="G56" s="247">
        <f t="shared" si="20"/>
        <v>-51121370.886045665</v>
      </c>
      <c r="H56" s="246">
        <f t="shared" si="21"/>
        <v>45637014.180000037</v>
      </c>
      <c r="I56" s="246">
        <f t="shared" si="22"/>
        <v>100015381.87395433</v>
      </c>
      <c r="J56" s="246">
        <f t="shared" si="23"/>
        <v>54378367.693954289</v>
      </c>
      <c r="K56" s="246">
        <f t="shared" si="10"/>
        <v>-11640366.079517912</v>
      </c>
      <c r="L56" s="248">
        <f t="shared" si="24"/>
        <v>408137.84553291649</v>
      </c>
      <c r="M56" s="253"/>
      <c r="N56" s="250">
        <f t="shared" si="11"/>
        <v>1943513.5501567433</v>
      </c>
      <c r="O56" s="251">
        <f t="shared" si="12"/>
        <v>408137.84553291608</v>
      </c>
      <c r="P56" s="251">
        <f t="shared" si="16"/>
        <v>2778817.1292178882</v>
      </c>
      <c r="R56" s="251">
        <f t="shared" si="17"/>
        <v>1419426.003004333</v>
      </c>
    </row>
    <row r="57" spans="1:20" outlineLevel="1" x14ac:dyDescent="0.25">
      <c r="A57" s="245">
        <v>44043</v>
      </c>
      <c r="B57" s="246">
        <f t="shared" si="18"/>
        <v>151136752.75999999</v>
      </c>
      <c r="C57" s="247">
        <f t="shared" si="13"/>
        <v>151136752.75999999</v>
      </c>
      <c r="D57" s="247">
        <f t="shared" si="14"/>
        <v>4198243.1322222212</v>
      </c>
      <c r="E57" s="247">
        <f t="shared" si="15"/>
        <v>2254729.582065478</v>
      </c>
      <c r="F57" s="246">
        <f t="shared" si="19"/>
        <v>-109697981.71222217</v>
      </c>
      <c r="G57" s="247">
        <f t="shared" si="20"/>
        <v>-53376100.468111143</v>
      </c>
      <c r="H57" s="246">
        <f t="shared" si="21"/>
        <v>41438771.047777817</v>
      </c>
      <c r="I57" s="246">
        <f t="shared" si="22"/>
        <v>97760652.291888848</v>
      </c>
      <c r="J57" s="246">
        <f t="shared" si="23"/>
        <v>56321881.244111031</v>
      </c>
      <c r="K57" s="246">
        <f t="shared" si="10"/>
        <v>-12048503.925050829</v>
      </c>
      <c r="L57" s="248">
        <f t="shared" si="24"/>
        <v>408137.84553291649</v>
      </c>
      <c r="M57" s="253"/>
      <c r="N57" s="250">
        <f t="shared" si="11"/>
        <v>1943513.5501567433</v>
      </c>
      <c r="O57" s="251">
        <f t="shared" si="12"/>
        <v>408137.84553291608</v>
      </c>
      <c r="P57" s="251">
        <f t="shared" si="16"/>
        <v>2778817.1292178882</v>
      </c>
      <c r="R57" s="251">
        <f t="shared" si="17"/>
        <v>1419426.003004333</v>
      </c>
    </row>
    <row r="58" spans="1:20" outlineLevel="1" x14ac:dyDescent="0.25">
      <c r="A58" s="245">
        <v>44074</v>
      </c>
      <c r="B58" s="246">
        <f t="shared" si="18"/>
        <v>151136752.75999999</v>
      </c>
      <c r="C58" s="247">
        <f t="shared" si="13"/>
        <v>151136752.75999999</v>
      </c>
      <c r="D58" s="247">
        <f t="shared" si="14"/>
        <v>4198243.1322222212</v>
      </c>
      <c r="E58" s="247">
        <f t="shared" si="15"/>
        <v>2254729.582065478</v>
      </c>
      <c r="F58" s="246">
        <f t="shared" si="19"/>
        <v>-113896224.84444439</v>
      </c>
      <c r="G58" s="247">
        <f t="shared" si="20"/>
        <v>-55630830.05017662</v>
      </c>
      <c r="H58" s="246">
        <f t="shared" si="21"/>
        <v>37240527.915555596</v>
      </c>
      <c r="I58" s="246">
        <f t="shared" si="22"/>
        <v>95505922.70982337</v>
      </c>
      <c r="J58" s="246">
        <f t="shared" si="23"/>
        <v>58265394.794267774</v>
      </c>
      <c r="K58" s="246">
        <f t="shared" si="10"/>
        <v>-12456641.770583745</v>
      </c>
      <c r="L58" s="248">
        <f t="shared" si="24"/>
        <v>408137.84553291649</v>
      </c>
      <c r="M58" s="253"/>
      <c r="N58" s="250">
        <f t="shared" si="11"/>
        <v>1943513.5501567433</v>
      </c>
      <c r="O58" s="251">
        <f t="shared" si="12"/>
        <v>408137.84553291608</v>
      </c>
      <c r="P58" s="251">
        <f t="shared" si="16"/>
        <v>2778817.1292178882</v>
      </c>
      <c r="R58" s="251">
        <f t="shared" si="17"/>
        <v>1419426.003004333</v>
      </c>
    </row>
    <row r="59" spans="1:20" outlineLevel="1" x14ac:dyDescent="0.25">
      <c r="A59" s="245">
        <v>44104</v>
      </c>
      <c r="B59" s="246">
        <f t="shared" si="18"/>
        <v>151136752.75999999</v>
      </c>
      <c r="C59" s="247">
        <f t="shared" si="13"/>
        <v>151136752.75999999</v>
      </c>
      <c r="D59" s="247">
        <f t="shared" si="14"/>
        <v>4198243.1322222212</v>
      </c>
      <c r="E59" s="247">
        <f t="shared" si="15"/>
        <v>2254729.582065478</v>
      </c>
      <c r="F59" s="246">
        <f t="shared" si="19"/>
        <v>-118094467.97666661</v>
      </c>
      <c r="G59" s="247">
        <f t="shared" si="20"/>
        <v>-57885559.632242098</v>
      </c>
      <c r="H59" s="246">
        <f t="shared" si="21"/>
        <v>33042284.783333376</v>
      </c>
      <c r="I59" s="246">
        <f t="shared" si="22"/>
        <v>93251193.127757892</v>
      </c>
      <c r="J59" s="246">
        <f t="shared" si="23"/>
        <v>60208908.344424516</v>
      </c>
      <c r="K59" s="246">
        <f t="shared" si="10"/>
        <v>-12864779.616116662</v>
      </c>
      <c r="L59" s="248">
        <f t="shared" si="24"/>
        <v>408137.84553291649</v>
      </c>
      <c r="M59" s="253"/>
      <c r="N59" s="250">
        <f t="shared" si="11"/>
        <v>1943513.5501567433</v>
      </c>
      <c r="O59" s="251">
        <f t="shared" si="12"/>
        <v>408137.84553291608</v>
      </c>
      <c r="P59" s="251">
        <f t="shared" si="16"/>
        <v>2778817.1292178882</v>
      </c>
      <c r="R59" s="251">
        <f t="shared" si="17"/>
        <v>1419426.003004333</v>
      </c>
    </row>
    <row r="60" spans="1:20" outlineLevel="1" x14ac:dyDescent="0.25">
      <c r="A60" s="245">
        <v>44135</v>
      </c>
      <c r="B60" s="246">
        <f t="shared" si="18"/>
        <v>151136752.75999999</v>
      </c>
      <c r="C60" s="247">
        <f t="shared" si="13"/>
        <v>151136752.75999999</v>
      </c>
      <c r="D60" s="247">
        <f t="shared" si="14"/>
        <v>4198243.1322222212</v>
      </c>
      <c r="E60" s="247">
        <f t="shared" si="15"/>
        <v>2254729.582065478</v>
      </c>
      <c r="F60" s="246">
        <f t="shared" si="19"/>
        <v>-122292711.10888883</v>
      </c>
      <c r="G60" s="247">
        <f t="shared" si="20"/>
        <v>-60140289.214307576</v>
      </c>
      <c r="H60" s="246">
        <f t="shared" si="21"/>
        <v>28844041.651111156</v>
      </c>
      <c r="I60" s="246">
        <f t="shared" si="22"/>
        <v>90996463.545692414</v>
      </c>
      <c r="J60" s="246">
        <f t="shared" si="23"/>
        <v>62152421.894581258</v>
      </c>
      <c r="K60" s="246">
        <f t="shared" si="10"/>
        <v>-13272917.461649578</v>
      </c>
      <c r="L60" s="248">
        <f t="shared" si="24"/>
        <v>408137.84553291649</v>
      </c>
      <c r="M60" s="253"/>
      <c r="N60" s="250">
        <f t="shared" si="11"/>
        <v>1943513.5501567433</v>
      </c>
      <c r="O60" s="251">
        <f t="shared" si="12"/>
        <v>408137.84553291608</v>
      </c>
      <c r="P60" s="251">
        <f t="shared" si="16"/>
        <v>2778817.1292178882</v>
      </c>
      <c r="R60" s="251">
        <f t="shared" si="17"/>
        <v>1419426.003004333</v>
      </c>
    </row>
    <row r="61" spans="1:20" outlineLevel="1" x14ac:dyDescent="0.25">
      <c r="A61" s="245">
        <v>44165</v>
      </c>
      <c r="B61" s="246">
        <f t="shared" si="18"/>
        <v>151136752.75999999</v>
      </c>
      <c r="C61" s="247">
        <f t="shared" si="13"/>
        <v>151136752.75999999</v>
      </c>
      <c r="D61" s="247">
        <f t="shared" si="14"/>
        <v>4198243.1322222212</v>
      </c>
      <c r="E61" s="247">
        <f t="shared" si="15"/>
        <v>2254729.582065478</v>
      </c>
      <c r="F61" s="246">
        <f t="shared" si="19"/>
        <v>-126490954.24111106</v>
      </c>
      <c r="G61" s="247">
        <f t="shared" si="20"/>
        <v>-62395018.796373054</v>
      </c>
      <c r="H61" s="246">
        <f t="shared" si="21"/>
        <v>24645798.518888935</v>
      </c>
      <c r="I61" s="246">
        <f t="shared" si="22"/>
        <v>88741733.963626936</v>
      </c>
      <c r="J61" s="246">
        <f t="shared" si="23"/>
        <v>64095935.444738001</v>
      </c>
      <c r="K61" s="246">
        <f t="shared" si="10"/>
        <v>-13681055.307182495</v>
      </c>
      <c r="L61" s="248">
        <f t="shared" si="24"/>
        <v>408137.84553291649</v>
      </c>
      <c r="M61" s="253"/>
      <c r="N61" s="250">
        <f t="shared" si="11"/>
        <v>1943513.5501567433</v>
      </c>
      <c r="O61" s="251">
        <f t="shared" si="12"/>
        <v>408137.84553291608</v>
      </c>
      <c r="P61" s="251">
        <f t="shared" si="16"/>
        <v>2778817.1292178882</v>
      </c>
      <c r="R61" s="251">
        <f t="shared" si="17"/>
        <v>1419426.003004333</v>
      </c>
    </row>
    <row r="62" spans="1:20" outlineLevel="1" x14ac:dyDescent="0.25">
      <c r="A62" s="245">
        <v>44196</v>
      </c>
      <c r="B62" s="246">
        <f t="shared" si="18"/>
        <v>151136752.75999999</v>
      </c>
      <c r="C62" s="247">
        <f t="shared" si="13"/>
        <v>151136752.75999999</v>
      </c>
      <c r="D62" s="247">
        <f t="shared" si="14"/>
        <v>4198243.1322222212</v>
      </c>
      <c r="E62" s="247">
        <f t="shared" si="15"/>
        <v>2254729.582065478</v>
      </c>
      <c r="F62" s="246">
        <f t="shared" si="19"/>
        <v>-130689197.37333328</v>
      </c>
      <c r="G62" s="247">
        <f t="shared" si="20"/>
        <v>-64649748.378438532</v>
      </c>
      <c r="H62" s="246">
        <f t="shared" si="21"/>
        <v>20447555.386666715</v>
      </c>
      <c r="I62" s="246">
        <f t="shared" si="22"/>
        <v>86487004.381561458</v>
      </c>
      <c r="J62" s="246">
        <f t="shared" si="23"/>
        <v>66039448.994894743</v>
      </c>
      <c r="K62" s="246">
        <f t="shared" si="10"/>
        <v>-14089193.152715411</v>
      </c>
      <c r="L62" s="248">
        <f t="shared" si="24"/>
        <v>408137.84553291649</v>
      </c>
      <c r="M62" s="253"/>
      <c r="N62" s="250">
        <f t="shared" si="11"/>
        <v>1943513.5501567433</v>
      </c>
      <c r="O62" s="251">
        <f t="shared" si="12"/>
        <v>408137.84553291608</v>
      </c>
      <c r="P62" s="251">
        <f t="shared" si="16"/>
        <v>2778817.1292178882</v>
      </c>
      <c r="Q62" s="252"/>
      <c r="R62" s="251">
        <f t="shared" si="17"/>
        <v>1419426.003004333</v>
      </c>
      <c r="S62" s="252"/>
      <c r="T62" s="252">
        <f>SUM(Q62,S62)</f>
        <v>0</v>
      </c>
    </row>
    <row r="63" spans="1:20" outlineLevel="1" x14ac:dyDescent="0.25">
      <c r="A63" s="245">
        <v>44227</v>
      </c>
      <c r="B63" s="246">
        <f t="shared" si="18"/>
        <v>151136752.75999999</v>
      </c>
      <c r="C63" s="247">
        <f t="shared" si="13"/>
        <v>151136752.75999999</v>
      </c>
      <c r="D63" s="247">
        <f t="shared" si="14"/>
        <v>4198243.1322222212</v>
      </c>
      <c r="E63" s="247">
        <f t="shared" si="15"/>
        <v>2254729.582065478</v>
      </c>
      <c r="F63" s="246">
        <f t="shared" si="19"/>
        <v>-134887440.50555551</v>
      </c>
      <c r="G63" s="247">
        <f t="shared" si="20"/>
        <v>-66904477.96050401</v>
      </c>
      <c r="H63" s="246">
        <f t="shared" si="21"/>
        <v>16249312.25444448</v>
      </c>
      <c r="I63" s="246">
        <f t="shared" si="22"/>
        <v>84232274.79949598</v>
      </c>
      <c r="J63" s="246">
        <f t="shared" si="23"/>
        <v>67982962.5450515</v>
      </c>
      <c r="K63" s="246">
        <f t="shared" si="10"/>
        <v>-14497330.998248328</v>
      </c>
      <c r="L63" s="248">
        <f t="shared" si="24"/>
        <v>408137.84553291649</v>
      </c>
      <c r="M63" s="253"/>
      <c r="N63" s="250">
        <f t="shared" si="11"/>
        <v>1943513.5501567433</v>
      </c>
      <c r="O63" s="251">
        <f t="shared" si="12"/>
        <v>408137.84553291608</v>
      </c>
      <c r="P63" s="251">
        <f t="shared" si="16"/>
        <v>2778817.1292178882</v>
      </c>
      <c r="R63" s="251">
        <f t="shared" si="17"/>
        <v>1419426.003004333</v>
      </c>
    </row>
    <row r="64" spans="1:20" outlineLevel="1" x14ac:dyDescent="0.25">
      <c r="A64" s="245">
        <v>44255</v>
      </c>
      <c r="B64" s="246">
        <f t="shared" si="18"/>
        <v>151136752.75999999</v>
      </c>
      <c r="C64" s="247">
        <f t="shared" si="13"/>
        <v>151136752.75999999</v>
      </c>
      <c r="D64" s="247">
        <f t="shared" si="14"/>
        <v>4198243.1322222212</v>
      </c>
      <c r="E64" s="247">
        <f t="shared" si="15"/>
        <v>2254729.582065478</v>
      </c>
      <c r="F64" s="246">
        <f t="shared" si="19"/>
        <v>-139085683.63777775</v>
      </c>
      <c r="G64" s="247">
        <f t="shared" si="20"/>
        <v>-69159207.542569488</v>
      </c>
      <c r="H64" s="246">
        <f t="shared" si="21"/>
        <v>12051069.122222245</v>
      </c>
      <c r="I64" s="246">
        <f t="shared" si="22"/>
        <v>81977545.217430502</v>
      </c>
      <c r="J64" s="246">
        <f t="shared" si="23"/>
        <v>69926476.095208257</v>
      </c>
      <c r="K64" s="246">
        <f t="shared" si="10"/>
        <v>-14905468.843781244</v>
      </c>
      <c r="L64" s="248">
        <f t="shared" si="24"/>
        <v>408137.84553291649</v>
      </c>
      <c r="M64" s="253"/>
      <c r="N64" s="250">
        <f t="shared" si="11"/>
        <v>1943513.5501567433</v>
      </c>
      <c r="O64" s="251">
        <f t="shared" si="12"/>
        <v>408137.84553291608</v>
      </c>
      <c r="P64" s="251">
        <f t="shared" si="16"/>
        <v>2778817.1292178882</v>
      </c>
      <c r="R64" s="251">
        <f t="shared" si="17"/>
        <v>1419426.003004333</v>
      </c>
    </row>
    <row r="65" spans="1:20" outlineLevel="1" x14ac:dyDescent="0.25">
      <c r="A65" s="245">
        <v>44286</v>
      </c>
      <c r="B65" s="246">
        <f t="shared" si="18"/>
        <v>151136752.75999999</v>
      </c>
      <c r="C65" s="247">
        <f t="shared" si="13"/>
        <v>151136752.75999999</v>
      </c>
      <c r="D65" s="247">
        <f t="shared" si="14"/>
        <v>4198243.1322222212</v>
      </c>
      <c r="E65" s="247">
        <f t="shared" si="15"/>
        <v>2254729.582065478</v>
      </c>
      <c r="F65" s="246">
        <f t="shared" si="19"/>
        <v>-143283926.76999998</v>
      </c>
      <c r="G65" s="247">
        <f t="shared" si="20"/>
        <v>-71413937.124634966</v>
      </c>
      <c r="H65" s="246">
        <f t="shared" si="21"/>
        <v>7852825.9900000095</v>
      </c>
      <c r="I65" s="246">
        <f t="shared" si="22"/>
        <v>79722815.635365024</v>
      </c>
      <c r="J65" s="246">
        <f t="shared" si="23"/>
        <v>71869989.645365015</v>
      </c>
      <c r="K65" s="246">
        <f t="shared" si="10"/>
        <v>-15313606.68931416</v>
      </c>
      <c r="L65" s="248">
        <f t="shared" si="24"/>
        <v>408137.84553291649</v>
      </c>
      <c r="M65" s="253"/>
      <c r="N65" s="250">
        <f t="shared" si="11"/>
        <v>1943513.5501567433</v>
      </c>
      <c r="O65" s="251">
        <f t="shared" si="12"/>
        <v>408137.84553291608</v>
      </c>
      <c r="P65" s="251">
        <f t="shared" si="16"/>
        <v>2778817.1292178882</v>
      </c>
      <c r="R65" s="251">
        <f t="shared" si="17"/>
        <v>1419426.003004333</v>
      </c>
    </row>
    <row r="66" spans="1:20" outlineLevel="1" x14ac:dyDescent="0.25">
      <c r="A66" s="245">
        <v>44316</v>
      </c>
      <c r="B66" s="246">
        <f t="shared" si="18"/>
        <v>151136752.75999999</v>
      </c>
      <c r="C66" s="247">
        <f t="shared" si="13"/>
        <v>151136752.75999999</v>
      </c>
      <c r="D66" s="247">
        <f t="shared" si="14"/>
        <v>4198243.1322222212</v>
      </c>
      <c r="E66" s="247">
        <f t="shared" si="15"/>
        <v>2254729.582065478</v>
      </c>
      <c r="F66" s="246">
        <f t="shared" si="19"/>
        <v>-147482169.90222222</v>
      </c>
      <c r="G66" s="247">
        <f t="shared" si="20"/>
        <v>-73668666.706700444</v>
      </c>
      <c r="H66" s="246">
        <f t="shared" si="21"/>
        <v>3654582.8577777743</v>
      </c>
      <c r="I66" s="246">
        <f t="shared" si="22"/>
        <v>77468086.053299546</v>
      </c>
      <c r="J66" s="246">
        <f t="shared" si="23"/>
        <v>73813503.195521772</v>
      </c>
      <c r="K66" s="246">
        <f t="shared" si="10"/>
        <v>-15721744.534847077</v>
      </c>
      <c r="L66" s="248">
        <f t="shared" si="24"/>
        <v>408137.84553291649</v>
      </c>
      <c r="M66" s="253"/>
      <c r="N66" s="250">
        <f t="shared" si="11"/>
        <v>1943513.5501567433</v>
      </c>
      <c r="O66" s="251">
        <f t="shared" si="12"/>
        <v>408137.84553291608</v>
      </c>
      <c r="P66" s="251">
        <f t="shared" si="16"/>
        <v>2778817.1292178882</v>
      </c>
      <c r="R66" s="251">
        <f t="shared" si="17"/>
        <v>1419426.003004333</v>
      </c>
    </row>
    <row r="67" spans="1:20" outlineLevel="1" x14ac:dyDescent="0.25">
      <c r="A67" s="245">
        <v>44347</v>
      </c>
      <c r="B67" s="246">
        <f t="shared" si="18"/>
        <v>151136752.75999999</v>
      </c>
      <c r="C67" s="247">
        <f t="shared" si="13"/>
        <v>151136752.75999999</v>
      </c>
      <c r="D67" s="247">
        <f>B67+F66</f>
        <v>3654582.8577777743</v>
      </c>
      <c r="E67" s="247">
        <f t="shared" si="15"/>
        <v>2254729.582065478</v>
      </c>
      <c r="F67" s="246">
        <f t="shared" si="19"/>
        <v>-151136752.75999999</v>
      </c>
      <c r="G67" s="247">
        <f t="shared" si="20"/>
        <v>-75923396.288765922</v>
      </c>
      <c r="H67" s="246">
        <f t="shared" si="21"/>
        <v>0</v>
      </c>
      <c r="I67" s="246">
        <f t="shared" si="22"/>
        <v>75213356.471234068</v>
      </c>
      <c r="J67" s="246">
        <f t="shared" si="23"/>
        <v>75213356.471234068</v>
      </c>
      <c r="K67" s="246">
        <f t="shared" si="10"/>
        <v>-16015713.722746659</v>
      </c>
      <c r="L67" s="248">
        <f t="shared" si="24"/>
        <v>293969.18789958209</v>
      </c>
      <c r="M67" s="253"/>
      <c r="N67" s="250">
        <f t="shared" si="11"/>
        <v>1399853.2757122964</v>
      </c>
      <c r="O67" s="251">
        <f t="shared" si="12"/>
        <v>293969.1878995822</v>
      </c>
      <c r="P67" s="251">
        <f t="shared" si="16"/>
        <v>2418968.393563109</v>
      </c>
      <c r="R67" s="251">
        <f t="shared" si="17"/>
        <v>1235614.4642146653</v>
      </c>
    </row>
    <row r="68" spans="1:20" outlineLevel="1" x14ac:dyDescent="0.25">
      <c r="A68" s="245">
        <v>44377</v>
      </c>
      <c r="B68" s="246">
        <f t="shared" si="18"/>
        <v>151136752.75999999</v>
      </c>
      <c r="C68" s="247">
        <f t="shared" si="13"/>
        <v>151136752.75999999</v>
      </c>
      <c r="D68" s="247"/>
      <c r="E68" s="247">
        <f t="shared" si="15"/>
        <v>2254729.582065478</v>
      </c>
      <c r="F68" s="246"/>
      <c r="G68" s="247">
        <f t="shared" si="20"/>
        <v>-78178125.8708314</v>
      </c>
      <c r="H68" s="246"/>
      <c r="I68" s="246">
        <f t="shared" ref="I68:I74" si="25">C68+G68</f>
        <v>72958626.88916859</v>
      </c>
      <c r="J68" s="246">
        <f t="shared" si="23"/>
        <v>72958626.88916859</v>
      </c>
      <c r="K68" s="246">
        <f t="shared" si="10"/>
        <v>-15535598.152816206</v>
      </c>
      <c r="L68" s="248">
        <f t="shared" si="24"/>
        <v>-480115.56993045285</v>
      </c>
      <c r="M68" s="253"/>
      <c r="N68" s="250">
        <f t="shared" si="11"/>
        <v>-2254729.582065478</v>
      </c>
      <c r="O68" s="251">
        <f t="shared" ref="O68:O74" si="26">-N68*$O$11</f>
        <v>-480115.56993045361</v>
      </c>
      <c r="P68" s="251">
        <f t="shared" si="16"/>
        <v>0</v>
      </c>
      <c r="R68" s="251">
        <f t="shared" si="17"/>
        <v>0</v>
      </c>
    </row>
    <row r="69" spans="1:20" outlineLevel="1" x14ac:dyDescent="0.25">
      <c r="A69" s="245">
        <v>44408</v>
      </c>
      <c r="B69" s="246">
        <f t="shared" si="18"/>
        <v>151136752.75999999</v>
      </c>
      <c r="C69" s="247">
        <f t="shared" si="13"/>
        <v>151136752.75999999</v>
      </c>
      <c r="D69" s="247"/>
      <c r="E69" s="247">
        <f t="shared" si="15"/>
        <v>2254729.582065478</v>
      </c>
      <c r="F69" s="246"/>
      <c r="G69" s="247">
        <f t="shared" si="20"/>
        <v>-80432855.452896878</v>
      </c>
      <c r="H69" s="246"/>
      <c r="I69" s="246">
        <f t="shared" si="25"/>
        <v>70703897.307103112</v>
      </c>
      <c r="J69" s="246">
        <f t="shared" si="23"/>
        <v>70703897.307103112</v>
      </c>
      <c r="K69" s="246">
        <f t="shared" si="10"/>
        <v>-15055482.582885753</v>
      </c>
      <c r="L69" s="248">
        <f t="shared" si="24"/>
        <v>-480115.56993045285</v>
      </c>
      <c r="M69" s="253"/>
      <c r="N69" s="250">
        <f t="shared" si="11"/>
        <v>-2254729.582065478</v>
      </c>
      <c r="O69" s="251">
        <f t="shared" si="26"/>
        <v>-480115.56993045361</v>
      </c>
      <c r="P69" s="251">
        <f t="shared" si="16"/>
        <v>0</v>
      </c>
      <c r="R69" s="251">
        <f t="shared" si="17"/>
        <v>0</v>
      </c>
    </row>
    <row r="70" spans="1:20" outlineLevel="1" x14ac:dyDescent="0.25">
      <c r="A70" s="245">
        <v>44439</v>
      </c>
      <c r="B70" s="246">
        <f t="shared" si="18"/>
        <v>151136752.75999999</v>
      </c>
      <c r="C70" s="247">
        <f t="shared" si="13"/>
        <v>151136752.75999999</v>
      </c>
      <c r="D70" s="247"/>
      <c r="E70" s="247">
        <f t="shared" si="15"/>
        <v>2254729.582065478</v>
      </c>
      <c r="F70" s="246"/>
      <c r="G70" s="247">
        <f t="shared" si="20"/>
        <v>-82687585.034962356</v>
      </c>
      <c r="H70" s="246"/>
      <c r="I70" s="246">
        <f t="shared" si="25"/>
        <v>68449167.725037634</v>
      </c>
      <c r="J70" s="246">
        <f t="shared" si="23"/>
        <v>68449167.725037634</v>
      </c>
      <c r="K70" s="246">
        <f t="shared" si="10"/>
        <v>-14575367.012955301</v>
      </c>
      <c r="L70" s="248">
        <f t="shared" si="24"/>
        <v>-480115.56993045285</v>
      </c>
      <c r="M70" s="253"/>
      <c r="N70" s="250">
        <f t="shared" si="11"/>
        <v>-2254729.582065478</v>
      </c>
      <c r="O70" s="251">
        <f t="shared" si="26"/>
        <v>-480115.56993045361</v>
      </c>
      <c r="P70" s="251">
        <f t="shared" si="16"/>
        <v>0</v>
      </c>
      <c r="R70" s="251">
        <f t="shared" si="17"/>
        <v>0</v>
      </c>
    </row>
    <row r="71" spans="1:20" outlineLevel="1" x14ac:dyDescent="0.25">
      <c r="A71" s="245">
        <v>44469</v>
      </c>
      <c r="B71" s="246">
        <f t="shared" si="18"/>
        <v>151136752.75999999</v>
      </c>
      <c r="C71" s="247">
        <f t="shared" si="13"/>
        <v>151136752.75999999</v>
      </c>
      <c r="D71" s="247"/>
      <c r="E71" s="247">
        <f t="shared" si="15"/>
        <v>2254729.582065478</v>
      </c>
      <c r="F71" s="246"/>
      <c r="G71" s="247">
        <f t="shared" si="20"/>
        <v>-84942314.617027834</v>
      </c>
      <c r="H71" s="246"/>
      <c r="I71" s="246">
        <f t="shared" si="25"/>
        <v>66194438.142972156</v>
      </c>
      <c r="J71" s="246">
        <f t="shared" si="23"/>
        <v>66194438.142972156</v>
      </c>
      <c r="K71" s="246">
        <f t="shared" si="10"/>
        <v>-14095251.443024848</v>
      </c>
      <c r="L71" s="248">
        <f t="shared" si="24"/>
        <v>-480115.56993045285</v>
      </c>
      <c r="M71" s="253"/>
      <c r="N71" s="250">
        <f t="shared" si="11"/>
        <v>-2254729.582065478</v>
      </c>
      <c r="O71" s="251">
        <f t="shared" si="26"/>
        <v>-480115.56993045361</v>
      </c>
      <c r="P71" s="251">
        <f t="shared" si="16"/>
        <v>0</v>
      </c>
      <c r="R71" s="251">
        <f t="shared" si="17"/>
        <v>0</v>
      </c>
    </row>
    <row r="72" spans="1:20" outlineLevel="1" x14ac:dyDescent="0.25">
      <c r="A72" s="245">
        <v>44500</v>
      </c>
      <c r="B72" s="246">
        <f t="shared" si="18"/>
        <v>151136752.75999999</v>
      </c>
      <c r="C72" s="247">
        <f t="shared" si="13"/>
        <v>151136752.75999999</v>
      </c>
      <c r="D72" s="247"/>
      <c r="E72" s="247">
        <f t="shared" si="15"/>
        <v>2254729.582065478</v>
      </c>
      <c r="F72" s="246"/>
      <c r="G72" s="247">
        <f t="shared" si="20"/>
        <v>-87197044.199093312</v>
      </c>
      <c r="H72" s="246"/>
      <c r="I72" s="246">
        <f t="shared" si="25"/>
        <v>63939708.560906678</v>
      </c>
      <c r="J72" s="246">
        <f t="shared" si="23"/>
        <v>63939708.560906678</v>
      </c>
      <c r="K72" s="246">
        <f t="shared" si="10"/>
        <v>-13615135.873094395</v>
      </c>
      <c r="L72" s="248">
        <f t="shared" si="24"/>
        <v>-480115.56993045285</v>
      </c>
      <c r="M72" s="253"/>
      <c r="N72" s="250">
        <f t="shared" si="11"/>
        <v>-2254729.582065478</v>
      </c>
      <c r="O72" s="251">
        <f t="shared" si="26"/>
        <v>-480115.56993045361</v>
      </c>
      <c r="P72" s="251">
        <f t="shared" si="16"/>
        <v>0</v>
      </c>
      <c r="R72" s="251">
        <f t="shared" si="17"/>
        <v>0</v>
      </c>
    </row>
    <row r="73" spans="1:20" outlineLevel="1" x14ac:dyDescent="0.25">
      <c r="A73" s="245">
        <v>44530</v>
      </c>
      <c r="B73" s="246">
        <f t="shared" si="18"/>
        <v>151136752.75999999</v>
      </c>
      <c r="C73" s="247">
        <f t="shared" si="13"/>
        <v>151136752.75999999</v>
      </c>
      <c r="D73" s="247"/>
      <c r="E73" s="247">
        <f t="shared" si="15"/>
        <v>2254729.582065478</v>
      </c>
      <c r="F73" s="246"/>
      <c r="G73" s="247">
        <f t="shared" si="20"/>
        <v>-89451773.78115879</v>
      </c>
      <c r="H73" s="246"/>
      <c r="I73" s="246">
        <f t="shared" si="25"/>
        <v>61684978.9788412</v>
      </c>
      <c r="J73" s="246">
        <f t="shared" si="23"/>
        <v>61684978.9788412</v>
      </c>
      <c r="K73" s="246">
        <f t="shared" si="10"/>
        <v>-13135020.303163942</v>
      </c>
      <c r="L73" s="248">
        <f t="shared" si="24"/>
        <v>-480115.56993045285</v>
      </c>
      <c r="M73" s="253"/>
      <c r="N73" s="250">
        <f t="shared" si="11"/>
        <v>-2254729.582065478</v>
      </c>
      <c r="O73" s="251">
        <f t="shared" si="26"/>
        <v>-480115.56993045361</v>
      </c>
      <c r="P73" s="251">
        <f t="shared" si="16"/>
        <v>0</v>
      </c>
      <c r="R73" s="251">
        <f t="shared" si="17"/>
        <v>0</v>
      </c>
    </row>
    <row r="74" spans="1:20" outlineLevel="1" x14ac:dyDescent="0.25">
      <c r="A74" s="245">
        <v>44561</v>
      </c>
      <c r="B74" s="246">
        <f t="shared" si="18"/>
        <v>151136752.75999999</v>
      </c>
      <c r="C74" s="247">
        <f t="shared" si="13"/>
        <v>151136752.75999999</v>
      </c>
      <c r="D74" s="247"/>
      <c r="E74" s="247">
        <f t="shared" si="15"/>
        <v>2254729.582065478</v>
      </c>
      <c r="F74" s="246"/>
      <c r="G74" s="247">
        <f t="shared" si="20"/>
        <v>-91706503.363224268</v>
      </c>
      <c r="H74" s="246"/>
      <c r="I74" s="246">
        <f t="shared" si="25"/>
        <v>59430249.396775723</v>
      </c>
      <c r="J74" s="246">
        <f t="shared" si="23"/>
        <v>59430249.396775723</v>
      </c>
      <c r="K74" s="246">
        <f t="shared" si="10"/>
        <v>-12654904.733233489</v>
      </c>
      <c r="L74" s="248">
        <f t="shared" si="24"/>
        <v>-480115.56993045285</v>
      </c>
      <c r="M74" s="253"/>
      <c r="N74" s="250">
        <f t="shared" si="11"/>
        <v>-2254729.582065478</v>
      </c>
      <c r="O74" s="251">
        <f t="shared" si="26"/>
        <v>-480115.56993045361</v>
      </c>
      <c r="P74" s="251">
        <f t="shared" si="16"/>
        <v>0</v>
      </c>
      <c r="Q74" s="252"/>
      <c r="R74" s="251">
        <f t="shared" si="17"/>
        <v>0</v>
      </c>
      <c r="S74" s="252"/>
      <c r="T74" s="252">
        <f>SUM(Q74,S74)</f>
        <v>0</v>
      </c>
    </row>
    <row r="75" spans="1:20" outlineLevel="1" x14ac:dyDescent="0.25">
      <c r="A75" s="245"/>
      <c r="B75" s="246"/>
      <c r="C75" s="246"/>
      <c r="D75" s="247"/>
      <c r="E75" s="247"/>
      <c r="F75" s="246"/>
      <c r="G75" s="247"/>
      <c r="H75" s="246"/>
      <c r="I75" s="246"/>
      <c r="J75" s="246"/>
      <c r="K75" s="246"/>
      <c r="L75" s="248"/>
      <c r="M75" s="253"/>
      <c r="P75" s="252">
        <f>SUM(P39:P74)</f>
        <v>80225848.011663973</v>
      </c>
      <c r="Q75" s="252">
        <f>SUM(Q39:Q74)</f>
        <v>0</v>
      </c>
      <c r="R75" s="252">
        <f>SUM(R39:R74)</f>
        <v>40979542.548336022</v>
      </c>
    </row>
    <row r="76" spans="1:20" outlineLevel="1" x14ac:dyDescent="0.25">
      <c r="A76" s="245"/>
      <c r="B76" s="246"/>
      <c r="C76" s="246"/>
      <c r="D76" s="247"/>
      <c r="E76" s="247"/>
      <c r="F76" s="246"/>
      <c r="G76" s="247"/>
      <c r="H76" s="246"/>
      <c r="I76" s="246"/>
      <c r="J76" s="246"/>
      <c r="K76" s="246"/>
      <c r="L76" s="248"/>
      <c r="M76" s="253"/>
    </row>
    <row r="77" spans="1:20" outlineLevel="1" x14ac:dyDescent="0.25">
      <c r="A77" s="245"/>
      <c r="B77" s="246"/>
      <c r="C77" s="246"/>
      <c r="D77" s="247"/>
      <c r="E77" s="247"/>
      <c r="F77" s="246"/>
      <c r="G77" s="247"/>
      <c r="H77" s="246"/>
      <c r="I77" s="246"/>
      <c r="J77" s="246"/>
      <c r="K77" s="246"/>
      <c r="L77" s="248"/>
      <c r="M77" s="253"/>
    </row>
    <row r="78" spans="1:20" outlineLevel="1" x14ac:dyDescent="0.25">
      <c r="A78" s="245"/>
      <c r="B78" s="246"/>
      <c r="C78" s="246"/>
      <c r="D78" s="247"/>
      <c r="E78" s="247"/>
      <c r="F78" s="246"/>
      <c r="G78" s="247"/>
      <c r="H78" s="246"/>
      <c r="I78" s="246"/>
      <c r="J78" s="246"/>
      <c r="K78" s="246"/>
      <c r="L78" s="248"/>
      <c r="M78" s="253"/>
    </row>
    <row r="79" spans="1:20" x14ac:dyDescent="0.25">
      <c r="A79" s="254" t="s">
        <v>112</v>
      </c>
      <c r="B79" s="255"/>
      <c r="C79" s="255"/>
      <c r="D79" s="255"/>
      <c r="E79" s="255"/>
      <c r="F79" s="255"/>
      <c r="G79" s="256"/>
      <c r="H79" s="255"/>
      <c r="I79" s="255"/>
      <c r="J79" s="255"/>
      <c r="K79" s="255"/>
      <c r="L79" s="257"/>
      <c r="M79" s="197"/>
      <c r="N79" s="252"/>
      <c r="O79" s="252"/>
    </row>
    <row r="80" spans="1:20" x14ac:dyDescent="0.25">
      <c r="A80" s="197"/>
      <c r="B80" s="197"/>
      <c r="C80" s="197"/>
      <c r="D80" s="258"/>
      <c r="E80" s="197"/>
      <c r="F80" s="197"/>
      <c r="G80" s="197"/>
      <c r="H80" s="197"/>
      <c r="I80" s="197"/>
      <c r="J80" s="197"/>
      <c r="K80" s="197"/>
      <c r="L80" s="197"/>
      <c r="M80" s="197"/>
    </row>
    <row r="81" spans="1:14" x14ac:dyDescent="0.25">
      <c r="A81" s="197"/>
      <c r="B81" s="197"/>
      <c r="C81" s="197"/>
      <c r="D81" s="197"/>
      <c r="E81" s="197"/>
      <c r="F81" s="197"/>
      <c r="G81" s="197"/>
      <c r="H81" s="197"/>
      <c r="I81" s="197"/>
      <c r="J81" s="197"/>
      <c r="K81" s="197"/>
      <c r="L81" s="197"/>
      <c r="M81" s="197"/>
    </row>
    <row r="82" spans="1:14" x14ac:dyDescent="0.25">
      <c r="A82" s="197">
        <v>2017</v>
      </c>
      <c r="B82" s="197"/>
      <c r="C82" s="259">
        <f>AVERAGE(C15:C26)</f>
        <v>3479921.9499999997</v>
      </c>
      <c r="D82" s="259"/>
      <c r="E82" s="259">
        <f>SUM(E15:E26)</f>
        <v>793031.24770833331</v>
      </c>
      <c r="F82" s="197"/>
      <c r="G82" s="259">
        <f>AVERAGE(G15:G26)</f>
        <v>-371759.81251736119</v>
      </c>
      <c r="H82" s="197"/>
      <c r="I82" s="197"/>
      <c r="J82" s="197"/>
      <c r="K82" s="259">
        <f>AVERAGE(K15:K26)</f>
        <v>-319376.99270920129</v>
      </c>
      <c r="L82" s="259">
        <f>SUM(L15:L26)</f>
        <v>552272.15946874977</v>
      </c>
      <c r="M82" s="197"/>
    </row>
    <row r="83" spans="1:14" x14ac:dyDescent="0.25">
      <c r="A83" s="197">
        <v>2018</v>
      </c>
      <c r="B83" s="197"/>
      <c r="C83" s="259">
        <f>AVERAGE(C27:C38)</f>
        <v>49091389.499166667</v>
      </c>
      <c r="D83" s="259"/>
      <c r="E83" s="259">
        <f>SUM(E27:E38)</f>
        <v>9743207.1611587331</v>
      </c>
      <c r="F83" s="197"/>
      <c r="G83" s="259">
        <f>AVERAGE(G27:G38)</f>
        <v>-4231836.3983323416</v>
      </c>
      <c r="H83" s="197"/>
      <c r="I83" s="197"/>
      <c r="J83" s="197"/>
      <c r="K83" s="259">
        <f>AVERAGE(K27:K38)</f>
        <v>-2965119.7718335413</v>
      </c>
      <c r="L83" s="259">
        <f>SUM(L27:L38)</f>
        <v>3741612.7004566654</v>
      </c>
      <c r="M83" s="197"/>
      <c r="N83" s="197"/>
    </row>
    <row r="84" spans="1:14" x14ac:dyDescent="0.25">
      <c r="A84" s="210">
        <v>2019</v>
      </c>
      <c r="C84" s="252">
        <f>AVERAGE(C39:C50)</f>
        <v>151136752.75999999</v>
      </c>
      <c r="D84" s="252"/>
      <c r="E84" s="252">
        <f>SUM(E39:E50)</f>
        <v>27056754.984785736</v>
      </c>
      <c r="G84" s="252">
        <f>AVERAGE(G39:G50)</f>
        <v>-25191980.692292672</v>
      </c>
      <c r="K84" s="252">
        <f>AVERAGE(K39:K50)</f>
        <v>-6946780.8558893725</v>
      </c>
      <c r="L84" s="252">
        <f>SUM(L39:L50)</f>
        <v>4897654.1463949978</v>
      </c>
    </row>
    <row r="86" spans="1:14" x14ac:dyDescent="0.25">
      <c r="A86" s="210" t="s">
        <v>8</v>
      </c>
      <c r="B86" s="210" t="s">
        <v>392</v>
      </c>
    </row>
    <row r="87" spans="1:14" x14ac:dyDescent="0.25">
      <c r="A87" s="210">
        <f>A82</f>
        <v>2017</v>
      </c>
      <c r="B87" s="233">
        <v>0.66190000000000004</v>
      </c>
      <c r="C87" s="250">
        <f>C82*$B87</f>
        <v>2303360.338705</v>
      </c>
      <c r="D87" s="250"/>
      <c r="E87" s="250">
        <f>E82*$B87</f>
        <v>524907.38285814587</v>
      </c>
      <c r="F87" s="250"/>
      <c r="G87" s="250">
        <f>G82*$B87</f>
        <v>-246067.8199052414</v>
      </c>
      <c r="H87" s="250"/>
      <c r="I87" s="250"/>
      <c r="J87" s="250"/>
      <c r="K87" s="250">
        <f t="shared" ref="K87:L89" si="27">K82*$B87</f>
        <v>-211395.63147422034</v>
      </c>
      <c r="L87" s="250">
        <f t="shared" si="27"/>
        <v>365548.94235236547</v>
      </c>
    </row>
    <row r="88" spans="1:14" x14ac:dyDescent="0.25">
      <c r="A88" s="210">
        <f>A83</f>
        <v>2018</v>
      </c>
      <c r="B88" s="233">
        <v>0.66190000000000004</v>
      </c>
      <c r="C88" s="250">
        <f>C83*$B88</f>
        <v>32493590.70949842</v>
      </c>
      <c r="D88" s="250"/>
      <c r="E88" s="250">
        <f>E83*$B88</f>
        <v>6449028.8199709654</v>
      </c>
      <c r="F88" s="250"/>
      <c r="G88" s="250">
        <f>G83*$B88</f>
        <v>-2801052.512056177</v>
      </c>
      <c r="H88" s="250"/>
      <c r="I88" s="250"/>
      <c r="J88" s="250"/>
      <c r="K88" s="250">
        <f t="shared" si="27"/>
        <v>-1962612.7769766212</v>
      </c>
      <c r="L88" s="250">
        <f t="shared" si="27"/>
        <v>2476573.4464322669</v>
      </c>
    </row>
    <row r="89" spans="1:14" x14ac:dyDescent="0.25">
      <c r="A89" s="210">
        <f>A84</f>
        <v>2019</v>
      </c>
      <c r="B89" s="233">
        <v>0.66190000000000004</v>
      </c>
      <c r="C89" s="250">
        <f>C84*$B89</f>
        <v>100037416.65184399</v>
      </c>
      <c r="D89" s="250"/>
      <c r="E89" s="250">
        <f>E84*$B89</f>
        <v>17908866.12442968</v>
      </c>
      <c r="F89" s="250"/>
      <c r="G89" s="250">
        <f>G84*$B89</f>
        <v>-16674572.02022852</v>
      </c>
      <c r="H89" s="250"/>
      <c r="I89" s="250"/>
      <c r="J89" s="250"/>
      <c r="K89" s="250">
        <f t="shared" si="27"/>
        <v>-4598074.2485131761</v>
      </c>
      <c r="L89" s="250">
        <f t="shared" si="27"/>
        <v>3241757.2794988491</v>
      </c>
    </row>
    <row r="90" spans="1:14" x14ac:dyDescent="0.25">
      <c r="C90" s="250"/>
      <c r="D90" s="250"/>
      <c r="E90" s="250"/>
      <c r="F90" s="250"/>
      <c r="G90" s="250"/>
      <c r="H90" s="250"/>
      <c r="I90" s="250"/>
      <c r="J90" s="250"/>
      <c r="K90" s="250"/>
      <c r="L90" s="250"/>
    </row>
    <row r="91" spans="1:14" x14ac:dyDescent="0.25">
      <c r="A91" s="210" t="s">
        <v>10</v>
      </c>
      <c r="C91" s="250"/>
      <c r="D91" s="250"/>
      <c r="E91" s="250"/>
      <c r="F91" s="250"/>
      <c r="G91" s="250"/>
      <c r="H91" s="250"/>
      <c r="I91" s="250"/>
      <c r="J91" s="250"/>
      <c r="K91" s="250"/>
      <c r="L91" s="250"/>
    </row>
    <row r="92" spans="1:14" x14ac:dyDescent="0.25">
      <c r="A92" s="210">
        <f>A87</f>
        <v>2017</v>
      </c>
      <c r="B92" s="233">
        <f>1-B87</f>
        <v>0.33809999999999996</v>
      </c>
      <c r="C92" s="250">
        <f>C82*$B92</f>
        <v>1176561.6112949997</v>
      </c>
      <c r="D92" s="250"/>
      <c r="E92" s="250">
        <f>E82*$B92</f>
        <v>268123.86485018744</v>
      </c>
      <c r="F92" s="250"/>
      <c r="G92" s="250">
        <f>G82*$B92</f>
        <v>-125691.99261211981</v>
      </c>
      <c r="H92" s="250"/>
      <c r="I92" s="250"/>
      <c r="J92" s="250"/>
      <c r="K92" s="250">
        <f t="shared" ref="K92:L94" si="28">K82*$B92</f>
        <v>-107981.36123498094</v>
      </c>
      <c r="L92" s="250">
        <f t="shared" si="28"/>
        <v>186723.21711638427</v>
      </c>
    </row>
    <row r="93" spans="1:14" x14ac:dyDescent="0.25">
      <c r="A93" s="210">
        <f>A88</f>
        <v>2018</v>
      </c>
      <c r="B93" s="233">
        <f>1-B88</f>
        <v>0.33809999999999996</v>
      </c>
      <c r="C93" s="250">
        <f>C83*$B93</f>
        <v>16597798.789668249</v>
      </c>
      <c r="D93" s="250"/>
      <c r="E93" s="250">
        <f>E83*$B93</f>
        <v>3294178.3411877672</v>
      </c>
      <c r="F93" s="250"/>
      <c r="G93" s="250">
        <f>G83*$B93</f>
        <v>-1430783.8862761646</v>
      </c>
      <c r="H93" s="250"/>
      <c r="I93" s="250"/>
      <c r="J93" s="250"/>
      <c r="K93" s="250">
        <f t="shared" si="28"/>
        <v>-1002506.9948569202</v>
      </c>
      <c r="L93" s="250">
        <f t="shared" si="28"/>
        <v>1265039.2540243983</v>
      </c>
    </row>
    <row r="94" spans="1:14" x14ac:dyDescent="0.25">
      <c r="A94" s="210">
        <f>A89</f>
        <v>2019</v>
      </c>
      <c r="B94" s="233">
        <f>1-B89</f>
        <v>0.33809999999999996</v>
      </c>
      <c r="C94" s="250">
        <f>C84*$B94</f>
        <v>51099336.108155988</v>
      </c>
      <c r="D94" s="250"/>
      <c r="E94" s="250">
        <f>E84*$B94</f>
        <v>9147888.8603560552</v>
      </c>
      <c r="F94" s="250"/>
      <c r="G94" s="250">
        <f>G84*$B94</f>
        <v>-8517408.6720641516</v>
      </c>
      <c r="H94" s="250"/>
      <c r="I94" s="250"/>
      <c r="J94" s="250"/>
      <c r="K94" s="250">
        <f t="shared" si="28"/>
        <v>-2348706.6073761964</v>
      </c>
      <c r="L94" s="250">
        <f t="shared" si="28"/>
        <v>1655896.8668961485</v>
      </c>
    </row>
    <row r="95" spans="1:14" x14ac:dyDescent="0.25">
      <c r="D95" s="250"/>
      <c r="E95" s="250"/>
      <c r="F95" s="250"/>
      <c r="G95" s="250"/>
      <c r="H95" s="250"/>
      <c r="I95" s="250"/>
      <c r="J95" s="250"/>
      <c r="K95" s="250"/>
      <c r="L95" s="250"/>
    </row>
    <row r="96" spans="1:14" x14ac:dyDescent="0.25">
      <c r="D96" s="250"/>
      <c r="E96" s="250"/>
      <c r="F96" s="250"/>
      <c r="G96" s="250"/>
      <c r="H96" s="250"/>
      <c r="I96" s="250"/>
      <c r="J96" s="250"/>
      <c r="K96" s="250"/>
      <c r="L96" s="250"/>
    </row>
    <row r="97" spans="1:7" x14ac:dyDescent="0.25">
      <c r="B97" s="260" t="s">
        <v>575</v>
      </c>
      <c r="C97" s="261"/>
    </row>
    <row r="98" spans="1:7" x14ac:dyDescent="0.25">
      <c r="A98" s="262"/>
      <c r="B98" s="250"/>
    </row>
    <row r="99" spans="1:7" x14ac:dyDescent="0.25">
      <c r="B99" s="233">
        <f>B88</f>
        <v>0.66190000000000004</v>
      </c>
      <c r="C99" s="252">
        <f>$C$101*B99</f>
        <v>100037416.65184399</v>
      </c>
      <c r="D99" s="210" t="s">
        <v>573</v>
      </c>
      <c r="G99" s="250"/>
    </row>
    <row r="100" spans="1:7" x14ac:dyDescent="0.25">
      <c r="B100" s="233">
        <f>B93</f>
        <v>0.33809999999999996</v>
      </c>
      <c r="C100" s="252">
        <f>C101-C99</f>
        <v>51099336.108155996</v>
      </c>
      <c r="D100" s="210" t="s">
        <v>574</v>
      </c>
    </row>
    <row r="101" spans="1:7" ht="13.8" thickBot="1" x14ac:dyDescent="0.3">
      <c r="C101" s="263">
        <f>C38</f>
        <v>151136752.75999999</v>
      </c>
      <c r="D101" s="210" t="s">
        <v>572</v>
      </c>
    </row>
    <row r="102" spans="1:7" ht="13.8" thickTop="1" x14ac:dyDescent="0.25"/>
    <row r="104" spans="1:7" ht="14.4" x14ac:dyDescent="0.3">
      <c r="A104" s="15"/>
      <c r="B104" s="15"/>
      <c r="C104" s="15"/>
      <c r="D104" s="15"/>
      <c r="E104" s="15"/>
      <c r="F104" s="15"/>
    </row>
    <row r="105" spans="1:7" ht="14.4" x14ac:dyDescent="0.3">
      <c r="A105" s="15"/>
      <c r="B105" s="35"/>
      <c r="C105" s="35"/>
      <c r="D105" s="15"/>
      <c r="E105" s="35"/>
      <c r="F105" s="35"/>
    </row>
    <row r="106" spans="1:7" ht="14.4" x14ac:dyDescent="0.3">
      <c r="A106" s="15"/>
      <c r="B106" s="35"/>
      <c r="C106" s="35"/>
      <c r="D106" s="15"/>
      <c r="E106" s="35"/>
      <c r="F106" s="35"/>
    </row>
    <row r="107" spans="1:7" ht="14.4" x14ac:dyDescent="0.3">
      <c r="A107" s="15"/>
      <c r="B107" s="35"/>
      <c r="C107" s="35"/>
      <c r="D107" s="15"/>
      <c r="E107" s="35"/>
      <c r="F107" s="35"/>
    </row>
  </sheetData>
  <pageMargins left="0.25" right="0.25" top="0.25" bottom="0.25" header="0.3" footer="0.3"/>
  <pageSetup scale="28" fitToHeight="0" orientation="landscape" r:id="rId1"/>
  <colBreaks count="1" manualBreakCount="1">
    <brk id="12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52"/>
  <sheetViews>
    <sheetView workbookViewId="0">
      <pane xSplit="1" ySplit="6" topLeftCell="D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4.4" x14ac:dyDescent="0.3"/>
  <cols>
    <col min="1" max="1" width="34.33203125" style="15" bestFit="1" customWidth="1"/>
    <col min="2" max="2" width="15.33203125" style="15" customWidth="1"/>
    <col min="3" max="5" width="14.6640625" style="15" customWidth="1"/>
    <col min="6" max="6" width="8.109375" style="15" bestFit="1" customWidth="1"/>
    <col min="7" max="7" width="14" style="15" bestFit="1" customWidth="1"/>
    <col min="8" max="8" width="12.6640625" style="15" customWidth="1"/>
    <col min="9" max="11" width="12.44140625" style="15" bestFit="1" customWidth="1"/>
    <col min="12" max="12" width="14.109375" style="15" bestFit="1" customWidth="1"/>
    <col min="13" max="51" width="13.109375" style="15" bestFit="1" customWidth="1"/>
    <col min="52" max="55" width="13.44140625" style="15" bestFit="1" customWidth="1"/>
    <col min="56" max="85" width="14.44140625" style="15" bestFit="1" customWidth="1"/>
    <col min="86" max="86" width="33.5546875" style="15" bestFit="1" customWidth="1"/>
    <col min="87" max="87" width="12.6640625" style="15" bestFit="1" customWidth="1"/>
    <col min="88" max="88" width="17.88671875" style="15" bestFit="1" customWidth="1"/>
    <col min="89" max="89" width="18.33203125" style="15" bestFit="1" customWidth="1"/>
    <col min="90" max="90" width="17.88671875" style="15" bestFit="1" customWidth="1"/>
    <col min="91" max="91" width="38.5546875" style="15" bestFit="1" customWidth="1"/>
    <col min="92" max="92" width="5.88671875" style="15" bestFit="1" customWidth="1"/>
    <col min="93" max="93" width="9.109375" style="15"/>
    <col min="94" max="95" width="14" style="15" bestFit="1" customWidth="1"/>
    <col min="96" max="96" width="13.5546875" style="15" bestFit="1" customWidth="1"/>
    <col min="97" max="97" width="14.44140625" style="15" bestFit="1" customWidth="1"/>
    <col min="98" max="98" width="14" style="15" bestFit="1" customWidth="1"/>
    <col min="99" max="99" width="14.44140625" style="15" bestFit="1" customWidth="1"/>
    <col min="100" max="100" width="9.109375" style="15"/>
    <col min="101" max="101" width="14" style="15" bestFit="1" customWidth="1"/>
    <col min="102" max="16384" width="9.109375" style="15"/>
  </cols>
  <sheetData>
    <row r="1" spans="1:101" x14ac:dyDescent="0.3">
      <c r="A1" s="66" t="s">
        <v>218</v>
      </c>
      <c r="B1" s="66"/>
      <c r="C1" s="66"/>
    </row>
    <row r="2" spans="1:101" x14ac:dyDescent="0.3">
      <c r="A2" s="15" t="s">
        <v>219</v>
      </c>
      <c r="B2" s="52">
        <f>1/8</f>
        <v>0.125</v>
      </c>
      <c r="C2" s="52"/>
    </row>
    <row r="3" spans="1:101" x14ac:dyDescent="0.3">
      <c r="A3" s="15" t="s">
        <v>220</v>
      </c>
      <c r="B3" s="52">
        <v>0.4</v>
      </c>
      <c r="C3" s="66"/>
    </row>
    <row r="4" spans="1:101" x14ac:dyDescent="0.3">
      <c r="A4" s="15" t="s">
        <v>221</v>
      </c>
      <c r="B4" s="52">
        <v>9.481012658227847E-2</v>
      </c>
      <c r="C4" s="66"/>
      <c r="M4" s="82" t="s">
        <v>222</v>
      </c>
      <c r="N4" s="82"/>
      <c r="O4" s="82"/>
      <c r="P4" s="82"/>
      <c r="Q4" s="82"/>
      <c r="R4" s="82"/>
      <c r="T4" s="82"/>
      <c r="U4" s="82"/>
      <c r="V4" s="82"/>
      <c r="W4" s="82"/>
      <c r="X4" s="82"/>
      <c r="Y4" s="82"/>
      <c r="Z4" s="82"/>
      <c r="AA4" s="82"/>
      <c r="AB4" s="82"/>
      <c r="AC4" s="82" t="s">
        <v>223</v>
      </c>
      <c r="AD4" s="82"/>
      <c r="AE4" s="82" t="s">
        <v>222</v>
      </c>
      <c r="AF4" s="82"/>
      <c r="AG4" s="82"/>
      <c r="AH4" s="82"/>
      <c r="AI4" s="82"/>
      <c r="AJ4" s="82"/>
      <c r="AK4" s="82"/>
      <c r="AL4" s="82" t="s">
        <v>223</v>
      </c>
      <c r="AM4" s="82"/>
      <c r="AN4" s="82"/>
      <c r="AO4" s="82"/>
      <c r="AP4" s="82"/>
      <c r="AQ4" s="82" t="s">
        <v>222</v>
      </c>
      <c r="AR4" s="82"/>
      <c r="AS4" s="82"/>
      <c r="AT4" s="82"/>
      <c r="AU4" s="82"/>
      <c r="AV4" s="82"/>
      <c r="AW4" s="82"/>
      <c r="AX4" s="82" t="s">
        <v>223</v>
      </c>
      <c r="AY4" s="82"/>
      <c r="AZ4" s="82"/>
      <c r="BA4" s="82"/>
      <c r="BB4" s="82"/>
      <c r="BC4" s="82" t="s">
        <v>222</v>
      </c>
      <c r="BD4" s="82"/>
      <c r="BE4" s="82"/>
      <c r="BF4" s="82"/>
      <c r="BG4" s="82"/>
      <c r="BH4" s="82"/>
      <c r="BI4" s="82"/>
      <c r="BJ4" s="82" t="s">
        <v>223</v>
      </c>
      <c r="BK4" s="82"/>
      <c r="BL4" s="82"/>
      <c r="BM4" s="82"/>
      <c r="BN4" s="82"/>
      <c r="BO4" s="82" t="s">
        <v>222</v>
      </c>
      <c r="BP4" s="82"/>
      <c r="BQ4" s="82"/>
      <c r="BR4" s="82"/>
      <c r="BS4" s="82"/>
    </row>
    <row r="5" spans="1:101" x14ac:dyDescent="0.3">
      <c r="A5" s="66"/>
      <c r="B5" s="66">
        <v>2018</v>
      </c>
      <c r="C5" s="66">
        <v>2018</v>
      </c>
      <c r="D5" s="66">
        <v>2018</v>
      </c>
      <c r="E5" s="66">
        <v>2018</v>
      </c>
      <c r="F5" s="66">
        <v>2018</v>
      </c>
      <c r="G5" s="66">
        <v>2018</v>
      </c>
      <c r="H5" s="66">
        <v>2018</v>
      </c>
      <c r="I5" s="66">
        <v>2018</v>
      </c>
      <c r="J5" s="66">
        <v>2018</v>
      </c>
      <c r="K5" s="66">
        <v>2018</v>
      </c>
      <c r="L5" s="66">
        <v>2018</v>
      </c>
      <c r="M5" s="66">
        <v>2018</v>
      </c>
      <c r="N5" s="66">
        <v>2019</v>
      </c>
      <c r="O5" s="66">
        <v>2019</v>
      </c>
      <c r="P5" s="66">
        <v>2019</v>
      </c>
      <c r="Q5" s="66">
        <v>2019</v>
      </c>
      <c r="R5" s="66">
        <v>2019</v>
      </c>
      <c r="S5" s="66">
        <v>2019</v>
      </c>
      <c r="T5" s="66">
        <v>2019</v>
      </c>
      <c r="U5" s="66">
        <v>2019</v>
      </c>
      <c r="V5" s="66">
        <v>2019</v>
      </c>
      <c r="W5" s="66">
        <v>2019</v>
      </c>
      <c r="X5" s="66">
        <v>2019</v>
      </c>
      <c r="Y5" s="66">
        <v>2019</v>
      </c>
      <c r="Z5" s="66">
        <v>2020</v>
      </c>
      <c r="AA5" s="66">
        <v>2020</v>
      </c>
      <c r="AB5" s="66">
        <v>2020</v>
      </c>
      <c r="AC5" s="66">
        <v>2020</v>
      </c>
      <c r="AD5" s="66">
        <v>2020</v>
      </c>
      <c r="AE5" s="66">
        <v>2020</v>
      </c>
      <c r="AF5" s="66">
        <v>2020</v>
      </c>
      <c r="AG5" s="66">
        <v>2020</v>
      </c>
      <c r="AH5" s="66">
        <v>2020</v>
      </c>
      <c r="AI5" s="66">
        <v>2020</v>
      </c>
      <c r="AJ5" s="66">
        <v>2020</v>
      </c>
      <c r="AK5" s="66">
        <v>2020</v>
      </c>
      <c r="AL5" s="66">
        <v>2021</v>
      </c>
      <c r="AM5" s="66">
        <v>2021</v>
      </c>
      <c r="AN5" s="66">
        <v>2021</v>
      </c>
      <c r="AO5" s="66">
        <v>2021</v>
      </c>
      <c r="AP5" s="66">
        <v>2021</v>
      </c>
      <c r="AQ5" s="66">
        <v>2021</v>
      </c>
      <c r="AR5" s="66">
        <v>2021</v>
      </c>
      <c r="AS5" s="66">
        <v>2021</v>
      </c>
      <c r="AT5" s="66">
        <v>2021</v>
      </c>
      <c r="AU5" s="66">
        <v>2021</v>
      </c>
      <c r="AV5" s="66">
        <v>2021</v>
      </c>
      <c r="AW5" s="66">
        <v>2021</v>
      </c>
      <c r="AX5" s="66">
        <v>2022</v>
      </c>
      <c r="AY5" s="66">
        <v>2022</v>
      </c>
      <c r="AZ5" s="66">
        <v>2022</v>
      </c>
      <c r="BA5" s="66">
        <v>2022</v>
      </c>
      <c r="BB5" s="66">
        <v>2022</v>
      </c>
      <c r="BC5" s="66">
        <v>2022</v>
      </c>
      <c r="BD5" s="66">
        <v>2022</v>
      </c>
      <c r="BE5" s="66">
        <v>2022</v>
      </c>
      <c r="BF5" s="66">
        <v>2022</v>
      </c>
      <c r="BG5" s="66">
        <v>2022</v>
      </c>
      <c r="BH5" s="66">
        <v>2022</v>
      </c>
      <c r="BI5" s="66">
        <v>2022</v>
      </c>
      <c r="BJ5" s="66">
        <v>2023</v>
      </c>
      <c r="BK5" s="66">
        <v>2023</v>
      </c>
      <c r="BL5" s="66">
        <v>2023</v>
      </c>
      <c r="BM5" s="66">
        <v>2023</v>
      </c>
      <c r="BN5" s="66">
        <v>2023</v>
      </c>
      <c r="BO5" s="66">
        <v>2023</v>
      </c>
      <c r="BP5" s="66">
        <v>2023</v>
      </c>
      <c r="BQ5" s="66">
        <v>2023</v>
      </c>
      <c r="BR5" s="66">
        <v>2023</v>
      </c>
      <c r="BS5" s="66">
        <v>2023</v>
      </c>
      <c r="BT5" s="66">
        <v>2023</v>
      </c>
      <c r="BU5" s="66">
        <v>2023</v>
      </c>
      <c r="BV5" s="66">
        <v>2024</v>
      </c>
      <c r="BW5" s="66">
        <v>2024</v>
      </c>
      <c r="BX5" s="66">
        <v>2024</v>
      </c>
      <c r="BY5" s="66">
        <v>2024</v>
      </c>
      <c r="BZ5" s="66">
        <v>2024</v>
      </c>
      <c r="CA5" s="66">
        <v>2024</v>
      </c>
      <c r="CB5" s="66">
        <v>2024</v>
      </c>
      <c r="CC5" s="66">
        <v>2024</v>
      </c>
      <c r="CD5" s="66">
        <v>2024</v>
      </c>
      <c r="CE5" s="66">
        <v>2024</v>
      </c>
      <c r="CF5" s="66">
        <v>2024</v>
      </c>
      <c r="CG5" s="66">
        <v>2024</v>
      </c>
      <c r="CP5" s="15">
        <v>2019</v>
      </c>
      <c r="CQ5" s="15">
        <v>2020</v>
      </c>
      <c r="CR5" s="15">
        <v>2021</v>
      </c>
      <c r="CS5" s="15">
        <v>2022</v>
      </c>
      <c r="CT5" s="15">
        <v>2023</v>
      </c>
      <c r="CU5" s="15">
        <v>2024</v>
      </c>
      <c r="CW5" s="15" t="s">
        <v>224</v>
      </c>
    </row>
    <row r="6" spans="1:101" x14ac:dyDescent="0.3">
      <c r="A6" s="15" t="s">
        <v>225</v>
      </c>
      <c r="B6" s="83">
        <v>43101</v>
      </c>
      <c r="C6" s="84">
        <v>43149</v>
      </c>
      <c r="D6" s="83">
        <v>43160</v>
      </c>
      <c r="E6" s="83">
        <v>43191</v>
      </c>
      <c r="F6" s="83">
        <v>43221</v>
      </c>
      <c r="G6" s="83">
        <v>43252</v>
      </c>
      <c r="H6" s="83">
        <v>43282</v>
      </c>
      <c r="I6" s="83">
        <v>43313</v>
      </c>
      <c r="J6" s="83">
        <v>43344</v>
      </c>
      <c r="K6" s="83">
        <v>43374</v>
      </c>
      <c r="L6" s="83">
        <v>43405</v>
      </c>
      <c r="M6" s="83">
        <v>43435</v>
      </c>
      <c r="N6" s="83">
        <v>43466</v>
      </c>
      <c r="O6" s="83">
        <v>43497</v>
      </c>
      <c r="P6" s="83">
        <v>43525</v>
      </c>
      <c r="Q6" s="83">
        <v>43556</v>
      </c>
      <c r="R6" s="83">
        <v>43586</v>
      </c>
      <c r="S6" s="83">
        <v>43617</v>
      </c>
      <c r="T6" s="83">
        <v>43647</v>
      </c>
      <c r="U6" s="83">
        <v>43678</v>
      </c>
      <c r="V6" s="83">
        <v>43709</v>
      </c>
      <c r="W6" s="83">
        <v>43739</v>
      </c>
      <c r="X6" s="83">
        <v>43770</v>
      </c>
      <c r="Y6" s="83">
        <v>43800</v>
      </c>
      <c r="Z6" s="83">
        <v>43831</v>
      </c>
      <c r="AA6" s="83">
        <v>43862</v>
      </c>
      <c r="AB6" s="85">
        <v>43891</v>
      </c>
      <c r="AC6" s="85">
        <v>43922</v>
      </c>
      <c r="AD6" s="85">
        <v>43952</v>
      </c>
      <c r="AE6" s="85">
        <v>43983</v>
      </c>
      <c r="AF6" s="85">
        <v>44013</v>
      </c>
      <c r="AG6" s="85">
        <v>44044</v>
      </c>
      <c r="AH6" s="85">
        <v>44075</v>
      </c>
      <c r="AI6" s="85">
        <v>44105</v>
      </c>
      <c r="AJ6" s="85">
        <v>44136</v>
      </c>
      <c r="AK6" s="85">
        <v>44166</v>
      </c>
      <c r="AL6" s="85">
        <v>44197</v>
      </c>
      <c r="AM6" s="85">
        <v>44228</v>
      </c>
      <c r="AN6" s="85">
        <v>44256</v>
      </c>
      <c r="AO6" s="85">
        <v>44287</v>
      </c>
      <c r="AP6" s="85">
        <v>44317</v>
      </c>
      <c r="AQ6" s="85">
        <v>44348</v>
      </c>
      <c r="AR6" s="85">
        <v>44378</v>
      </c>
      <c r="AS6" s="85">
        <v>44409</v>
      </c>
      <c r="AT6" s="85">
        <v>44440</v>
      </c>
      <c r="AU6" s="85">
        <v>44470</v>
      </c>
      <c r="AV6" s="85">
        <v>44501</v>
      </c>
      <c r="AW6" s="85">
        <v>44531</v>
      </c>
      <c r="AX6" s="85">
        <v>44562</v>
      </c>
      <c r="AY6" s="85">
        <v>44593</v>
      </c>
      <c r="AZ6" s="85">
        <v>44621</v>
      </c>
      <c r="BA6" s="85">
        <v>44652</v>
      </c>
      <c r="BB6" s="85">
        <v>44682</v>
      </c>
      <c r="BC6" s="85">
        <v>44713</v>
      </c>
      <c r="BD6" s="85">
        <v>44743</v>
      </c>
      <c r="BE6" s="85">
        <v>44774</v>
      </c>
      <c r="BF6" s="85">
        <v>44805</v>
      </c>
      <c r="BG6" s="85">
        <v>44835</v>
      </c>
      <c r="BH6" s="85">
        <v>44866</v>
      </c>
      <c r="BI6" s="85">
        <v>44896</v>
      </c>
      <c r="BJ6" s="85">
        <v>44927</v>
      </c>
      <c r="BK6" s="85">
        <v>44958</v>
      </c>
      <c r="BL6" s="85">
        <v>44986</v>
      </c>
      <c r="BM6" s="85">
        <v>45017</v>
      </c>
      <c r="BN6" s="85">
        <v>45047</v>
      </c>
      <c r="BO6" s="85">
        <v>45078</v>
      </c>
      <c r="BP6" s="85">
        <v>45108</v>
      </c>
      <c r="BQ6" s="85">
        <v>45139</v>
      </c>
      <c r="BR6" s="85">
        <v>45170</v>
      </c>
      <c r="BS6" s="85">
        <v>45200</v>
      </c>
      <c r="BT6" s="85">
        <v>45231</v>
      </c>
      <c r="BU6" s="85">
        <v>45261</v>
      </c>
      <c r="BV6" s="85">
        <v>45292</v>
      </c>
      <c r="BW6" s="85">
        <v>45323</v>
      </c>
      <c r="BX6" s="85">
        <v>45352</v>
      </c>
      <c r="BY6" s="85">
        <v>45383</v>
      </c>
      <c r="BZ6" s="85">
        <v>45413</v>
      </c>
      <c r="CA6" s="85">
        <v>45444</v>
      </c>
      <c r="CB6" s="85">
        <v>45474</v>
      </c>
      <c r="CC6" s="85">
        <v>45505</v>
      </c>
      <c r="CD6" s="85">
        <v>45536</v>
      </c>
      <c r="CE6" s="85">
        <v>45566</v>
      </c>
      <c r="CF6" s="85">
        <v>45597</v>
      </c>
      <c r="CG6" s="85">
        <v>45627</v>
      </c>
      <c r="CH6" s="30" t="s">
        <v>226</v>
      </c>
      <c r="CI6" s="30" t="s">
        <v>227</v>
      </c>
      <c r="CJ6" s="30" t="s">
        <v>228</v>
      </c>
      <c r="CK6" s="30" t="s">
        <v>229</v>
      </c>
      <c r="CL6" s="30" t="s">
        <v>230</v>
      </c>
    </row>
    <row r="7" spans="1:101" x14ac:dyDescent="0.3">
      <c r="A7" s="15" t="s">
        <v>231</v>
      </c>
      <c r="B7" s="187"/>
      <c r="C7" s="187"/>
      <c r="D7" s="187"/>
      <c r="E7" s="187"/>
      <c r="F7" s="187"/>
      <c r="G7" s="20"/>
      <c r="H7" s="20"/>
      <c r="I7" s="20"/>
      <c r="J7" s="20"/>
      <c r="K7" s="20"/>
      <c r="L7" s="20"/>
      <c r="M7" s="20"/>
      <c r="N7" s="18">
        <v>5098895</v>
      </c>
      <c r="O7" s="18">
        <v>5488116.5069690002</v>
      </c>
      <c r="P7" s="18">
        <v>4941910.9298879895</v>
      </c>
      <c r="Q7" s="18">
        <v>7086332.1230539894</v>
      </c>
      <c r="R7" s="18">
        <v>3152790.4298879998</v>
      </c>
      <c r="S7" s="18">
        <v>8524206.5005238988</v>
      </c>
      <c r="T7" s="18">
        <v>4604387.3571007997</v>
      </c>
      <c r="U7" s="18">
        <v>2141174.3757986897</v>
      </c>
      <c r="V7" s="18">
        <v>2141174.3757986897</v>
      </c>
      <c r="W7" s="18">
        <v>4156474.2867613002</v>
      </c>
      <c r="X7" s="18">
        <v>1832268.8100471899</v>
      </c>
      <c r="Y7" s="18">
        <v>1832268.8100471899</v>
      </c>
      <c r="Z7" s="18">
        <v>2758247.4497708599</v>
      </c>
      <c r="AA7" s="18">
        <v>2758247.4497708599</v>
      </c>
      <c r="AB7" s="18">
        <v>2758247.4497708599</v>
      </c>
      <c r="AC7" s="18">
        <v>6825257.6506873993</v>
      </c>
      <c r="AD7" s="18">
        <v>2758247.4497708599</v>
      </c>
      <c r="AE7" s="18">
        <v>2758247.4497708599</v>
      </c>
      <c r="AF7" s="18">
        <v>2758247.4497708599</v>
      </c>
      <c r="AG7" s="18">
        <v>6825257.6506873993</v>
      </c>
      <c r="AH7" s="18">
        <v>2758247.4497708599</v>
      </c>
      <c r="AI7" s="18">
        <v>2758247.4497708599</v>
      </c>
      <c r="AJ7" s="18">
        <v>2758247.4497708599</v>
      </c>
      <c r="AK7" s="18">
        <v>6825257.6506873993</v>
      </c>
      <c r="AL7" s="18">
        <v>1583100.08154619</v>
      </c>
      <c r="AM7" s="18">
        <v>1583100.08154619</v>
      </c>
      <c r="AN7" s="18">
        <v>1583100.08154619</v>
      </c>
      <c r="AO7" s="18">
        <v>3917366.4220281001</v>
      </c>
      <c r="AP7" s="18">
        <v>1583100.08154619</v>
      </c>
      <c r="AQ7" s="18">
        <v>1583100.08154619</v>
      </c>
      <c r="AR7" s="18">
        <v>1583100.08154619</v>
      </c>
      <c r="AS7" s="18">
        <v>3917366.4220281001</v>
      </c>
      <c r="AT7" s="18">
        <v>1583100.08154619</v>
      </c>
      <c r="AU7" s="18">
        <v>1583100.08154619</v>
      </c>
      <c r="AV7" s="18">
        <v>1583100.08154619</v>
      </c>
      <c r="AW7" s="18">
        <v>3917366.4220281001</v>
      </c>
      <c r="AX7" s="18">
        <v>304442.32337426703</v>
      </c>
      <c r="AY7" s="18">
        <v>304442.32337426703</v>
      </c>
      <c r="AZ7" s="18">
        <v>304442.32337426703</v>
      </c>
      <c r="BA7" s="18">
        <v>753339.69654386304</v>
      </c>
      <c r="BB7" s="18">
        <v>304442.32337426703</v>
      </c>
      <c r="BC7" s="18">
        <v>304442.32337426703</v>
      </c>
      <c r="BD7" s="18">
        <v>304442.32337426703</v>
      </c>
      <c r="BE7" s="18">
        <v>753339.69654386304</v>
      </c>
      <c r="BF7" s="18">
        <v>304442.32337426703</v>
      </c>
      <c r="BG7" s="18">
        <v>304442.32337426703</v>
      </c>
      <c r="BH7" s="18">
        <v>304442.32337426703</v>
      </c>
      <c r="BI7" s="18">
        <v>753339.69654386304</v>
      </c>
      <c r="BJ7" s="18">
        <v>64836.558435112798</v>
      </c>
      <c r="BK7" s="18">
        <v>360261.25634453696</v>
      </c>
      <c r="BL7" s="18">
        <v>339828.27290978399</v>
      </c>
      <c r="BM7" s="18">
        <v>374815.43504704599</v>
      </c>
      <c r="BN7" s="18">
        <v>421178.79762057099</v>
      </c>
      <c r="BO7" s="18">
        <v>531405.60522512102</v>
      </c>
      <c r="BP7" s="18">
        <v>542882.33106166695</v>
      </c>
      <c r="BQ7" s="18">
        <v>482263.110477201</v>
      </c>
      <c r="BR7" s="18">
        <v>463353.53493640502</v>
      </c>
      <c r="BS7" s="18">
        <v>425589.57290489599</v>
      </c>
      <c r="BT7" s="18">
        <v>374277.31693523802</v>
      </c>
      <c r="BU7" s="18">
        <v>619308.20810241601</v>
      </c>
      <c r="BV7" s="18">
        <v>64836.558435112798</v>
      </c>
      <c r="BW7" s="18">
        <v>360261.25634453696</v>
      </c>
      <c r="BX7" s="18">
        <v>339828.27290978399</v>
      </c>
      <c r="BY7" s="18">
        <v>374815.43504704599</v>
      </c>
      <c r="BZ7" s="18">
        <v>421178.79762057099</v>
      </c>
      <c r="CA7" s="18">
        <v>531405.60522512102</v>
      </c>
      <c r="CB7" s="18">
        <v>542882.33106166695</v>
      </c>
      <c r="CC7" s="18">
        <v>482263.110477201</v>
      </c>
      <c r="CD7" s="18">
        <v>463353.53493640502</v>
      </c>
      <c r="CE7" s="18">
        <v>425589.57290489599</v>
      </c>
      <c r="CF7" s="18">
        <v>374277.31693523802</v>
      </c>
      <c r="CG7" s="18">
        <v>619308.20810241601</v>
      </c>
    </row>
    <row r="8" spans="1:101" x14ac:dyDescent="0.3">
      <c r="A8" s="15" t="s">
        <v>232</v>
      </c>
      <c r="B8" s="187"/>
      <c r="C8" s="187"/>
      <c r="D8" s="187"/>
      <c r="E8" s="187"/>
      <c r="F8" s="187"/>
      <c r="G8" s="20"/>
      <c r="H8" s="20"/>
      <c r="I8" s="20"/>
      <c r="J8" s="20"/>
      <c r="K8" s="20"/>
      <c r="L8" s="20"/>
      <c r="M8" s="20"/>
      <c r="N8" s="20">
        <v>35542770.390000001</v>
      </c>
      <c r="O8" s="20">
        <f>N9</f>
        <v>40641665.390000001</v>
      </c>
      <c r="P8" s="20">
        <f t="shared" ref="P8:CA8" si="0">O9</f>
        <v>28412738.843352009</v>
      </c>
      <c r="Q8" s="20">
        <f t="shared" si="0"/>
        <v>20355140.455561612</v>
      </c>
      <c r="R8" s="20">
        <f t="shared" si="0"/>
        <v>26645575.193088479</v>
      </c>
      <c r="S8" s="20">
        <f t="shared" si="0"/>
        <v>29894405.030034516</v>
      </c>
      <c r="T8" s="20">
        <f t="shared" si="0"/>
        <v>37721310.445653245</v>
      </c>
      <c r="U8" s="20">
        <f t="shared" si="0"/>
        <v>42484831.837780595</v>
      </c>
      <c r="V8" s="20">
        <f t="shared" si="0"/>
        <v>44802791.978304148</v>
      </c>
      <c r="W8" s="20">
        <f t="shared" si="0"/>
        <v>47132336.771061219</v>
      </c>
      <c r="X8" s="20">
        <f t="shared" si="0"/>
        <v>51493860.036209971</v>
      </c>
      <c r="Y8" s="20">
        <f t="shared" si="0"/>
        <v>53547167.820979618</v>
      </c>
      <c r="Z8" s="20">
        <f t="shared" si="0"/>
        <v>42001353.01773493</v>
      </c>
      <c r="AA8" s="20">
        <f t="shared" si="0"/>
        <v>44938511.617283739</v>
      </c>
      <c r="AB8" s="20">
        <f t="shared" si="0"/>
        <v>47890599.802452318</v>
      </c>
      <c r="AC8" s="20">
        <f t="shared" si="0"/>
        <v>50857693.460367367</v>
      </c>
      <c r="AD8" s="20">
        <f t="shared" si="0"/>
        <v>57917215.377088211</v>
      </c>
      <c r="AE8" s="20">
        <f t="shared" si="0"/>
        <v>60935274.350843221</v>
      </c>
      <c r="AF8" s="20">
        <f t="shared" si="0"/>
        <v>63968674.127053067</v>
      </c>
      <c r="AG8" s="20">
        <f t="shared" si="0"/>
        <v>67017492.683060803</v>
      </c>
      <c r="AH8" s="20">
        <f t="shared" si="0"/>
        <v>74159154.905766681</v>
      </c>
      <c r="AI8" s="20">
        <f t="shared" si="0"/>
        <v>77259771.704918578</v>
      </c>
      <c r="AJ8" s="20">
        <f t="shared" si="0"/>
        <v>80376148.948189557</v>
      </c>
      <c r="AK8" s="20">
        <f t="shared" si="0"/>
        <v>83508366.745962441</v>
      </c>
      <c r="AL8" s="20">
        <f t="shared" si="0"/>
        <v>30473200.812249538</v>
      </c>
      <c r="AM8" s="20">
        <f t="shared" si="0"/>
        <v>32173627.773986664</v>
      </c>
      <c r="AN8" s="20">
        <f t="shared" si="0"/>
        <v>33882698.010867096</v>
      </c>
      <c r="AO8" s="20">
        <f t="shared" si="0"/>
        <v>35600455.456683271</v>
      </c>
      <c r="AP8" s="20">
        <f t="shared" si="0"/>
        <v>39667143.150290526</v>
      </c>
      <c r="AQ8" s="20">
        <f t="shared" si="0"/>
        <v>41414302.94740811</v>
      </c>
      <c r="AR8" s="20">
        <f t="shared" si="0"/>
        <v>43170343.562805817</v>
      </c>
      <c r="AS8" s="20">
        <f t="shared" si="0"/>
        <v>44935310.137708537</v>
      </c>
      <c r="AT8" s="20">
        <f t="shared" si="0"/>
        <v>49049446.924541436</v>
      </c>
      <c r="AU8" s="20">
        <f t="shared" si="0"/>
        <v>50844296.998762168</v>
      </c>
      <c r="AV8" s="20">
        <f t="shared" si="0"/>
        <v>52648270.301078871</v>
      </c>
      <c r="AW8" s="20">
        <f t="shared" si="0"/>
        <v>54461413.204886235</v>
      </c>
      <c r="AX8" s="20">
        <f t="shared" si="0"/>
        <v>12345110.596156033</v>
      </c>
      <c r="AY8" s="20">
        <f t="shared" si="0"/>
        <v>12671484.954415077</v>
      </c>
      <c r="AZ8" s="20">
        <f t="shared" si="0"/>
        <v>12999518.274477027</v>
      </c>
      <c r="BA8" s="20">
        <f t="shared" si="0"/>
        <v>13329218.988849504</v>
      </c>
      <c r="BB8" s="20">
        <f t="shared" si="0"/>
        <v>14110633.81939245</v>
      </c>
      <c r="BC8" s="20">
        <f t="shared" si="0"/>
        <v>14445982.337279459</v>
      </c>
      <c r="BD8" s="20">
        <f t="shared" si="0"/>
        <v>14783035.432648607</v>
      </c>
      <c r="BE8" s="20">
        <f t="shared" si="0"/>
        <v>15121801.769872142</v>
      </c>
      <c r="BF8" s="20">
        <f t="shared" si="0"/>
        <v>15912328.303853204</v>
      </c>
      <c r="BG8" s="20">
        <f t="shared" si="0"/>
        <v>16256834.839993147</v>
      </c>
      <c r="BH8" s="20">
        <f t="shared" si="0"/>
        <v>16603092.503848379</v>
      </c>
      <c r="BI8" s="20">
        <f t="shared" si="0"/>
        <v>16951110.196406119</v>
      </c>
      <c r="BJ8" s="20">
        <f t="shared" si="0"/>
        <v>8982377.5139810257</v>
      </c>
      <c r="BK8" s="20">
        <f t="shared" si="0"/>
        <v>9051444.3669638131</v>
      </c>
      <c r="BL8" s="20">
        <f t="shared" si="0"/>
        <v>9417037.8071637414</v>
      </c>
      <c r="BM8" s="20">
        <f t="shared" si="0"/>
        <v>9764004.6459814496</v>
      </c>
      <c r="BN8" s="20">
        <f t="shared" si="0"/>
        <v>10147811.200300254</v>
      </c>
      <c r="BO8" s="20">
        <f t="shared" si="0"/>
        <v>10580049.839566188</v>
      </c>
      <c r="BP8" s="20">
        <f t="shared" si="0"/>
        <v>11124992.498275038</v>
      </c>
      <c r="BQ8" s="20">
        <f t="shared" si="0"/>
        <v>11684210.996039184</v>
      </c>
      <c r="BR8" s="20">
        <f t="shared" si="0"/>
        <v>12185498.718617007</v>
      </c>
      <c r="BS8" s="20">
        <f t="shared" si="0"/>
        <v>12670376.853878014</v>
      </c>
      <c r="BT8" s="20">
        <f t="shared" si="0"/>
        <v>13119859.686901489</v>
      </c>
      <c r="BU8" s="20">
        <f t="shared" si="0"/>
        <v>13520184.57631753</v>
      </c>
      <c r="BV8" s="20">
        <f t="shared" si="0"/>
        <v>8830565.9795116186</v>
      </c>
      <c r="BW8" s="20">
        <f t="shared" si="0"/>
        <v>8898861.1740275212</v>
      </c>
      <c r="BX8" s="20">
        <f t="shared" si="0"/>
        <v>9263679.0334183555</v>
      </c>
      <c r="BY8" s="20">
        <f t="shared" si="0"/>
        <v>9609866.3491474818</v>
      </c>
      <c r="BZ8" s="20">
        <f t="shared" si="0"/>
        <v>9992889.4180596005</v>
      </c>
      <c r="CA8" s="20">
        <f t="shared" si="0"/>
        <v>10424340.58946027</v>
      </c>
      <c r="CB8" s="20">
        <f t="shared" ref="CB8:CG8" si="1">CA9</f>
        <v>10968491.77760243</v>
      </c>
      <c r="CC8" s="20">
        <f t="shared" si="1"/>
        <v>11526914.781752717</v>
      </c>
      <c r="CD8" s="20">
        <f t="shared" si="1"/>
        <v>12027402.967220349</v>
      </c>
      <c r="CE8" s="20">
        <f t="shared" si="1"/>
        <v>12511477.501321731</v>
      </c>
      <c r="CF8" s="20">
        <f t="shared" si="1"/>
        <v>12960152.648478573</v>
      </c>
      <c r="CG8" s="20">
        <f t="shared" si="1"/>
        <v>13359665.746558394</v>
      </c>
    </row>
    <row r="9" spans="1:101" x14ac:dyDescent="0.3">
      <c r="A9" s="15" t="s">
        <v>233</v>
      </c>
      <c r="B9" s="187"/>
      <c r="C9" s="187"/>
      <c r="D9" s="187"/>
      <c r="E9" s="187"/>
      <c r="F9" s="187"/>
      <c r="G9" s="20"/>
      <c r="H9" s="20"/>
      <c r="I9" s="20"/>
      <c r="J9" s="20"/>
      <c r="K9" s="20"/>
      <c r="L9" s="20"/>
      <c r="M9" s="20"/>
      <c r="N9" s="20">
        <f>N8+N7-N11+N10</f>
        <v>40641665.390000001</v>
      </c>
      <c r="O9" s="20">
        <f>O8+O7-O11+O10</f>
        <v>28412738.843352009</v>
      </c>
      <c r="P9" s="20">
        <f>P8+P7-P11+P10</f>
        <v>20355140.455561612</v>
      </c>
      <c r="Q9" s="20">
        <f t="shared" ref="Q9:CB9" si="2">Q8+Q7-Q11+Q10</f>
        <v>26645575.193088479</v>
      </c>
      <c r="R9" s="20">
        <f t="shared" si="2"/>
        <v>29894405.030034516</v>
      </c>
      <c r="S9" s="20">
        <f t="shared" si="2"/>
        <v>37721310.445653245</v>
      </c>
      <c r="T9" s="20">
        <f t="shared" si="2"/>
        <v>42484831.837780595</v>
      </c>
      <c r="U9" s="20">
        <f t="shared" si="2"/>
        <v>44802791.978304148</v>
      </c>
      <c r="V9" s="20">
        <f t="shared" si="2"/>
        <v>47132336.771061219</v>
      </c>
      <c r="W9" s="20">
        <f t="shared" si="2"/>
        <v>51493860.036209971</v>
      </c>
      <c r="X9" s="20">
        <f t="shared" si="2"/>
        <v>53547167.820979618</v>
      </c>
      <c r="Y9" s="20">
        <f t="shared" si="2"/>
        <v>42001353.01773493</v>
      </c>
      <c r="Z9" s="20">
        <f t="shared" si="2"/>
        <v>44938511.617283739</v>
      </c>
      <c r="AA9" s="20">
        <f t="shared" si="2"/>
        <v>47890599.802452318</v>
      </c>
      <c r="AB9" s="20">
        <f t="shared" si="2"/>
        <v>50857693.460367367</v>
      </c>
      <c r="AC9" s="20">
        <f t="shared" si="2"/>
        <v>57917215.377088211</v>
      </c>
      <c r="AD9" s="20">
        <f t="shared" si="2"/>
        <v>60935274.350843221</v>
      </c>
      <c r="AE9" s="20">
        <f t="shared" si="2"/>
        <v>63968674.127053067</v>
      </c>
      <c r="AF9" s="20">
        <f t="shared" si="2"/>
        <v>67017492.683060803</v>
      </c>
      <c r="AG9" s="20">
        <f t="shared" si="2"/>
        <v>74159154.905766681</v>
      </c>
      <c r="AH9" s="20">
        <f t="shared" si="2"/>
        <v>77259771.704918578</v>
      </c>
      <c r="AI9" s="20">
        <f t="shared" si="2"/>
        <v>80376148.948189557</v>
      </c>
      <c r="AJ9" s="20">
        <f t="shared" si="2"/>
        <v>83508366.745962441</v>
      </c>
      <c r="AK9" s="20">
        <f t="shared" si="2"/>
        <v>30473200.812249538</v>
      </c>
      <c r="AL9" s="20">
        <f t="shared" si="2"/>
        <v>32173627.773986664</v>
      </c>
      <c r="AM9" s="20">
        <f t="shared" si="2"/>
        <v>33882698.010867096</v>
      </c>
      <c r="AN9" s="20">
        <f t="shared" si="2"/>
        <v>35600455.456683271</v>
      </c>
      <c r="AO9" s="20">
        <f t="shared" si="2"/>
        <v>39667143.150290526</v>
      </c>
      <c r="AP9" s="20">
        <f t="shared" si="2"/>
        <v>41414302.94740811</v>
      </c>
      <c r="AQ9" s="20">
        <f t="shared" si="2"/>
        <v>43170343.562805817</v>
      </c>
      <c r="AR9" s="20">
        <f t="shared" si="2"/>
        <v>44935310.137708537</v>
      </c>
      <c r="AS9" s="20">
        <f t="shared" si="2"/>
        <v>49049446.924541436</v>
      </c>
      <c r="AT9" s="20">
        <f t="shared" si="2"/>
        <v>50844296.998762168</v>
      </c>
      <c r="AU9" s="20">
        <f t="shared" si="2"/>
        <v>52648270.301078871</v>
      </c>
      <c r="AV9" s="20">
        <f t="shared" si="2"/>
        <v>54461413.204886235</v>
      </c>
      <c r="AW9" s="20">
        <f t="shared" si="2"/>
        <v>12345110.596156033</v>
      </c>
      <c r="AX9" s="20">
        <f t="shared" si="2"/>
        <v>12671484.954415077</v>
      </c>
      <c r="AY9" s="20">
        <f t="shared" si="2"/>
        <v>12999518.274477027</v>
      </c>
      <c r="AZ9" s="20">
        <f t="shared" si="2"/>
        <v>13329218.988849504</v>
      </c>
      <c r="BA9" s="20">
        <f t="shared" si="2"/>
        <v>14110633.81939245</v>
      </c>
      <c r="BB9" s="20">
        <f t="shared" si="2"/>
        <v>14445982.337279459</v>
      </c>
      <c r="BC9" s="20">
        <f t="shared" si="2"/>
        <v>14783035.432648607</v>
      </c>
      <c r="BD9" s="20">
        <f t="shared" si="2"/>
        <v>15121801.769872142</v>
      </c>
      <c r="BE9" s="20">
        <f t="shared" si="2"/>
        <v>15912328.303853204</v>
      </c>
      <c r="BF9" s="20">
        <f t="shared" si="2"/>
        <v>16256834.839993147</v>
      </c>
      <c r="BG9" s="20">
        <f t="shared" si="2"/>
        <v>16603092.503848379</v>
      </c>
      <c r="BH9" s="20">
        <f t="shared" si="2"/>
        <v>16951110.196406119</v>
      </c>
      <c r="BI9" s="20">
        <f t="shared" si="2"/>
        <v>8982377.5139810257</v>
      </c>
      <c r="BJ9" s="20">
        <f t="shared" si="2"/>
        <v>9051444.3669638131</v>
      </c>
      <c r="BK9" s="20">
        <f t="shared" si="2"/>
        <v>9417037.8071637414</v>
      </c>
      <c r="BL9" s="20">
        <f t="shared" si="2"/>
        <v>9764004.6459814496</v>
      </c>
      <c r="BM9" s="20">
        <f t="shared" si="2"/>
        <v>10147811.200300254</v>
      </c>
      <c r="BN9" s="20">
        <f t="shared" si="2"/>
        <v>10580049.839566188</v>
      </c>
      <c r="BO9" s="20">
        <f t="shared" si="2"/>
        <v>11124992.498275038</v>
      </c>
      <c r="BP9" s="20">
        <f t="shared" si="2"/>
        <v>11684210.996039184</v>
      </c>
      <c r="BQ9" s="20">
        <f t="shared" si="2"/>
        <v>12185498.718617007</v>
      </c>
      <c r="BR9" s="20">
        <f t="shared" si="2"/>
        <v>12670376.853878014</v>
      </c>
      <c r="BS9" s="20">
        <f t="shared" si="2"/>
        <v>13119859.686901489</v>
      </c>
      <c r="BT9" s="20">
        <f t="shared" si="2"/>
        <v>13520184.57631753</v>
      </c>
      <c r="BU9" s="20">
        <f t="shared" si="2"/>
        <v>8830565.9795116186</v>
      </c>
      <c r="BV9" s="20">
        <f t="shared" si="2"/>
        <v>8898861.1740275212</v>
      </c>
      <c r="BW9" s="20">
        <f t="shared" si="2"/>
        <v>9263679.0334183555</v>
      </c>
      <c r="BX9" s="20">
        <f t="shared" si="2"/>
        <v>9609866.3491474818</v>
      </c>
      <c r="BY9" s="20">
        <f t="shared" si="2"/>
        <v>9992889.4180596005</v>
      </c>
      <c r="BZ9" s="20">
        <f t="shared" si="2"/>
        <v>10424340.58946027</v>
      </c>
      <c r="CA9" s="20">
        <f t="shared" si="2"/>
        <v>10968491.77760243</v>
      </c>
      <c r="CB9" s="20">
        <f t="shared" si="2"/>
        <v>11526914.781752717</v>
      </c>
      <c r="CC9" s="20">
        <f t="shared" ref="CC9:CG9" si="3">CC8+CC7-CC11+CC10</f>
        <v>12027402.967220349</v>
      </c>
      <c r="CD9" s="20">
        <f t="shared" si="3"/>
        <v>12511477.501321731</v>
      </c>
      <c r="CE9" s="20">
        <f t="shared" si="3"/>
        <v>12960152.648478573</v>
      </c>
      <c r="CF9" s="20">
        <f t="shared" si="3"/>
        <v>13359665.746558394</v>
      </c>
      <c r="CG9" s="20">
        <f t="shared" si="3"/>
        <v>8829750.061837703</v>
      </c>
    </row>
    <row r="10" spans="1:101" x14ac:dyDescent="0.3">
      <c r="A10" s="15" t="s">
        <v>234</v>
      </c>
      <c r="B10" s="187"/>
      <c r="C10" s="187"/>
      <c r="D10" s="187"/>
      <c r="E10" s="187"/>
      <c r="F10" s="187"/>
      <c r="G10" s="20"/>
      <c r="H10" s="20"/>
      <c r="I10" s="20"/>
      <c r="J10" s="20"/>
      <c r="K10" s="20"/>
      <c r="L10" s="20"/>
      <c r="M10" s="20"/>
      <c r="N10" s="20">
        <v>0</v>
      </c>
      <c r="O10" s="20">
        <v>13714.196383012</v>
      </c>
      <c r="P10" s="20">
        <v>39846.2223216032</v>
      </c>
      <c r="Q10" s="20">
        <v>70102.614472875808</v>
      </c>
      <c r="R10" s="20">
        <v>96039.407058038298</v>
      </c>
      <c r="S10" s="20">
        <v>125698.915094831</v>
      </c>
      <c r="T10" s="20">
        <v>159134.03502655</v>
      </c>
      <c r="U10" s="20">
        <v>176785.76472486198</v>
      </c>
      <c r="V10" s="20">
        <v>188370.41695838099</v>
      </c>
      <c r="W10" s="20">
        <v>205048.97838745502</v>
      </c>
      <c r="X10" s="20">
        <v>221038.97472246102</v>
      </c>
      <c r="Y10" s="20">
        <v>231300.953002019</v>
      </c>
      <c r="Z10" s="20">
        <v>178911.14977794801</v>
      </c>
      <c r="AA10" s="20">
        <v>193840.73539771902</v>
      </c>
      <c r="AB10" s="20">
        <v>208846.208144189</v>
      </c>
      <c r="AC10" s="20">
        <v>234264.26603344499</v>
      </c>
      <c r="AD10" s="20">
        <v>259811.52398414898</v>
      </c>
      <c r="AE10" s="20">
        <v>275152.32643898303</v>
      </c>
      <c r="AF10" s="20">
        <v>290571.10623687197</v>
      </c>
      <c r="AG10" s="20">
        <v>316404.57201847999</v>
      </c>
      <c r="AH10" s="20">
        <v>342369.34938104899</v>
      </c>
      <c r="AI10" s="20">
        <v>358129.79350012098</v>
      </c>
      <c r="AJ10" s="20">
        <v>373970.34800203599</v>
      </c>
      <c r="AK10" s="20">
        <v>400227.732369704</v>
      </c>
      <c r="AL10" s="20">
        <v>117326.880190935</v>
      </c>
      <c r="AM10" s="20">
        <v>125970.155334239</v>
      </c>
      <c r="AN10" s="20">
        <v>134657.36426998701</v>
      </c>
      <c r="AO10" s="20">
        <v>149321.27157915101</v>
      </c>
      <c r="AP10" s="20">
        <v>164059.71557139701</v>
      </c>
      <c r="AQ10" s="20">
        <v>172940.533851518</v>
      </c>
      <c r="AR10" s="20">
        <v>181866.49335653198</v>
      </c>
      <c r="AS10" s="20">
        <v>196770.36480479402</v>
      </c>
      <c r="AT10" s="20">
        <v>211749.99267454699</v>
      </c>
      <c r="AU10" s="20">
        <v>220873.22077051899</v>
      </c>
      <c r="AV10" s="20">
        <v>230042.82226117601</v>
      </c>
      <c r="AW10" s="20">
        <v>245191.57412799599</v>
      </c>
      <c r="AX10" s="20">
        <v>21932.034884776302</v>
      </c>
      <c r="AY10" s="20">
        <v>23590.9966876816</v>
      </c>
      <c r="AZ10" s="20">
        <v>25258.390998208401</v>
      </c>
      <c r="BA10" s="20">
        <v>28075.133999082602</v>
      </c>
      <c r="BB10" s="20">
        <v>30906.194512741797</v>
      </c>
      <c r="BC10" s="20">
        <v>32610.771994879302</v>
      </c>
      <c r="BD10" s="20">
        <v>34324.0138492673</v>
      </c>
      <c r="BE10" s="20">
        <v>37186.837437200105</v>
      </c>
      <c r="BF10" s="20">
        <v>40064.212765674602</v>
      </c>
      <c r="BG10" s="20">
        <v>41815.3404809645</v>
      </c>
      <c r="BH10" s="20">
        <v>43575.369183474002</v>
      </c>
      <c r="BI10" s="20">
        <v>46485.217437212203</v>
      </c>
      <c r="BJ10" s="20">
        <v>4230.2945476759405</v>
      </c>
      <c r="BK10" s="20">
        <v>5332.1838553928501</v>
      </c>
      <c r="BL10" s="20">
        <v>7138.5659079242896</v>
      </c>
      <c r="BM10" s="20">
        <v>8991.1192717592494</v>
      </c>
      <c r="BN10" s="20">
        <v>11059.8416453642</v>
      </c>
      <c r="BO10" s="20">
        <v>13537.053483729</v>
      </c>
      <c r="BP10" s="20">
        <v>16336.166702480001</v>
      </c>
      <c r="BQ10" s="20">
        <v>19024.6121006219</v>
      </c>
      <c r="BR10" s="20">
        <v>21524.600324601</v>
      </c>
      <c r="BS10" s="20">
        <v>23893.260118579201</v>
      </c>
      <c r="BT10" s="20">
        <v>26047.572480802999</v>
      </c>
      <c r="BU10" s="20">
        <v>28705.1714092525</v>
      </c>
      <c r="BV10" s="20">
        <v>3458.6360807895999</v>
      </c>
      <c r="BW10" s="20">
        <v>4556.6030462971503</v>
      </c>
      <c r="BX10" s="20">
        <v>6359.0428193424796</v>
      </c>
      <c r="BY10" s="20">
        <v>8207.6338650733505</v>
      </c>
      <c r="BZ10" s="20">
        <v>10272.373780099899</v>
      </c>
      <c r="CA10" s="20">
        <v>12745.5829170379</v>
      </c>
      <c r="CB10" s="20">
        <v>15540.6730886191</v>
      </c>
      <c r="CC10" s="20">
        <v>18225.074990431</v>
      </c>
      <c r="CD10" s="20">
        <v>20720.999164976503</v>
      </c>
      <c r="CE10" s="20">
        <v>23085.5742519462</v>
      </c>
      <c r="CF10" s="20">
        <v>25235.781144584002</v>
      </c>
      <c r="CG10" s="20">
        <v>27889.253735333597</v>
      </c>
    </row>
    <row r="11" spans="1:101" x14ac:dyDescent="0.3">
      <c r="A11" s="15" t="s">
        <v>235</v>
      </c>
      <c r="B11" s="187"/>
      <c r="C11" s="187"/>
      <c r="D11" s="14"/>
      <c r="E11" s="14"/>
      <c r="F11" s="14"/>
      <c r="G11" s="19"/>
      <c r="H11" s="19"/>
      <c r="I11" s="19"/>
      <c r="J11" s="19"/>
      <c r="K11" s="19"/>
      <c r="L11" s="19"/>
      <c r="M11" s="19"/>
      <c r="N11" s="19">
        <v>0</v>
      </c>
      <c r="O11" s="19">
        <v>17730757.25</v>
      </c>
      <c r="P11" s="19">
        <v>13039355.539999992</v>
      </c>
      <c r="Q11" s="19">
        <v>866000</v>
      </c>
      <c r="R11" s="19">
        <v>0</v>
      </c>
      <c r="S11" s="19">
        <v>823000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13609384.566293899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60260651.316770002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46278860.604886301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8768557.5964061692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5337631.9763175799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5177113.1465584403</v>
      </c>
      <c r="CH11" s="25"/>
      <c r="CI11" s="25"/>
      <c r="CJ11" s="25"/>
      <c r="CK11" s="25"/>
      <c r="CL11" s="25"/>
      <c r="CM11" s="25"/>
      <c r="CN11" s="25"/>
      <c r="CO11" s="25"/>
      <c r="CV11" s="25"/>
    </row>
    <row r="12" spans="1:101" x14ac:dyDescent="0.3">
      <c r="A12" s="15" t="s">
        <v>236</v>
      </c>
      <c r="B12" s="187"/>
      <c r="C12" s="187"/>
      <c r="D12" s="14"/>
      <c r="E12" s="14"/>
      <c r="F12" s="14"/>
      <c r="G12" s="19"/>
      <c r="H12" s="19"/>
      <c r="I12" s="19"/>
      <c r="J12" s="19"/>
      <c r="K12" s="19"/>
      <c r="L12" s="19"/>
      <c r="M12" s="19">
        <f>'GTZ Historical RB'!B39</f>
        <v>151136752.75999999</v>
      </c>
      <c r="N12" s="19">
        <f>'GTZ Historical RB'!B39</f>
        <v>151136752.75999999</v>
      </c>
      <c r="O12" s="19">
        <f>'GTZ Historical RB'!B40</f>
        <v>168867510.00999999</v>
      </c>
      <c r="P12" s="19">
        <f>'GTZ Historical RB'!B41</f>
        <v>181906865.54999998</v>
      </c>
      <c r="Q12" s="19">
        <f>'GTZ Historical RB'!B42</f>
        <v>182772865.54999998</v>
      </c>
      <c r="R12" s="19">
        <f>'GTZ Historical RB'!B43</f>
        <v>182772865.54999998</v>
      </c>
      <c r="S12" s="19">
        <f>'GTZ Historical RB'!B44</f>
        <v>183595865.54999998</v>
      </c>
      <c r="T12" s="19">
        <f t="shared" ref="T12:BY12" si="4">S12+T11</f>
        <v>183595865.54999998</v>
      </c>
      <c r="U12" s="19">
        <f t="shared" si="4"/>
        <v>183595865.54999998</v>
      </c>
      <c r="V12" s="19">
        <f t="shared" si="4"/>
        <v>183595865.54999998</v>
      </c>
      <c r="W12" s="19">
        <f t="shared" si="4"/>
        <v>183595865.54999998</v>
      </c>
      <c r="X12" s="19">
        <f t="shared" si="4"/>
        <v>183595865.54999998</v>
      </c>
      <c r="Y12" s="19">
        <f t="shared" si="4"/>
        <v>197205250.11629388</v>
      </c>
      <c r="Z12" s="19">
        <f t="shared" si="4"/>
        <v>197205250.11629388</v>
      </c>
      <c r="AA12" s="19">
        <f t="shared" si="4"/>
        <v>197205250.11629388</v>
      </c>
      <c r="AB12" s="19">
        <f t="shared" si="4"/>
        <v>197205250.11629388</v>
      </c>
      <c r="AC12" s="19">
        <f t="shared" si="4"/>
        <v>197205250.11629388</v>
      </c>
      <c r="AD12" s="19">
        <f t="shared" si="4"/>
        <v>197205250.11629388</v>
      </c>
      <c r="AE12" s="19">
        <f t="shared" si="4"/>
        <v>197205250.11629388</v>
      </c>
      <c r="AF12" s="19">
        <f t="shared" si="4"/>
        <v>197205250.11629388</v>
      </c>
      <c r="AG12" s="19">
        <f t="shared" si="4"/>
        <v>197205250.11629388</v>
      </c>
      <c r="AH12" s="19">
        <f t="shared" si="4"/>
        <v>197205250.11629388</v>
      </c>
      <c r="AI12" s="19">
        <f t="shared" si="4"/>
        <v>197205250.11629388</v>
      </c>
      <c r="AJ12" s="19">
        <f t="shared" si="4"/>
        <v>197205250.11629388</v>
      </c>
      <c r="AK12" s="19">
        <f t="shared" si="4"/>
        <v>257465901.43306386</v>
      </c>
      <c r="AL12" s="19">
        <f t="shared" si="4"/>
        <v>257465901.43306386</v>
      </c>
      <c r="AM12" s="19">
        <f t="shared" si="4"/>
        <v>257465901.43306386</v>
      </c>
      <c r="AN12" s="19">
        <f t="shared" si="4"/>
        <v>257465901.43306386</v>
      </c>
      <c r="AO12" s="19">
        <f t="shared" si="4"/>
        <v>257465901.43306386</v>
      </c>
      <c r="AP12" s="19">
        <f t="shared" si="4"/>
        <v>257465901.43306386</v>
      </c>
      <c r="AQ12" s="19">
        <f t="shared" si="4"/>
        <v>257465901.43306386</v>
      </c>
      <c r="AR12" s="19">
        <f t="shared" si="4"/>
        <v>257465901.43306386</v>
      </c>
      <c r="AS12" s="19">
        <f t="shared" si="4"/>
        <v>257465901.43306386</v>
      </c>
      <c r="AT12" s="19">
        <f t="shared" si="4"/>
        <v>257465901.43306386</v>
      </c>
      <c r="AU12" s="19">
        <f t="shared" si="4"/>
        <v>257465901.43306386</v>
      </c>
      <c r="AV12" s="19">
        <f t="shared" si="4"/>
        <v>257465901.43306386</v>
      </c>
      <c r="AW12" s="19">
        <f t="shared" si="4"/>
        <v>303744762.03795016</v>
      </c>
      <c r="AX12" s="19">
        <f t="shared" si="4"/>
        <v>303744762.03795016</v>
      </c>
      <c r="AY12" s="19">
        <f t="shared" si="4"/>
        <v>303744762.03795016</v>
      </c>
      <c r="AZ12" s="19">
        <f t="shared" si="4"/>
        <v>303744762.03795016</v>
      </c>
      <c r="BA12" s="19">
        <f t="shared" si="4"/>
        <v>303744762.03795016</v>
      </c>
      <c r="BB12" s="19">
        <f t="shared" si="4"/>
        <v>303744762.03795016</v>
      </c>
      <c r="BC12" s="19">
        <f t="shared" si="4"/>
        <v>303744762.03795016</v>
      </c>
      <c r="BD12" s="19">
        <f t="shared" si="4"/>
        <v>303744762.03795016</v>
      </c>
      <c r="BE12" s="19">
        <f t="shared" si="4"/>
        <v>303744762.03795016</v>
      </c>
      <c r="BF12" s="19">
        <f t="shared" si="4"/>
        <v>303744762.03795016</v>
      </c>
      <c r="BG12" s="19">
        <f t="shared" si="4"/>
        <v>303744762.03795016</v>
      </c>
      <c r="BH12" s="19">
        <f t="shared" si="4"/>
        <v>303744762.03795016</v>
      </c>
      <c r="BI12" s="19">
        <f t="shared" si="4"/>
        <v>312513319.63435632</v>
      </c>
      <c r="BJ12" s="19">
        <f t="shared" si="4"/>
        <v>312513319.63435632</v>
      </c>
      <c r="BK12" s="19">
        <f t="shared" si="4"/>
        <v>312513319.63435632</v>
      </c>
      <c r="BL12" s="19">
        <f t="shared" si="4"/>
        <v>312513319.63435632</v>
      </c>
      <c r="BM12" s="19">
        <f t="shared" si="4"/>
        <v>312513319.63435632</v>
      </c>
      <c r="BN12" s="19">
        <f t="shared" si="4"/>
        <v>312513319.63435632</v>
      </c>
      <c r="BO12" s="19">
        <f t="shared" si="4"/>
        <v>312513319.63435632</v>
      </c>
      <c r="BP12" s="19">
        <f t="shared" si="4"/>
        <v>312513319.63435632</v>
      </c>
      <c r="BQ12" s="19">
        <f t="shared" si="4"/>
        <v>312513319.63435632</v>
      </c>
      <c r="BR12" s="19">
        <f t="shared" si="4"/>
        <v>312513319.63435632</v>
      </c>
      <c r="BS12" s="19">
        <f t="shared" si="4"/>
        <v>312513319.63435632</v>
      </c>
      <c r="BT12" s="19">
        <f t="shared" si="4"/>
        <v>312513319.63435632</v>
      </c>
      <c r="BU12" s="19">
        <f t="shared" si="4"/>
        <v>317850951.6106739</v>
      </c>
      <c r="BV12" s="19">
        <f t="shared" si="4"/>
        <v>317850951.6106739</v>
      </c>
      <c r="BW12" s="19">
        <f t="shared" si="4"/>
        <v>317850951.6106739</v>
      </c>
      <c r="BX12" s="19">
        <f t="shared" si="4"/>
        <v>317850951.6106739</v>
      </c>
      <c r="BY12" s="19">
        <f t="shared" si="4"/>
        <v>317850951.6106739</v>
      </c>
      <c r="BZ12" s="19">
        <f t="shared" ref="BZ12:CG12" si="5">BY12+BZ11</f>
        <v>317850951.6106739</v>
      </c>
      <c r="CA12" s="19">
        <f t="shared" si="5"/>
        <v>317850951.6106739</v>
      </c>
      <c r="CB12" s="19">
        <f t="shared" si="5"/>
        <v>317850951.6106739</v>
      </c>
      <c r="CC12" s="19">
        <f t="shared" si="5"/>
        <v>317850951.6106739</v>
      </c>
      <c r="CD12" s="19">
        <f t="shared" si="5"/>
        <v>317850951.6106739</v>
      </c>
      <c r="CE12" s="19">
        <f t="shared" si="5"/>
        <v>317850951.6106739</v>
      </c>
      <c r="CF12" s="19">
        <f t="shared" si="5"/>
        <v>317850951.6106739</v>
      </c>
      <c r="CG12" s="19">
        <f t="shared" si="5"/>
        <v>323028064.75723237</v>
      </c>
      <c r="CH12" s="25"/>
      <c r="CI12" s="25"/>
      <c r="CJ12" s="25"/>
      <c r="CK12" s="25"/>
      <c r="CL12" s="25"/>
      <c r="CM12" s="25"/>
      <c r="CN12" s="25"/>
      <c r="CO12" s="25"/>
      <c r="CP12" s="20">
        <f t="shared" ref="CP12:CU12" si="6">AVERAGEIF($B$5:$CG$5,CP$5,$B12:$CG12)</f>
        <v>180519775.23635778</v>
      </c>
      <c r="CQ12" s="20">
        <f t="shared" si="6"/>
        <v>202226971.05935803</v>
      </c>
      <c r="CR12" s="20">
        <f t="shared" si="6"/>
        <v>261322473.15013778</v>
      </c>
      <c r="CS12" s="20">
        <f t="shared" si="6"/>
        <v>304475475.17098397</v>
      </c>
      <c r="CT12" s="20">
        <f t="shared" si="6"/>
        <v>312958122.2990495</v>
      </c>
      <c r="CU12" s="20">
        <f t="shared" si="6"/>
        <v>318282377.70622045</v>
      </c>
      <c r="CV12" s="25"/>
      <c r="CW12" s="20">
        <f>AVERAGE(AD12:AO12)</f>
        <v>222313854.83161473</v>
      </c>
    </row>
    <row r="13" spans="1:101" x14ac:dyDescent="0.3">
      <c r="A13" s="15" t="s">
        <v>237</v>
      </c>
      <c r="B13" s="187"/>
      <c r="C13" s="187"/>
      <c r="D13" s="14"/>
      <c r="E13" s="14"/>
      <c r="F13" s="14"/>
      <c r="G13" s="19"/>
      <c r="H13" s="19"/>
      <c r="I13" s="19"/>
      <c r="J13" s="19"/>
      <c r="K13" s="19"/>
      <c r="L13" s="19"/>
      <c r="M13" s="19">
        <v>2254730</v>
      </c>
      <c r="N13" s="19">
        <f t="shared" ref="N13:BY13" si="7">N12*$B$2/12</f>
        <v>1574341.1745833333</v>
      </c>
      <c r="O13" s="19">
        <f t="shared" si="7"/>
        <v>1759036.5626041666</v>
      </c>
      <c r="P13" s="19">
        <f>P12*$B$2/12</f>
        <v>1894863.1828124998</v>
      </c>
      <c r="Q13" s="19">
        <f t="shared" si="7"/>
        <v>1903884.0161458331</v>
      </c>
      <c r="R13" s="19">
        <f t="shared" si="7"/>
        <v>1903884.0161458331</v>
      </c>
      <c r="S13" s="19">
        <f t="shared" si="7"/>
        <v>1912456.9328124998</v>
      </c>
      <c r="T13" s="19">
        <f t="shared" si="7"/>
        <v>1912456.9328124998</v>
      </c>
      <c r="U13" s="19">
        <f t="shared" si="7"/>
        <v>1912456.9328124998</v>
      </c>
      <c r="V13" s="19">
        <f t="shared" si="7"/>
        <v>1912456.9328124998</v>
      </c>
      <c r="W13" s="19">
        <f t="shared" si="7"/>
        <v>1912456.9328124998</v>
      </c>
      <c r="X13" s="19">
        <f t="shared" si="7"/>
        <v>1912456.9328124998</v>
      </c>
      <c r="Y13" s="19">
        <f t="shared" si="7"/>
        <v>2054221.3553780613</v>
      </c>
      <c r="Z13" s="19">
        <f t="shared" si="7"/>
        <v>2054221.3553780613</v>
      </c>
      <c r="AA13" s="19">
        <f t="shared" si="7"/>
        <v>2054221.3553780613</v>
      </c>
      <c r="AB13" s="19">
        <f t="shared" si="7"/>
        <v>2054221.3553780613</v>
      </c>
      <c r="AC13" s="19">
        <f t="shared" si="7"/>
        <v>2054221.3553780613</v>
      </c>
      <c r="AD13" s="19">
        <f t="shared" si="7"/>
        <v>2054221.3553780613</v>
      </c>
      <c r="AE13" s="19">
        <f t="shared" si="7"/>
        <v>2054221.3553780613</v>
      </c>
      <c r="AF13" s="19">
        <f t="shared" si="7"/>
        <v>2054221.3553780613</v>
      </c>
      <c r="AG13" s="19">
        <f t="shared" si="7"/>
        <v>2054221.3553780613</v>
      </c>
      <c r="AH13" s="19">
        <f t="shared" si="7"/>
        <v>2054221.3553780613</v>
      </c>
      <c r="AI13" s="19">
        <f t="shared" si="7"/>
        <v>2054221.3553780613</v>
      </c>
      <c r="AJ13" s="19">
        <f t="shared" si="7"/>
        <v>2054221.3553780613</v>
      </c>
      <c r="AK13" s="19">
        <f t="shared" si="7"/>
        <v>2681936.4732610821</v>
      </c>
      <c r="AL13" s="19">
        <f t="shared" si="7"/>
        <v>2681936.4732610821</v>
      </c>
      <c r="AM13" s="19">
        <f t="shared" si="7"/>
        <v>2681936.4732610821</v>
      </c>
      <c r="AN13" s="19">
        <f t="shared" si="7"/>
        <v>2681936.4732610821</v>
      </c>
      <c r="AO13" s="19">
        <f t="shared" si="7"/>
        <v>2681936.4732610821</v>
      </c>
      <c r="AP13" s="19">
        <f t="shared" si="7"/>
        <v>2681936.4732610821</v>
      </c>
      <c r="AQ13" s="19">
        <f t="shared" si="7"/>
        <v>2681936.4732610821</v>
      </c>
      <c r="AR13" s="19">
        <f t="shared" si="7"/>
        <v>2681936.4732610821</v>
      </c>
      <c r="AS13" s="19">
        <f t="shared" si="7"/>
        <v>2681936.4732610821</v>
      </c>
      <c r="AT13" s="19">
        <f t="shared" si="7"/>
        <v>2681936.4732610821</v>
      </c>
      <c r="AU13" s="19">
        <f t="shared" si="7"/>
        <v>2681936.4732610821</v>
      </c>
      <c r="AV13" s="19">
        <f t="shared" si="7"/>
        <v>2681936.4732610821</v>
      </c>
      <c r="AW13" s="19">
        <f t="shared" si="7"/>
        <v>3164007.9378953143</v>
      </c>
      <c r="AX13" s="19">
        <f t="shared" si="7"/>
        <v>3164007.9378953143</v>
      </c>
      <c r="AY13" s="19">
        <f t="shared" si="7"/>
        <v>3164007.9378953143</v>
      </c>
      <c r="AZ13" s="19">
        <f t="shared" si="7"/>
        <v>3164007.9378953143</v>
      </c>
      <c r="BA13" s="19">
        <f t="shared" si="7"/>
        <v>3164007.9378953143</v>
      </c>
      <c r="BB13" s="19">
        <f t="shared" si="7"/>
        <v>3164007.9378953143</v>
      </c>
      <c r="BC13" s="19">
        <f t="shared" si="7"/>
        <v>3164007.9378953143</v>
      </c>
      <c r="BD13" s="19">
        <f t="shared" si="7"/>
        <v>3164007.9378953143</v>
      </c>
      <c r="BE13" s="19">
        <f t="shared" si="7"/>
        <v>3164007.9378953143</v>
      </c>
      <c r="BF13" s="19">
        <f t="shared" si="7"/>
        <v>3164007.9378953143</v>
      </c>
      <c r="BG13" s="19">
        <f t="shared" si="7"/>
        <v>3164007.9378953143</v>
      </c>
      <c r="BH13" s="19">
        <f t="shared" si="7"/>
        <v>3164007.9378953143</v>
      </c>
      <c r="BI13" s="19">
        <f t="shared" si="7"/>
        <v>3255347.079524545</v>
      </c>
      <c r="BJ13" s="19">
        <f t="shared" si="7"/>
        <v>3255347.079524545</v>
      </c>
      <c r="BK13" s="19">
        <f t="shared" si="7"/>
        <v>3255347.079524545</v>
      </c>
      <c r="BL13" s="19">
        <f t="shared" si="7"/>
        <v>3255347.079524545</v>
      </c>
      <c r="BM13" s="19">
        <f t="shared" si="7"/>
        <v>3255347.079524545</v>
      </c>
      <c r="BN13" s="19">
        <f t="shared" si="7"/>
        <v>3255347.079524545</v>
      </c>
      <c r="BO13" s="19">
        <f t="shared" si="7"/>
        <v>3255347.079524545</v>
      </c>
      <c r="BP13" s="19">
        <f t="shared" si="7"/>
        <v>3255347.079524545</v>
      </c>
      <c r="BQ13" s="19">
        <f t="shared" si="7"/>
        <v>3255347.079524545</v>
      </c>
      <c r="BR13" s="19">
        <f t="shared" si="7"/>
        <v>3255347.079524545</v>
      </c>
      <c r="BS13" s="19">
        <f t="shared" si="7"/>
        <v>3255347.079524545</v>
      </c>
      <c r="BT13" s="19">
        <f t="shared" si="7"/>
        <v>3255347.079524545</v>
      </c>
      <c r="BU13" s="19">
        <f t="shared" si="7"/>
        <v>3310947.4126111865</v>
      </c>
      <c r="BV13" s="19">
        <f t="shared" si="7"/>
        <v>3310947.4126111865</v>
      </c>
      <c r="BW13" s="19">
        <f t="shared" si="7"/>
        <v>3310947.4126111865</v>
      </c>
      <c r="BX13" s="19">
        <f t="shared" si="7"/>
        <v>3310947.4126111865</v>
      </c>
      <c r="BY13" s="19">
        <f t="shared" si="7"/>
        <v>3310947.4126111865</v>
      </c>
      <c r="BZ13" s="19">
        <f t="shared" ref="BZ13:CG13" si="8">BZ12*$B$2/12</f>
        <v>3310947.4126111865</v>
      </c>
      <c r="CA13" s="19">
        <f t="shared" si="8"/>
        <v>3310947.4126111865</v>
      </c>
      <c r="CB13" s="19">
        <f t="shared" si="8"/>
        <v>3310947.4126111865</v>
      </c>
      <c r="CC13" s="19">
        <f t="shared" si="8"/>
        <v>3310947.4126111865</v>
      </c>
      <c r="CD13" s="19">
        <f t="shared" si="8"/>
        <v>3310947.4126111865</v>
      </c>
      <c r="CE13" s="19">
        <f t="shared" si="8"/>
        <v>3310947.4126111865</v>
      </c>
      <c r="CF13" s="19">
        <f t="shared" si="8"/>
        <v>3310947.4126111865</v>
      </c>
      <c r="CG13" s="19">
        <f t="shared" si="8"/>
        <v>3364875.674554504</v>
      </c>
      <c r="CH13" s="62">
        <v>12478077.127445083</v>
      </c>
      <c r="CI13" s="19">
        <v>9817974.2051578984</v>
      </c>
      <c r="CJ13" s="19">
        <v>8194106.3449647762</v>
      </c>
      <c r="CK13" s="19">
        <v>6570238.484771654</v>
      </c>
      <c r="CL13" s="19">
        <v>2660102.9222871829</v>
      </c>
      <c r="CM13" s="25"/>
      <c r="CN13" s="25"/>
      <c r="CO13" s="25"/>
      <c r="CP13" s="20">
        <f t="shared" ref="CP13:CU13" si="9">SUMIF($B$5:$CG$5,CP$5,$B13:$CG13)</f>
        <v>22564971.90454473</v>
      </c>
      <c r="CQ13" s="20">
        <f t="shared" si="9"/>
        <v>25278371.382419754</v>
      </c>
      <c r="CR13" s="20">
        <f t="shared" si="9"/>
        <v>32665309.143767212</v>
      </c>
      <c r="CS13" s="20">
        <f t="shared" si="9"/>
        <v>38059434.396372996</v>
      </c>
      <c r="CT13" s="20">
        <f t="shared" si="9"/>
        <v>39119765.287381187</v>
      </c>
      <c r="CU13" s="20">
        <f t="shared" si="9"/>
        <v>39785297.213277556</v>
      </c>
      <c r="CV13" s="25"/>
      <c r="CW13" s="20">
        <f>SUM(AD13:AO13)</f>
        <v>27789231.853951834</v>
      </c>
    </row>
    <row r="14" spans="1:101" x14ac:dyDescent="0.3">
      <c r="A14" s="15" t="s">
        <v>238</v>
      </c>
      <c r="B14" s="187"/>
      <c r="C14" s="187"/>
      <c r="D14" s="14"/>
      <c r="E14" s="14"/>
      <c r="F14" s="14"/>
      <c r="G14" s="19"/>
      <c r="H14" s="19"/>
      <c r="I14" s="19"/>
      <c r="J14" s="19"/>
      <c r="K14" s="19"/>
      <c r="L14" s="19"/>
      <c r="M14" s="19"/>
      <c r="N14" s="19"/>
      <c r="O14" s="19"/>
      <c r="P14" s="19">
        <f t="shared" ref="P14:AA14" si="10">P13</f>
        <v>1894863.1828124998</v>
      </c>
      <c r="Q14" s="19">
        <f t="shared" si="10"/>
        <v>1903884.0161458331</v>
      </c>
      <c r="R14" s="19">
        <f t="shared" si="10"/>
        <v>1903884.0161458331</v>
      </c>
      <c r="S14" s="19">
        <f t="shared" si="10"/>
        <v>1912456.9328124998</v>
      </c>
      <c r="T14" s="19">
        <f t="shared" si="10"/>
        <v>1912456.9328124998</v>
      </c>
      <c r="U14" s="19">
        <f t="shared" si="10"/>
        <v>1912456.9328124998</v>
      </c>
      <c r="V14" s="19">
        <f t="shared" si="10"/>
        <v>1912456.9328124998</v>
      </c>
      <c r="W14" s="19">
        <f t="shared" si="10"/>
        <v>1912456.9328124998</v>
      </c>
      <c r="X14" s="19">
        <f t="shared" si="10"/>
        <v>1912456.9328124998</v>
      </c>
      <c r="Y14" s="19">
        <f t="shared" si="10"/>
        <v>2054221.3553780613</v>
      </c>
      <c r="Z14" s="19">
        <f t="shared" si="10"/>
        <v>2054221.3553780613</v>
      </c>
      <c r="AA14" s="19">
        <f t="shared" si="10"/>
        <v>2054221.3553780613</v>
      </c>
      <c r="AB14" s="19">
        <f>AB13</f>
        <v>2054221.3553780613</v>
      </c>
      <c r="AC14" s="19">
        <f>AC13</f>
        <v>2054221.3553780613</v>
      </c>
      <c r="AD14" s="19">
        <f t="shared" ref="AD14:AK14" si="11">AD13-$M$13</f>
        <v>-200508.6446219387</v>
      </c>
      <c r="AE14" s="19">
        <f t="shared" si="11"/>
        <v>-200508.6446219387</v>
      </c>
      <c r="AF14" s="19">
        <f t="shared" si="11"/>
        <v>-200508.6446219387</v>
      </c>
      <c r="AG14" s="19">
        <f t="shared" si="11"/>
        <v>-200508.6446219387</v>
      </c>
      <c r="AH14" s="19">
        <f t="shared" si="11"/>
        <v>-200508.6446219387</v>
      </c>
      <c r="AI14" s="19">
        <f t="shared" si="11"/>
        <v>-200508.6446219387</v>
      </c>
      <c r="AJ14" s="19">
        <f t="shared" si="11"/>
        <v>-200508.6446219387</v>
      </c>
      <c r="AK14" s="19">
        <f t="shared" si="11"/>
        <v>427206.47326108208</v>
      </c>
      <c r="AL14" s="19">
        <f>AL13-$AE$13</f>
        <v>627715.11788302078</v>
      </c>
      <c r="AM14" s="19">
        <f t="shared" ref="AM14:AW14" si="12">AM13-$AE$13</f>
        <v>627715.11788302078</v>
      </c>
      <c r="AN14" s="19">
        <f t="shared" si="12"/>
        <v>627715.11788302078</v>
      </c>
      <c r="AO14" s="19">
        <f t="shared" si="12"/>
        <v>627715.11788302078</v>
      </c>
      <c r="AP14" s="19">
        <f t="shared" si="12"/>
        <v>627715.11788302078</v>
      </c>
      <c r="AQ14" s="19">
        <f t="shared" si="12"/>
        <v>627715.11788302078</v>
      </c>
      <c r="AR14" s="19">
        <f t="shared" si="12"/>
        <v>627715.11788302078</v>
      </c>
      <c r="AS14" s="19">
        <f t="shared" si="12"/>
        <v>627715.11788302078</v>
      </c>
      <c r="AT14" s="19">
        <f t="shared" si="12"/>
        <v>627715.11788302078</v>
      </c>
      <c r="AU14" s="19">
        <f t="shared" si="12"/>
        <v>627715.11788302078</v>
      </c>
      <c r="AV14" s="19">
        <f t="shared" si="12"/>
        <v>627715.11788302078</v>
      </c>
      <c r="AW14" s="19">
        <f t="shared" si="12"/>
        <v>1109786.582517253</v>
      </c>
      <c r="AX14" s="19">
        <f>AX13-$AQ$13</f>
        <v>482071.46463423222</v>
      </c>
      <c r="AY14" s="19">
        <f t="shared" ref="AY14:BC14" si="13">AY13-$AQ$13</f>
        <v>482071.46463423222</v>
      </c>
      <c r="AZ14" s="19">
        <f t="shared" si="13"/>
        <v>482071.46463423222</v>
      </c>
      <c r="BA14" s="19">
        <f t="shared" si="13"/>
        <v>482071.46463423222</v>
      </c>
      <c r="BB14" s="19">
        <f t="shared" si="13"/>
        <v>482071.46463423222</v>
      </c>
      <c r="BC14" s="19">
        <f t="shared" si="13"/>
        <v>482071.46463423222</v>
      </c>
      <c r="BD14" s="19">
        <f>BD13-$BC$13</f>
        <v>0</v>
      </c>
      <c r="BE14" s="19">
        <f t="shared" ref="BE14:CG14" si="14">BE13-$BC$13</f>
        <v>0</v>
      </c>
      <c r="BF14" s="19">
        <f t="shared" si="14"/>
        <v>0</v>
      </c>
      <c r="BG14" s="19">
        <f t="shared" si="14"/>
        <v>0</v>
      </c>
      <c r="BH14" s="19">
        <f t="shared" si="14"/>
        <v>0</v>
      </c>
      <c r="BI14" s="19">
        <f t="shared" si="14"/>
        <v>91339.141629230697</v>
      </c>
      <c r="BJ14" s="19">
        <f t="shared" si="14"/>
        <v>91339.141629230697</v>
      </c>
      <c r="BK14" s="19">
        <f t="shared" si="14"/>
        <v>91339.141629230697</v>
      </c>
      <c r="BL14" s="19">
        <f t="shared" si="14"/>
        <v>91339.141629230697</v>
      </c>
      <c r="BM14" s="19">
        <f t="shared" si="14"/>
        <v>91339.141629230697</v>
      </c>
      <c r="BN14" s="19">
        <f t="shared" si="14"/>
        <v>91339.141629230697</v>
      </c>
      <c r="BO14" s="19">
        <f t="shared" si="14"/>
        <v>91339.141629230697</v>
      </c>
      <c r="BP14" s="19">
        <f t="shared" si="14"/>
        <v>91339.141629230697</v>
      </c>
      <c r="BQ14" s="19">
        <f t="shared" si="14"/>
        <v>91339.141629230697</v>
      </c>
      <c r="BR14" s="19">
        <f t="shared" si="14"/>
        <v>91339.141629230697</v>
      </c>
      <c r="BS14" s="19">
        <f t="shared" si="14"/>
        <v>91339.141629230697</v>
      </c>
      <c r="BT14" s="19">
        <f t="shared" si="14"/>
        <v>91339.141629230697</v>
      </c>
      <c r="BU14" s="19">
        <f t="shared" si="14"/>
        <v>146939.4747158722</v>
      </c>
      <c r="BV14" s="19">
        <f t="shared" si="14"/>
        <v>146939.4747158722</v>
      </c>
      <c r="BW14" s="19">
        <f t="shared" si="14"/>
        <v>146939.4747158722</v>
      </c>
      <c r="BX14" s="19">
        <f t="shared" si="14"/>
        <v>146939.4747158722</v>
      </c>
      <c r="BY14" s="19">
        <f t="shared" si="14"/>
        <v>146939.4747158722</v>
      </c>
      <c r="BZ14" s="19">
        <f t="shared" si="14"/>
        <v>146939.4747158722</v>
      </c>
      <c r="CA14" s="19">
        <f t="shared" si="14"/>
        <v>146939.4747158722</v>
      </c>
      <c r="CB14" s="19">
        <f t="shared" si="14"/>
        <v>146939.4747158722</v>
      </c>
      <c r="CC14" s="19">
        <f t="shared" si="14"/>
        <v>146939.4747158722</v>
      </c>
      <c r="CD14" s="19">
        <f t="shared" si="14"/>
        <v>146939.4747158722</v>
      </c>
      <c r="CE14" s="19">
        <f t="shared" si="14"/>
        <v>146939.4747158722</v>
      </c>
      <c r="CF14" s="19">
        <f t="shared" si="14"/>
        <v>146939.4747158722</v>
      </c>
      <c r="CG14" s="19">
        <f t="shared" si="14"/>
        <v>200867.73665918969</v>
      </c>
      <c r="CH14" s="62"/>
      <c r="CI14" s="19"/>
      <c r="CJ14" s="19"/>
      <c r="CK14" s="19"/>
      <c r="CL14" s="19"/>
      <c r="CM14" s="25"/>
      <c r="CN14" s="25"/>
      <c r="CO14" s="25"/>
      <c r="CV14" s="25"/>
    </row>
    <row r="15" spans="1:101" x14ac:dyDescent="0.3">
      <c r="A15" s="15" t="s">
        <v>239</v>
      </c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62">
        <v>2254730</v>
      </c>
      <c r="CI15" s="62">
        <v>6381683.2333526341</v>
      </c>
      <c r="CJ15" s="62">
        <v>5326169.1242271047</v>
      </c>
      <c r="CK15" s="62">
        <v>4270655.0151015753</v>
      </c>
      <c r="CL15" s="62">
        <v>1729066.8994866689</v>
      </c>
      <c r="CM15" s="25" t="s">
        <v>240</v>
      </c>
      <c r="CN15" s="189">
        <v>0.65</v>
      </c>
      <c r="CO15" s="25"/>
      <c r="CP15" s="25"/>
      <c r="CQ15" s="25"/>
      <c r="CR15" s="25"/>
      <c r="CS15" s="25"/>
      <c r="CT15" s="25"/>
      <c r="CU15" s="25"/>
      <c r="CV15" s="25"/>
    </row>
    <row r="16" spans="1:101" x14ac:dyDescent="0.3">
      <c r="A16" s="15" t="s">
        <v>241</v>
      </c>
      <c r="D16" s="188"/>
      <c r="E16" s="188"/>
      <c r="F16" s="188"/>
      <c r="G16" s="25"/>
      <c r="H16" s="25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86">
        <v>14732807.127445083</v>
      </c>
      <c r="CI16" s="62">
        <v>3436290.9718052642</v>
      </c>
      <c r="CJ16" s="62">
        <v>2867937.2207376715</v>
      </c>
      <c r="CK16" s="62">
        <v>2299583.4696700787</v>
      </c>
      <c r="CL16" s="62">
        <v>931036.02280051389</v>
      </c>
      <c r="CM16" s="25" t="s">
        <v>242</v>
      </c>
      <c r="CN16" s="189">
        <v>0.35</v>
      </c>
      <c r="CO16" s="25"/>
      <c r="CP16" s="25"/>
      <c r="CQ16" s="25"/>
      <c r="CR16" s="25"/>
      <c r="CS16" s="25"/>
      <c r="CT16" s="25"/>
      <c r="CU16" s="25"/>
      <c r="CV16" s="25"/>
    </row>
    <row r="17" spans="1:101" x14ac:dyDescent="0.3">
      <c r="A17" s="15" t="s">
        <v>243</v>
      </c>
      <c r="D17" s="188"/>
      <c r="E17" s="188"/>
      <c r="F17" s="188"/>
      <c r="G17" s="62"/>
      <c r="H17" s="62"/>
      <c r="I17" s="62"/>
      <c r="J17" s="62"/>
      <c r="K17" s="62"/>
      <c r="L17" s="62"/>
      <c r="M17" s="62">
        <f>C36</f>
        <v>-10536238.408867065</v>
      </c>
      <c r="N17" s="62">
        <f t="shared" ref="N17:BY17" si="15">M17-N13</f>
        <v>-12110579.583450397</v>
      </c>
      <c r="O17" s="62">
        <f t="shared" si="15"/>
        <v>-13869616.146054564</v>
      </c>
      <c r="P17" s="62">
        <f t="shared" si="15"/>
        <v>-15764479.328867063</v>
      </c>
      <c r="Q17" s="62">
        <f t="shared" si="15"/>
        <v>-17668363.345012896</v>
      </c>
      <c r="R17" s="62">
        <f t="shared" si="15"/>
        <v>-19572247.361158729</v>
      </c>
      <c r="S17" s="62">
        <f t="shared" si="15"/>
        <v>-21484704.293971229</v>
      </c>
      <c r="T17" s="62">
        <f t="shared" si="15"/>
        <v>-23397161.22678373</v>
      </c>
      <c r="U17" s="62">
        <f t="shared" si="15"/>
        <v>-25309618.159596231</v>
      </c>
      <c r="V17" s="62">
        <f t="shared" si="15"/>
        <v>-27222075.092408732</v>
      </c>
      <c r="W17" s="62">
        <f t="shared" si="15"/>
        <v>-29134532.025221232</v>
      </c>
      <c r="X17" s="62">
        <f t="shared" si="15"/>
        <v>-31046988.958033733</v>
      </c>
      <c r="Y17" s="62">
        <f t="shared" si="15"/>
        <v>-33101210.313411795</v>
      </c>
      <c r="Z17" s="62">
        <f t="shared" si="15"/>
        <v>-35155431.668789856</v>
      </c>
      <c r="AA17" s="62">
        <f t="shared" si="15"/>
        <v>-37209653.024167918</v>
      </c>
      <c r="AB17" s="62">
        <f t="shared" si="15"/>
        <v>-39263874.379545979</v>
      </c>
      <c r="AC17" s="62">
        <f t="shared" si="15"/>
        <v>-41318095.734924041</v>
      </c>
      <c r="AD17" s="62">
        <f t="shared" si="15"/>
        <v>-43372317.090302102</v>
      </c>
      <c r="AE17" s="62">
        <f t="shared" si="15"/>
        <v>-45426538.445680164</v>
      </c>
      <c r="AF17" s="62">
        <f t="shared" si="15"/>
        <v>-47480759.801058225</v>
      </c>
      <c r="AG17" s="62">
        <f t="shared" si="15"/>
        <v>-49534981.156436287</v>
      </c>
      <c r="AH17" s="62">
        <f t="shared" si="15"/>
        <v>-51589202.511814348</v>
      </c>
      <c r="AI17" s="62">
        <f t="shared" si="15"/>
        <v>-53643423.86719241</v>
      </c>
      <c r="AJ17" s="62">
        <f t="shared" si="15"/>
        <v>-55697645.222570471</v>
      </c>
      <c r="AK17" s="62">
        <f t="shared" si="15"/>
        <v>-58379581.695831552</v>
      </c>
      <c r="AL17" s="62">
        <f t="shared" si="15"/>
        <v>-61061518.169092633</v>
      </c>
      <c r="AM17" s="62">
        <f t="shared" si="15"/>
        <v>-63743454.642353714</v>
      </c>
      <c r="AN17" s="62">
        <f t="shared" si="15"/>
        <v>-66425391.115614794</v>
      </c>
      <c r="AO17" s="62">
        <f t="shared" si="15"/>
        <v>-69107327.588875875</v>
      </c>
      <c r="AP17" s="62">
        <f t="shared" si="15"/>
        <v>-71789264.062136963</v>
      </c>
      <c r="AQ17" s="62">
        <f t="shared" si="15"/>
        <v>-74471200.535398051</v>
      </c>
      <c r="AR17" s="62">
        <f t="shared" si="15"/>
        <v>-77153137.008659139</v>
      </c>
      <c r="AS17" s="62">
        <f t="shared" si="15"/>
        <v>-79835073.481920227</v>
      </c>
      <c r="AT17" s="62">
        <f t="shared" si="15"/>
        <v>-82517009.955181316</v>
      </c>
      <c r="AU17" s="62">
        <f t="shared" si="15"/>
        <v>-85198946.428442404</v>
      </c>
      <c r="AV17" s="62">
        <f t="shared" si="15"/>
        <v>-87880882.901703492</v>
      </c>
      <c r="AW17" s="62">
        <f t="shared" si="15"/>
        <v>-91044890.839598805</v>
      </c>
      <c r="AX17" s="62">
        <f t="shared" si="15"/>
        <v>-94208898.777494118</v>
      </c>
      <c r="AY17" s="62">
        <f t="shared" si="15"/>
        <v>-97372906.715389431</v>
      </c>
      <c r="AZ17" s="62">
        <f t="shared" si="15"/>
        <v>-100536914.65328474</v>
      </c>
      <c r="BA17" s="62">
        <f t="shared" si="15"/>
        <v>-103700922.59118006</v>
      </c>
      <c r="BB17" s="62">
        <f t="shared" si="15"/>
        <v>-106864930.52907537</v>
      </c>
      <c r="BC17" s="62">
        <f t="shared" si="15"/>
        <v>-110028938.46697068</v>
      </c>
      <c r="BD17" s="62">
        <f t="shared" si="15"/>
        <v>-113192946.404866</v>
      </c>
      <c r="BE17" s="62">
        <f t="shared" si="15"/>
        <v>-116356954.34276131</v>
      </c>
      <c r="BF17" s="62">
        <f t="shared" si="15"/>
        <v>-119520962.28065662</v>
      </c>
      <c r="BG17" s="62">
        <f t="shared" si="15"/>
        <v>-122684970.21855193</v>
      </c>
      <c r="BH17" s="62">
        <f t="shared" si="15"/>
        <v>-125848978.15644725</v>
      </c>
      <c r="BI17" s="62">
        <f t="shared" si="15"/>
        <v>-129104325.23597179</v>
      </c>
      <c r="BJ17" s="62">
        <f t="shared" si="15"/>
        <v>-132359672.31549634</v>
      </c>
      <c r="BK17" s="62">
        <f t="shared" si="15"/>
        <v>-135615019.39502087</v>
      </c>
      <c r="BL17" s="62">
        <f t="shared" si="15"/>
        <v>-138870366.47454542</v>
      </c>
      <c r="BM17" s="62">
        <f t="shared" si="15"/>
        <v>-142125713.55406997</v>
      </c>
      <c r="BN17" s="62">
        <f t="shared" si="15"/>
        <v>-145381060.63359451</v>
      </c>
      <c r="BO17" s="62">
        <f t="shared" si="15"/>
        <v>-148636407.71311906</v>
      </c>
      <c r="BP17" s="62">
        <f t="shared" si="15"/>
        <v>-151891754.79264361</v>
      </c>
      <c r="BQ17" s="62">
        <f t="shared" si="15"/>
        <v>-155147101.87216815</v>
      </c>
      <c r="BR17" s="62">
        <f t="shared" si="15"/>
        <v>-158402448.9516927</v>
      </c>
      <c r="BS17" s="62">
        <f t="shared" si="15"/>
        <v>-161657796.03121725</v>
      </c>
      <c r="BT17" s="62">
        <f t="shared" si="15"/>
        <v>-164913143.11074179</v>
      </c>
      <c r="BU17" s="62">
        <f t="shared" si="15"/>
        <v>-168224090.52335298</v>
      </c>
      <c r="BV17" s="62">
        <f t="shared" si="15"/>
        <v>-171535037.93596417</v>
      </c>
      <c r="BW17" s="62">
        <f t="shared" si="15"/>
        <v>-174845985.34857535</v>
      </c>
      <c r="BX17" s="62">
        <f t="shared" si="15"/>
        <v>-178156932.76118654</v>
      </c>
      <c r="BY17" s="62">
        <f t="shared" si="15"/>
        <v>-181467880.17379773</v>
      </c>
      <c r="BZ17" s="62">
        <f t="shared" ref="BZ17:CG17" si="16">BY17-BZ13</f>
        <v>-184778827.58640891</v>
      </c>
      <c r="CA17" s="62">
        <f t="shared" si="16"/>
        <v>-188089774.9990201</v>
      </c>
      <c r="CB17" s="62">
        <f t="shared" si="16"/>
        <v>-191400722.41163129</v>
      </c>
      <c r="CC17" s="62">
        <f t="shared" si="16"/>
        <v>-194711669.82424247</v>
      </c>
      <c r="CD17" s="62">
        <f t="shared" si="16"/>
        <v>-198022617.23685366</v>
      </c>
      <c r="CE17" s="62">
        <f t="shared" si="16"/>
        <v>-201333564.64946485</v>
      </c>
      <c r="CF17" s="62">
        <f t="shared" si="16"/>
        <v>-204644512.06207603</v>
      </c>
      <c r="CG17" s="62">
        <f t="shared" si="16"/>
        <v>-208009387.73663053</v>
      </c>
      <c r="CH17" s="62"/>
      <c r="CI17" s="62">
        <v>9817974.2051578984</v>
      </c>
      <c r="CJ17" s="62">
        <v>8194106.3449647762</v>
      </c>
      <c r="CK17" s="62">
        <v>6570238.484771654</v>
      </c>
      <c r="CL17" s="62">
        <v>2660102.9222871829</v>
      </c>
      <c r="CM17" s="25" t="s">
        <v>244</v>
      </c>
      <c r="CN17" s="25">
        <v>1</v>
      </c>
      <c r="CO17" s="25"/>
      <c r="CP17" s="20">
        <f t="shared" ref="CP17:CU18" si="17">AVERAGEIF($B$5:$CG$5,CP$5,$B17:$CG17)</f>
        <v>-22473464.652830858</v>
      </c>
      <c r="CQ17" s="20">
        <f t="shared" si="17"/>
        <v>-46505958.716526113</v>
      </c>
      <c r="CR17" s="20">
        <f t="shared" si="17"/>
        <v>-75852341.394081444</v>
      </c>
      <c r="CS17" s="20">
        <f t="shared" si="17"/>
        <v>-111618554.03105408</v>
      </c>
      <c r="CT17" s="20">
        <f t="shared" si="17"/>
        <v>-150268714.61397192</v>
      </c>
      <c r="CU17" s="20">
        <f t="shared" si="17"/>
        <v>-189749742.72715434</v>
      </c>
      <c r="CV17" s="25"/>
      <c r="CW17" s="20">
        <f>AVERAGE(AD17:AO17)</f>
        <v>-55455178.442235224</v>
      </c>
    </row>
    <row r="18" spans="1:101" x14ac:dyDescent="0.3">
      <c r="A18" s="15" t="s">
        <v>245</v>
      </c>
      <c r="D18" s="188"/>
      <c r="E18" s="188"/>
      <c r="F18" s="188"/>
      <c r="G18" s="62"/>
      <c r="H18" s="62"/>
      <c r="I18" s="62"/>
      <c r="J18" s="62"/>
      <c r="K18" s="62"/>
      <c r="L18" s="62"/>
      <c r="M18" s="62">
        <f>D36</f>
        <v>-3159654</v>
      </c>
      <c r="N18" s="62">
        <f t="shared" ref="N18:BY18" si="18">M18*(N12/M12)</f>
        <v>-3159654</v>
      </c>
      <c r="O18" s="62">
        <f t="shared" si="18"/>
        <v>-3530331.9260829706</v>
      </c>
      <c r="P18" s="62">
        <f t="shared" si="18"/>
        <v>-3802931.748012499</v>
      </c>
      <c r="Q18" s="62">
        <f t="shared" si="18"/>
        <v>-3821036.2812516452</v>
      </c>
      <c r="R18" s="62">
        <f t="shared" si="18"/>
        <v>-3821036.2812516452</v>
      </c>
      <c r="S18" s="62">
        <f t="shared" si="18"/>
        <v>-3838241.8596070921</v>
      </c>
      <c r="T18" s="62">
        <f t="shared" si="18"/>
        <v>-3838241.8596070921</v>
      </c>
      <c r="U18" s="62">
        <f t="shared" si="18"/>
        <v>-3838241.8596070921</v>
      </c>
      <c r="V18" s="62">
        <f t="shared" si="18"/>
        <v>-3838241.8596070921</v>
      </c>
      <c r="W18" s="62">
        <f t="shared" si="18"/>
        <v>-3838241.8596070921</v>
      </c>
      <c r="X18" s="62">
        <f t="shared" si="18"/>
        <v>-3838241.8596070921</v>
      </c>
      <c r="Y18" s="62">
        <f t="shared" si="18"/>
        <v>-4122758.6670491095</v>
      </c>
      <c r="Z18" s="62">
        <f t="shared" si="18"/>
        <v>-4122758.6670491095</v>
      </c>
      <c r="AA18" s="62">
        <f t="shared" si="18"/>
        <v>-4122758.6670491095</v>
      </c>
      <c r="AB18" s="62">
        <f t="shared" si="18"/>
        <v>-4122758.6670491095</v>
      </c>
      <c r="AC18" s="62">
        <f t="shared" si="18"/>
        <v>-4122758.6670491095</v>
      </c>
      <c r="AD18" s="62">
        <f t="shared" si="18"/>
        <v>-4122758.6670491095</v>
      </c>
      <c r="AE18" s="62">
        <f t="shared" si="18"/>
        <v>-4122758.6670491095</v>
      </c>
      <c r="AF18" s="62">
        <f t="shared" si="18"/>
        <v>-4122758.6670491095</v>
      </c>
      <c r="AG18" s="62">
        <f t="shared" si="18"/>
        <v>-4122758.6670491095</v>
      </c>
      <c r="AH18" s="62">
        <f t="shared" si="18"/>
        <v>-4122758.6670491095</v>
      </c>
      <c r="AI18" s="62">
        <f t="shared" si="18"/>
        <v>-4122758.6670491095</v>
      </c>
      <c r="AJ18" s="62">
        <f t="shared" si="18"/>
        <v>-4122758.6670491095</v>
      </c>
      <c r="AK18" s="62">
        <f t="shared" si="18"/>
        <v>-5382563.4762604777</v>
      </c>
      <c r="AL18" s="62">
        <f t="shared" si="18"/>
        <v>-5382563.4762604777</v>
      </c>
      <c r="AM18" s="62">
        <f t="shared" si="18"/>
        <v>-5382563.4762604777</v>
      </c>
      <c r="AN18" s="62">
        <f t="shared" si="18"/>
        <v>-5382563.4762604777</v>
      </c>
      <c r="AO18" s="62">
        <f t="shared" si="18"/>
        <v>-5382563.4762604777</v>
      </c>
      <c r="AP18" s="62">
        <f t="shared" si="18"/>
        <v>-5382563.4762604777</v>
      </c>
      <c r="AQ18" s="62">
        <f t="shared" si="18"/>
        <v>-5382563.4762604777</v>
      </c>
      <c r="AR18" s="62">
        <f t="shared" si="18"/>
        <v>-5382563.4762604777</v>
      </c>
      <c r="AS18" s="62">
        <f t="shared" si="18"/>
        <v>-5382563.4762604777</v>
      </c>
      <c r="AT18" s="62">
        <f t="shared" si="18"/>
        <v>-5382563.4762604777</v>
      </c>
      <c r="AU18" s="62">
        <f t="shared" si="18"/>
        <v>-5382563.4762604777</v>
      </c>
      <c r="AV18" s="62">
        <f t="shared" si="18"/>
        <v>-5382563.4762604777</v>
      </c>
      <c r="AW18" s="62">
        <f t="shared" si="18"/>
        <v>-6350065.9821391907</v>
      </c>
      <c r="AX18" s="62">
        <f t="shared" si="18"/>
        <v>-6350065.9821391907</v>
      </c>
      <c r="AY18" s="62">
        <f t="shared" si="18"/>
        <v>-6350065.9821391907</v>
      </c>
      <c r="AZ18" s="62">
        <f t="shared" si="18"/>
        <v>-6350065.9821391907</v>
      </c>
      <c r="BA18" s="62">
        <f t="shared" si="18"/>
        <v>-6350065.9821391907</v>
      </c>
      <c r="BB18" s="62">
        <f t="shared" si="18"/>
        <v>-6350065.9821391907</v>
      </c>
      <c r="BC18" s="62">
        <f t="shared" si="18"/>
        <v>-6350065.9821391907</v>
      </c>
      <c r="BD18" s="62">
        <f t="shared" si="18"/>
        <v>-6350065.9821391907</v>
      </c>
      <c r="BE18" s="62">
        <f t="shared" si="18"/>
        <v>-6350065.9821391907</v>
      </c>
      <c r="BF18" s="62">
        <f t="shared" si="18"/>
        <v>-6350065.9821391907</v>
      </c>
      <c r="BG18" s="62">
        <f t="shared" si="18"/>
        <v>-6350065.9821391907</v>
      </c>
      <c r="BH18" s="62">
        <f t="shared" si="18"/>
        <v>-6350065.9821391907</v>
      </c>
      <c r="BI18" s="62">
        <f t="shared" si="18"/>
        <v>-6533380.8117737183</v>
      </c>
      <c r="BJ18" s="62">
        <f t="shared" si="18"/>
        <v>-6533380.8117737183</v>
      </c>
      <c r="BK18" s="62">
        <f t="shared" si="18"/>
        <v>-6533380.8117737183</v>
      </c>
      <c r="BL18" s="62">
        <f t="shared" si="18"/>
        <v>-6533380.8117737183</v>
      </c>
      <c r="BM18" s="62">
        <f t="shared" si="18"/>
        <v>-6533380.8117737183</v>
      </c>
      <c r="BN18" s="62">
        <f t="shared" si="18"/>
        <v>-6533380.8117737183</v>
      </c>
      <c r="BO18" s="62">
        <f t="shared" si="18"/>
        <v>-6533380.8117737183</v>
      </c>
      <c r="BP18" s="62">
        <f t="shared" si="18"/>
        <v>-6533380.8117737183</v>
      </c>
      <c r="BQ18" s="62">
        <f t="shared" si="18"/>
        <v>-6533380.8117737183</v>
      </c>
      <c r="BR18" s="62">
        <f t="shared" si="18"/>
        <v>-6533380.8117737183</v>
      </c>
      <c r="BS18" s="62">
        <f t="shared" si="18"/>
        <v>-6533380.8117737183</v>
      </c>
      <c r="BT18" s="62">
        <f t="shared" si="18"/>
        <v>-6533380.8117737183</v>
      </c>
      <c r="BU18" s="62">
        <f t="shared" si="18"/>
        <v>-6644968.9590411196</v>
      </c>
      <c r="BV18" s="62">
        <f t="shared" si="18"/>
        <v>-6644968.9590411196</v>
      </c>
      <c r="BW18" s="62">
        <f t="shared" si="18"/>
        <v>-6644968.9590411196</v>
      </c>
      <c r="BX18" s="62">
        <f t="shared" si="18"/>
        <v>-6644968.9590411196</v>
      </c>
      <c r="BY18" s="62">
        <f t="shared" si="18"/>
        <v>-6644968.9590411196</v>
      </c>
      <c r="BZ18" s="62">
        <f t="shared" ref="BZ18:CG18" si="19">BY18*(BZ12/BY12)</f>
        <v>-6644968.9590411196</v>
      </c>
      <c r="CA18" s="62">
        <f t="shared" si="19"/>
        <v>-6644968.9590411196</v>
      </c>
      <c r="CB18" s="62">
        <f t="shared" si="19"/>
        <v>-6644968.9590411196</v>
      </c>
      <c r="CC18" s="62">
        <f t="shared" si="19"/>
        <v>-6644968.9590411196</v>
      </c>
      <c r="CD18" s="62">
        <f t="shared" si="19"/>
        <v>-6644968.9590411196</v>
      </c>
      <c r="CE18" s="62">
        <f t="shared" si="19"/>
        <v>-6644968.9590411196</v>
      </c>
      <c r="CF18" s="62">
        <f t="shared" si="19"/>
        <v>-6644968.9590411196</v>
      </c>
      <c r="CG18" s="62">
        <f t="shared" si="19"/>
        <v>-6753201.3112867167</v>
      </c>
      <c r="CH18" s="62"/>
      <c r="CI18" s="25"/>
      <c r="CJ18" s="25"/>
      <c r="CK18" s="25"/>
      <c r="CL18" s="25"/>
      <c r="CM18" s="25"/>
      <c r="CN18" s="25"/>
      <c r="CO18" s="25"/>
      <c r="CP18" s="20">
        <f t="shared" si="17"/>
        <v>-3773933.338440869</v>
      </c>
      <c r="CQ18" s="20">
        <f t="shared" si="17"/>
        <v>-4227742.4011500562</v>
      </c>
      <c r="CR18" s="20">
        <f t="shared" si="17"/>
        <v>-5463188.6850837031</v>
      </c>
      <c r="CS18" s="20">
        <f t="shared" si="17"/>
        <v>-6365342.2179420693</v>
      </c>
      <c r="CT18" s="20">
        <f t="shared" si="17"/>
        <v>-6542679.8240460018</v>
      </c>
      <c r="CU18" s="20">
        <f t="shared" si="17"/>
        <v>-6653988.3217282528</v>
      </c>
      <c r="CV18" s="25"/>
      <c r="CW18" s="20">
        <f>AVERAGE(AD18:AO18)</f>
        <v>-4647677.3375538457</v>
      </c>
    </row>
    <row r="19" spans="1:101" x14ac:dyDescent="0.3">
      <c r="A19" s="15" t="s">
        <v>246</v>
      </c>
      <c r="D19" s="188"/>
      <c r="E19" s="188"/>
      <c r="F19" s="188"/>
      <c r="G19" s="62"/>
      <c r="H19" s="62"/>
      <c r="I19" s="62"/>
      <c r="J19" s="62"/>
      <c r="K19" s="62"/>
      <c r="L19" s="62"/>
      <c r="M19" s="62">
        <f t="shared" ref="M19:BX19" si="20">M12+M17+M18</f>
        <v>137440860.35113293</v>
      </c>
      <c r="N19" s="62">
        <f t="shared" si="20"/>
        <v>135866519.17654958</v>
      </c>
      <c r="O19" s="62">
        <f t="shared" si="20"/>
        <v>151467561.93786246</v>
      </c>
      <c r="P19" s="62">
        <f t="shared" si="20"/>
        <v>162339454.47312042</v>
      </c>
      <c r="Q19" s="62">
        <f t="shared" si="20"/>
        <v>161283465.92373544</v>
      </c>
      <c r="R19" s="62">
        <f t="shared" si="20"/>
        <v>159379581.90758961</v>
      </c>
      <c r="S19" s="62">
        <f t="shared" si="20"/>
        <v>158272919.39642164</v>
      </c>
      <c r="T19" s="62">
        <f t="shared" si="20"/>
        <v>156360462.46360916</v>
      </c>
      <c r="U19" s="62">
        <f t="shared" si="20"/>
        <v>154448005.53079665</v>
      </c>
      <c r="V19" s="62">
        <f t="shared" si="20"/>
        <v>152535548.59798414</v>
      </c>
      <c r="W19" s="62">
        <f t="shared" si="20"/>
        <v>150623091.66517165</v>
      </c>
      <c r="X19" s="62">
        <f t="shared" si="20"/>
        <v>148710634.73235914</v>
      </c>
      <c r="Y19" s="62">
        <f t="shared" si="20"/>
        <v>159981281.13583297</v>
      </c>
      <c r="Z19" s="62">
        <f t="shared" si="20"/>
        <v>157927059.7804549</v>
      </c>
      <c r="AA19" s="62">
        <f t="shared" si="20"/>
        <v>155872838.42507684</v>
      </c>
      <c r="AB19" s="62">
        <f t="shared" si="20"/>
        <v>153818617.06969878</v>
      </c>
      <c r="AC19" s="62">
        <f t="shared" si="20"/>
        <v>151764395.71432072</v>
      </c>
      <c r="AD19" s="62">
        <f t="shared" si="20"/>
        <v>149710174.35894266</v>
      </c>
      <c r="AE19" s="62">
        <f t="shared" si="20"/>
        <v>147655953.0035646</v>
      </c>
      <c r="AF19" s="62">
        <f t="shared" si="20"/>
        <v>145601731.64818653</v>
      </c>
      <c r="AG19" s="62">
        <f t="shared" si="20"/>
        <v>143547510.29280847</v>
      </c>
      <c r="AH19" s="62">
        <f t="shared" si="20"/>
        <v>141493288.93743041</v>
      </c>
      <c r="AI19" s="62">
        <f t="shared" si="20"/>
        <v>139439067.58205235</v>
      </c>
      <c r="AJ19" s="62">
        <f t="shared" si="20"/>
        <v>137384846.22667429</v>
      </c>
      <c r="AK19" s="62">
        <f t="shared" si="20"/>
        <v>193703756.26097184</v>
      </c>
      <c r="AL19" s="62">
        <f t="shared" si="20"/>
        <v>191021819.78771076</v>
      </c>
      <c r="AM19" s="62">
        <f t="shared" si="20"/>
        <v>188339883.31444967</v>
      </c>
      <c r="AN19" s="62">
        <f t="shared" si="20"/>
        <v>185657946.84118858</v>
      </c>
      <c r="AO19" s="62">
        <f t="shared" si="20"/>
        <v>182976010.36792749</v>
      </c>
      <c r="AP19" s="62">
        <f t="shared" si="20"/>
        <v>180294073.89466643</v>
      </c>
      <c r="AQ19" s="62">
        <f t="shared" si="20"/>
        <v>177612137.42140532</v>
      </c>
      <c r="AR19" s="62">
        <f t="shared" si="20"/>
        <v>174930200.94814426</v>
      </c>
      <c r="AS19" s="62">
        <f t="shared" si="20"/>
        <v>172248264.47488314</v>
      </c>
      <c r="AT19" s="62">
        <f t="shared" si="20"/>
        <v>169566328.00162208</v>
      </c>
      <c r="AU19" s="62">
        <f t="shared" si="20"/>
        <v>166884391.52836096</v>
      </c>
      <c r="AV19" s="62">
        <f t="shared" si="20"/>
        <v>164202455.0550999</v>
      </c>
      <c r="AW19" s="62">
        <f t="shared" si="20"/>
        <v>206349805.21621215</v>
      </c>
      <c r="AX19" s="62">
        <f t="shared" si="20"/>
        <v>203185797.27831683</v>
      </c>
      <c r="AY19" s="62">
        <f t="shared" si="20"/>
        <v>200021789.34042153</v>
      </c>
      <c r="AZ19" s="62">
        <f t="shared" si="20"/>
        <v>196857781.40252623</v>
      </c>
      <c r="BA19" s="62">
        <f t="shared" si="20"/>
        <v>193693773.4646309</v>
      </c>
      <c r="BB19" s="62">
        <f t="shared" si="20"/>
        <v>190529765.52673557</v>
      </c>
      <c r="BC19" s="62">
        <f t="shared" si="20"/>
        <v>187365757.58884028</v>
      </c>
      <c r="BD19" s="62">
        <f t="shared" si="20"/>
        <v>184201749.65094498</v>
      </c>
      <c r="BE19" s="62">
        <f t="shared" si="20"/>
        <v>181037741.71304965</v>
      </c>
      <c r="BF19" s="62">
        <f t="shared" si="20"/>
        <v>177873733.77515432</v>
      </c>
      <c r="BG19" s="62">
        <f t="shared" si="20"/>
        <v>174709725.83725902</v>
      </c>
      <c r="BH19" s="62">
        <f t="shared" si="20"/>
        <v>171545717.89936373</v>
      </c>
      <c r="BI19" s="62">
        <f t="shared" si="20"/>
        <v>176875613.58661079</v>
      </c>
      <c r="BJ19" s="62">
        <f t="shared" si="20"/>
        <v>173620266.50708628</v>
      </c>
      <c r="BK19" s="62">
        <f t="shared" si="20"/>
        <v>170364919.42756173</v>
      </c>
      <c r="BL19" s="62">
        <f t="shared" si="20"/>
        <v>167109572.34803718</v>
      </c>
      <c r="BM19" s="62">
        <f t="shared" si="20"/>
        <v>163854225.26851264</v>
      </c>
      <c r="BN19" s="62">
        <f t="shared" si="20"/>
        <v>160598878.18898809</v>
      </c>
      <c r="BO19" s="62">
        <f t="shared" si="20"/>
        <v>157343531.10946354</v>
      </c>
      <c r="BP19" s="62">
        <f t="shared" si="20"/>
        <v>154088184.029939</v>
      </c>
      <c r="BQ19" s="62">
        <f t="shared" si="20"/>
        <v>150832836.95041445</v>
      </c>
      <c r="BR19" s="62">
        <f t="shared" si="20"/>
        <v>147577489.8708899</v>
      </c>
      <c r="BS19" s="62">
        <f t="shared" si="20"/>
        <v>144322142.79136536</v>
      </c>
      <c r="BT19" s="62">
        <f t="shared" si="20"/>
        <v>141066795.71184081</v>
      </c>
      <c r="BU19" s="62">
        <f t="shared" si="20"/>
        <v>142981892.12827981</v>
      </c>
      <c r="BV19" s="62">
        <f t="shared" si="20"/>
        <v>139670944.71566862</v>
      </c>
      <c r="BW19" s="62">
        <f t="shared" si="20"/>
        <v>136359997.30305743</v>
      </c>
      <c r="BX19" s="62">
        <f t="shared" si="20"/>
        <v>133049049.89044625</v>
      </c>
      <c r="BY19" s="62">
        <f t="shared" ref="BY19:CG19" si="21">BY12+BY17+BY18</f>
        <v>129738102.47783506</v>
      </c>
      <c r="BZ19" s="62">
        <f t="shared" si="21"/>
        <v>126427155.06522387</v>
      </c>
      <c r="CA19" s="62">
        <f t="shared" si="21"/>
        <v>123116207.65261269</v>
      </c>
      <c r="CB19" s="62">
        <f t="shared" si="21"/>
        <v>119805260.2400015</v>
      </c>
      <c r="CC19" s="62">
        <f t="shared" si="21"/>
        <v>116494312.82739031</v>
      </c>
      <c r="CD19" s="62">
        <f t="shared" si="21"/>
        <v>113183365.41477913</v>
      </c>
      <c r="CE19" s="62">
        <f t="shared" si="21"/>
        <v>109872418.00216794</v>
      </c>
      <c r="CF19" s="62">
        <f t="shared" si="21"/>
        <v>106561470.58955675</v>
      </c>
      <c r="CG19" s="62">
        <f t="shared" si="21"/>
        <v>108265475.70931512</v>
      </c>
      <c r="CH19" s="62"/>
      <c r="CI19" s="25"/>
      <c r="CJ19" s="25"/>
      <c r="CK19" s="25"/>
      <c r="CL19" s="25"/>
      <c r="CM19" s="25"/>
      <c r="CN19" s="25"/>
      <c r="CO19" s="25"/>
      <c r="CP19" s="20"/>
      <c r="CQ19" s="20"/>
      <c r="CR19" s="20"/>
      <c r="CS19" s="20"/>
      <c r="CT19" s="20"/>
      <c r="CU19" s="20"/>
      <c r="CV19" s="25"/>
    </row>
    <row r="20" spans="1:101" x14ac:dyDescent="0.3"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62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</row>
    <row r="21" spans="1:101" x14ac:dyDescent="0.3">
      <c r="A21" s="15" t="s">
        <v>247</v>
      </c>
      <c r="B21" s="62">
        <v>0</v>
      </c>
      <c r="C21" s="62">
        <v>0</v>
      </c>
      <c r="D21" s="62">
        <v>0</v>
      </c>
      <c r="E21" s="62">
        <v>0</v>
      </c>
      <c r="F21" s="62">
        <v>0</v>
      </c>
      <c r="G21" s="62"/>
      <c r="H21" s="62"/>
      <c r="I21" s="62"/>
      <c r="J21" s="62"/>
      <c r="K21" s="62"/>
      <c r="L21" s="62"/>
      <c r="M21" s="62">
        <v>1059467.1446097044</v>
      </c>
      <c r="N21" s="62">
        <v>1053052.1813856293</v>
      </c>
      <c r="O21" s="62">
        <v>1046637.2181615541</v>
      </c>
      <c r="P21" s="62">
        <v>1040222.2549374792</v>
      </c>
      <c r="Q21" s="62">
        <v>1033807.291713404</v>
      </c>
      <c r="R21" s="62">
        <v>1027392.3284893287</v>
      </c>
      <c r="S21" s="62">
        <v>1020977.3652652536</v>
      </c>
      <c r="T21" s="62">
        <v>1014562.4020411785</v>
      </c>
      <c r="U21" s="62">
        <v>1008147.4388171034</v>
      </c>
      <c r="V21" s="62">
        <v>1001732.4755930282</v>
      </c>
      <c r="W21" s="62">
        <v>995317.51236895297</v>
      </c>
      <c r="X21" s="62">
        <v>988902.54914487794</v>
      </c>
      <c r="Y21" s="62">
        <v>1087123.678875102</v>
      </c>
      <c r="Z21" s="62">
        <v>1080117.9929088817</v>
      </c>
      <c r="AA21" s="62">
        <v>1073112.3069426613</v>
      </c>
      <c r="AB21" s="62">
        <v>1066106.6209764408</v>
      </c>
      <c r="AC21" s="62">
        <v>1059100.9350102204</v>
      </c>
      <c r="AD21" s="62">
        <v>1052095.2490439999</v>
      </c>
      <c r="AE21" s="62">
        <v>1045089.5630777794</v>
      </c>
      <c r="AF21" s="62">
        <v>1038083.8771115588</v>
      </c>
      <c r="AG21" s="62">
        <v>1031078.1911453385</v>
      </c>
      <c r="AH21" s="62">
        <v>1024072.505179118</v>
      </c>
      <c r="AI21" s="62">
        <v>1017066.8192128976</v>
      </c>
      <c r="AJ21" s="62">
        <v>1010061.1332466771</v>
      </c>
      <c r="AK21" s="62">
        <v>1466370.9691509113</v>
      </c>
      <c r="AL21" s="62">
        <v>1456749.636825673</v>
      </c>
      <c r="AM21" s="62">
        <v>1447128.3045004343</v>
      </c>
      <c r="AN21" s="62">
        <v>1437506.9721751956</v>
      </c>
      <c r="AO21" s="62">
        <v>1427885.6398499568</v>
      </c>
      <c r="AP21" s="62">
        <v>1418264.3075247183</v>
      </c>
      <c r="AQ21" s="62">
        <v>1408642.9751994796</v>
      </c>
      <c r="AR21" s="62">
        <v>1399021.6428742409</v>
      </c>
      <c r="AS21" s="62">
        <v>1389400.3105490021</v>
      </c>
      <c r="AT21" s="62">
        <v>1379778.9782237636</v>
      </c>
      <c r="AU21" s="62">
        <v>1370157.6458985249</v>
      </c>
      <c r="AV21" s="62">
        <v>1360536.3135732864</v>
      </c>
      <c r="AW21" s="62">
        <v>1706731.1562178638</v>
      </c>
      <c r="AX21" s="62">
        <v>1695101.0647671332</v>
      </c>
      <c r="AY21" s="62">
        <v>1683470.9733164019</v>
      </c>
      <c r="AZ21" s="62">
        <v>1671840.8818656709</v>
      </c>
      <c r="BA21" s="62">
        <v>1660210.7904149396</v>
      </c>
      <c r="BB21" s="62">
        <v>1648580.6989642086</v>
      </c>
      <c r="BC21" s="62">
        <v>1636950.6075134773</v>
      </c>
      <c r="BD21" s="62">
        <v>1625320.5160627465</v>
      </c>
      <c r="BE21" s="62">
        <v>1613690.4246120153</v>
      </c>
      <c r="BF21" s="62">
        <v>1602060.3331612842</v>
      </c>
      <c r="BG21" s="62">
        <v>1590430.2417105529</v>
      </c>
      <c r="BH21" s="62">
        <v>1578800.1502598219</v>
      </c>
      <c r="BI21" s="62">
        <v>1634587.3327690801</v>
      </c>
      <c r="BJ21" s="62">
        <v>1622576.6373047894</v>
      </c>
      <c r="BK21" s="62">
        <v>1610565.9418404987</v>
      </c>
      <c r="BL21" s="62">
        <v>1598555.2463762078</v>
      </c>
      <c r="BM21" s="62">
        <v>1586544.5509119171</v>
      </c>
      <c r="BN21" s="62">
        <v>1574533.8554476264</v>
      </c>
      <c r="BO21" s="62">
        <v>1562523.1599833353</v>
      </c>
      <c r="BP21" s="62">
        <v>1550512.4645190446</v>
      </c>
      <c r="BQ21" s="62">
        <v>1538501.7690547539</v>
      </c>
      <c r="BR21" s="62">
        <v>1526491.0735904633</v>
      </c>
      <c r="BS21" s="62">
        <v>1514480.3781261723</v>
      </c>
      <c r="BT21" s="62">
        <v>1502469.6826618817</v>
      </c>
      <c r="BU21" s="62">
        <v>1531497.5038850436</v>
      </c>
      <c r="BV21" s="62">
        <v>1519255.1256005447</v>
      </c>
      <c r="BW21" s="62">
        <v>1507012.7473160459</v>
      </c>
      <c r="BX21" s="62">
        <v>1494770.3690315476</v>
      </c>
      <c r="BY21" s="62">
        <v>1482527.9907470488</v>
      </c>
      <c r="BZ21" s="62">
        <v>1470285.6124625502</v>
      </c>
      <c r="CA21" s="62">
        <v>1458043.2341780514</v>
      </c>
      <c r="CB21" s="62">
        <v>1445800.855893553</v>
      </c>
      <c r="CC21" s="62">
        <v>1433558.4776090542</v>
      </c>
      <c r="CD21" s="62">
        <v>1421316.0993245554</v>
      </c>
      <c r="CE21" s="62">
        <v>1409073.721040057</v>
      </c>
      <c r="CF21" s="62">
        <v>1396831.3427555582</v>
      </c>
      <c r="CG21" s="62">
        <v>1424393.328129051</v>
      </c>
      <c r="CH21" s="62">
        <v>15537211.617620874</v>
      </c>
      <c r="CI21" s="19">
        <v>12317874.696792891</v>
      </c>
      <c r="CJ21" s="19">
        <v>10218185.297245707</v>
      </c>
      <c r="CK21" s="19">
        <v>8144155.7505948255</v>
      </c>
      <c r="CL21" s="19">
        <v>3219336.9208279839</v>
      </c>
    </row>
    <row r="22" spans="1:101" x14ac:dyDescent="0.3">
      <c r="A22" s="15" t="s">
        <v>248</v>
      </c>
      <c r="G22" s="95"/>
      <c r="CH22" s="62">
        <v>1059467.1446097044</v>
      </c>
      <c r="CI22" s="60">
        <v>7390724.8180757342</v>
      </c>
      <c r="CJ22" s="60">
        <v>6130911.1783474246</v>
      </c>
      <c r="CK22" s="60">
        <v>4886493.4503568951</v>
      </c>
      <c r="CL22" s="60">
        <v>1931602.1524967903</v>
      </c>
      <c r="CM22" s="15" t="s">
        <v>250</v>
      </c>
    </row>
    <row r="23" spans="1:101" x14ac:dyDescent="0.3">
      <c r="A23" s="15" t="s">
        <v>251</v>
      </c>
      <c r="G23" s="95"/>
      <c r="CH23" s="86">
        <v>16596678.762230579</v>
      </c>
    </row>
    <row r="24" spans="1:101" x14ac:dyDescent="0.3">
      <c r="G24" s="95"/>
    </row>
    <row r="25" spans="1:101" x14ac:dyDescent="0.3">
      <c r="A25" s="15" t="s">
        <v>254</v>
      </c>
    </row>
    <row r="26" spans="1:101" x14ac:dyDescent="0.3">
      <c r="A26" s="15" t="s">
        <v>255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/>
      <c r="H26" s="60"/>
      <c r="I26" s="60"/>
      <c r="J26" s="60"/>
      <c r="K26" s="60"/>
      <c r="L26" s="60"/>
      <c r="M26" s="60">
        <v>3314197.1446097046</v>
      </c>
      <c r="N26" s="60">
        <v>1864986.1114821904</v>
      </c>
      <c r="O26" s="60">
        <v>1858571.1482581152</v>
      </c>
      <c r="P26" s="60">
        <v>1852156.1850340401</v>
      </c>
      <c r="Q26" s="60">
        <v>1845741.2218099651</v>
      </c>
      <c r="R26" s="60">
        <v>1839326.2585858898</v>
      </c>
      <c r="S26" s="60">
        <v>1832911.2953618146</v>
      </c>
      <c r="T26" s="60">
        <v>1826496.3321377395</v>
      </c>
      <c r="U26" s="60">
        <v>1820081.3689136645</v>
      </c>
      <c r="V26" s="60">
        <v>1813666.4056895892</v>
      </c>
      <c r="W26" s="60">
        <v>1807251.4424655139</v>
      </c>
      <c r="X26" s="60">
        <v>1800836.4792414389</v>
      </c>
      <c r="Y26" s="60">
        <v>1973824.6529708295</v>
      </c>
      <c r="Z26" s="60">
        <v>1966818.9670046093</v>
      </c>
      <c r="AA26" s="60">
        <v>1959813.2810383891</v>
      </c>
      <c r="AB26" s="60">
        <v>1952807.5950721684</v>
      </c>
      <c r="AC26" s="60">
        <v>1945801.9091059482</v>
      </c>
      <c r="AD26" s="60">
        <v>1938796.2231397275</v>
      </c>
      <c r="AE26" s="60">
        <v>1931790.537173507</v>
      </c>
      <c r="AF26" s="60">
        <v>1924784.8512072866</v>
      </c>
      <c r="AG26" s="60">
        <v>1917779.1652410661</v>
      </c>
      <c r="AH26" s="60">
        <v>1910773.4792748457</v>
      </c>
      <c r="AI26" s="60">
        <v>1903767.7933086252</v>
      </c>
      <c r="AJ26" s="60">
        <v>1896762.1073424048</v>
      </c>
      <c r="AK26" s="60">
        <v>2684131.0551757775</v>
      </c>
      <c r="AL26" s="60">
        <v>2674509.7228505393</v>
      </c>
      <c r="AM26" s="60">
        <v>2664888.3905253005</v>
      </c>
      <c r="AN26" s="60">
        <v>2655267.0582000618</v>
      </c>
      <c r="AO26" s="60">
        <v>2645645.7258748231</v>
      </c>
      <c r="AP26" s="60">
        <v>2636024.3935495848</v>
      </c>
      <c r="AQ26" s="60">
        <v>2626403.061224346</v>
      </c>
      <c r="AR26" s="60">
        <v>2616781.7288991073</v>
      </c>
      <c r="AS26" s="60">
        <v>2607160.3965738686</v>
      </c>
      <c r="AT26" s="60">
        <v>2597539.0642486298</v>
      </c>
      <c r="AU26" s="60">
        <v>2587917.7319233911</v>
      </c>
      <c r="AV26" s="60">
        <v>2578296.3995981524</v>
      </c>
      <c r="AW26" s="60">
        <v>3178737.3905694131</v>
      </c>
      <c r="AX26" s="60">
        <v>3167107.2991186827</v>
      </c>
      <c r="AY26" s="60">
        <v>3155477.2076679515</v>
      </c>
      <c r="AZ26" s="60">
        <v>3143847.1162172202</v>
      </c>
      <c r="BA26" s="60">
        <v>3132217.0247664889</v>
      </c>
      <c r="BB26" s="60">
        <v>3120586.9333157577</v>
      </c>
      <c r="BC26" s="60">
        <v>3108956.8418650264</v>
      </c>
      <c r="BD26" s="60">
        <v>3097326.7504142961</v>
      </c>
      <c r="BE26" s="60">
        <v>3085696.6589635648</v>
      </c>
      <c r="BF26" s="60">
        <v>3074066.5675128335</v>
      </c>
      <c r="BG26" s="60">
        <v>3062436.4760621022</v>
      </c>
      <c r="BH26" s="60">
        <v>3050806.384611371</v>
      </c>
      <c r="BI26" s="60">
        <v>3154766.1445377916</v>
      </c>
      <c r="BJ26" s="60">
        <v>3142755.4490735009</v>
      </c>
      <c r="BK26" s="60">
        <v>3130744.7536092103</v>
      </c>
      <c r="BL26" s="60">
        <v>3118734.0581449196</v>
      </c>
      <c r="BM26" s="60">
        <v>3106723.3626806289</v>
      </c>
      <c r="BN26" s="60">
        <v>3094712.6672163382</v>
      </c>
      <c r="BO26" s="60">
        <v>3082701.9717520466</v>
      </c>
      <c r="BP26" s="60">
        <v>3070691.2762877559</v>
      </c>
      <c r="BQ26" s="60">
        <v>3058680.5808234653</v>
      </c>
      <c r="BR26" s="60">
        <v>3046669.8853591746</v>
      </c>
      <c r="BS26" s="60">
        <v>3034659.1898948839</v>
      </c>
      <c r="BT26" s="60">
        <v>3022648.4944305932</v>
      </c>
      <c r="BU26" s="60">
        <v>3081000.1225372115</v>
      </c>
      <c r="BV26" s="60">
        <v>3068757.7442527125</v>
      </c>
      <c r="BW26" s="60">
        <v>3056515.3659682139</v>
      </c>
      <c r="BX26" s="60">
        <v>3044272.9876837153</v>
      </c>
      <c r="BY26" s="60">
        <v>3032030.6093992167</v>
      </c>
      <c r="BZ26" s="60">
        <v>3019788.2311147181</v>
      </c>
      <c r="CA26" s="60">
        <v>3007545.8528302191</v>
      </c>
      <c r="CB26" s="60">
        <v>2995303.474545721</v>
      </c>
      <c r="CC26" s="60">
        <v>2983061.0962612219</v>
      </c>
      <c r="CD26" s="60">
        <v>2970818.7179767233</v>
      </c>
      <c r="CE26" s="60">
        <v>2958576.3396922247</v>
      </c>
      <c r="CF26" s="60">
        <v>2946333.9614077262</v>
      </c>
      <c r="CG26" s="60">
        <v>3002337.8975933129</v>
      </c>
      <c r="CH26" s="60">
        <v>28015288.745065957</v>
      </c>
      <c r="CI26" s="19">
        <v>22135848.901950791</v>
      </c>
      <c r="CJ26" s="19">
        <v>18412291.642210484</v>
      </c>
      <c r="CK26" s="19">
        <v>14714394.23536648</v>
      </c>
    </row>
    <row r="27" spans="1:101" x14ac:dyDescent="0.3">
      <c r="A27" s="15" t="s">
        <v>256</v>
      </c>
      <c r="CH27" s="60">
        <v>3314197.1446097046</v>
      </c>
    </row>
    <row r="28" spans="1:101" ht="15" thickBot="1" x14ac:dyDescent="0.35">
      <c r="A28" s="15" t="s">
        <v>254</v>
      </c>
      <c r="CH28" s="87">
        <v>31329485.889675662</v>
      </c>
    </row>
    <row r="29" spans="1:101" ht="21.6" thickTop="1" x14ac:dyDescent="0.4">
      <c r="J29" s="88" t="s">
        <v>18</v>
      </c>
    </row>
    <row r="30" spans="1:101" x14ac:dyDescent="0.3">
      <c r="A30" s="66"/>
      <c r="L30" s="24" t="s">
        <v>576</v>
      </c>
      <c r="M30" s="514" t="s">
        <v>577</v>
      </c>
      <c r="N30" s="515"/>
      <c r="O30" s="516"/>
      <c r="P30" s="24" t="s">
        <v>576</v>
      </c>
    </row>
    <row r="31" spans="1:101" x14ac:dyDescent="0.3">
      <c r="A31" s="66"/>
      <c r="B31" s="190">
        <v>43435</v>
      </c>
      <c r="C31" s="191"/>
      <c r="D31" s="191"/>
      <c r="E31" s="192"/>
      <c r="L31" s="65">
        <v>2018</v>
      </c>
      <c r="M31" s="65">
        <v>2019</v>
      </c>
      <c r="N31" s="65">
        <v>2020</v>
      </c>
      <c r="O31" s="65">
        <v>2021</v>
      </c>
      <c r="P31" s="65">
        <v>2021</v>
      </c>
    </row>
    <row r="32" spans="1:101" x14ac:dyDescent="0.3">
      <c r="B32" s="89" t="s">
        <v>257</v>
      </c>
      <c r="C32" s="89" t="s">
        <v>258</v>
      </c>
      <c r="D32" s="89" t="s">
        <v>245</v>
      </c>
      <c r="E32" s="89" t="s">
        <v>246</v>
      </c>
      <c r="K32" s="24" t="str">
        <f>A11</f>
        <v>Closings</v>
      </c>
      <c r="L32" s="20">
        <f>M12</f>
        <v>151136752.75999999</v>
      </c>
      <c r="M32" s="20">
        <f>SUM(O11:Y11)</f>
        <v>46068497.356293887</v>
      </c>
      <c r="N32" s="20">
        <f>SUM(Z11:AK11)</f>
        <v>60260651.316770002</v>
      </c>
      <c r="O32" s="20">
        <f>SUM(AL11:AW11)</f>
        <v>46278860.604886301</v>
      </c>
      <c r="P32" s="20">
        <f>SUM(L32:O32)</f>
        <v>303744762.03795016</v>
      </c>
    </row>
    <row r="33" spans="1:16" x14ac:dyDescent="0.3">
      <c r="A33" s="15" t="s">
        <v>259</v>
      </c>
      <c r="B33" s="16"/>
      <c r="C33" s="16"/>
      <c r="D33" s="16"/>
      <c r="E33" s="16"/>
      <c r="K33" s="24"/>
    </row>
    <row r="34" spans="1:16" x14ac:dyDescent="0.3">
      <c r="A34" s="15" t="s">
        <v>10</v>
      </c>
      <c r="B34" s="16"/>
      <c r="C34" s="16"/>
      <c r="D34" s="16"/>
      <c r="E34" s="16"/>
      <c r="J34" s="52">
        <f>'GTZ Historical RB'!B71</f>
        <v>0.66190000000000004</v>
      </c>
      <c r="K34" s="24" t="s">
        <v>259</v>
      </c>
      <c r="L34" s="35">
        <f>L32*$J$34</f>
        <v>100037416.65184399</v>
      </c>
      <c r="M34" s="35">
        <f>M32*$J$34</f>
        <v>30492738.400130928</v>
      </c>
      <c r="N34" s="35">
        <f>N32*$J$34</f>
        <v>39886525.106570065</v>
      </c>
      <c r="O34" s="35">
        <f>O32*$J$34</f>
        <v>30631977.834374245</v>
      </c>
      <c r="P34" s="35">
        <f>P32*$J$34</f>
        <v>201048657.99291924</v>
      </c>
    </row>
    <row r="35" spans="1:16" x14ac:dyDescent="0.3">
      <c r="A35" s="15" t="s">
        <v>260</v>
      </c>
      <c r="B35" s="16"/>
      <c r="C35" s="16"/>
      <c r="D35" s="16"/>
      <c r="E35" s="16"/>
      <c r="J35" s="52">
        <f>'GTZ Historical RB'!B72</f>
        <v>0.33809999999999996</v>
      </c>
      <c r="K35" s="24" t="s">
        <v>10</v>
      </c>
      <c r="L35" s="35">
        <f>$J$35*L32</f>
        <v>51099336.108155988</v>
      </c>
      <c r="M35" s="35">
        <f>$J$35*M32</f>
        <v>15575758.956162961</v>
      </c>
      <c r="N35" s="35">
        <f>$J$35*N32</f>
        <v>20374126.210199933</v>
      </c>
      <c r="O35" s="35">
        <f>$J$35*O32</f>
        <v>15646882.770512056</v>
      </c>
      <c r="P35" s="35">
        <f>$J$35*P32</f>
        <v>102696104.04503094</v>
      </c>
    </row>
    <row r="36" spans="1:16" ht="15" thickBot="1" x14ac:dyDescent="0.35">
      <c r="A36" s="15" t="s">
        <v>0</v>
      </c>
      <c r="B36" s="90">
        <f>'GTZ Historical RB'!C38</f>
        <v>151136752.75999999</v>
      </c>
      <c r="C36" s="90">
        <f>'GTZ Historical RB'!G38</f>
        <v>-10536238.408867065</v>
      </c>
      <c r="D36" s="90">
        <v>-3159654</v>
      </c>
      <c r="E36" s="90">
        <v>134095441</v>
      </c>
      <c r="L36" s="91">
        <f>SUM(L34:L35)</f>
        <v>151136752.75999999</v>
      </c>
      <c r="M36" s="91">
        <f>SUM(M34:M35)</f>
        <v>46068497.356293887</v>
      </c>
      <c r="N36" s="91">
        <f t="shared" ref="N36:P36" si="22">SUM(N34:N35)</f>
        <v>60260651.316770002</v>
      </c>
      <c r="O36" s="91">
        <f t="shared" si="22"/>
        <v>46278860.604886301</v>
      </c>
      <c r="P36" s="91">
        <f t="shared" si="22"/>
        <v>303744762.03795016</v>
      </c>
    </row>
    <row r="37" spans="1:16" ht="15" thickTop="1" x14ac:dyDescent="0.3"/>
    <row r="38" spans="1:16" ht="21" x14ac:dyDescent="0.4">
      <c r="J38" s="92"/>
      <c r="K38" s="25"/>
      <c r="L38" s="25"/>
      <c r="M38" s="25"/>
      <c r="N38" s="25"/>
      <c r="O38" s="25"/>
      <c r="P38" s="25"/>
    </row>
    <row r="39" spans="1:16" x14ac:dyDescent="0.3">
      <c r="B39" s="30" t="s">
        <v>261</v>
      </c>
      <c r="C39" s="89" t="s">
        <v>262</v>
      </c>
      <c r="D39" s="89" t="s">
        <v>263</v>
      </c>
      <c r="J39" s="193" t="s">
        <v>580</v>
      </c>
      <c r="K39" s="15" t="s">
        <v>579</v>
      </c>
      <c r="L39" s="29">
        <f>B43</f>
        <v>9743207.1611587331</v>
      </c>
      <c r="M39" s="19">
        <f>SUM(N13:Y13)</f>
        <v>22564971.90454473</v>
      </c>
      <c r="N39" s="19">
        <f>SUM(Z13:AK13)</f>
        <v>25278371.382419754</v>
      </c>
      <c r="O39" s="19">
        <f>SUM(AL13:AW13)</f>
        <v>32665309.143767212</v>
      </c>
      <c r="P39" s="27"/>
    </row>
    <row r="40" spans="1:16" x14ac:dyDescent="0.3">
      <c r="A40" s="15" t="s">
        <v>259</v>
      </c>
      <c r="B40" s="16"/>
      <c r="J40" s="193" t="str">
        <f>J39</f>
        <v xml:space="preserve">Total </v>
      </c>
      <c r="K40" s="15" t="s">
        <v>578</v>
      </c>
      <c r="L40" s="93">
        <f>M17</f>
        <v>-10536238.408867065</v>
      </c>
      <c r="M40" s="93">
        <f>L40-M39</f>
        <v>-33101210.313411795</v>
      </c>
      <c r="N40" s="93">
        <f t="shared" ref="N40:O40" si="23">M40-N39</f>
        <v>-58379581.695831552</v>
      </c>
      <c r="O40" s="93">
        <f t="shared" si="23"/>
        <v>-91044890.83959876</v>
      </c>
      <c r="P40" s="93">
        <f>AW17-O40</f>
        <v>0</v>
      </c>
    </row>
    <row r="41" spans="1:16" x14ac:dyDescent="0.3">
      <c r="A41" s="15" t="s">
        <v>10</v>
      </c>
      <c r="B41" s="16"/>
      <c r="L41" s="19"/>
      <c r="M41" s="19"/>
      <c r="N41" s="19"/>
      <c r="O41" s="19"/>
      <c r="P41" s="19"/>
    </row>
    <row r="42" spans="1:16" x14ac:dyDescent="0.3">
      <c r="A42" s="15" t="s">
        <v>260</v>
      </c>
      <c r="B42" s="16"/>
      <c r="J42" s="193" t="str">
        <f>K34</f>
        <v xml:space="preserve">Electric </v>
      </c>
      <c r="K42" s="15" t="str">
        <f>K39</f>
        <v>AMORT</v>
      </c>
      <c r="L42" s="94">
        <f>'GTZ Historical RB'!E60</f>
        <v>6449028.8199709654</v>
      </c>
      <c r="M42" s="94">
        <f t="shared" ref="M42:O43" si="24">$J$34*M39</f>
        <v>14935754.903618157</v>
      </c>
      <c r="N42" s="94">
        <f t="shared" si="24"/>
        <v>16731754.018023636</v>
      </c>
      <c r="O42" s="94">
        <f t="shared" si="24"/>
        <v>21621168.12225952</v>
      </c>
      <c r="P42" s="94">
        <f>SUM(L42:O42)</f>
        <v>59737705.863872282</v>
      </c>
    </row>
    <row r="43" spans="1:16" ht="15" thickBot="1" x14ac:dyDescent="0.35">
      <c r="A43" s="15" t="s">
        <v>0</v>
      </c>
      <c r="B43" s="90">
        <f>'GTZ Historical RB'!E55</f>
        <v>9743207.1611587331</v>
      </c>
      <c r="C43" s="95">
        <v>15.168653458295511</v>
      </c>
      <c r="D43" s="194">
        <v>811933.93009656109</v>
      </c>
      <c r="J43" s="193" t="str">
        <f>J42</f>
        <v xml:space="preserve">Electric </v>
      </c>
      <c r="K43" s="15" t="str">
        <f>K40</f>
        <v>RSRV</v>
      </c>
      <c r="L43" s="94">
        <f>$J$34*L40</f>
        <v>-6973936.2028291104</v>
      </c>
      <c r="M43" s="94">
        <f t="shared" si="24"/>
        <v>-21909691.106447268</v>
      </c>
      <c r="N43" s="94">
        <f t="shared" si="24"/>
        <v>-38641445.124470904</v>
      </c>
      <c r="O43" s="94">
        <f t="shared" si="24"/>
        <v>-60262613.246730424</v>
      </c>
      <c r="P43" s="94"/>
    </row>
    <row r="44" spans="1:16" ht="15" thickTop="1" x14ac:dyDescent="0.3">
      <c r="A44" s="15" t="s">
        <v>264</v>
      </c>
      <c r="C44" s="96">
        <v>6.5925429884029343E-2</v>
      </c>
      <c r="J44" s="193"/>
      <c r="L44" s="94"/>
      <c r="M44" s="94"/>
      <c r="N44" s="94"/>
      <c r="O44" s="94"/>
      <c r="P44" s="94"/>
    </row>
    <row r="45" spans="1:16" x14ac:dyDescent="0.3">
      <c r="J45" s="193" t="str">
        <f>K35</f>
        <v>Gas</v>
      </c>
      <c r="K45" s="15" t="str">
        <f>K42</f>
        <v>AMORT</v>
      </c>
      <c r="L45" s="35">
        <f>'GTZ Historical RB'!E65</f>
        <v>3294178.3411877672</v>
      </c>
      <c r="M45" s="35">
        <f t="shared" ref="M45:O46" si="25">$J$35*M39</f>
        <v>7629217.0009265719</v>
      </c>
      <c r="N45" s="35">
        <f t="shared" si="25"/>
        <v>8546617.3643961176</v>
      </c>
      <c r="O45" s="35">
        <f t="shared" si="25"/>
        <v>11044141.021507693</v>
      </c>
      <c r="P45" s="94">
        <f t="shared" ref="P45" si="26">SUM(L45:O45)</f>
        <v>30514153.72801815</v>
      </c>
    </row>
    <row r="46" spans="1:16" x14ac:dyDescent="0.3">
      <c r="A46" s="66" t="s">
        <v>265</v>
      </c>
      <c r="J46" s="193" t="str">
        <f>J45</f>
        <v>Gas</v>
      </c>
      <c r="K46" s="15" t="str">
        <f>K43</f>
        <v>RSRV</v>
      </c>
      <c r="L46" s="35">
        <f>$J$35*L40</f>
        <v>-3562302.206037954</v>
      </c>
      <c r="M46" s="35">
        <f t="shared" si="25"/>
        <v>-11191519.206964526</v>
      </c>
      <c r="N46" s="35">
        <f t="shared" si="25"/>
        <v>-19738136.571360644</v>
      </c>
      <c r="O46" s="35">
        <f t="shared" si="25"/>
        <v>-30782277.592868336</v>
      </c>
    </row>
    <row r="47" spans="1:16" x14ac:dyDescent="0.3">
      <c r="A47" s="66" t="s">
        <v>266</v>
      </c>
      <c r="B47" s="89" t="s">
        <v>267</v>
      </c>
      <c r="C47" s="89" t="s">
        <v>268</v>
      </c>
      <c r="D47" s="89" t="s">
        <v>0</v>
      </c>
      <c r="J47" s="193"/>
    </row>
    <row r="48" spans="1:16" x14ac:dyDescent="0.3">
      <c r="A48" s="15" t="s">
        <v>269</v>
      </c>
      <c r="B48" s="16">
        <v>11536</v>
      </c>
      <c r="C48" s="16">
        <v>26861</v>
      </c>
      <c r="D48" s="16">
        <v>38397</v>
      </c>
      <c r="J48" s="193"/>
    </row>
    <row r="49" spans="1:10" x14ac:dyDescent="0.3">
      <c r="A49" s="15" t="s">
        <v>270</v>
      </c>
      <c r="B49" s="16">
        <v>6926</v>
      </c>
      <c r="C49" s="16">
        <v>3012</v>
      </c>
      <c r="D49" s="16">
        <v>9938</v>
      </c>
      <c r="J49" s="193"/>
    </row>
    <row r="50" spans="1:10" x14ac:dyDescent="0.3">
      <c r="A50" s="15" t="s">
        <v>271</v>
      </c>
      <c r="B50" s="16">
        <v>9065</v>
      </c>
      <c r="C50" s="16">
        <v>1346</v>
      </c>
      <c r="D50" s="16">
        <v>10411</v>
      </c>
      <c r="J50" s="193"/>
    </row>
    <row r="51" spans="1:10" ht="15" thickBot="1" x14ac:dyDescent="0.35">
      <c r="A51" s="15" t="s">
        <v>0</v>
      </c>
      <c r="B51" s="90">
        <v>27527</v>
      </c>
      <c r="C51" s="90">
        <v>31219</v>
      </c>
      <c r="D51" s="90">
        <v>58746</v>
      </c>
      <c r="J51" s="193"/>
    </row>
    <row r="52" spans="1:10" ht="15" thickTop="1" x14ac:dyDescent="0.3"/>
  </sheetData>
  <mergeCells count="1">
    <mergeCell ref="M30:O3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8"/>
  <sheetViews>
    <sheetView workbookViewId="0">
      <selection sqref="A1:XFD1048576"/>
    </sheetView>
  </sheetViews>
  <sheetFormatPr defaultColWidth="9.109375" defaultRowHeight="14.4" x14ac:dyDescent="0.3"/>
  <cols>
    <col min="1" max="1" width="4.6640625" style="15" bestFit="1" customWidth="1"/>
    <col min="2" max="2" width="48" style="15" bestFit="1" customWidth="1"/>
    <col min="3" max="8" width="11.33203125" style="15" bestFit="1" customWidth="1"/>
    <col min="9" max="16384" width="9.109375" style="15"/>
  </cols>
  <sheetData>
    <row r="2" spans="1:8" x14ac:dyDescent="0.3">
      <c r="C2" s="131" t="s">
        <v>788</v>
      </c>
      <c r="D2" s="191"/>
      <c r="E2" s="192"/>
      <c r="F2" s="131" t="s">
        <v>789</v>
      </c>
      <c r="G2" s="191"/>
      <c r="H2" s="192"/>
    </row>
    <row r="3" spans="1:8" ht="15.6" x14ac:dyDescent="0.3">
      <c r="A3" s="132" t="s">
        <v>780</v>
      </c>
      <c r="B3" s="132" t="s">
        <v>289</v>
      </c>
      <c r="C3" s="133" t="s">
        <v>8</v>
      </c>
      <c r="D3" s="132" t="s">
        <v>10</v>
      </c>
      <c r="E3" s="134" t="s">
        <v>599</v>
      </c>
      <c r="F3" s="133" t="s">
        <v>8</v>
      </c>
      <c r="G3" s="132" t="s">
        <v>10</v>
      </c>
      <c r="H3" s="134" t="s">
        <v>599</v>
      </c>
    </row>
    <row r="4" spans="1:8" ht="15.6" x14ac:dyDescent="0.3">
      <c r="A4" s="135"/>
      <c r="B4" s="135"/>
      <c r="C4" s="136"/>
      <c r="D4" s="135"/>
      <c r="E4" s="137"/>
      <c r="F4" s="136"/>
      <c r="G4" s="135"/>
      <c r="H4" s="137"/>
    </row>
    <row r="5" spans="1:8" ht="15.6" x14ac:dyDescent="0.3">
      <c r="A5" s="138">
        <v>1</v>
      </c>
      <c r="B5" s="139" t="s">
        <v>778</v>
      </c>
      <c r="C5" s="140">
        <v>118.4</v>
      </c>
      <c r="D5" s="141">
        <v>108.2</v>
      </c>
      <c r="E5" s="142">
        <f>SUM(C5:D5)</f>
        <v>226.60000000000002</v>
      </c>
      <c r="F5" s="140">
        <v>118.4</v>
      </c>
      <c r="G5" s="141">
        <v>108.2</v>
      </c>
      <c r="H5" s="142">
        <f>SUM(F5:G5)</f>
        <v>226.60000000000002</v>
      </c>
    </row>
    <row r="6" spans="1:8" ht="15.6" x14ac:dyDescent="0.3">
      <c r="A6" s="138">
        <v>2</v>
      </c>
      <c r="B6" s="139"/>
      <c r="C6" s="143"/>
      <c r="D6" s="144"/>
      <c r="E6" s="145"/>
      <c r="F6" s="143"/>
      <c r="G6" s="144"/>
      <c r="H6" s="145"/>
    </row>
    <row r="7" spans="1:8" ht="15.6" x14ac:dyDescent="0.3">
      <c r="A7" s="138">
        <v>3</v>
      </c>
      <c r="B7" s="139" t="s">
        <v>779</v>
      </c>
      <c r="C7" s="146">
        <v>-0.96509683386757228</v>
      </c>
      <c r="D7" s="147">
        <v>2.6268739176054181</v>
      </c>
      <c r="E7" s="148">
        <f t="shared" ref="E7:E13" si="0">SUM(C7:D7)</f>
        <v>1.6617770837378458</v>
      </c>
      <c r="F7" s="146">
        <v>-0.96509683386757228</v>
      </c>
      <c r="G7" s="147">
        <v>8.158417383827377</v>
      </c>
      <c r="H7" s="148">
        <f t="shared" ref="H7:H13" si="1">SUM(F7:G7)</f>
        <v>7.1933205499598047</v>
      </c>
    </row>
    <row r="8" spans="1:8" ht="15.6" x14ac:dyDescent="0.3">
      <c r="A8" s="138">
        <v>4</v>
      </c>
      <c r="B8" s="139" t="s">
        <v>781</v>
      </c>
      <c r="C8" s="146">
        <v>-20.55959847308533</v>
      </c>
      <c r="D8" s="147"/>
      <c r="E8" s="148">
        <f t="shared" si="0"/>
        <v>-20.55959847308533</v>
      </c>
      <c r="F8" s="146">
        <v>-20.55959847308533</v>
      </c>
      <c r="G8" s="147"/>
      <c r="H8" s="148">
        <f t="shared" si="1"/>
        <v>-20.55959847308533</v>
      </c>
    </row>
    <row r="9" spans="1:8" ht="15.6" x14ac:dyDescent="0.3">
      <c r="A9" s="138">
        <v>5</v>
      </c>
      <c r="B9" s="139" t="s">
        <v>782</v>
      </c>
      <c r="C9" s="146">
        <v>-1.7802656064335467</v>
      </c>
      <c r="D9" s="147"/>
      <c r="E9" s="148">
        <f t="shared" si="0"/>
        <v>-1.7802656064335467</v>
      </c>
      <c r="F9" s="146">
        <v>-1.7802656064335467</v>
      </c>
      <c r="G9" s="147"/>
      <c r="H9" s="148">
        <f t="shared" si="1"/>
        <v>-1.7802656064335467</v>
      </c>
    </row>
    <row r="10" spans="1:8" ht="15.6" x14ac:dyDescent="0.3">
      <c r="A10" s="138">
        <v>6</v>
      </c>
      <c r="B10" s="139" t="s">
        <v>783</v>
      </c>
      <c r="C10" s="146">
        <v>-0.79249989381419539</v>
      </c>
      <c r="D10" s="147">
        <v>-1.6583829553807812</v>
      </c>
      <c r="E10" s="148">
        <f t="shared" si="0"/>
        <v>-2.4508828491949766</v>
      </c>
      <c r="F10" s="146">
        <v>-0.79249989381419539</v>
      </c>
      <c r="G10" s="147">
        <v>-0.53653890096407031</v>
      </c>
      <c r="H10" s="148">
        <f t="shared" si="1"/>
        <v>-1.3290387947782656</v>
      </c>
    </row>
    <row r="11" spans="1:8" ht="15.6" x14ac:dyDescent="0.3">
      <c r="A11" s="138">
        <v>7</v>
      </c>
      <c r="B11" s="139" t="s">
        <v>784</v>
      </c>
      <c r="C11" s="146"/>
      <c r="D11" s="147">
        <v>0</v>
      </c>
      <c r="E11" s="148">
        <f t="shared" si="0"/>
        <v>0</v>
      </c>
      <c r="F11" s="146"/>
      <c r="G11" s="147">
        <v>-2.13</v>
      </c>
      <c r="H11" s="148">
        <f t="shared" si="1"/>
        <v>-2.13</v>
      </c>
    </row>
    <row r="12" spans="1:8" ht="15.6" x14ac:dyDescent="0.3">
      <c r="A12" s="138">
        <v>8</v>
      </c>
      <c r="B12" s="139" t="s">
        <v>787</v>
      </c>
      <c r="C12" s="146">
        <v>-3.6187473245272441</v>
      </c>
      <c r="D12" s="147">
        <v>-0.43689784763809825</v>
      </c>
      <c r="E12" s="148">
        <f t="shared" si="0"/>
        <v>-4.0556451721653426</v>
      </c>
      <c r="F12" s="146">
        <v>-10.1</v>
      </c>
      <c r="G12" s="147">
        <v>-4.04</v>
      </c>
      <c r="H12" s="148">
        <f t="shared" si="1"/>
        <v>-14.14</v>
      </c>
    </row>
    <row r="13" spans="1:8" ht="15.6" x14ac:dyDescent="0.3">
      <c r="A13" s="138">
        <v>9</v>
      </c>
      <c r="B13" s="139" t="s">
        <v>77</v>
      </c>
      <c r="C13" s="146">
        <f ca="1">'RJA-3_Electric_Attrition'!M116/1000000-SUM(C5:C12)</f>
        <v>-7.0092322627582178</v>
      </c>
      <c r="D13" s="147">
        <f ca="1">'RJA-4_Gas_Attrition'!M112/1000000-SUM(D5:D12)</f>
        <v>0.82026706144401373</v>
      </c>
      <c r="E13" s="148">
        <f t="shared" ca="1" si="0"/>
        <v>-6.188965201314204</v>
      </c>
      <c r="F13" s="146">
        <v>1E-3</v>
      </c>
      <c r="G13" s="147">
        <v>0</v>
      </c>
      <c r="H13" s="148">
        <f t="shared" si="1"/>
        <v>1E-3</v>
      </c>
    </row>
    <row r="14" spans="1:8" ht="15.6" x14ac:dyDescent="0.3">
      <c r="A14" s="138">
        <v>10</v>
      </c>
      <c r="B14" s="139"/>
      <c r="C14" s="149"/>
      <c r="D14" s="150"/>
      <c r="E14" s="151"/>
      <c r="F14" s="149"/>
      <c r="G14" s="150"/>
      <c r="H14" s="151"/>
    </row>
    <row r="15" spans="1:8" ht="15.6" x14ac:dyDescent="0.3">
      <c r="A15" s="138">
        <v>11</v>
      </c>
      <c r="B15" s="139" t="s">
        <v>785</v>
      </c>
      <c r="C15" s="146">
        <f ca="1">SUM(C7:C14)</f>
        <v>-34.725440394486107</v>
      </c>
      <c r="D15" s="147">
        <f ca="1">SUM(D7:D14)</f>
        <v>1.3518601760305524</v>
      </c>
      <c r="E15" s="148">
        <f ca="1">SUM(E7:E14)</f>
        <v>-33.373580218455551</v>
      </c>
      <c r="F15" s="146">
        <f>SUM(F7:F14)</f>
        <v>-34.196460807200644</v>
      </c>
      <c r="G15" s="147">
        <f>SUM(G7:G14)</f>
        <v>1.4518784828633065</v>
      </c>
      <c r="H15" s="148">
        <f>SUM(H7:H14)-0.01</f>
        <v>-32.754582324337335</v>
      </c>
    </row>
    <row r="16" spans="1:8" ht="15.6" x14ac:dyDescent="0.3">
      <c r="A16" s="138">
        <v>12</v>
      </c>
      <c r="B16" s="139"/>
      <c r="C16" s="149"/>
      <c r="D16" s="150"/>
      <c r="E16" s="151"/>
      <c r="F16" s="149"/>
      <c r="G16" s="150"/>
      <c r="H16" s="151"/>
    </row>
    <row r="17" spans="1:8" ht="16.2" thickBot="1" x14ac:dyDescent="0.35">
      <c r="A17" s="138">
        <v>13</v>
      </c>
      <c r="B17" s="139" t="s">
        <v>786</v>
      </c>
      <c r="C17" s="152">
        <f ca="1">C5+C15</f>
        <v>83.674559605513906</v>
      </c>
      <c r="D17" s="153">
        <f t="shared" ref="D17:E17" ca="1" si="2">D5+D15</f>
        <v>109.55186017603056</v>
      </c>
      <c r="E17" s="154">
        <f t="shared" ca="1" si="2"/>
        <v>193.22641978154448</v>
      </c>
      <c r="F17" s="152">
        <f>F5+F15</f>
        <v>84.203539192799354</v>
      </c>
      <c r="G17" s="153">
        <f t="shared" ref="G17:H17" si="3">G5+G15</f>
        <v>109.65187848286331</v>
      </c>
      <c r="H17" s="154">
        <f t="shared" si="3"/>
        <v>193.8454176756627</v>
      </c>
    </row>
    <row r="18" spans="1:8" ht="15" thickTop="1" x14ac:dyDescent="0.3">
      <c r="C18" s="496">
        <f ca="1">'RJA-3_Electric_Attrition'!M116/1000000-C17</f>
        <v>0</v>
      </c>
      <c r="D18" s="497">
        <f ca="1">'RJA-4_Gas_Attrition'!M112/1000000-D17</f>
        <v>0</v>
      </c>
      <c r="E18" s="498">
        <f ca="1">SUM(C18:D18)</f>
        <v>0</v>
      </c>
      <c r="F18" s="496"/>
      <c r="G18" s="497"/>
      <c r="H18" s="498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52"/>
  <sheetViews>
    <sheetView view="pageBreakPreview" zoomScale="85" zoomScaleNormal="70" zoomScaleSheetLayoutView="85" workbookViewId="0">
      <pane xSplit="2" ySplit="7" topLeftCell="C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4.4" x14ac:dyDescent="0.3"/>
  <cols>
    <col min="1" max="1" width="9.44140625" style="15" bestFit="1" customWidth="1"/>
    <col min="2" max="2" width="35.109375" style="15" bestFit="1" customWidth="1"/>
    <col min="3" max="13" width="19" style="15" customWidth="1"/>
    <col min="14" max="14" width="9.88671875" style="15" bestFit="1" customWidth="1"/>
    <col min="15" max="16" width="9.109375" style="15"/>
    <col min="17" max="17" width="12.88671875" style="15" bestFit="1" customWidth="1"/>
    <col min="18" max="16384" width="9.109375" style="15"/>
  </cols>
  <sheetData>
    <row r="1" spans="1:15" x14ac:dyDescent="0.3">
      <c r="A1" s="66" t="s">
        <v>85</v>
      </c>
    </row>
    <row r="2" spans="1:15" x14ac:dyDescent="0.3">
      <c r="A2" s="66" t="s">
        <v>86</v>
      </c>
    </row>
    <row r="3" spans="1:15" x14ac:dyDescent="0.3">
      <c r="A3" s="66" t="s">
        <v>87</v>
      </c>
    </row>
    <row r="4" spans="1:15" x14ac:dyDescent="0.3">
      <c r="A4" s="66" t="s">
        <v>88</v>
      </c>
      <c r="C4" s="64" t="s">
        <v>602</v>
      </c>
      <c r="D4" s="64" t="s">
        <v>603</v>
      </c>
      <c r="E4" s="64" t="s">
        <v>604</v>
      </c>
      <c r="F4" s="64" t="s">
        <v>605</v>
      </c>
      <c r="G4" s="64" t="s">
        <v>606</v>
      </c>
      <c r="H4" s="64" t="s">
        <v>607</v>
      </c>
      <c r="I4" s="64" t="s">
        <v>608</v>
      </c>
      <c r="J4" s="64" t="s">
        <v>609</v>
      </c>
      <c r="K4" s="64" t="s">
        <v>610</v>
      </c>
      <c r="L4" s="64" t="s">
        <v>611</v>
      </c>
      <c r="M4" s="64" t="s">
        <v>612</v>
      </c>
    </row>
    <row r="5" spans="1:15" x14ac:dyDescent="0.3">
      <c r="I5" s="15">
        <v>0</v>
      </c>
      <c r="J5" s="15">
        <v>1</v>
      </c>
      <c r="K5" s="15">
        <v>2</v>
      </c>
      <c r="L5" s="15">
        <v>3</v>
      </c>
      <c r="M5" s="15">
        <v>4</v>
      </c>
    </row>
    <row r="6" spans="1:15" x14ac:dyDescent="0.3">
      <c r="A6" s="431" t="s">
        <v>11</v>
      </c>
      <c r="B6" s="155"/>
      <c r="D6" s="15">
        <v>0</v>
      </c>
      <c r="E6" s="15">
        <v>1</v>
      </c>
      <c r="F6" s="15">
        <v>2</v>
      </c>
      <c r="G6" s="15">
        <v>3</v>
      </c>
      <c r="H6" s="15">
        <v>4</v>
      </c>
      <c r="I6" s="15">
        <v>5</v>
      </c>
      <c r="J6" s="15">
        <v>6</v>
      </c>
      <c r="K6" s="15">
        <v>7</v>
      </c>
      <c r="L6" s="15">
        <v>8</v>
      </c>
      <c r="M6" s="15">
        <v>9</v>
      </c>
    </row>
    <row r="7" spans="1:15" x14ac:dyDescent="0.3">
      <c r="A7" s="432" t="s">
        <v>14</v>
      </c>
      <c r="B7" s="433"/>
      <c r="C7" s="432">
        <v>2008</v>
      </c>
      <c r="D7" s="432">
        <v>2009</v>
      </c>
      <c r="E7" s="432">
        <f>D7+1</f>
        <v>2010</v>
      </c>
      <c r="F7" s="432">
        <f t="shared" ref="F7:M7" si="0">E7+1</f>
        <v>2011</v>
      </c>
      <c r="G7" s="432">
        <f t="shared" si="0"/>
        <v>2012</v>
      </c>
      <c r="H7" s="432">
        <f t="shared" si="0"/>
        <v>2013</v>
      </c>
      <c r="I7" s="432">
        <f t="shared" si="0"/>
        <v>2014</v>
      </c>
      <c r="J7" s="432">
        <f t="shared" si="0"/>
        <v>2015</v>
      </c>
      <c r="K7" s="432">
        <f t="shared" si="0"/>
        <v>2016</v>
      </c>
      <c r="L7" s="432">
        <f t="shared" si="0"/>
        <v>2017</v>
      </c>
      <c r="M7" s="432">
        <f t="shared" si="0"/>
        <v>2018</v>
      </c>
    </row>
    <row r="8" spans="1:15" x14ac:dyDescent="0.3">
      <c r="A8" s="76"/>
      <c r="B8" s="76"/>
    </row>
    <row r="9" spans="1:15" x14ac:dyDescent="0.3">
      <c r="A9" s="158">
        <f>IF(ISBLANK(B9),"",MAX(A$8:A8)+1)</f>
        <v>1</v>
      </c>
      <c r="B9" s="159" t="s">
        <v>23</v>
      </c>
    </row>
    <row r="10" spans="1:15" x14ac:dyDescent="0.3">
      <c r="A10" s="158">
        <f>IF(ISBLANK(B10),"",MAX(A$8:A9)+1)</f>
        <v>2</v>
      </c>
      <c r="B10" s="160" t="s">
        <v>24</v>
      </c>
      <c r="C10" s="161">
        <v>1903051393</v>
      </c>
      <c r="D10" s="161">
        <v>1991518451</v>
      </c>
      <c r="E10" s="161">
        <v>2007187393</v>
      </c>
      <c r="F10" s="161">
        <v>2039290228.8385594</v>
      </c>
      <c r="G10" s="161">
        <v>2025000182.0899918</v>
      </c>
      <c r="H10" s="161">
        <v>2042182244.8999901</v>
      </c>
      <c r="I10" s="161">
        <v>2004908607.7876546</v>
      </c>
      <c r="J10" s="161">
        <v>2007053362.2894361</v>
      </c>
      <c r="K10" s="161">
        <v>2017385660.7384136</v>
      </c>
      <c r="L10" s="161">
        <v>2064878209.7257524</v>
      </c>
      <c r="M10" s="161">
        <v>2011924425.2854278</v>
      </c>
      <c r="N10" s="52"/>
      <c r="O10" s="52"/>
    </row>
    <row r="11" spans="1:15" x14ac:dyDescent="0.3">
      <c r="A11" s="158">
        <f>IF(ISBLANK(B11),"",MAX(A$8:A10)+1)</f>
        <v>3</v>
      </c>
      <c r="B11" s="160" t="s">
        <v>25</v>
      </c>
      <c r="C11" s="162">
        <v>364960</v>
      </c>
      <c r="D11" s="162">
        <v>360904</v>
      </c>
      <c r="E11" s="162">
        <v>353283</v>
      </c>
      <c r="F11" s="162">
        <v>367992</v>
      </c>
      <c r="G11" s="162">
        <v>356444.19</v>
      </c>
      <c r="H11" s="162">
        <v>347076.49</v>
      </c>
      <c r="I11" s="162">
        <v>343151.38</v>
      </c>
      <c r="J11" s="162">
        <v>331308.68</v>
      </c>
      <c r="K11" s="162">
        <v>330765.86</v>
      </c>
      <c r="L11" s="162">
        <v>351642.30999999901</v>
      </c>
      <c r="M11" s="162">
        <v>343450.51999999897</v>
      </c>
      <c r="N11" s="52"/>
      <c r="O11" s="52"/>
    </row>
    <row r="12" spans="1:15" x14ac:dyDescent="0.3">
      <c r="A12" s="158">
        <f>IF(ISBLANK(B12),"",MAX(A$8:A11)+1)</f>
        <v>4</v>
      </c>
      <c r="B12" s="160" t="s">
        <v>26</v>
      </c>
      <c r="C12" s="162">
        <v>173342971</v>
      </c>
      <c r="D12" s="162">
        <v>214495351</v>
      </c>
      <c r="E12" s="162">
        <v>219025292</v>
      </c>
      <c r="F12" s="162">
        <v>138360638</v>
      </c>
      <c r="G12" s="162">
        <v>83564695.549999893</v>
      </c>
      <c r="H12" s="162">
        <v>161624732.97</v>
      </c>
      <c r="I12" s="162">
        <v>107219294.19</v>
      </c>
      <c r="J12" s="162">
        <v>193328153.16</v>
      </c>
      <c r="K12" s="162">
        <v>180683383.30000001</v>
      </c>
      <c r="L12" s="162">
        <v>129039388.059999</v>
      </c>
      <c r="M12" s="162">
        <v>155333122.24000001</v>
      </c>
      <c r="N12" s="52"/>
      <c r="O12" s="52"/>
    </row>
    <row r="13" spans="1:15" x14ac:dyDescent="0.3">
      <c r="A13" s="158">
        <f>IF(ISBLANK(B13),"",MAX(A$8:A12)+1)</f>
        <v>5</v>
      </c>
      <c r="B13" s="160" t="s">
        <v>27</v>
      </c>
      <c r="C13" s="163">
        <v>55620695</v>
      </c>
      <c r="D13" s="163">
        <v>-11540959</v>
      </c>
      <c r="E13" s="163">
        <v>-1785337</v>
      </c>
      <c r="F13" s="163">
        <v>-17160579.786131397</v>
      </c>
      <c r="G13" s="163">
        <v>22792080.669999998</v>
      </c>
      <c r="H13" s="163">
        <v>32123520.229999997</v>
      </c>
      <c r="I13" s="163">
        <v>92993533.579999</v>
      </c>
      <c r="J13" s="163">
        <v>69463291.710000008</v>
      </c>
      <c r="K13" s="163">
        <v>81334807.879999995</v>
      </c>
      <c r="L13" s="163">
        <v>76817330.759999901</v>
      </c>
      <c r="M13" s="163">
        <v>126952920.91</v>
      </c>
      <c r="N13" s="52"/>
      <c r="O13" s="52"/>
    </row>
    <row r="14" spans="1:15" x14ac:dyDescent="0.3">
      <c r="A14" s="158">
        <f>IF(ISBLANK(B14),"",MAX(A$8:A13)+1)</f>
        <v>6</v>
      </c>
      <c r="B14" s="164" t="s">
        <v>28</v>
      </c>
      <c r="C14" s="165">
        <f t="shared" ref="C14:L14" si="1">SUM(C10:C13)</f>
        <v>2132380019</v>
      </c>
      <c r="D14" s="165">
        <f t="shared" si="1"/>
        <v>2194833747</v>
      </c>
      <c r="E14" s="165">
        <f t="shared" si="1"/>
        <v>2224780631</v>
      </c>
      <c r="F14" s="165">
        <f t="shared" si="1"/>
        <v>2160858279.0524278</v>
      </c>
      <c r="G14" s="165">
        <f t="shared" si="1"/>
        <v>2131713402.4999919</v>
      </c>
      <c r="H14" s="165">
        <f t="shared" si="1"/>
        <v>2236277574.5899901</v>
      </c>
      <c r="I14" s="165">
        <f t="shared" si="1"/>
        <v>2205464586.937654</v>
      </c>
      <c r="J14" s="165">
        <f t="shared" si="1"/>
        <v>2270176115.8394361</v>
      </c>
      <c r="K14" s="165">
        <f t="shared" si="1"/>
        <v>2279734617.7784138</v>
      </c>
      <c r="L14" s="165">
        <f t="shared" si="1"/>
        <v>2271086570.855751</v>
      </c>
      <c r="M14" s="165">
        <f>SUM(M10:M13)</f>
        <v>2294553918.9554276</v>
      </c>
      <c r="N14" s="52"/>
      <c r="O14" s="52"/>
    </row>
    <row r="15" spans="1:15" x14ac:dyDescent="0.3">
      <c r="A15" s="158" t="str">
        <f>IF(ISBLANK(B15),"",MAX(A$8:A14)+1)</f>
        <v/>
      </c>
      <c r="B15" s="76"/>
      <c r="C15" s="495"/>
      <c r="D15" s="495"/>
      <c r="E15" s="495"/>
      <c r="F15" s="495"/>
      <c r="G15" s="495"/>
      <c r="H15" s="495"/>
      <c r="I15" s="495"/>
      <c r="J15" s="495"/>
      <c r="K15" s="495"/>
      <c r="L15" s="495"/>
      <c r="M15" s="495"/>
    </row>
    <row r="16" spans="1:15" x14ac:dyDescent="0.3">
      <c r="A16" s="158">
        <f>IF(ISBLANK(B16),"",MAX(A$8:A15)+1)</f>
        <v>7</v>
      </c>
      <c r="B16" s="159" t="s">
        <v>29</v>
      </c>
      <c r="C16" s="166"/>
      <c r="D16" s="166"/>
      <c r="E16" s="166"/>
      <c r="F16" s="166"/>
      <c r="G16" s="166"/>
      <c r="H16" s="166"/>
      <c r="I16" s="166"/>
      <c r="J16" s="166"/>
      <c r="K16" s="166"/>
      <c r="L16" s="166"/>
      <c r="M16" s="166"/>
    </row>
    <row r="17" spans="1:15" x14ac:dyDescent="0.3">
      <c r="A17" s="158" t="str">
        <f>IF(ISBLANK(B17),"",MAX(A$8:A16)+1)</f>
        <v/>
      </c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5" x14ac:dyDescent="0.3">
      <c r="A18" s="158">
        <f>IF(ISBLANK(B18),"",MAX(A$8:A17)+1)</f>
        <v>8</v>
      </c>
      <c r="B18" s="159" t="s">
        <v>30</v>
      </c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</row>
    <row r="19" spans="1:15" x14ac:dyDescent="0.3">
      <c r="A19" s="158">
        <f>IF(ISBLANK(B19),"",MAX(A$8:A18)+1)</f>
        <v>9</v>
      </c>
      <c r="B19" s="160" t="s">
        <v>31</v>
      </c>
      <c r="C19" s="161">
        <v>211177486</v>
      </c>
      <c r="D19" s="161">
        <v>212556764</v>
      </c>
      <c r="E19" s="161">
        <v>266564587</v>
      </c>
      <c r="F19" s="161">
        <v>210504349</v>
      </c>
      <c r="G19" s="161">
        <v>204955671.91999999</v>
      </c>
      <c r="H19" s="161">
        <v>255923872.5969103</v>
      </c>
      <c r="I19" s="161">
        <v>263407534.64999899</v>
      </c>
      <c r="J19" s="161">
        <v>249993259.24999899</v>
      </c>
      <c r="K19" s="161">
        <v>214545500.66</v>
      </c>
      <c r="L19" s="161">
        <v>205212044.38999999</v>
      </c>
      <c r="M19" s="161">
        <v>205237492.65000001</v>
      </c>
      <c r="N19" s="52"/>
      <c r="O19" s="52"/>
    </row>
    <row r="20" spans="1:15" x14ac:dyDescent="0.3">
      <c r="A20" s="158">
        <f>IF(ISBLANK(B20),"",MAX(A$8:A19)+1)</f>
        <v>10</v>
      </c>
      <c r="B20" s="160" t="s">
        <v>32</v>
      </c>
      <c r="C20" s="162">
        <v>908746223</v>
      </c>
      <c r="D20" s="162">
        <v>919664651</v>
      </c>
      <c r="E20" s="162">
        <v>845844590</v>
      </c>
      <c r="F20" s="162">
        <v>758620342.98000002</v>
      </c>
      <c r="G20" s="162">
        <v>592905294.41813183</v>
      </c>
      <c r="H20" s="162">
        <v>554301467.19804037</v>
      </c>
      <c r="I20" s="162">
        <v>474233981.5632571</v>
      </c>
      <c r="J20" s="162">
        <v>536506655.34188277</v>
      </c>
      <c r="K20" s="162">
        <v>559159481.31562865</v>
      </c>
      <c r="L20" s="162">
        <v>523175421.6243574</v>
      </c>
      <c r="M20" s="162">
        <v>600386473.42446148</v>
      </c>
      <c r="N20" s="52"/>
      <c r="O20" s="52"/>
    </row>
    <row r="21" spans="1:15" x14ac:dyDescent="0.3">
      <c r="A21" s="158">
        <f>IF(ISBLANK(B21),"",MAX(A$8:A20)+1)</f>
        <v>11</v>
      </c>
      <c r="B21" s="160" t="s">
        <v>33</v>
      </c>
      <c r="C21" s="162">
        <v>70713346</v>
      </c>
      <c r="D21" s="162">
        <v>75750184</v>
      </c>
      <c r="E21" s="162">
        <v>78564669</v>
      </c>
      <c r="F21" s="162">
        <v>82631624</v>
      </c>
      <c r="G21" s="162">
        <v>87085889.730000004</v>
      </c>
      <c r="H21" s="162">
        <v>94741838.969999999</v>
      </c>
      <c r="I21" s="162">
        <v>108412772.989999</v>
      </c>
      <c r="J21" s="162">
        <v>110658354.28999899</v>
      </c>
      <c r="K21" s="162">
        <v>114137948.81999899</v>
      </c>
      <c r="L21" s="162">
        <v>117598896.45</v>
      </c>
      <c r="M21" s="162">
        <v>115807777.5999999</v>
      </c>
      <c r="N21" s="52"/>
      <c r="O21" s="52"/>
    </row>
    <row r="22" spans="1:15" x14ac:dyDescent="0.3">
      <c r="A22" s="158">
        <f>IF(ISBLANK(B22),"",MAX(A$8:A21)+1)</f>
        <v>12</v>
      </c>
      <c r="B22" s="160" t="s">
        <v>34</v>
      </c>
      <c r="C22" s="163">
        <v>0</v>
      </c>
      <c r="D22" s="163">
        <v>0</v>
      </c>
      <c r="E22" s="163">
        <v>0</v>
      </c>
      <c r="F22" s="163">
        <v>-0.18999999761581421</v>
      </c>
      <c r="G22" s="163">
        <v>0</v>
      </c>
      <c r="H22" s="163">
        <v>0</v>
      </c>
      <c r="I22" s="163">
        <v>0</v>
      </c>
      <c r="J22" s="163">
        <v>0</v>
      </c>
      <c r="K22" s="163">
        <v>0</v>
      </c>
      <c r="L22" s="163">
        <v>0</v>
      </c>
      <c r="M22" s="163">
        <v>0</v>
      </c>
      <c r="N22" s="52"/>
      <c r="O22" s="52"/>
    </row>
    <row r="23" spans="1:15" x14ac:dyDescent="0.3">
      <c r="A23" s="158">
        <f>IF(ISBLANK(B23),"",MAX(A$8:A22)+1)</f>
        <v>13</v>
      </c>
      <c r="B23" s="164" t="s">
        <v>35</v>
      </c>
      <c r="C23" s="165">
        <f t="shared" ref="C23:L23" si="2">SUM(C19:C22)</f>
        <v>1190637055</v>
      </c>
      <c r="D23" s="165">
        <f t="shared" si="2"/>
        <v>1207971599</v>
      </c>
      <c r="E23" s="165">
        <f t="shared" si="2"/>
        <v>1190973846</v>
      </c>
      <c r="F23" s="165">
        <f t="shared" si="2"/>
        <v>1051756315.79</v>
      </c>
      <c r="G23" s="165">
        <f t="shared" si="2"/>
        <v>884946856.0681318</v>
      </c>
      <c r="H23" s="165">
        <f t="shared" si="2"/>
        <v>904967178.76495075</v>
      </c>
      <c r="I23" s="165">
        <f t="shared" si="2"/>
        <v>846054289.20325518</v>
      </c>
      <c r="J23" s="165">
        <f t="shared" si="2"/>
        <v>897158268.88188076</v>
      </c>
      <c r="K23" s="165">
        <f t="shared" si="2"/>
        <v>887842930.79562759</v>
      </c>
      <c r="L23" s="165">
        <f t="shared" si="2"/>
        <v>845986362.46435738</v>
      </c>
      <c r="M23" s="165">
        <f>SUM(M19:M22)</f>
        <v>921431743.67446136</v>
      </c>
    </row>
    <row r="24" spans="1:15" x14ac:dyDescent="0.3">
      <c r="A24" s="158" t="str">
        <f>IF(ISBLANK(B24),"",MAX(A$8:A23)+1)</f>
        <v/>
      </c>
      <c r="B24" s="167"/>
      <c r="C24" s="168"/>
      <c r="D24" s="168"/>
      <c r="E24" s="168"/>
      <c r="F24" s="168"/>
      <c r="G24" s="168"/>
      <c r="H24" s="168"/>
      <c r="I24" s="168"/>
      <c r="J24" s="168"/>
      <c r="K24" s="168"/>
      <c r="L24" s="168"/>
      <c r="M24" s="168"/>
    </row>
    <row r="25" spans="1:15" x14ac:dyDescent="0.3">
      <c r="A25" s="158">
        <f>IF(ISBLANK(B25),"",MAX(A$8:A24)+1)</f>
        <v>14</v>
      </c>
      <c r="B25" s="169" t="s">
        <v>36</v>
      </c>
      <c r="C25" s="161">
        <v>102819798</v>
      </c>
      <c r="D25" s="161">
        <v>103178213</v>
      </c>
      <c r="E25" s="161">
        <v>102409192</v>
      </c>
      <c r="F25" s="161">
        <v>114139604</v>
      </c>
      <c r="G25" s="161">
        <v>114593255.67</v>
      </c>
      <c r="H25" s="161">
        <v>116266189.11</v>
      </c>
      <c r="I25" s="161">
        <v>113089598.489999</v>
      </c>
      <c r="J25" s="161">
        <v>117539552.45</v>
      </c>
      <c r="K25" s="161">
        <v>126338251.61</v>
      </c>
      <c r="L25" s="161">
        <v>125057644.48</v>
      </c>
      <c r="M25" s="161">
        <v>127167992.89</v>
      </c>
      <c r="N25" s="52"/>
      <c r="O25" s="52"/>
    </row>
    <row r="26" spans="1:15" x14ac:dyDescent="0.3">
      <c r="A26" s="158">
        <f>IF(ISBLANK(B26),"",MAX(A$8:A25)+1)</f>
        <v>15</v>
      </c>
      <c r="B26" s="167" t="s">
        <v>37</v>
      </c>
      <c r="C26" s="162">
        <v>9234124</v>
      </c>
      <c r="D26" s="162">
        <v>12599840</v>
      </c>
      <c r="E26" s="162">
        <v>11865443</v>
      </c>
      <c r="F26" s="162">
        <v>9481215</v>
      </c>
      <c r="G26" s="162">
        <v>19058039.77</v>
      </c>
      <c r="H26" s="162">
        <v>19355850.77</v>
      </c>
      <c r="I26" s="162">
        <v>21589071.039999999</v>
      </c>
      <c r="J26" s="162">
        <v>19801305.129999999</v>
      </c>
      <c r="K26" s="162">
        <v>20320134.359999999</v>
      </c>
      <c r="L26" s="162">
        <v>20766210.801666666</v>
      </c>
      <c r="M26" s="162">
        <v>24332157.803333331</v>
      </c>
      <c r="N26" s="52"/>
      <c r="O26" s="52"/>
    </row>
    <row r="27" spans="1:15" x14ac:dyDescent="0.3">
      <c r="A27" s="158">
        <f>IF(ISBLANK(B27),"",MAX(A$8:A26)+1)</f>
        <v>16</v>
      </c>
      <c r="B27" s="167" t="s">
        <v>38</v>
      </c>
      <c r="C27" s="162">
        <v>76776331</v>
      </c>
      <c r="D27" s="162">
        <v>73658034</v>
      </c>
      <c r="E27" s="162">
        <v>82924735</v>
      </c>
      <c r="F27" s="162">
        <v>78245091</v>
      </c>
      <c r="G27" s="162">
        <v>74862781.4799999</v>
      </c>
      <c r="H27" s="162">
        <v>77321920.470000103</v>
      </c>
      <c r="I27" s="162">
        <v>84585141.340000093</v>
      </c>
      <c r="J27" s="162">
        <v>82427091.379999697</v>
      </c>
      <c r="K27" s="162">
        <v>86297606.629999995</v>
      </c>
      <c r="L27" s="162">
        <v>77563201.6049999</v>
      </c>
      <c r="M27" s="162">
        <v>83372508.809999987</v>
      </c>
      <c r="N27" s="52"/>
      <c r="O27" s="52"/>
    </row>
    <row r="28" spans="1:15" x14ac:dyDescent="0.3">
      <c r="A28" s="158">
        <f>IF(ISBLANK(B28),"",MAX(A$8:A27)+1)</f>
        <v>17</v>
      </c>
      <c r="B28" s="167" t="s">
        <v>39</v>
      </c>
      <c r="C28" s="162">
        <v>41683675</v>
      </c>
      <c r="D28" s="162">
        <v>45085528</v>
      </c>
      <c r="E28" s="162">
        <v>47455407</v>
      </c>
      <c r="F28" s="162">
        <v>48140875.764710054</v>
      </c>
      <c r="G28" s="162">
        <v>49220844.545148075</v>
      </c>
      <c r="H28" s="162">
        <v>50570101.134546086</v>
      </c>
      <c r="I28" s="162">
        <v>51078600.205777928</v>
      </c>
      <c r="J28" s="162">
        <v>48055080.977272317</v>
      </c>
      <c r="K28" s="162">
        <v>45755372.975181311</v>
      </c>
      <c r="L28" s="162">
        <v>49648470.869873516</v>
      </c>
      <c r="M28" s="162">
        <v>51991833.081282966</v>
      </c>
      <c r="N28" s="52"/>
      <c r="O28" s="52"/>
    </row>
    <row r="29" spans="1:15" x14ac:dyDescent="0.3">
      <c r="A29" s="158">
        <f>IF(ISBLANK(B29),"",MAX(A$8:A28)+1)</f>
        <v>18</v>
      </c>
      <c r="B29" s="167" t="s">
        <v>40</v>
      </c>
      <c r="C29" s="162">
        <v>2182046</v>
      </c>
      <c r="D29" s="162">
        <v>2119825</v>
      </c>
      <c r="E29" s="162">
        <v>1672529</v>
      </c>
      <c r="F29" s="162">
        <v>3719954.7100000009</v>
      </c>
      <c r="G29" s="162">
        <v>2032132.1844440009</v>
      </c>
      <c r="H29" s="162">
        <v>2090482.4327729978</v>
      </c>
      <c r="I29" s="162">
        <v>2575944.9197699986</v>
      </c>
      <c r="J29" s="162">
        <v>2145430.9417550005</v>
      </c>
      <c r="K29" s="162">
        <v>2655739.3946398981</v>
      </c>
      <c r="L29" s="162">
        <v>2761262.8507998995</v>
      </c>
      <c r="M29" s="162">
        <v>4017658.049999997</v>
      </c>
      <c r="N29" s="52"/>
      <c r="O29" s="52"/>
    </row>
    <row r="30" spans="1:15" x14ac:dyDescent="0.3">
      <c r="A30" s="158">
        <f>IF(ISBLANK(B30),"",MAX(A$8:A29)+1)</f>
        <v>19</v>
      </c>
      <c r="B30" s="167" t="s">
        <v>41</v>
      </c>
      <c r="C30" s="162">
        <v>1062</v>
      </c>
      <c r="D30" s="162">
        <v>1496</v>
      </c>
      <c r="E30" s="162">
        <v>2589</v>
      </c>
      <c r="F30" s="162">
        <v>2384</v>
      </c>
      <c r="G30" s="162">
        <v>0</v>
      </c>
      <c r="H30" s="162">
        <v>14150.980000004172</v>
      </c>
      <c r="I30" s="162">
        <v>16762.199999988079</v>
      </c>
      <c r="J30" s="162">
        <v>42549.109999999404</v>
      </c>
      <c r="K30" s="162">
        <v>26209.79999999702</v>
      </c>
      <c r="L30" s="162">
        <v>0</v>
      </c>
      <c r="M30" s="162">
        <v>0</v>
      </c>
      <c r="N30" s="52"/>
      <c r="O30" s="52"/>
    </row>
    <row r="31" spans="1:15" x14ac:dyDescent="0.3">
      <c r="A31" s="158">
        <f>IF(ISBLANK(B31),"",MAX(A$8:A30)+1)</f>
        <v>20</v>
      </c>
      <c r="B31" s="167" t="s">
        <v>42</v>
      </c>
      <c r="C31" s="162">
        <v>92385980</v>
      </c>
      <c r="D31" s="162">
        <v>97625991</v>
      </c>
      <c r="E31" s="162">
        <v>96580793</v>
      </c>
      <c r="F31" s="162">
        <v>96361837.463733703</v>
      </c>
      <c r="G31" s="162">
        <v>99264865.550326318</v>
      </c>
      <c r="H31" s="162">
        <v>106511054.42340092</v>
      </c>
      <c r="I31" s="162">
        <v>110332420.87521468</v>
      </c>
      <c r="J31" s="162">
        <v>109690022.39250499</v>
      </c>
      <c r="K31" s="162">
        <v>117707587.96722367</v>
      </c>
      <c r="L31" s="162">
        <v>126051437.76548122</v>
      </c>
      <c r="M31" s="162">
        <v>126906775.96764377</v>
      </c>
      <c r="N31" s="52"/>
      <c r="O31" s="52"/>
    </row>
    <row r="32" spans="1:15" x14ac:dyDescent="0.3">
      <c r="A32" s="158">
        <f>IF(ISBLANK(B32),"",MAX(A$8:A31)+1)</f>
        <v>21</v>
      </c>
      <c r="B32" s="167" t="s">
        <v>1</v>
      </c>
      <c r="C32" s="162">
        <v>173307040</v>
      </c>
      <c r="D32" s="162">
        <v>175363375</v>
      </c>
      <c r="E32" s="162">
        <v>189969952</v>
      </c>
      <c r="F32" s="162">
        <v>196518499</v>
      </c>
      <c r="G32" s="162">
        <v>231652711.675026</v>
      </c>
      <c r="H32" s="162">
        <v>253067006.66591197</v>
      </c>
      <c r="I32" s="162">
        <v>258584355.78373</v>
      </c>
      <c r="J32" s="162">
        <v>261006083.04840899</v>
      </c>
      <c r="K32" s="162">
        <v>270531720.895136</v>
      </c>
      <c r="L32" s="162">
        <v>282917294.47898799</v>
      </c>
      <c r="M32" s="162">
        <v>341413195.95999998</v>
      </c>
      <c r="N32" s="52"/>
      <c r="O32" s="52"/>
    </row>
    <row r="33" spans="1:15" x14ac:dyDescent="0.3">
      <c r="A33" s="158">
        <f>IF(ISBLANK(B33),"",MAX(A$8:A32)+1)</f>
        <v>22</v>
      </c>
      <c r="B33" s="167" t="s">
        <v>43</v>
      </c>
      <c r="C33" s="162">
        <v>34012299</v>
      </c>
      <c r="D33" s="162">
        <v>42870401</v>
      </c>
      <c r="E33" s="162">
        <v>40184321</v>
      </c>
      <c r="F33" s="162">
        <v>40172915</v>
      </c>
      <c r="G33" s="162">
        <v>38032760.074054003</v>
      </c>
      <c r="H33" s="162">
        <v>43370241.700067997</v>
      </c>
      <c r="I33" s="162">
        <v>45714686.335895002</v>
      </c>
      <c r="J33" s="162">
        <v>44770372.486271903</v>
      </c>
      <c r="K33" s="162">
        <v>46836789.313155897</v>
      </c>
      <c r="L33" s="162">
        <v>58683969.500147</v>
      </c>
      <c r="M33" s="162">
        <v>75292958.060000002</v>
      </c>
      <c r="N33" s="52"/>
      <c r="O33" s="52"/>
    </row>
    <row r="34" spans="1:15" x14ac:dyDescent="0.3">
      <c r="A34" s="158">
        <f>IF(ISBLANK(B34),"",MAX(A$8:A33)+1)</f>
        <v>23</v>
      </c>
      <c r="B34" s="172" t="s">
        <v>44</v>
      </c>
      <c r="C34" s="162">
        <v>6493409</v>
      </c>
      <c r="D34" s="162">
        <v>16582054</v>
      </c>
      <c r="E34" s="162">
        <v>17493031</v>
      </c>
      <c r="F34" s="162">
        <v>17829018</v>
      </c>
      <c r="G34" s="162">
        <v>17529939.599999901</v>
      </c>
      <c r="H34" s="162">
        <v>17213409.989999998</v>
      </c>
      <c r="I34" s="162">
        <v>17495991.16</v>
      </c>
      <c r="J34" s="162">
        <v>20604866.16</v>
      </c>
      <c r="K34" s="162">
        <v>20604865.870000001</v>
      </c>
      <c r="L34" s="162">
        <v>20885273.43</v>
      </c>
      <c r="M34" s="162">
        <v>35645161.039999902</v>
      </c>
      <c r="N34" s="52"/>
      <c r="O34" s="52"/>
    </row>
    <row r="35" spans="1:15" x14ac:dyDescent="0.3">
      <c r="A35" s="158">
        <f>IF(ISBLANK(B35),"",MAX(A$8:A34)+1)</f>
        <v>24</v>
      </c>
      <c r="B35" s="167" t="s">
        <v>45</v>
      </c>
      <c r="C35" s="162">
        <v>-483686</v>
      </c>
      <c r="D35" s="162">
        <v>-12304653</v>
      </c>
      <c r="E35" s="162">
        <v>1500116</v>
      </c>
      <c r="F35" s="162">
        <v>7530178.6400000006</v>
      </c>
      <c r="G35" s="162">
        <v>6256866.1899999008</v>
      </c>
      <c r="H35" s="162">
        <v>-2617632.6099999994</v>
      </c>
      <c r="I35" s="162">
        <v>13742103.509999998</v>
      </c>
      <c r="J35" s="162">
        <v>9954281.630000012</v>
      </c>
      <c r="K35" s="162">
        <v>6670730.5403540973</v>
      </c>
      <c r="L35" s="162">
        <v>5663554.4799999893</v>
      </c>
      <c r="M35" s="162">
        <v>9800224.150000006</v>
      </c>
      <c r="N35" s="52"/>
      <c r="O35" s="52"/>
    </row>
    <row r="36" spans="1:15" x14ac:dyDescent="0.3">
      <c r="A36" s="158">
        <f>IF(ISBLANK(B36),"",MAX(A$8:A35)+1)</f>
        <v>25</v>
      </c>
      <c r="B36" s="76" t="s">
        <v>46</v>
      </c>
      <c r="C36" s="162">
        <v>0</v>
      </c>
      <c r="D36" s="162">
        <v>0</v>
      </c>
      <c r="E36" s="162">
        <v>0</v>
      </c>
      <c r="F36" s="162">
        <v>0</v>
      </c>
      <c r="G36" s="162">
        <v>0</v>
      </c>
      <c r="H36" s="162">
        <v>0</v>
      </c>
      <c r="I36" s="162">
        <v>0</v>
      </c>
      <c r="J36" s="162">
        <v>0</v>
      </c>
      <c r="K36" s="162">
        <v>0</v>
      </c>
      <c r="L36" s="162">
        <v>0</v>
      </c>
      <c r="M36" s="162">
        <v>0</v>
      </c>
      <c r="N36" s="52"/>
      <c r="O36" s="52"/>
    </row>
    <row r="37" spans="1:15" x14ac:dyDescent="0.3">
      <c r="A37" s="158">
        <f>IF(ISBLANK(B37),"",MAX(A$8:A36)+1)</f>
        <v>26</v>
      </c>
      <c r="B37" s="167" t="s">
        <v>47</v>
      </c>
      <c r="C37" s="162">
        <v>118152091</v>
      </c>
      <c r="D37" s="162">
        <v>116977157</v>
      </c>
      <c r="E37" s="162">
        <v>119213711</v>
      </c>
      <c r="F37" s="162">
        <v>127728493.42753384</v>
      </c>
      <c r="G37" s="162">
        <v>130423618.59855486</v>
      </c>
      <c r="H37" s="162">
        <v>109946580.5717608</v>
      </c>
      <c r="I37" s="162">
        <v>88237765.505848348</v>
      </c>
      <c r="J37" s="162">
        <v>90218865.725536928</v>
      </c>
      <c r="K37" s="162">
        <v>89882199.710175306</v>
      </c>
      <c r="L37" s="162">
        <v>92631554.216374725</v>
      </c>
      <c r="M37" s="162">
        <v>87595913.278313041</v>
      </c>
      <c r="N37" s="52"/>
      <c r="O37" s="52"/>
    </row>
    <row r="38" spans="1:15" x14ac:dyDescent="0.3">
      <c r="A38" s="158">
        <f>IF(ISBLANK(B38),"",MAX(A$8:A37)+1)</f>
        <v>27</v>
      </c>
      <c r="B38" s="167" t="s">
        <v>48</v>
      </c>
      <c r="C38" s="162">
        <v>13930776</v>
      </c>
      <c r="D38" s="162">
        <v>-7647610</v>
      </c>
      <c r="E38" s="162">
        <v>-87430709</v>
      </c>
      <c r="F38" s="162">
        <v>7384094.9903848991</v>
      </c>
      <c r="G38" s="162">
        <v>-27227850.614852212</v>
      </c>
      <c r="H38" s="162">
        <v>22292266.333315253</v>
      </c>
      <c r="I38" s="162">
        <v>54565183.643169284</v>
      </c>
      <c r="J38" s="162">
        <v>124306565.82296923</v>
      </c>
      <c r="K38" s="162">
        <v>117722921.31570846</v>
      </c>
      <c r="L38" s="162">
        <v>49376559.435456164</v>
      </c>
      <c r="M38" s="162">
        <v>86500229.916636527</v>
      </c>
      <c r="N38" s="52"/>
      <c r="O38" s="52"/>
    </row>
    <row r="39" spans="1:15" x14ac:dyDescent="0.3">
      <c r="A39" s="158">
        <f>IF(ISBLANK(B39),"",MAX(A$8:A38)+1)</f>
        <v>28</v>
      </c>
      <c r="B39" s="76" t="s">
        <v>49</v>
      </c>
      <c r="C39" s="162">
        <v>50015228</v>
      </c>
      <c r="D39" s="162">
        <v>83044678</v>
      </c>
      <c r="E39" s="162">
        <v>163623559</v>
      </c>
      <c r="F39" s="162">
        <v>85875280.701500013</v>
      </c>
      <c r="G39" s="162">
        <v>142455422.64765495</v>
      </c>
      <c r="H39" s="162">
        <v>115670802.77350001</v>
      </c>
      <c r="I39" s="162">
        <v>86003991.210998952</v>
      </c>
      <c r="J39" s="162">
        <v>21694542.075500041</v>
      </c>
      <c r="K39" s="162">
        <v>26146707.294500023</v>
      </c>
      <c r="L39" s="162">
        <v>96393771.796466887</v>
      </c>
      <c r="M39" s="162">
        <v>-51808800.905295327</v>
      </c>
      <c r="N39" s="52"/>
      <c r="O39" s="52"/>
    </row>
    <row r="40" spans="1:15" x14ac:dyDescent="0.3">
      <c r="A40" s="158">
        <f>IF(ISBLANK(B40),"",MAX(A$8:A39)+1)</f>
        <v>29</v>
      </c>
      <c r="B40" s="164" t="s">
        <v>50</v>
      </c>
      <c r="C40" s="173">
        <f t="shared" ref="C40:L40" si="3">SUM(C19:C22,C25:C39)</f>
        <v>1911147228</v>
      </c>
      <c r="D40" s="173">
        <f t="shared" si="3"/>
        <v>1957125928</v>
      </c>
      <c r="E40" s="173">
        <f t="shared" si="3"/>
        <v>1978438515</v>
      </c>
      <c r="F40" s="173">
        <f t="shared" si="3"/>
        <v>1884885757.4878623</v>
      </c>
      <c r="G40" s="173">
        <f t="shared" si="3"/>
        <v>1783102243.4384873</v>
      </c>
      <c r="H40" s="173">
        <f t="shared" si="3"/>
        <v>1836039603.5102272</v>
      </c>
      <c r="I40" s="173">
        <f t="shared" si="3"/>
        <v>1793665905.4236588</v>
      </c>
      <c r="J40" s="173">
        <f t="shared" si="3"/>
        <v>1849414878.2120998</v>
      </c>
      <c r="K40" s="173">
        <f t="shared" si="3"/>
        <v>1865339768.4717019</v>
      </c>
      <c r="L40" s="173">
        <f t="shared" si="3"/>
        <v>1854386568.1746113</v>
      </c>
      <c r="M40" s="173">
        <f>SUM(M19:M22,M25:M39)</f>
        <v>1923659551.7763753</v>
      </c>
    </row>
    <row r="41" spans="1:15" x14ac:dyDescent="0.3">
      <c r="A41" s="158" t="str">
        <f>IF(ISBLANK(B41),"",MAX(A$8:A40)+1)</f>
        <v/>
      </c>
      <c r="B41" s="76"/>
      <c r="C41" s="38">
        <f>C53/C23</f>
        <v>0.10975153801172433</v>
      </c>
      <c r="D41" s="38">
        <f t="shared" ref="D41:M41" si="4">D53/D23</f>
        <v>0.16846844178163498</v>
      </c>
      <c r="E41" s="38">
        <f t="shared" si="4"/>
        <v>0.13926845879703725</v>
      </c>
      <c r="F41" s="38">
        <f t="shared" si="4"/>
        <v>0.17452955617587299</v>
      </c>
      <c r="G41" s="38">
        <f t="shared" si="4"/>
        <v>0.21575082082656055</v>
      </c>
      <c r="H41" s="38">
        <f t="shared" si="4"/>
        <v>0.23904604328541249</v>
      </c>
      <c r="I41" s="38">
        <f t="shared" si="4"/>
        <v>0.22479102846811452</v>
      </c>
      <c r="J41" s="38">
        <f t="shared" si="4"/>
        <v>0.21680899507977147</v>
      </c>
      <c r="K41" s="38">
        <f t="shared" si="4"/>
        <v>0.24948224040309092</v>
      </c>
      <c r="L41" s="38">
        <f t="shared" si="4"/>
        <v>0.26121300331119535</v>
      </c>
      <c r="M41" s="38">
        <f t="shared" si="4"/>
        <v>0.1576928578428092</v>
      </c>
    </row>
    <row r="42" spans="1:15" x14ac:dyDescent="0.3">
      <c r="A42" s="158">
        <f>IF(ISBLANK(B42),"",MAX(A$8:A41)+1)</f>
        <v>30</v>
      </c>
      <c r="B42" s="76" t="s">
        <v>51</v>
      </c>
      <c r="C42" s="161">
        <f t="shared" ref="C42:L42" si="5">C14-C40</f>
        <v>221232791</v>
      </c>
      <c r="D42" s="161">
        <f t="shared" si="5"/>
        <v>237707819</v>
      </c>
      <c r="E42" s="161">
        <f t="shared" si="5"/>
        <v>246342116</v>
      </c>
      <c r="F42" s="161">
        <f t="shared" si="5"/>
        <v>275972521.56456542</v>
      </c>
      <c r="G42" s="161">
        <f t="shared" si="5"/>
        <v>348611159.0615046</v>
      </c>
      <c r="H42" s="161">
        <f t="shared" si="5"/>
        <v>400237971.07976294</v>
      </c>
      <c r="I42" s="161">
        <f t="shared" si="5"/>
        <v>411798681.51399517</v>
      </c>
      <c r="J42" s="161">
        <f t="shared" si="5"/>
        <v>420761237.62733626</v>
      </c>
      <c r="K42" s="161">
        <f t="shared" si="5"/>
        <v>414394849.30671191</v>
      </c>
      <c r="L42" s="161">
        <f t="shared" si="5"/>
        <v>416700002.68113971</v>
      </c>
      <c r="M42" s="161">
        <f>M14-M40</f>
        <v>370894367.17905235</v>
      </c>
    </row>
    <row r="43" spans="1:15" x14ac:dyDescent="0.3">
      <c r="A43" s="158" t="str">
        <f>IF(ISBLANK(B43),"",MAX(A$8:A42)+1)</f>
        <v/>
      </c>
      <c r="B43" s="167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</row>
    <row r="44" spans="1:15" x14ac:dyDescent="0.3">
      <c r="A44" s="158">
        <f>IF(ISBLANK(B44),"",MAX(A$8:A43)+1)</f>
        <v>31</v>
      </c>
      <c r="B44" s="76" t="s">
        <v>52</v>
      </c>
      <c r="C44" s="77">
        <f t="shared" ref="C44:L44" si="6">C55</f>
        <v>3462284716.6839342</v>
      </c>
      <c r="D44" s="77">
        <f t="shared" si="6"/>
        <v>3888934759.1160002</v>
      </c>
      <c r="E44" s="77">
        <f t="shared" si="6"/>
        <v>4057846379.7641001</v>
      </c>
      <c r="F44" s="77">
        <f t="shared" si="6"/>
        <v>4165678379.1925011</v>
      </c>
      <c r="G44" s="77">
        <f t="shared" si="6"/>
        <v>4883767762.1815729</v>
      </c>
      <c r="H44" s="77">
        <f t="shared" si="6"/>
        <v>5295557479.2484016</v>
      </c>
      <c r="I44" s="77">
        <f t="shared" si="6"/>
        <v>5321737695.2536507</v>
      </c>
      <c r="J44" s="77">
        <f t="shared" si="6"/>
        <v>5224753570.5545378</v>
      </c>
      <c r="K44" s="77">
        <f t="shared" si="6"/>
        <v>5142529408.662734</v>
      </c>
      <c r="L44" s="77">
        <f t="shared" si="6"/>
        <v>5138309705.4063549</v>
      </c>
      <c r="M44" s="77">
        <f>M55</f>
        <v>5207091968.3941822</v>
      </c>
    </row>
    <row r="45" spans="1:15" x14ac:dyDescent="0.3">
      <c r="A45" s="158" t="str">
        <f>IF(ISBLANK(B45),"",MAX(A$8:A44)+1)</f>
        <v/>
      </c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</row>
    <row r="46" spans="1:15" x14ac:dyDescent="0.3">
      <c r="A46" s="158">
        <f>IF(ISBLANK(B46),"",MAX(A$8:A45)+1)</f>
        <v>32</v>
      </c>
      <c r="B46" s="76" t="s">
        <v>53</v>
      </c>
      <c r="C46" s="175">
        <f t="shared" ref="C46:L46" si="7">C42/C44</f>
        <v>6.3897919756261329E-2</v>
      </c>
      <c r="D46" s="175">
        <f t="shared" si="7"/>
        <v>6.1124146771244302E-2</v>
      </c>
      <c r="E46" s="175">
        <f t="shared" si="7"/>
        <v>6.0707600274981559E-2</v>
      </c>
      <c r="F46" s="175">
        <f t="shared" si="7"/>
        <v>6.6249118737309126E-2</v>
      </c>
      <c r="G46" s="175">
        <f t="shared" si="7"/>
        <v>7.1381600444035131E-2</v>
      </c>
      <c r="H46" s="175">
        <f t="shared" si="7"/>
        <v>7.5579950297616008E-2</v>
      </c>
      <c r="I46" s="175">
        <f t="shared" si="7"/>
        <v>7.7380492067707515E-2</v>
      </c>
      <c r="J46" s="175">
        <f t="shared" si="7"/>
        <v>8.0532264717449259E-2</v>
      </c>
      <c r="K46" s="175">
        <f t="shared" si="7"/>
        <v>8.0581911424493211E-2</v>
      </c>
      <c r="L46" s="175">
        <f t="shared" si="7"/>
        <v>8.1096708172865115E-2</v>
      </c>
      <c r="M46" s="175">
        <f>M42/M44</f>
        <v>7.1228695292937697E-2</v>
      </c>
    </row>
    <row r="47" spans="1:15" x14ac:dyDescent="0.3">
      <c r="A47" s="158" t="str">
        <f>IF(ISBLANK(B47),"",MAX(A$8:A46)+1)</f>
        <v/>
      </c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</row>
    <row r="48" spans="1:15" x14ac:dyDescent="0.3">
      <c r="A48" s="158">
        <f>IF(ISBLANK(B48),"",MAX(A$8:A47)+1)</f>
        <v>33</v>
      </c>
      <c r="B48" s="76" t="s">
        <v>54</v>
      </c>
      <c r="C48" s="76"/>
      <c r="D48" s="77"/>
      <c r="E48" s="77"/>
      <c r="F48" s="77"/>
      <c r="G48" s="77"/>
      <c r="H48" s="77"/>
      <c r="I48" s="77"/>
      <c r="J48" s="77"/>
      <c r="K48" s="77"/>
      <c r="L48" s="77"/>
      <c r="M48" s="77"/>
    </row>
    <row r="49" spans="1:15" x14ac:dyDescent="0.3">
      <c r="A49" s="158">
        <f>IF(ISBLANK(B49),"",MAX(A$8:A48)+1)</f>
        <v>34</v>
      </c>
      <c r="B49" s="176" t="s">
        <v>89</v>
      </c>
      <c r="C49" s="77">
        <f t="shared" ref="C49:F49" si="8">C63</f>
        <v>6183573985.4207335</v>
      </c>
      <c r="D49" s="77">
        <f t="shared" si="8"/>
        <v>6826578357.9429998</v>
      </c>
      <c r="E49" s="77">
        <f t="shared" si="8"/>
        <v>7153314271.0355005</v>
      </c>
      <c r="F49" s="77">
        <f t="shared" si="8"/>
        <v>7363565838.3695002</v>
      </c>
      <c r="G49" s="77">
        <f>G63</f>
        <v>8282567237.9453993</v>
      </c>
      <c r="H49" s="77">
        <v>9000148305.3162384</v>
      </c>
      <c r="I49" s="77">
        <v>9448176411.7690182</v>
      </c>
      <c r="J49" s="77">
        <v>9606033779.744133</v>
      </c>
      <c r="K49" s="77">
        <v>9827231735.0004234</v>
      </c>
      <c r="L49" s="77">
        <v>10158631702.521263</v>
      </c>
      <c r="M49" s="77">
        <v>10567927647.394854</v>
      </c>
      <c r="N49" s="52"/>
      <c r="O49" s="52"/>
    </row>
    <row r="50" spans="1:15" x14ac:dyDescent="0.3">
      <c r="A50" s="158">
        <f>IF(ISBLANK(B50),"",MAX(A$8:A49)+1)</f>
        <v>35</v>
      </c>
      <c r="B50" s="176" t="s">
        <v>56</v>
      </c>
      <c r="C50" s="162">
        <f t="shared" ref="C50:F50" si="9">C71</f>
        <v>-2533770194.7367992</v>
      </c>
      <c r="D50" s="162">
        <f t="shared" si="9"/>
        <v>-2728265249.8269997</v>
      </c>
      <c r="E50" s="162">
        <f t="shared" si="9"/>
        <v>-2757719146.2714005</v>
      </c>
      <c r="F50" s="162">
        <f t="shared" si="9"/>
        <v>-2838364763.1769996</v>
      </c>
      <c r="G50" s="162">
        <f>G71</f>
        <v>-3019720182.8437667</v>
      </c>
      <c r="H50" s="162">
        <v>-3262079839.2636075</v>
      </c>
      <c r="I50" s="162">
        <v>-3450031065.0911341</v>
      </c>
      <c r="J50" s="162">
        <v>-3590949373.8486667</v>
      </c>
      <c r="K50" s="162">
        <v>-3784242400.499733</v>
      </c>
      <c r="L50" s="162">
        <v>-3955678482.277297</v>
      </c>
      <c r="M50" s="162">
        <v>-4242911054.0010071</v>
      </c>
      <c r="N50" s="52"/>
      <c r="O50" s="52"/>
    </row>
    <row r="51" spans="1:15" x14ac:dyDescent="0.3">
      <c r="A51" s="158">
        <f>IF(ISBLANK(B51),"",MAX(A$8:A50)+1)</f>
        <v>36</v>
      </c>
      <c r="B51" s="76" t="s">
        <v>58</v>
      </c>
      <c r="C51" s="162">
        <v>286749772</v>
      </c>
      <c r="D51" s="162">
        <v>283620223</v>
      </c>
      <c r="E51" s="162">
        <v>236208024</v>
      </c>
      <c r="F51" s="162">
        <v>313951313</v>
      </c>
      <c r="G51" s="162">
        <v>431702107.15208334</v>
      </c>
      <c r="H51" s="162">
        <v>438697644.56916672</v>
      </c>
      <c r="I51" s="162">
        <v>338605654.77625</v>
      </c>
      <c r="J51" s="162">
        <v>278399163.59666669</v>
      </c>
      <c r="K51" s="162">
        <v>245814298.17166659</v>
      </c>
      <c r="L51" s="162">
        <v>222544365.04083329</v>
      </c>
      <c r="M51" s="162">
        <v>285841342.02833331</v>
      </c>
      <c r="N51" s="52"/>
      <c r="O51" s="52"/>
    </row>
    <row r="52" spans="1:15" x14ac:dyDescent="0.3">
      <c r="A52" s="158">
        <f>IF(ISBLANK(B52),"",MAX(A$8:A51)+1)</f>
        <v>37</v>
      </c>
      <c r="B52" s="76" t="s">
        <v>59</v>
      </c>
      <c r="C52" s="162">
        <v>-515196416</v>
      </c>
      <c r="D52" s="162">
        <v>-602379391</v>
      </c>
      <c r="E52" s="162">
        <v>-651701457</v>
      </c>
      <c r="F52" s="162">
        <v>-771426891</v>
      </c>
      <c r="G52" s="162">
        <v>-922052824.96589363</v>
      </c>
      <c r="H52" s="162">
        <v>-1027559026.8149971</v>
      </c>
      <c r="I52" s="162">
        <v>-1142371306.447773</v>
      </c>
      <c r="J52" s="162">
        <v>-1194513163.6532865</v>
      </c>
      <c r="K52" s="162">
        <v>-1283356677.2050941</v>
      </c>
      <c r="L52" s="162">
        <v>-1407404721.5595787</v>
      </c>
      <c r="M52" s="162">
        <v>-1442845908.4648566</v>
      </c>
      <c r="N52" s="52"/>
      <c r="O52" s="52"/>
    </row>
    <row r="53" spans="1:15" x14ac:dyDescent="0.3">
      <c r="A53" s="158">
        <f>IF(ISBLANK(B53),"",MAX(A$8:A52)+1)</f>
        <v>38</v>
      </c>
      <c r="B53" s="76" t="s">
        <v>60</v>
      </c>
      <c r="C53" s="162">
        <v>130674248</v>
      </c>
      <c r="D53" s="162">
        <v>203505093</v>
      </c>
      <c r="E53" s="162">
        <v>165865092</v>
      </c>
      <c r="F53" s="162">
        <v>183562563</v>
      </c>
      <c r="G53" s="162">
        <v>190928010.58458358</v>
      </c>
      <c r="H53" s="162">
        <v>216328823.38692403</v>
      </c>
      <c r="I53" s="162">
        <v>190185413.80985934</v>
      </c>
      <c r="J53" s="162">
        <v>194511982.70378798</v>
      </c>
      <c r="K53" s="162">
        <v>221501043.50093958</v>
      </c>
      <c r="L53" s="162">
        <v>220982638.49962828</v>
      </c>
      <c r="M53" s="162">
        <v>145303204.96710864</v>
      </c>
      <c r="N53" s="52"/>
      <c r="O53" s="52"/>
    </row>
    <row r="54" spans="1:15" x14ac:dyDescent="0.3">
      <c r="A54" s="158">
        <f>IF(ISBLANK(B54),"",MAX(A$8:A53)+1)</f>
        <v>39</v>
      </c>
      <c r="B54" s="76" t="s">
        <v>61</v>
      </c>
      <c r="C54" s="162">
        <v>-89746678</v>
      </c>
      <c r="D54" s="162">
        <v>-94124274</v>
      </c>
      <c r="E54" s="162">
        <v>-88120404</v>
      </c>
      <c r="F54" s="162">
        <v>-85609681</v>
      </c>
      <c r="G54" s="162">
        <v>-79656585.690833345</v>
      </c>
      <c r="H54" s="162">
        <v>-69978427.945324168</v>
      </c>
      <c r="I54" s="162">
        <v>-62827413.56256938</v>
      </c>
      <c r="J54" s="162">
        <v>-68728817.988096505</v>
      </c>
      <c r="K54" s="162">
        <v>-84418590.305467904</v>
      </c>
      <c r="L54" s="162">
        <v>-100765796.81849384</v>
      </c>
      <c r="M54" s="162">
        <v>-106223263.53024991</v>
      </c>
      <c r="N54" s="52"/>
      <c r="O54" s="52"/>
    </row>
    <row r="55" spans="1:15" ht="15" thickBot="1" x14ac:dyDescent="0.35">
      <c r="A55" s="158">
        <f>IF(ISBLANK(B55),"",MAX(A$8:A54)+1)</f>
        <v>40</v>
      </c>
      <c r="B55" s="178" t="s">
        <v>62</v>
      </c>
      <c r="C55" s="179">
        <f t="shared" ref="C55:L55" si="10">SUM(C49:C54)</f>
        <v>3462284716.6839342</v>
      </c>
      <c r="D55" s="179">
        <f t="shared" si="10"/>
        <v>3888934759.1160002</v>
      </c>
      <c r="E55" s="179">
        <f t="shared" si="10"/>
        <v>4057846379.7641001</v>
      </c>
      <c r="F55" s="179">
        <f t="shared" si="10"/>
        <v>4165678379.1925011</v>
      </c>
      <c r="G55" s="179">
        <f t="shared" si="10"/>
        <v>4883767762.1815729</v>
      </c>
      <c r="H55" s="179">
        <f t="shared" si="10"/>
        <v>5295557479.2484016</v>
      </c>
      <c r="I55" s="179">
        <f t="shared" si="10"/>
        <v>5321737695.2536507</v>
      </c>
      <c r="J55" s="179">
        <f t="shared" si="10"/>
        <v>5224753570.5545378</v>
      </c>
      <c r="K55" s="179">
        <f t="shared" si="10"/>
        <v>5142529408.662734</v>
      </c>
      <c r="L55" s="179">
        <f t="shared" si="10"/>
        <v>5138309705.4063549</v>
      </c>
      <c r="M55" s="179">
        <f>SUM(M49:M54)</f>
        <v>5207091968.3941822</v>
      </c>
    </row>
    <row r="56" spans="1:15" ht="15" thickTop="1" x14ac:dyDescent="0.3">
      <c r="A56" s="158" t="str">
        <f>IF(ISBLANK(B56),"",MAX(A$8:A55)+1)</f>
        <v/>
      </c>
    </row>
    <row r="57" spans="1:15" x14ac:dyDescent="0.3">
      <c r="A57" s="158">
        <f>IF(ISBLANK(B57),"",MAX(A$8:A56)+1)</f>
        <v>41</v>
      </c>
      <c r="B57" s="180" t="s">
        <v>63</v>
      </c>
    </row>
    <row r="58" spans="1:15" x14ac:dyDescent="0.3">
      <c r="A58" s="158">
        <f>IF(ISBLANK(B58),"",MAX(A$8:A57)+1)</f>
        <v>42</v>
      </c>
      <c r="B58" s="21" t="s">
        <v>64</v>
      </c>
      <c r="C58" s="16">
        <f>Elect_Functional_Utility_Plant!C6</f>
        <v>2233728644.5330596</v>
      </c>
      <c r="D58" s="16">
        <f>Elect_Functional_Utility_Plant!H6</f>
        <v>2628433532.5317345</v>
      </c>
      <c r="E58" s="16">
        <f>Elect_Functional_Utility_Plant!M6-4357020</f>
        <v>2804906080.7067275</v>
      </c>
      <c r="F58" s="16">
        <f>Elect_Functional_Utility_Plant!R6-4530703</f>
        <v>2834996804.1796851</v>
      </c>
      <c r="G58" s="16">
        <f>Elect_Functional_Utility_Plant!W6-4530703</f>
        <v>3486905089.9354258</v>
      </c>
      <c r="H58" s="16">
        <f>Elect_Functional_Utility_Plant!AB6-4530703</f>
        <v>3981472267.7908983</v>
      </c>
      <c r="I58" s="16">
        <f>Elect_Functional_Utility_Plant!AG6-4532649</f>
        <v>4215626965.9222226</v>
      </c>
      <c r="J58" s="16">
        <f>Elect_Functional_Utility_Plant!AL6-4539303</f>
        <v>4171211310.736814</v>
      </c>
      <c r="K58" s="16">
        <f>Elect_Functional_Utility_Plant!AQ6-4539303</f>
        <v>4182583960.2834702</v>
      </c>
      <c r="L58" s="16">
        <f>Elect_Functional_Utility_Plant!AV6-4539303</f>
        <v>4209091668.3531342</v>
      </c>
      <c r="M58" s="16">
        <f>Elect_Functional_Utility_Plant!BA6-4539303</f>
        <v>4226607969.3040905</v>
      </c>
      <c r="N58" s="52"/>
      <c r="O58" s="52"/>
    </row>
    <row r="59" spans="1:15" x14ac:dyDescent="0.3">
      <c r="A59" s="158">
        <f>IF(ISBLANK(B59),"",MAX(A$8:A58)+1)</f>
        <v>43</v>
      </c>
      <c r="B59" s="21" t="s">
        <v>65</v>
      </c>
      <c r="C59" s="130">
        <f>Elect_Functional_Utility_Plant!C7</f>
        <v>338417194.91660476</v>
      </c>
      <c r="D59" s="130">
        <f>Elect_Functional_Utility_Plant!H7</f>
        <v>372719303.50074959</v>
      </c>
      <c r="E59" s="130">
        <f>Elect_Functional_Utility_Plant!M7</f>
        <v>420480632.14026618</v>
      </c>
      <c r="F59" s="130">
        <f>Elect_Functional_Utility_Plant!R7</f>
        <v>483887591.0385617</v>
      </c>
      <c r="G59" s="130">
        <f>Elect_Functional_Utility_Plant!W7</f>
        <v>1113473317.4041896</v>
      </c>
      <c r="H59" s="130">
        <f>Elect_Functional_Utility_Plant!AB7</f>
        <v>1161259969.917851</v>
      </c>
      <c r="I59" s="130">
        <f>Elect_Functional_Utility_Plant!AG7</f>
        <v>1292205134.0415313</v>
      </c>
      <c r="J59" s="130">
        <f>Elect_Functional_Utility_Plant!AL7</f>
        <v>1339165223.7319965</v>
      </c>
      <c r="K59" s="130">
        <f>Elect_Functional_Utility_Plant!AQ7</f>
        <v>1399259273.8470633</v>
      </c>
      <c r="L59" s="130">
        <f>Elect_Functional_Utility_Plant!AV7</f>
        <v>1462188428.0951748</v>
      </c>
      <c r="M59" s="130">
        <f>Elect_Functional_Utility_Plant!BA7</f>
        <v>1537389479.4362583</v>
      </c>
      <c r="N59" s="52"/>
      <c r="O59" s="52"/>
    </row>
    <row r="60" spans="1:15" x14ac:dyDescent="0.3">
      <c r="A60" s="158">
        <f>IF(ISBLANK(B60),"",MAX(A$8:A59)+1)</f>
        <v>44</v>
      </c>
      <c r="B60" s="21" t="s">
        <v>66</v>
      </c>
      <c r="C60" s="130">
        <f>Elect_Functional_Utility_Plant!C8</f>
        <v>3126647076.6941481</v>
      </c>
      <c r="D60" s="130">
        <f>Elect_Functional_Utility_Plant!H8</f>
        <v>3282996397.8271761</v>
      </c>
      <c r="E60" s="130">
        <f>Elect_Functional_Utility_Plant!M8</f>
        <v>3447196696.1536126</v>
      </c>
      <c r="F60" s="130">
        <f>Elect_Functional_Utility_Plant!R8</f>
        <v>3564292381.2229676</v>
      </c>
      <c r="G60" s="130">
        <f>Elect_Functional_Utility_Plant!W8</f>
        <v>3165842291.7865334</v>
      </c>
      <c r="H60" s="130">
        <f>Elect_Functional_Utility_Plant!AB8</f>
        <v>3232299791.6025748</v>
      </c>
      <c r="I60" s="130">
        <f>Elect_Functional_Utility_Plant!AG8</f>
        <v>3269591083.0320902</v>
      </c>
      <c r="J60" s="130">
        <f>Elect_Functional_Utility_Plant!AL8</f>
        <v>3425792687.7435322</v>
      </c>
      <c r="K60" s="130">
        <f>Elect_Functional_Utility_Plant!AQ8</f>
        <v>3552927499.3939004</v>
      </c>
      <c r="L60" s="130">
        <f>Elect_Functional_Utility_Plant!AV8</f>
        <v>3716330215.1224427</v>
      </c>
      <c r="M60" s="130">
        <f>Elect_Functional_Utility_Plant!BA8</f>
        <v>3906349563.9733167</v>
      </c>
      <c r="N60" s="52"/>
      <c r="O60" s="52"/>
    </row>
    <row r="61" spans="1:15" x14ac:dyDescent="0.3">
      <c r="A61" s="158">
        <f>IF(ISBLANK(B61),"",MAX(A$8:A60)+1)</f>
        <v>45</v>
      </c>
      <c r="B61" s="21" t="s">
        <v>67</v>
      </c>
      <c r="C61" s="130">
        <f>Elect_Functional_Utility_Plant!C9</f>
        <v>98172140.838679269</v>
      </c>
      <c r="D61" s="130">
        <f>Elect_Functional_Utility_Plant!H9</f>
        <v>184191012.39805716</v>
      </c>
      <c r="E61" s="130">
        <f>Elect_Functional_Utility_Plant!M9</f>
        <v>170574253.65480018</v>
      </c>
      <c r="F61" s="130">
        <f>Elect_Functional_Utility_Plant!R9</f>
        <v>163505118.72319424</v>
      </c>
      <c r="G61" s="130">
        <f>Elect_Functional_Utility_Plant!W9</f>
        <v>156033543.69077629</v>
      </c>
      <c r="H61" s="130">
        <f>Elect_Functional_Utility_Plant!AB9</f>
        <v>220596514.06650442</v>
      </c>
      <c r="I61" s="130">
        <f>Elect_Functional_Utility_Plant!AG9</f>
        <v>277509795.84000057</v>
      </c>
      <c r="J61" s="130">
        <f>Elect_Functional_Utility_Plant!AL9</f>
        <v>272808912.60467863</v>
      </c>
      <c r="K61" s="130">
        <f>Elect_Functional_Utility_Plant!AQ9</f>
        <v>278010584.33501303</v>
      </c>
      <c r="L61" s="130">
        <f>Elect_Functional_Utility_Plant!AV9</f>
        <v>304691223.42869997</v>
      </c>
      <c r="M61" s="130">
        <f>Elect_Functional_Utility_Plant!BA9</f>
        <v>381909676.27170002</v>
      </c>
      <c r="N61" s="52"/>
      <c r="O61" s="52"/>
    </row>
    <row r="62" spans="1:15" x14ac:dyDescent="0.3">
      <c r="A62" s="158">
        <f>IF(ISBLANK(B62),"",MAX(A$8:A61)+1)</f>
        <v>46</v>
      </c>
      <c r="B62" s="21" t="s">
        <v>68</v>
      </c>
      <c r="C62" s="130">
        <f>Elect_Functional_Utility_Plant!C10</f>
        <v>386608928.43824172</v>
      </c>
      <c r="D62" s="130">
        <f>Elect_Functional_Utility_Plant!H10</f>
        <v>358238111.68528235</v>
      </c>
      <c r="E62" s="130">
        <f>Elect_Functional_Utility_Plant!M10</f>
        <v>310156608.38009387</v>
      </c>
      <c r="F62" s="130">
        <f>Elect_Functional_Utility_Plant!R10</f>
        <v>316883943.20509148</v>
      </c>
      <c r="G62" s="130">
        <f>Elect_Functional_Utility_Plant!W10</f>
        <v>360312995.12847489</v>
      </c>
      <c r="H62" s="130">
        <f>Elect_Functional_Utility_Plant!AB10</f>
        <v>404519761.32717073</v>
      </c>
      <c r="I62" s="130">
        <f>Elect_Functional_Utility_Plant!AG10</f>
        <v>393243430.31765521</v>
      </c>
      <c r="J62" s="130">
        <f>Elect_Functional_Utility_Plant!AL10</f>
        <v>397055644.72152829</v>
      </c>
      <c r="K62" s="130">
        <f>Elect_Functional_Utility_Plant!AQ10</f>
        <v>414450417.02595299</v>
      </c>
      <c r="L62" s="130">
        <f>Elect_Functional_Utility_Plant!AV10</f>
        <v>466330168.27784866</v>
      </c>
      <c r="M62" s="130">
        <f>Elect_Functional_Utility_Plant!BA10</f>
        <v>515670958.80223441</v>
      </c>
      <c r="N62" s="52"/>
      <c r="O62" s="52"/>
    </row>
    <row r="63" spans="1:15" x14ac:dyDescent="0.3">
      <c r="A63" s="158">
        <f>IF(ISBLANK(B63),"",MAX(A$8:A62)+1)</f>
        <v>47</v>
      </c>
      <c r="B63" s="164" t="s">
        <v>0</v>
      </c>
      <c r="C63" s="173">
        <f t="shared" ref="C63:M63" si="11">SUM(C58:C62)</f>
        <v>6183573985.4207335</v>
      </c>
      <c r="D63" s="173">
        <f t="shared" si="11"/>
        <v>6826578357.9429998</v>
      </c>
      <c r="E63" s="173">
        <f t="shared" si="11"/>
        <v>7153314271.0355005</v>
      </c>
      <c r="F63" s="173">
        <f t="shared" si="11"/>
        <v>7363565838.3695002</v>
      </c>
      <c r="G63" s="173">
        <f t="shared" si="11"/>
        <v>8282567237.9453993</v>
      </c>
      <c r="H63" s="173">
        <f t="shared" si="11"/>
        <v>9000148304.7049999</v>
      </c>
      <c r="I63" s="173">
        <f t="shared" si="11"/>
        <v>9448176409.1534996</v>
      </c>
      <c r="J63" s="173">
        <f t="shared" si="11"/>
        <v>9606033779.5385513</v>
      </c>
      <c r="K63" s="173">
        <f t="shared" si="11"/>
        <v>9827231734.8853989</v>
      </c>
      <c r="L63" s="173">
        <f t="shared" si="11"/>
        <v>10158631703.2773</v>
      </c>
      <c r="M63" s="173">
        <f t="shared" si="11"/>
        <v>10567927647.7876</v>
      </c>
    </row>
    <row r="64" spans="1:15" x14ac:dyDescent="0.3">
      <c r="A64" s="158" t="str">
        <f>IF(ISBLANK(B64),"",MAX(A$8:A63)+1)</f>
        <v/>
      </c>
      <c r="C64" s="16"/>
      <c r="D64" s="130"/>
      <c r="E64" s="130"/>
      <c r="F64" s="130"/>
      <c r="G64" s="130"/>
      <c r="H64" s="130"/>
      <c r="I64" s="130"/>
      <c r="J64" s="130"/>
      <c r="K64" s="130"/>
      <c r="L64" s="130"/>
      <c r="M64" s="130"/>
    </row>
    <row r="65" spans="1:13" x14ac:dyDescent="0.3">
      <c r="A65" s="158">
        <f>IF(ISBLANK(B65),"",MAX(A$8:A64)+1)</f>
        <v>48</v>
      </c>
      <c r="B65" s="180" t="s">
        <v>69</v>
      </c>
    </row>
    <row r="66" spans="1:13" x14ac:dyDescent="0.3">
      <c r="A66" s="158">
        <f>IF(ISBLANK(B66),"",MAX(A$8:A65)+1)</f>
        <v>49</v>
      </c>
      <c r="B66" s="21" t="s">
        <v>64</v>
      </c>
      <c r="C66" s="77">
        <f>Elect_Functional_Utility_Plant!D6</f>
        <v>-1037704363.6809652</v>
      </c>
      <c r="D66" s="77">
        <f>Elect_Functional_Utility_Plant!I6</f>
        <v>-1158111114.436832</v>
      </c>
      <c r="E66" s="77">
        <f>Elect_Functional_Utility_Plant!N6+462883</f>
        <v>-1224038743.8882952</v>
      </c>
      <c r="F66" s="77">
        <f>Elect_Functional_Utility_Plant!S6+694741</f>
        <v>-1267987261.4418714</v>
      </c>
      <c r="G66" s="77">
        <f>Elect_Functional_Utility_Plant!X6+872931</f>
        <v>-1347932268.3968384</v>
      </c>
      <c r="H66" s="77">
        <f>Elect_Functional_Utility_Plant!AC6+1060866</f>
        <v>-1502031360.5965569</v>
      </c>
      <c r="I66" s="77">
        <f>Elect_Functional_Utility_Plant!AH6+1248817</f>
        <v>-1597917691.2270181</v>
      </c>
      <c r="J66" s="77">
        <f>Elect_Functional_Utility_Plant!AM6+1436902</f>
        <v>-1646729664.4994764</v>
      </c>
      <c r="K66" s="77">
        <f>Elect_Functional_Utility_Plant!AR6+1625082</f>
        <v>-1732624980.544507</v>
      </c>
      <c r="L66" s="77">
        <f>Elect_Functional_Utility_Plant!AW6+1813298</f>
        <v>-1784018956.6891887</v>
      </c>
      <c r="M66" s="77">
        <f>Elect_Functional_Utility_Plant!BB6+2014204</f>
        <v>-1967130595.695049</v>
      </c>
    </row>
    <row r="67" spans="1:13" x14ac:dyDescent="0.3">
      <c r="A67" s="158">
        <f>IF(ISBLANK(B67),"",MAX(A$8:A66)+1)</f>
        <v>50</v>
      </c>
      <c r="B67" s="21" t="s">
        <v>65</v>
      </c>
      <c r="C67" s="162">
        <f>Elect_Functional_Utility_Plant!D7</f>
        <v>-131458074.3355315</v>
      </c>
      <c r="D67" s="162">
        <f>Elect_Functional_Utility_Plant!I7</f>
        <v>-138931480.82639238</v>
      </c>
      <c r="E67" s="162">
        <f>Elect_Functional_Utility_Plant!N7</f>
        <v>-150831566.98018184</v>
      </c>
      <c r="F67" s="162">
        <f>Elect_Functional_Utility_Plant!S7</f>
        <v>-164068543.61224297</v>
      </c>
      <c r="G67" s="162">
        <f>Elect_Functional_Utility_Plant!X7</f>
        <v>-349315233.71301728</v>
      </c>
      <c r="H67" s="162">
        <f>Elect_Functional_Utility_Plant!AC7</f>
        <v>-362963202.95776814</v>
      </c>
      <c r="I67" s="162">
        <f>Elect_Functional_Utility_Plant!AH7</f>
        <v>-390901228.42057848</v>
      </c>
      <c r="J67" s="162">
        <f>Elect_Functional_Utility_Plant!AM7</f>
        <v>-409351469.77738446</v>
      </c>
      <c r="K67" s="162">
        <f>Elect_Functional_Utility_Plant!AR7</f>
        <v>-443978510.36944437</v>
      </c>
      <c r="L67" s="162">
        <f>Elect_Functional_Utility_Plant!AW7</f>
        <v>-478013032.11302686</v>
      </c>
      <c r="M67" s="162">
        <f>Elect_Functional_Utility_Plant!BB7</f>
        <v>-503717591.12299544</v>
      </c>
    </row>
    <row r="68" spans="1:13" x14ac:dyDescent="0.3">
      <c r="A68" s="158">
        <f>IF(ISBLANK(B68),"",MAX(A$8:A67)+1)</f>
        <v>51</v>
      </c>
      <c r="B68" s="21" t="s">
        <v>66</v>
      </c>
      <c r="C68" s="162">
        <f>Elect_Functional_Utility_Plant!D8</f>
        <v>-1126451240.8545363</v>
      </c>
      <c r="D68" s="162">
        <f>Elect_Functional_Utility_Plant!I8</f>
        <v>-1170934912.8382633</v>
      </c>
      <c r="E68" s="162">
        <f>Elect_Functional_Utility_Plant!N8</f>
        <v>-1211512274.3985515</v>
      </c>
      <c r="F68" s="162">
        <f>Elect_Functional_Utility_Plant!S8</f>
        <v>-1245640993.5782559</v>
      </c>
      <c r="G68" s="162">
        <f>Elect_Functional_Utility_Plant!X8</f>
        <v>-1127993916.4244936</v>
      </c>
      <c r="H68" s="162">
        <f>Elect_Functional_Utility_Plant!AC8</f>
        <v>-1185442910.4983323</v>
      </c>
      <c r="I68" s="162">
        <f>Elect_Functional_Utility_Plant!AH8</f>
        <v>-1241566761.3589385</v>
      </c>
      <c r="J68" s="162">
        <f>Elect_Functional_Utility_Plant!AM8</f>
        <v>-1303124886.2088988</v>
      </c>
      <c r="K68" s="162">
        <f>Elect_Functional_Utility_Plant!AR8</f>
        <v>-1341964000.7757533</v>
      </c>
      <c r="L68" s="162">
        <f>Elect_Functional_Utility_Plant!AW8</f>
        <v>-1389919942.1087778</v>
      </c>
      <c r="M68" s="162">
        <f>Elect_Functional_Utility_Plant!BB8</f>
        <v>-1461014489.0522759</v>
      </c>
    </row>
    <row r="69" spans="1:13" x14ac:dyDescent="0.3">
      <c r="A69" s="158">
        <f>IF(ISBLANK(B69),"",MAX(A$8:A68)+1)</f>
        <v>52</v>
      </c>
      <c r="B69" s="21" t="s">
        <v>67</v>
      </c>
      <c r="C69" s="162">
        <f>Elect_Functional_Utility_Plant!D9</f>
        <v>-34535425.44336056</v>
      </c>
      <c r="D69" s="162">
        <f>Elect_Functional_Utility_Plant!I9</f>
        <v>-54093007.48339434</v>
      </c>
      <c r="E69" s="162">
        <f>Elect_Functional_Utility_Plant!N9</f>
        <v>-53561588.048107862</v>
      </c>
      <c r="F69" s="162">
        <f>Elect_Functional_Utility_Plant!S9</f>
        <v>-49133516.594404191</v>
      </c>
      <c r="G69" s="162">
        <f>Elect_Functional_Utility_Plant!X9</f>
        <v>-54513095.90377479</v>
      </c>
      <c r="H69" s="162">
        <f>Elect_Functional_Utility_Plant!AC9</f>
        <v>-41066545.017626755</v>
      </c>
      <c r="I69" s="162">
        <f>Elect_Functional_Utility_Plant!AH9</f>
        <v>-59395158.73453705</v>
      </c>
      <c r="J69" s="162">
        <f>Elect_Functional_Utility_Plant!AM9</f>
        <v>-59380451.651331559</v>
      </c>
      <c r="K69" s="162">
        <f>Elect_Functional_Utility_Plant!AR9</f>
        <v>-67508919.094406307</v>
      </c>
      <c r="L69" s="162">
        <f>Elect_Functional_Utility_Plant!AW9</f>
        <v>-87004347.75706616</v>
      </c>
      <c r="M69" s="162">
        <f>Elect_Functional_Utility_Plant!BB9</f>
        <v>-128663487.36185595</v>
      </c>
    </row>
    <row r="70" spans="1:13" x14ac:dyDescent="0.3">
      <c r="A70" s="158">
        <f>IF(ISBLANK(B70),"",MAX(A$8:A69)+1)</f>
        <v>53</v>
      </c>
      <c r="B70" s="21" t="s">
        <v>68</v>
      </c>
      <c r="C70" s="162">
        <f>Elect_Functional_Utility_Plant!D10</f>
        <v>-203621090.42240632</v>
      </c>
      <c r="D70" s="162">
        <f>Elect_Functional_Utility_Plant!I10</f>
        <v>-206194734.24211812</v>
      </c>
      <c r="E70" s="162">
        <f>Elect_Functional_Utility_Plant!N10</f>
        <v>-117774972.95626362</v>
      </c>
      <c r="F70" s="162">
        <f>Elect_Functional_Utility_Plant!S10</f>
        <v>-111534447.9502255</v>
      </c>
      <c r="G70" s="162">
        <f>Elect_Functional_Utility_Plant!X10</f>
        <v>-139965668.40564233</v>
      </c>
      <c r="H70" s="162">
        <f>Elect_Functional_Utility_Plant!AC10</f>
        <v>-170575821.22581595</v>
      </c>
      <c r="I70" s="162">
        <f>Elect_Functional_Utility_Plant!AH10</f>
        <v>-160250226.21692789</v>
      </c>
      <c r="J70" s="162">
        <f>Elect_Functional_Utility_Plant!AM10</f>
        <v>-172362901.15620881</v>
      </c>
      <c r="K70" s="162">
        <f>Elect_Functional_Utility_Plant!AR10</f>
        <v>-198165989.41438901</v>
      </c>
      <c r="L70" s="162">
        <f>Elect_Functional_Utility_Plant!AW10</f>
        <v>-216722203.99094033</v>
      </c>
      <c r="M70" s="162">
        <f>Elect_Functional_Utility_Plant!BB10</f>
        <v>-182384891.16492367</v>
      </c>
    </row>
    <row r="71" spans="1:13" x14ac:dyDescent="0.3">
      <c r="A71" s="158">
        <f>IF(ISBLANK(B71),"",MAX(A$8:A70)+1)</f>
        <v>54</v>
      </c>
      <c r="B71" s="164" t="s">
        <v>0</v>
      </c>
      <c r="C71" s="173">
        <f t="shared" ref="C71:M71" si="12">SUM(C66:C70)</f>
        <v>-2533770194.7367992</v>
      </c>
      <c r="D71" s="173">
        <f t="shared" si="12"/>
        <v>-2728265249.8269997</v>
      </c>
      <c r="E71" s="173">
        <f t="shared" si="12"/>
        <v>-2757719146.2714005</v>
      </c>
      <c r="F71" s="173">
        <f t="shared" si="12"/>
        <v>-2838364763.1769996</v>
      </c>
      <c r="G71" s="173">
        <f t="shared" si="12"/>
        <v>-3019720182.8437667</v>
      </c>
      <c r="H71" s="173">
        <f t="shared" si="12"/>
        <v>-3262079840.2960997</v>
      </c>
      <c r="I71" s="173">
        <f t="shared" si="12"/>
        <v>-3450031065.9580002</v>
      </c>
      <c r="J71" s="173">
        <f t="shared" si="12"/>
        <v>-3590949373.2933002</v>
      </c>
      <c r="K71" s="173">
        <f t="shared" si="12"/>
        <v>-3784242400.1985002</v>
      </c>
      <c r="L71" s="173">
        <f t="shared" si="12"/>
        <v>-3955678482.6590004</v>
      </c>
      <c r="M71" s="173">
        <f t="shared" si="12"/>
        <v>-4242911054.3971</v>
      </c>
    </row>
    <row r="72" spans="1:13" x14ac:dyDescent="0.3">
      <c r="A72" s="158" t="str">
        <f>IF(ISBLANK(B72),"",MAX(A$8:A71)+1)</f>
        <v/>
      </c>
      <c r="C72" s="35">
        <f t="shared" ref="C72:G72" si="13">C50-C71</f>
        <v>0</v>
      </c>
      <c r="D72" s="35">
        <f t="shared" si="13"/>
        <v>0</v>
      </c>
      <c r="E72" s="35">
        <f t="shared" si="13"/>
        <v>0</v>
      </c>
      <c r="F72" s="35">
        <f t="shared" si="13"/>
        <v>0</v>
      </c>
      <c r="G72" s="35">
        <f t="shared" si="13"/>
        <v>0</v>
      </c>
      <c r="H72" s="35">
        <f t="shared" ref="H72:M72" si="14">H50-H71</f>
        <v>1.0324921607971191</v>
      </c>
      <c r="I72" s="35">
        <f t="shared" si="14"/>
        <v>0.86686611175537109</v>
      </c>
      <c r="J72" s="35">
        <f t="shared" si="14"/>
        <v>-0.55536651611328125</v>
      </c>
      <c r="K72" s="35">
        <f t="shared" si="14"/>
        <v>-0.30123281478881836</v>
      </c>
      <c r="L72" s="35">
        <f t="shared" si="14"/>
        <v>0.38170337677001953</v>
      </c>
      <c r="M72" s="35">
        <f t="shared" si="14"/>
        <v>0.39609289169311523</v>
      </c>
    </row>
    <row r="73" spans="1:13" x14ac:dyDescent="0.3">
      <c r="A73" s="158">
        <f>IF(ISBLANK(B73),"",MAX(A$8:A72)+1)</f>
        <v>55</v>
      </c>
      <c r="B73" s="180" t="s">
        <v>771</v>
      </c>
    </row>
    <row r="74" spans="1:13" x14ac:dyDescent="0.3">
      <c r="A74" s="158">
        <f>IF(ISBLANK(B74),"",MAX(A$8:A73)+1)</f>
        <v>56</v>
      </c>
      <c r="B74" s="21" t="s">
        <v>64</v>
      </c>
      <c r="C74" s="77">
        <f>Elect_Functional_Utility_Plant!E18</f>
        <v>-161071194.27895033</v>
      </c>
      <c r="D74" s="77">
        <f>Elect_Functional_Utility_Plant!J18</f>
        <v>-189166258.62925437</v>
      </c>
      <c r="E74" s="77">
        <f>Elect_Functional_Utility_Plant!O18+523501</f>
        <v>-190696466.89909676</v>
      </c>
      <c r="F74" s="77">
        <f>Elect_Functional_Utility_Plant!T18+779182</f>
        <v>-221076591.96555251</v>
      </c>
      <c r="G74" s="77">
        <f>Elect_Functional_Utility_Plant!Y18+928943</f>
        <v>-236541996.37621558</v>
      </c>
      <c r="H74" s="77">
        <f>Elect_Functional_Utility_Plant!AD18+1030413</f>
        <v>-263836647.39793926</v>
      </c>
      <c r="I74" s="77">
        <f>Elect_Functional_Utility_Plant!AI18+1124676</f>
        <v>-284039839.93839604</v>
      </c>
      <c r="J74" s="77">
        <f>Elect_Functional_Utility_Plant!AN18+1029384</f>
        <v>-283867706.42589796</v>
      </c>
      <c r="K74" s="77">
        <f>Elect_Functional_Utility_Plant!AS18+984139</f>
        <v>-283570556.86502898</v>
      </c>
      <c r="L74" s="77">
        <f>Elect_Functional_Utility_Plant!AX18+905206</f>
        <v>-282451415.46433973</v>
      </c>
      <c r="M74" s="77">
        <f>Elect_Functional_Utility_Plant!BC18+838561.08</f>
        <v>-270203768.24207133</v>
      </c>
    </row>
    <row r="75" spans="1:13" x14ac:dyDescent="0.3">
      <c r="A75" s="158">
        <f>IF(ISBLANK(B75),"",MAX(A$8:A74)+1)</f>
        <v>57</v>
      </c>
      <c r="B75" s="21" t="s">
        <v>65</v>
      </c>
      <c r="C75" s="77">
        <f>Elect_Functional_Utility_Plant!E19</f>
        <v>-44724096.52580218</v>
      </c>
      <c r="D75" s="77">
        <f>Elect_Functional_Utility_Plant!J19</f>
        <v>-52525158.506664582</v>
      </c>
      <c r="E75" s="77">
        <f>Elect_Functional_Utility_Plant!O19</f>
        <v>-53095405.049080446</v>
      </c>
      <c r="F75" s="77">
        <f>Elect_Functional_Utility_Plant!T19</f>
        <v>-61601946.232906394</v>
      </c>
      <c r="G75" s="77">
        <f>Elect_Functional_Utility_Plant!Y19</f>
        <v>-58440985.082484223</v>
      </c>
      <c r="H75" s="77">
        <f>Elect_Functional_Utility_Plant!AD19</f>
        <v>-56027799.612420127</v>
      </c>
      <c r="I75" s="77">
        <f>Elect_Functional_Utility_Plant!AI19</f>
        <v>-62694036.2510354</v>
      </c>
      <c r="J75" s="77">
        <f>Elect_Functional_Utility_Plant!AN19</f>
        <v>-69275569.586090624</v>
      </c>
      <c r="K75" s="77">
        <f>Elect_Functional_Utility_Plant!AS19</f>
        <v>-72291983.868821889</v>
      </c>
      <c r="L75" s="77">
        <f>Elect_Functional_Utility_Plant!AX19</f>
        <v>-76455584.502357557</v>
      </c>
      <c r="M75" s="77">
        <f>Elect_Functional_Utility_Plant!BC19</f>
        <v>-77896904.817563176</v>
      </c>
    </row>
    <row r="76" spans="1:13" x14ac:dyDescent="0.3">
      <c r="A76" s="158">
        <f>IF(ISBLANK(B76),"",MAX(A$8:A75)+1)</f>
        <v>58</v>
      </c>
      <c r="B76" s="21" t="s">
        <v>66</v>
      </c>
      <c r="C76" s="77">
        <f>Elect_Functional_Utility_Plant!E20</f>
        <v>-291020305.17099226</v>
      </c>
      <c r="D76" s="77">
        <f>Elect_Functional_Utility_Plant!J20</f>
        <v>-345273698.56752461</v>
      </c>
      <c r="E76" s="77">
        <f>Elect_Functional_Utility_Plant!O20</f>
        <v>-352792094.36911446</v>
      </c>
      <c r="F76" s="77">
        <f>Elect_Functional_Utility_Plant!T20</f>
        <v>-385504103.91788042</v>
      </c>
      <c r="G76" s="77">
        <f>Elect_Functional_Utility_Plant!Y20</f>
        <v>-338570386.28523296</v>
      </c>
      <c r="H76" s="77">
        <f>Elect_Functional_Utility_Plant!AD20</f>
        <v>-312771115.81874192</v>
      </c>
      <c r="I76" s="77">
        <f>Elect_Functional_Utility_Plant!AI20</f>
        <v>-311024500.7077288</v>
      </c>
      <c r="J76" s="77">
        <f>Elect_Functional_Utility_Plant!AN20</f>
        <v>-329853615.75445724</v>
      </c>
      <c r="K76" s="77">
        <f>Elect_Functional_Utility_Plant!AS20</f>
        <v>-354650001.93698078</v>
      </c>
      <c r="L76" s="77">
        <f>Elect_Functional_Utility_Plant!AX20</f>
        <v>-363265364.03004867</v>
      </c>
      <c r="M76" s="77">
        <f>Elect_Functional_Utility_Plant!BC20</f>
        <v>-361910119.91365826</v>
      </c>
    </row>
    <row r="77" spans="1:13" x14ac:dyDescent="0.3">
      <c r="A77" s="158">
        <f>IF(ISBLANK(B77),"",MAX(A$8:A76)+1)</f>
        <v>59</v>
      </c>
      <c r="B77" s="21" t="s">
        <v>67</v>
      </c>
      <c r="C77" s="77">
        <f>Elect_Functional_Utility_Plant!E21</f>
        <v>3153586.7354353922</v>
      </c>
      <c r="D77" s="77">
        <f>Elect_Functional_Utility_Plant!J21</f>
        <v>7135751.1588958148</v>
      </c>
      <c r="E77" s="77">
        <f>Elect_Functional_Utility_Plant!O21</f>
        <v>7409429.0619201446</v>
      </c>
      <c r="F77" s="77">
        <f>Elect_Functional_Utility_Plant!T21</f>
        <v>6543247.5410113903</v>
      </c>
      <c r="G77" s="77">
        <f>Elect_Functional_Utility_Plant!Y21</f>
        <v>4531551.6935714195</v>
      </c>
      <c r="H77" s="77">
        <f>Elect_Functional_Utility_Plant!AD21</f>
        <v>2438007.0720844655</v>
      </c>
      <c r="I77" s="77">
        <f>Elect_Functional_Utility_Plant!AI21</f>
        <v>-1227963.0893516347</v>
      </c>
      <c r="J77" s="77">
        <f>Elect_Functional_Utility_Plant!AN21</f>
        <v>-1995628.2097487154</v>
      </c>
      <c r="K77" s="77">
        <f>Elect_Functional_Utility_Plant!AS21</f>
        <v>-1550412.3510436977</v>
      </c>
      <c r="L77" s="77">
        <f>Elect_Functional_Utility_Plant!AX21</f>
        <v>-3093782.7291687187</v>
      </c>
      <c r="M77" s="77">
        <f>Elect_Functional_Utility_Plant!BC21</f>
        <v>-3945447.1849596915</v>
      </c>
    </row>
    <row r="78" spans="1:13" x14ac:dyDescent="0.3">
      <c r="A78" s="158">
        <f>IF(ISBLANK(B78),"",MAX(A$8:A77)+1)</f>
        <v>60</v>
      </c>
      <c r="B78" s="21" t="s">
        <v>68</v>
      </c>
      <c r="C78" s="77">
        <f>Elect_Functional_Utility_Plant!E22</f>
        <v>12419050.64011164</v>
      </c>
      <c r="D78" s="77">
        <f>Elect_Functional_Utility_Plant!J22</f>
        <v>13878516.58632756</v>
      </c>
      <c r="E78" s="77">
        <f>Elect_Functional_Utility_Plant!O22</f>
        <v>13472627.542775601</v>
      </c>
      <c r="F78" s="77">
        <f>Elect_Functional_Utility_Plant!T22</f>
        <v>12681254.864399396</v>
      </c>
      <c r="G78" s="77">
        <f>Elect_Functional_Utility_Plant!Y22</f>
        <v>10464268.930057956</v>
      </c>
      <c r="H78" s="77">
        <f>Elect_Functional_Utility_Plant!AD22</f>
        <v>4470705.4555551168</v>
      </c>
      <c r="I78" s="77">
        <f>Elect_Functional_Utility_Plant!AI22</f>
        <v>-1740077.016374995</v>
      </c>
      <c r="J78" s="77">
        <f>Elect_Functional_Utility_Plant!AN22</f>
        <v>-2904507.1800658475</v>
      </c>
      <c r="K78" s="77">
        <f>Elect_Functional_Utility_Plant!AS22</f>
        <v>-2311311.4451711997</v>
      </c>
      <c r="L78" s="77">
        <f>Elect_Functional_Utility_Plant!AX22</f>
        <v>-4735037.0137785031</v>
      </c>
      <c r="M78" s="77">
        <f>Elect_Functional_Utility_Plant!BC22</f>
        <v>-5327313.3915682975</v>
      </c>
    </row>
    <row r="79" spans="1:13" x14ac:dyDescent="0.3">
      <c r="A79" s="158">
        <f>IF(ISBLANK(B79),"",MAX(A$8:A78)+1)</f>
        <v>61</v>
      </c>
      <c r="B79" s="164" t="s">
        <v>0</v>
      </c>
      <c r="C79" s="173">
        <f t="shared" ref="C79:M79" si="15">SUM(C74:C78)</f>
        <v>-481242958.60019779</v>
      </c>
      <c r="D79" s="173">
        <f t="shared" si="15"/>
        <v>-565950847.95822012</v>
      </c>
      <c r="E79" s="173">
        <f t="shared" si="15"/>
        <v>-575701909.71259594</v>
      </c>
      <c r="F79" s="173">
        <f t="shared" si="15"/>
        <v>-648958139.71092856</v>
      </c>
      <c r="G79" s="173">
        <f t="shared" si="15"/>
        <v>-618557547.12030327</v>
      </c>
      <c r="H79" s="173">
        <f t="shared" si="15"/>
        <v>-625726850.30146182</v>
      </c>
      <c r="I79" s="173">
        <f t="shared" si="15"/>
        <v>-660726417.00288689</v>
      </c>
      <c r="J79" s="173">
        <f t="shared" si="15"/>
        <v>-687897027.15626049</v>
      </c>
      <c r="K79" s="173">
        <f t="shared" si="15"/>
        <v>-714374266.46704662</v>
      </c>
      <c r="L79" s="173">
        <f t="shared" si="15"/>
        <v>-730001183.73969316</v>
      </c>
      <c r="M79" s="173">
        <f t="shared" si="15"/>
        <v>-719283553.54982078</v>
      </c>
    </row>
    <row r="80" spans="1:13" x14ac:dyDescent="0.3">
      <c r="A80" s="158" t="str">
        <f>IF(ISBLANK(B80),"",MAX(A$8:A79)+1)</f>
        <v/>
      </c>
    </row>
    <row r="81" spans="1:13" x14ac:dyDescent="0.3">
      <c r="A81" s="158">
        <f>IF(ISBLANK(B81),"",MAX(A$8:A80)+1)</f>
        <v>62</v>
      </c>
      <c r="B81" s="180" t="s">
        <v>772</v>
      </c>
    </row>
    <row r="82" spans="1:13" x14ac:dyDescent="0.3">
      <c r="A82" s="158">
        <f>IF(ISBLANK(B82),"",MAX(A$8:A81)+1)</f>
        <v>63</v>
      </c>
      <c r="B82" s="21" t="s">
        <v>64</v>
      </c>
      <c r="C82" s="77">
        <f t="shared" ref="C82:L82" si="16">C90-C74</f>
        <v>-23450004.667806834</v>
      </c>
      <c r="D82" s="77">
        <f t="shared" si="16"/>
        <v>-33088709.405094445</v>
      </c>
      <c r="E82" s="77">
        <f t="shared" si="16"/>
        <v>-52710650.610358298</v>
      </c>
      <c r="F82" s="77">
        <f t="shared" si="16"/>
        <v>-74380734.12239331</v>
      </c>
      <c r="G82" s="77">
        <f t="shared" si="16"/>
        <v>-124333880.76524341</v>
      </c>
      <c r="H82" s="77">
        <f t="shared" si="16"/>
        <v>-192380703.1745953</v>
      </c>
      <c r="I82" s="77">
        <f t="shared" si="16"/>
        <v>-226391486.36619443</v>
      </c>
      <c r="J82" s="77">
        <f t="shared" si="16"/>
        <v>-230604509.36453348</v>
      </c>
      <c r="K82" s="77">
        <f t="shared" si="16"/>
        <v>-237978943.49866611</v>
      </c>
      <c r="L82" s="77">
        <f t="shared" si="16"/>
        <v>-257009342.44843698</v>
      </c>
      <c r="M82" s="77">
        <f>M90-M74</f>
        <v>-262616542.75874937</v>
      </c>
    </row>
    <row r="83" spans="1:13" x14ac:dyDescent="0.3">
      <c r="A83" s="158">
        <f>IF(ISBLANK(B83),"",MAX(A$8:A82)+1)</f>
        <v>64</v>
      </c>
      <c r="B83" s="21" t="s">
        <v>65</v>
      </c>
      <c r="C83" s="162">
        <f t="shared" ref="C83:L83" si="17">C91-C75</f>
        <v>-6511283.8890185505</v>
      </c>
      <c r="D83" s="162">
        <f t="shared" si="17"/>
        <v>-9187630.6000734568</v>
      </c>
      <c r="E83" s="162">
        <f t="shared" si="17"/>
        <v>-14635988.9885263</v>
      </c>
      <c r="F83" s="162">
        <f t="shared" si="17"/>
        <v>-20653048.159491338</v>
      </c>
      <c r="G83" s="162">
        <f t="shared" si="17"/>
        <v>-30598247.053452812</v>
      </c>
      <c r="H83" s="162">
        <f t="shared" si="17"/>
        <v>-40694631.754392982</v>
      </c>
      <c r="I83" s="162">
        <f t="shared" si="17"/>
        <v>-49772658.447568469</v>
      </c>
      <c r="J83" s="162">
        <f t="shared" si="17"/>
        <v>-56073786.894303903</v>
      </c>
      <c r="K83" s="162">
        <f t="shared" si="17"/>
        <v>-60459272.661889568</v>
      </c>
      <c r="L83" s="162">
        <f t="shared" si="17"/>
        <v>-69346533.699882969</v>
      </c>
      <c r="M83" s="162">
        <f>M91-M75</f>
        <v>-75475354.295997649</v>
      </c>
    </row>
    <row r="84" spans="1:13" x14ac:dyDescent="0.3">
      <c r="A84" s="158">
        <f>IF(ISBLANK(B84),"",MAX(A$8:A83)+1)</f>
        <v>65</v>
      </c>
      <c r="B84" s="21" t="s">
        <v>66</v>
      </c>
      <c r="C84" s="162">
        <f t="shared" ref="C84:L84" si="18">C92-C76</f>
        <v>-42369012.940125644</v>
      </c>
      <c r="D84" s="162">
        <f t="shared" si="18"/>
        <v>-60394814.381322145</v>
      </c>
      <c r="E84" s="162">
        <f t="shared" si="18"/>
        <v>-97248739.390018404</v>
      </c>
      <c r="F84" s="162">
        <f t="shared" si="18"/>
        <v>-129246481.82048029</v>
      </c>
      <c r="G84" s="162">
        <f t="shared" si="18"/>
        <v>-177267038.01992345</v>
      </c>
      <c r="H84" s="162">
        <f t="shared" si="18"/>
        <v>-227174821.60111034</v>
      </c>
      <c r="I84" s="162">
        <f t="shared" si="18"/>
        <v>-246921671.7929154</v>
      </c>
      <c r="J84" s="162">
        <f t="shared" si="18"/>
        <v>-266993710.28837776</v>
      </c>
      <c r="K84" s="162">
        <f t="shared" si="18"/>
        <v>-296601089.348373</v>
      </c>
      <c r="L84" s="162">
        <f t="shared" si="18"/>
        <v>-329487950.06508964</v>
      </c>
      <c r="M84" s="162">
        <f>M92-M76</f>
        <v>-350659561.99111593</v>
      </c>
    </row>
    <row r="85" spans="1:13" x14ac:dyDescent="0.3">
      <c r="A85" s="158">
        <f>IF(ISBLANK(B85),"",MAX(A$8:A84)+1)</f>
        <v>66</v>
      </c>
      <c r="B85" s="21" t="s">
        <v>67</v>
      </c>
      <c r="C85" s="162">
        <f t="shared" ref="C85:L85" si="19">C93-C77</f>
        <v>459123.82613219554</v>
      </c>
      <c r="D85" s="162">
        <f t="shared" si="19"/>
        <v>1248176.035699375</v>
      </c>
      <c r="E85" s="162">
        <f t="shared" si="19"/>
        <v>2042442.6605006559</v>
      </c>
      <c r="F85" s="162">
        <f t="shared" si="19"/>
        <v>2193729.4352647206</v>
      </c>
      <c r="G85" s="162">
        <f t="shared" si="19"/>
        <v>2372607.6014055572</v>
      </c>
      <c r="H85" s="162">
        <f t="shared" si="19"/>
        <v>1770795.8095418732</v>
      </c>
      <c r="I85" s="162">
        <f t="shared" si="19"/>
        <v>-974877.5821583916</v>
      </c>
      <c r="J85" s="162">
        <f t="shared" si="19"/>
        <v>-1615323.0912054575</v>
      </c>
      <c r="K85" s="162">
        <f t="shared" si="19"/>
        <v>-1296641.2034384136</v>
      </c>
      <c r="L85" s="162">
        <f t="shared" si="19"/>
        <v>-2806114.7724123672</v>
      </c>
      <c r="M85" s="162">
        <f>M93-M77</f>
        <v>-3822796.8275282462</v>
      </c>
    </row>
    <row r="86" spans="1:13" x14ac:dyDescent="0.3">
      <c r="A86" s="158">
        <f>IF(ISBLANK(B86),"",MAX(A$8:A85)+1)</f>
        <v>67</v>
      </c>
      <c r="B86" s="21" t="s">
        <v>68</v>
      </c>
      <c r="C86" s="162">
        <f t="shared" ref="C86:L86" si="20">C94-C78</f>
        <v>1808062.5412163697</v>
      </c>
      <c r="D86" s="162">
        <f t="shared" si="20"/>
        <v>2427611.5335825272</v>
      </c>
      <c r="E86" s="162">
        <f t="shared" si="20"/>
        <v>3713790.7674724422</v>
      </c>
      <c r="F86" s="162">
        <f t="shared" si="20"/>
        <v>4251595.5414743237</v>
      </c>
      <c r="G86" s="162">
        <f t="shared" si="20"/>
        <v>5478830.5828726627</v>
      </c>
      <c r="H86" s="162">
        <f t="shared" si="20"/>
        <v>3247204.069684797</v>
      </c>
      <c r="I86" s="162">
        <f t="shared" si="20"/>
        <v>-1381443.8635844691</v>
      </c>
      <c r="J86" s="162">
        <f t="shared" si="20"/>
        <v>-2350997.792882063</v>
      </c>
      <c r="K86" s="162">
        <f t="shared" si="20"/>
        <v>-1932996.5036529144</v>
      </c>
      <c r="L86" s="162">
        <f t="shared" si="20"/>
        <v>-4294760.9691561488</v>
      </c>
      <c r="M86" s="162">
        <f>M94-M78</f>
        <v>-5161705.5755225085</v>
      </c>
    </row>
    <row r="87" spans="1:13" x14ac:dyDescent="0.3">
      <c r="A87" s="158">
        <f>IF(ISBLANK(B87),"",MAX(A$8:A86)+1)</f>
        <v>68</v>
      </c>
      <c r="B87" s="164" t="s">
        <v>0</v>
      </c>
      <c r="C87" s="173">
        <f t="shared" ref="C87:M87" si="21">SUM(C82:C86)</f>
        <v>-70063115.129602462</v>
      </c>
      <c r="D87" s="173">
        <f t="shared" si="21"/>
        <v>-98995366.817208156</v>
      </c>
      <c r="E87" s="173">
        <f t="shared" si="21"/>
        <v>-158839145.56092989</v>
      </c>
      <c r="F87" s="173">
        <f t="shared" si="21"/>
        <v>-217834939.12562591</v>
      </c>
      <c r="G87" s="173">
        <f t="shared" si="21"/>
        <v>-324347727.65434146</v>
      </c>
      <c r="H87" s="173">
        <f t="shared" si="21"/>
        <v>-455232156.65087193</v>
      </c>
      <c r="I87" s="173">
        <f t="shared" si="21"/>
        <v>-525442138.05242115</v>
      </c>
      <c r="J87" s="173">
        <f t="shared" si="21"/>
        <v>-557638327.43130279</v>
      </c>
      <c r="K87" s="173">
        <f t="shared" si="21"/>
        <v>-598268943.21601999</v>
      </c>
      <c r="L87" s="173">
        <f t="shared" si="21"/>
        <v>-662944701.95497823</v>
      </c>
      <c r="M87" s="173">
        <f t="shared" si="21"/>
        <v>-697735961.44891369</v>
      </c>
    </row>
    <row r="88" spans="1:13" x14ac:dyDescent="0.3">
      <c r="A88" s="158" t="str">
        <f>IF(ISBLANK(B88),"",MAX(A$8:A87)+1)</f>
        <v/>
      </c>
      <c r="B88" s="21"/>
    </row>
    <row r="89" spans="1:13" x14ac:dyDescent="0.3">
      <c r="A89" s="158">
        <f>IF(ISBLANK(B89),"",MAX(A$8:A88)+1)</f>
        <v>69</v>
      </c>
      <c r="B89" s="180" t="s">
        <v>770</v>
      </c>
    </row>
    <row r="90" spans="1:13" x14ac:dyDescent="0.3">
      <c r="A90" s="158">
        <f>IF(ISBLANK(B90),"",MAX(A$8:A89)+1)</f>
        <v>70</v>
      </c>
      <c r="B90" s="21" t="s">
        <v>64</v>
      </c>
      <c r="C90" s="77">
        <f>Elect_Functional_Utility_Plant!E6</f>
        <v>-184521198.94675717</v>
      </c>
      <c r="D90" s="77">
        <f>Elect_Functional_Utility_Plant!J6</f>
        <v>-222254968.03434882</v>
      </c>
      <c r="E90" s="77">
        <f>Elect_Functional_Utility_Plant!O6+523501</f>
        <v>-243407117.50945505</v>
      </c>
      <c r="F90" s="77">
        <f>Elect_Functional_Utility_Plant!T6+779182</f>
        <v>-295457326.08794582</v>
      </c>
      <c r="G90" s="77">
        <f>Elect_Functional_Utility_Plant!Y6+928943</f>
        <v>-360875877.14145899</v>
      </c>
      <c r="H90" s="77">
        <f>Elect_Functional_Utility_Plant!AD6+1030413</f>
        <v>-456217350.57253456</v>
      </c>
      <c r="I90" s="77">
        <f>Elect_Functional_Utility_Plant!AI6+1124676</f>
        <v>-510431326.30459046</v>
      </c>
      <c r="J90" s="77">
        <f>Elect_Functional_Utility_Plant!AN6+1029384</f>
        <v>-514472215.79043144</v>
      </c>
      <c r="K90" s="77">
        <f>Elect_Functional_Utility_Plant!AS6+984139</f>
        <v>-521549500.36369509</v>
      </c>
      <c r="L90" s="77">
        <f>Elect_Functional_Utility_Plant!AX6+905206</f>
        <v>-539460757.91277671</v>
      </c>
      <c r="M90" s="77">
        <f>Elect_Functional_Utility_Plant!BC6+838561.08</f>
        <v>-532820311.0008207</v>
      </c>
    </row>
    <row r="91" spans="1:13" x14ac:dyDescent="0.3">
      <c r="A91" s="158">
        <f>IF(ISBLANK(B91),"",MAX(A$8:A90)+1)</f>
        <v>71</v>
      </c>
      <c r="B91" s="21" t="s">
        <v>65</v>
      </c>
      <c r="C91" s="162">
        <f>Elect_Functional_Utility_Plant!E7</f>
        <v>-51235380.414820731</v>
      </c>
      <c r="D91" s="162">
        <f>Elect_Functional_Utility_Plant!J7</f>
        <v>-61712789.106738038</v>
      </c>
      <c r="E91" s="162">
        <f>Elect_Functional_Utility_Plant!O7</f>
        <v>-67731394.037606746</v>
      </c>
      <c r="F91" s="162">
        <f>Elect_Functional_Utility_Plant!T7</f>
        <v>-82254994.392397732</v>
      </c>
      <c r="G91" s="162">
        <f>Elect_Functional_Utility_Plant!Y7</f>
        <v>-89039232.135937035</v>
      </c>
      <c r="H91" s="162">
        <f>Elect_Functional_Utility_Plant!AD7</f>
        <v>-96722431.366813108</v>
      </c>
      <c r="I91" s="162">
        <f>Elect_Functional_Utility_Plant!AI7</f>
        <v>-112466694.69860387</v>
      </c>
      <c r="J91" s="162">
        <f>Elect_Functional_Utility_Plant!AN7</f>
        <v>-125349356.48039453</v>
      </c>
      <c r="K91" s="162">
        <f>Elect_Functional_Utility_Plant!AS7</f>
        <v>-132751256.53071146</v>
      </c>
      <c r="L91" s="162">
        <f>Elect_Functional_Utility_Plant!AX7</f>
        <v>-145802118.20224053</v>
      </c>
      <c r="M91" s="162">
        <f>Elect_Functional_Utility_Plant!BC7</f>
        <v>-153372259.11356083</v>
      </c>
    </row>
    <row r="92" spans="1:13" x14ac:dyDescent="0.3">
      <c r="A92" s="158">
        <f>IF(ISBLANK(B92),"",MAX(A$8:A91)+1)</f>
        <v>72</v>
      </c>
      <c r="B92" s="21" t="s">
        <v>66</v>
      </c>
      <c r="C92" s="162">
        <f>Elect_Functional_Utility_Plant!E8</f>
        <v>-333389318.1111179</v>
      </c>
      <c r="D92" s="162">
        <f>Elect_Functional_Utility_Plant!J8</f>
        <v>-405668512.94884676</v>
      </c>
      <c r="E92" s="162">
        <f>Elect_Functional_Utility_Plant!O8</f>
        <v>-450040833.75913286</v>
      </c>
      <c r="F92" s="162">
        <f>Elect_Functional_Utility_Plant!T8</f>
        <v>-514750585.7383607</v>
      </c>
      <c r="G92" s="162">
        <f>Elect_Functional_Utility_Plant!Y8</f>
        <v>-515837424.30515641</v>
      </c>
      <c r="H92" s="162">
        <f>Elect_Functional_Utility_Plant!AD8</f>
        <v>-539945937.41985226</v>
      </c>
      <c r="I92" s="162">
        <f>Elect_Functional_Utility_Plant!AI8</f>
        <v>-557946172.50064421</v>
      </c>
      <c r="J92" s="162">
        <f>Elect_Functional_Utility_Plant!AN8</f>
        <v>-596847326.042835</v>
      </c>
      <c r="K92" s="162">
        <f>Elect_Functional_Utility_Plant!AS8</f>
        <v>-651251091.28535378</v>
      </c>
      <c r="L92" s="162">
        <f>Elect_Functional_Utility_Plant!AX8</f>
        <v>-692753314.09513831</v>
      </c>
      <c r="M92" s="162">
        <f>Elect_Functional_Utility_Plant!BC8</f>
        <v>-712569681.90477419</v>
      </c>
    </row>
    <row r="93" spans="1:13" x14ac:dyDescent="0.3">
      <c r="A93" s="158">
        <f>IF(ISBLANK(B93),"",MAX(A$8:A92)+1)</f>
        <v>73</v>
      </c>
      <c r="B93" s="21" t="s">
        <v>67</v>
      </c>
      <c r="C93" s="162">
        <f>Elect_Functional_Utility_Plant!E9</f>
        <v>3612710.5615675878</v>
      </c>
      <c r="D93" s="162">
        <f>Elect_Functional_Utility_Plant!J9</f>
        <v>8383927.1945951898</v>
      </c>
      <c r="E93" s="162">
        <f>Elect_Functional_Utility_Plant!O9</f>
        <v>9451871.7224208005</v>
      </c>
      <c r="F93" s="162">
        <f>Elect_Functional_Utility_Plant!T9</f>
        <v>8736976.9762761109</v>
      </c>
      <c r="G93" s="162">
        <f>Elect_Functional_Utility_Plant!Y9</f>
        <v>6904159.2949769767</v>
      </c>
      <c r="H93" s="162">
        <f>Elect_Functional_Utility_Plant!AD9</f>
        <v>4208802.8816263387</v>
      </c>
      <c r="I93" s="162">
        <f>Elect_Functional_Utility_Plant!AI9</f>
        <v>-2202840.6715100263</v>
      </c>
      <c r="J93" s="162">
        <f>Elect_Functional_Utility_Plant!AN9</f>
        <v>-3610951.3009541729</v>
      </c>
      <c r="K93" s="162">
        <f>Elect_Functional_Utility_Plant!AS9</f>
        <v>-2847053.5544821112</v>
      </c>
      <c r="L93" s="162">
        <f>Elect_Functional_Utility_Plant!AX9</f>
        <v>-5899897.5015810858</v>
      </c>
      <c r="M93" s="162">
        <f>Elect_Functional_Utility_Plant!BC9</f>
        <v>-7768244.0124879377</v>
      </c>
    </row>
    <row r="94" spans="1:13" x14ac:dyDescent="0.3">
      <c r="A94" s="158">
        <f>IF(ISBLANK(B94),"",MAX(A$8:A93)+1)</f>
        <v>74</v>
      </c>
      <c r="B94" s="21" t="s">
        <v>68</v>
      </c>
      <c r="C94" s="162">
        <f>Elect_Functional_Utility_Plant!E10</f>
        <v>14227113.18132801</v>
      </c>
      <c r="D94" s="162">
        <f>Elect_Functional_Utility_Plant!J10</f>
        <v>16306128.119910087</v>
      </c>
      <c r="E94" s="162">
        <f>Elect_Functional_Utility_Plant!O10</f>
        <v>17186418.310248043</v>
      </c>
      <c r="F94" s="162">
        <f>Elect_Functional_Utility_Plant!T10</f>
        <v>16932850.40587372</v>
      </c>
      <c r="G94" s="162">
        <f>Elect_Functional_Utility_Plant!Y10</f>
        <v>15943099.512930619</v>
      </c>
      <c r="H94" s="162">
        <f>Elect_Functional_Utility_Plant!AD10</f>
        <v>7717909.5252399137</v>
      </c>
      <c r="I94" s="162">
        <f>Elect_Functional_Utility_Plant!AI10</f>
        <v>-3121520.8799594641</v>
      </c>
      <c r="J94" s="162">
        <f>Elect_Functional_Utility_Plant!AN10</f>
        <v>-5255504.9729479104</v>
      </c>
      <c r="K94" s="162">
        <f>Elect_Functional_Utility_Plant!AS10</f>
        <v>-4244307.9488241142</v>
      </c>
      <c r="L94" s="162">
        <f>Elect_Functional_Utility_Plant!AX10</f>
        <v>-9029797.9829346519</v>
      </c>
      <c r="M94" s="162">
        <f>Elect_Functional_Utility_Plant!BC10</f>
        <v>-10489018.967090806</v>
      </c>
    </row>
    <row r="95" spans="1:13" x14ac:dyDescent="0.3">
      <c r="A95" s="158">
        <f>IF(ISBLANK(B95),"",MAX(A$8:A94)+1)</f>
        <v>75</v>
      </c>
      <c r="B95" s="164" t="s">
        <v>0</v>
      </c>
      <c r="C95" s="173">
        <f t="shared" ref="C95:M95" si="22">SUM(C90:C94)</f>
        <v>-551306073.72980022</v>
      </c>
      <c r="D95" s="173">
        <f t="shared" si="22"/>
        <v>-664946214.7754283</v>
      </c>
      <c r="E95" s="173">
        <f t="shared" si="22"/>
        <v>-734541055.27352583</v>
      </c>
      <c r="F95" s="173">
        <f t="shared" si="22"/>
        <v>-866793078.83655429</v>
      </c>
      <c r="G95" s="173">
        <f t="shared" si="22"/>
        <v>-942905274.77464485</v>
      </c>
      <c r="H95" s="173">
        <f t="shared" si="22"/>
        <v>-1080959006.9523337</v>
      </c>
      <c r="I95" s="173">
        <f t="shared" si="22"/>
        <v>-1186168555.0553079</v>
      </c>
      <c r="J95" s="173">
        <f t="shared" si="22"/>
        <v>-1245535354.587563</v>
      </c>
      <c r="K95" s="173">
        <f t="shared" si="22"/>
        <v>-1312643209.6830668</v>
      </c>
      <c r="L95" s="173">
        <f t="shared" si="22"/>
        <v>-1392945885.6946714</v>
      </c>
      <c r="M95" s="173">
        <f t="shared" si="22"/>
        <v>-1417019514.9987345</v>
      </c>
    </row>
    <row r="96" spans="1:13" x14ac:dyDescent="0.3">
      <c r="A96" s="158" t="str">
        <f>IF(ISBLANK(B96),"",MAX(A$8:A95)+1)</f>
        <v/>
      </c>
      <c r="B96" s="21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</row>
    <row r="97" spans="1:13" x14ac:dyDescent="0.3">
      <c r="A97" s="158">
        <f>IF(ISBLANK(B97),"",MAX(A$8:A96)+1)</f>
        <v>76</v>
      </c>
      <c r="B97" s="180" t="s">
        <v>774</v>
      </c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</row>
    <row r="98" spans="1:13" x14ac:dyDescent="0.3">
      <c r="A98" s="158">
        <f>IF(ISBLANK(B98),"",MAX(A$8:A97)+1)</f>
        <v>77</v>
      </c>
      <c r="B98" s="21" t="s">
        <v>64</v>
      </c>
      <c r="C98" s="77">
        <f t="shared" ref="C98:M98" si="23">C58+C66+C90</f>
        <v>1011503081.9053372</v>
      </c>
      <c r="D98" s="77">
        <f t="shared" si="23"/>
        <v>1248067450.0605538</v>
      </c>
      <c r="E98" s="77">
        <f t="shared" si="23"/>
        <v>1337460219.3089774</v>
      </c>
      <c r="F98" s="77">
        <f t="shared" si="23"/>
        <v>1271552216.649868</v>
      </c>
      <c r="G98" s="77">
        <f t="shared" si="23"/>
        <v>1778096944.3971283</v>
      </c>
      <c r="H98" s="77">
        <f t="shared" si="23"/>
        <v>2023223556.6218071</v>
      </c>
      <c r="I98" s="77">
        <f t="shared" si="23"/>
        <v>2107277948.3906143</v>
      </c>
      <c r="J98" s="77">
        <f t="shared" si="23"/>
        <v>2010009430.4469061</v>
      </c>
      <c r="K98" s="77">
        <f t="shared" si="23"/>
        <v>1928409479.375268</v>
      </c>
      <c r="L98" s="77">
        <f t="shared" si="23"/>
        <v>1885611953.7511685</v>
      </c>
      <c r="M98" s="77">
        <f t="shared" si="23"/>
        <v>1726657062.6082206</v>
      </c>
    </row>
    <row r="99" spans="1:13" x14ac:dyDescent="0.3">
      <c r="A99" s="158">
        <f>IF(ISBLANK(B99),"",MAX(A$8:A98)+1)</f>
        <v>78</v>
      </c>
      <c r="B99" s="21" t="s">
        <v>65</v>
      </c>
      <c r="C99" s="162">
        <f t="shared" ref="C99:M99" si="24">C59+C67+C91</f>
        <v>155723740.16625252</v>
      </c>
      <c r="D99" s="162">
        <f t="shared" si="24"/>
        <v>172075033.56761917</v>
      </c>
      <c r="E99" s="162">
        <f t="shared" si="24"/>
        <v>201917671.12247762</v>
      </c>
      <c r="F99" s="162">
        <f t="shared" si="24"/>
        <v>237564053.03392103</v>
      </c>
      <c r="G99" s="162">
        <f t="shared" si="24"/>
        <v>675118851.55523539</v>
      </c>
      <c r="H99" s="162">
        <f t="shared" si="24"/>
        <v>701574335.59326971</v>
      </c>
      <c r="I99" s="162">
        <f t="shared" si="24"/>
        <v>788837210.92234898</v>
      </c>
      <c r="J99" s="162">
        <f t="shared" si="24"/>
        <v>804464397.47421753</v>
      </c>
      <c r="K99" s="162">
        <f t="shared" si="24"/>
        <v>822529506.94690752</v>
      </c>
      <c r="L99" s="162">
        <f t="shared" si="24"/>
        <v>838373277.77990746</v>
      </c>
      <c r="M99" s="162">
        <f t="shared" si="24"/>
        <v>880299629.19970214</v>
      </c>
    </row>
    <row r="100" spans="1:13" x14ac:dyDescent="0.3">
      <c r="A100" s="158">
        <f>IF(ISBLANK(B100),"",MAX(A$8:A99)+1)</f>
        <v>79</v>
      </c>
      <c r="B100" s="21" t="s">
        <v>66</v>
      </c>
      <c r="C100" s="162">
        <f t="shared" ref="C100:M100" si="25">C60+C68+C92</f>
        <v>1666806517.7284939</v>
      </c>
      <c r="D100" s="162">
        <f t="shared" si="25"/>
        <v>1706392972.040066</v>
      </c>
      <c r="E100" s="162">
        <f t="shared" si="25"/>
        <v>1785643587.9959283</v>
      </c>
      <c r="F100" s="162">
        <f t="shared" si="25"/>
        <v>1803900801.9063509</v>
      </c>
      <c r="G100" s="162">
        <f t="shared" si="25"/>
        <v>1522010951.0568833</v>
      </c>
      <c r="H100" s="162">
        <f t="shared" si="25"/>
        <v>1506910943.6843903</v>
      </c>
      <c r="I100" s="162">
        <f t="shared" si="25"/>
        <v>1470078149.1725075</v>
      </c>
      <c r="J100" s="162">
        <f t="shared" si="25"/>
        <v>1525820475.4917984</v>
      </c>
      <c r="K100" s="162">
        <f t="shared" si="25"/>
        <v>1559712407.3327932</v>
      </c>
      <c r="L100" s="162">
        <f t="shared" si="25"/>
        <v>1633656958.9185269</v>
      </c>
      <c r="M100" s="162">
        <f t="shared" si="25"/>
        <v>1732765393.0162663</v>
      </c>
    </row>
    <row r="101" spans="1:13" x14ac:dyDescent="0.3">
      <c r="A101" s="158">
        <f>IF(ISBLANK(B101),"",MAX(A$8:A100)+1)</f>
        <v>80</v>
      </c>
      <c r="B101" s="21" t="s">
        <v>67</v>
      </c>
      <c r="C101" s="162">
        <f t="shared" ref="C101:M101" si="26">C61+C69+C93</f>
        <v>67249425.956886292</v>
      </c>
      <c r="D101" s="162">
        <f t="shared" si="26"/>
        <v>138481932.10925803</v>
      </c>
      <c r="E101" s="162">
        <f t="shared" si="26"/>
        <v>126464537.32911311</v>
      </c>
      <c r="F101" s="162">
        <f t="shared" si="26"/>
        <v>123108579.10506617</v>
      </c>
      <c r="G101" s="162">
        <f t="shared" si="26"/>
        <v>108424607.08197847</v>
      </c>
      <c r="H101" s="162">
        <f t="shared" si="26"/>
        <v>183738771.93050399</v>
      </c>
      <c r="I101" s="162">
        <f t="shared" si="26"/>
        <v>215911796.43395346</v>
      </c>
      <c r="J101" s="162">
        <f t="shared" si="26"/>
        <v>209817509.65239292</v>
      </c>
      <c r="K101" s="162">
        <f t="shared" si="26"/>
        <v>207654611.68612462</v>
      </c>
      <c r="L101" s="162">
        <f t="shared" si="26"/>
        <v>211786978.17005274</v>
      </c>
      <c r="M101" s="162">
        <f t="shared" si="26"/>
        <v>245477944.89735612</v>
      </c>
    </row>
    <row r="102" spans="1:13" x14ac:dyDescent="0.3">
      <c r="A102" s="158">
        <f>IF(ISBLANK(B102),"",MAX(A$8:A101)+1)</f>
        <v>81</v>
      </c>
      <c r="B102" s="21" t="s">
        <v>68</v>
      </c>
      <c r="C102" s="162">
        <f t="shared" ref="C102:M102" si="27">C62+C70+C94</f>
        <v>197214951.1971634</v>
      </c>
      <c r="D102" s="162">
        <f t="shared" si="27"/>
        <v>168349505.56307432</v>
      </c>
      <c r="E102" s="162">
        <f t="shared" si="27"/>
        <v>209568053.73407832</v>
      </c>
      <c r="F102" s="162">
        <f t="shared" si="27"/>
        <v>222282345.66073969</v>
      </c>
      <c r="G102" s="162">
        <f t="shared" si="27"/>
        <v>236290426.23576319</v>
      </c>
      <c r="H102" s="162">
        <f t="shared" si="27"/>
        <v>241661849.62659469</v>
      </c>
      <c r="I102" s="162">
        <f t="shared" si="27"/>
        <v>229871683.22076786</v>
      </c>
      <c r="J102" s="162">
        <f t="shared" si="27"/>
        <v>219437238.59237158</v>
      </c>
      <c r="K102" s="162">
        <f t="shared" si="27"/>
        <v>212040119.66273987</v>
      </c>
      <c r="L102" s="162">
        <f t="shared" si="27"/>
        <v>240578166.30397367</v>
      </c>
      <c r="M102" s="162">
        <f t="shared" si="27"/>
        <v>322797048.67021996</v>
      </c>
    </row>
    <row r="103" spans="1:13" x14ac:dyDescent="0.3">
      <c r="A103" s="158">
        <f>IF(ISBLANK(B103),"",MAX(A$8:A102)+1)</f>
        <v>82</v>
      </c>
      <c r="B103" s="164" t="s">
        <v>0</v>
      </c>
      <c r="C103" s="173">
        <f t="shared" ref="C103:M103" si="28">SUM(C98:C102)</f>
        <v>3098497716.9541335</v>
      </c>
      <c r="D103" s="173">
        <f t="shared" si="28"/>
        <v>3433366893.3405709</v>
      </c>
      <c r="E103" s="173">
        <f t="shared" si="28"/>
        <v>3661054069.4905748</v>
      </c>
      <c r="F103" s="173">
        <f t="shared" si="28"/>
        <v>3658407996.3559461</v>
      </c>
      <c r="G103" s="173">
        <f t="shared" si="28"/>
        <v>4319941780.3269892</v>
      </c>
      <c r="H103" s="173">
        <f t="shared" si="28"/>
        <v>4657109457.4565659</v>
      </c>
      <c r="I103" s="173">
        <f t="shared" si="28"/>
        <v>4811976788.140192</v>
      </c>
      <c r="J103" s="173">
        <f t="shared" si="28"/>
        <v>4769549051.6576872</v>
      </c>
      <c r="K103" s="173">
        <f t="shared" si="28"/>
        <v>4730346125.0038328</v>
      </c>
      <c r="L103" s="173">
        <f t="shared" si="28"/>
        <v>4810007334.9236298</v>
      </c>
      <c r="M103" s="173">
        <f t="shared" si="28"/>
        <v>4907997078.3917656</v>
      </c>
    </row>
    <row r="104" spans="1:13" x14ac:dyDescent="0.3">
      <c r="A104" s="158" t="str">
        <f>IF(ISBLANK(B104),"",MAX(A$8:A103)+1)</f>
        <v/>
      </c>
      <c r="B104" s="169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</row>
    <row r="105" spans="1:13" x14ac:dyDescent="0.3">
      <c r="A105" s="158">
        <f>IF(ISBLANK(B105),"",MAX(A$8:A104)+1)</f>
        <v>83</v>
      </c>
      <c r="B105" s="169" t="s">
        <v>74</v>
      </c>
      <c r="C105" s="177">
        <f t="shared" ref="C105:L105" si="29">C52-C95</f>
        <v>36109657.729800224</v>
      </c>
      <c r="D105" s="177">
        <f t="shared" si="29"/>
        <v>62566823.775428295</v>
      </c>
      <c r="E105" s="177">
        <f t="shared" si="29"/>
        <v>82839598.273525834</v>
      </c>
      <c r="F105" s="177">
        <f t="shared" si="29"/>
        <v>95366187.836554289</v>
      </c>
      <c r="G105" s="177">
        <f t="shared" si="29"/>
        <v>20852449.808751225</v>
      </c>
      <c r="H105" s="177">
        <f t="shared" si="29"/>
        <v>53399980.137336612</v>
      </c>
      <c r="I105" s="177">
        <f t="shared" si="29"/>
        <v>43797248.607534885</v>
      </c>
      <c r="J105" s="177">
        <f t="shared" si="29"/>
        <v>51022190.934276581</v>
      </c>
      <c r="K105" s="177">
        <f t="shared" si="29"/>
        <v>29286532.477972746</v>
      </c>
      <c r="L105" s="177">
        <f t="shared" si="29"/>
        <v>-14458835.864907265</v>
      </c>
      <c r="M105" s="177">
        <f>M52-M95</f>
        <v>-25826393.46612215</v>
      </c>
    </row>
    <row r="106" spans="1:13" x14ac:dyDescent="0.3">
      <c r="A106" s="158">
        <f>IF(ISBLANK(B106),"",MAX(A$8:A105)+1)</f>
        <v>84</v>
      </c>
      <c r="B106" s="76" t="s">
        <v>75</v>
      </c>
      <c r="C106" s="162">
        <f t="shared" ref="C106:M106" si="30">C51</f>
        <v>286749772</v>
      </c>
      <c r="D106" s="162">
        <f t="shared" si="30"/>
        <v>283620223</v>
      </c>
      <c r="E106" s="162">
        <f t="shared" si="30"/>
        <v>236208024</v>
      </c>
      <c r="F106" s="162">
        <f t="shared" si="30"/>
        <v>313951313</v>
      </c>
      <c r="G106" s="162">
        <f t="shared" si="30"/>
        <v>431702107.15208334</v>
      </c>
      <c r="H106" s="162">
        <f t="shared" si="30"/>
        <v>438697644.56916672</v>
      </c>
      <c r="I106" s="162">
        <f t="shared" si="30"/>
        <v>338605654.77625</v>
      </c>
      <c r="J106" s="162">
        <f t="shared" si="30"/>
        <v>278399163.59666669</v>
      </c>
      <c r="K106" s="162">
        <f t="shared" si="30"/>
        <v>245814298.17166659</v>
      </c>
      <c r="L106" s="162">
        <f t="shared" si="30"/>
        <v>222544365.04083329</v>
      </c>
      <c r="M106" s="162">
        <f t="shared" si="30"/>
        <v>285841342.02833331</v>
      </c>
    </row>
    <row r="107" spans="1:13" x14ac:dyDescent="0.3">
      <c r="A107" s="158">
        <f>IF(ISBLANK(B107),"",MAX(A$8:A106)+1)</f>
        <v>85</v>
      </c>
      <c r="B107" s="76" t="s">
        <v>76</v>
      </c>
      <c r="C107" s="162">
        <f t="shared" ref="C107:M107" si="31">C53</f>
        <v>130674248</v>
      </c>
      <c r="D107" s="162">
        <f t="shared" si="31"/>
        <v>203505093</v>
      </c>
      <c r="E107" s="162">
        <f t="shared" si="31"/>
        <v>165865092</v>
      </c>
      <c r="F107" s="162">
        <f t="shared" si="31"/>
        <v>183562563</v>
      </c>
      <c r="G107" s="162">
        <f t="shared" si="31"/>
        <v>190928010.58458358</v>
      </c>
      <c r="H107" s="162">
        <f t="shared" si="31"/>
        <v>216328823.38692403</v>
      </c>
      <c r="I107" s="162">
        <f t="shared" si="31"/>
        <v>190185413.80985934</v>
      </c>
      <c r="J107" s="162">
        <f t="shared" si="31"/>
        <v>194511982.70378798</v>
      </c>
      <c r="K107" s="162">
        <f t="shared" si="31"/>
        <v>221501043.50093958</v>
      </c>
      <c r="L107" s="162">
        <f t="shared" si="31"/>
        <v>220982638.49962828</v>
      </c>
      <c r="M107" s="162">
        <f t="shared" si="31"/>
        <v>145303204.96710864</v>
      </c>
    </row>
    <row r="108" spans="1:13" x14ac:dyDescent="0.3">
      <c r="A108" s="158">
        <f>IF(ISBLANK(B108),"",MAX(A$8:A107)+1)</f>
        <v>86</v>
      </c>
      <c r="B108" s="76" t="s">
        <v>77</v>
      </c>
      <c r="C108" s="162">
        <f t="shared" ref="C108:M108" si="32">C54</f>
        <v>-89746678</v>
      </c>
      <c r="D108" s="162">
        <f t="shared" si="32"/>
        <v>-94124274</v>
      </c>
      <c r="E108" s="162">
        <f t="shared" si="32"/>
        <v>-88120404</v>
      </c>
      <c r="F108" s="162">
        <f t="shared" si="32"/>
        <v>-85609681</v>
      </c>
      <c r="G108" s="162">
        <f t="shared" si="32"/>
        <v>-79656585.690833345</v>
      </c>
      <c r="H108" s="162">
        <f t="shared" si="32"/>
        <v>-69978427.945324168</v>
      </c>
      <c r="I108" s="162">
        <f t="shared" si="32"/>
        <v>-62827413.56256938</v>
      </c>
      <c r="J108" s="162">
        <f t="shared" si="32"/>
        <v>-68728817.988096505</v>
      </c>
      <c r="K108" s="162">
        <f t="shared" si="32"/>
        <v>-84418590.305467904</v>
      </c>
      <c r="L108" s="162">
        <f t="shared" si="32"/>
        <v>-100765796.81849384</v>
      </c>
      <c r="M108" s="162">
        <f t="shared" si="32"/>
        <v>-106223263.53024991</v>
      </c>
    </row>
    <row r="109" spans="1:13" ht="15" thickBot="1" x14ac:dyDescent="0.35">
      <c r="A109" s="158">
        <f>IF(ISBLANK(B109),"",MAX(A$8:A108)+1)</f>
        <v>87</v>
      </c>
      <c r="B109" s="183" t="s">
        <v>62</v>
      </c>
      <c r="C109" s="184">
        <f t="shared" ref="C109:M109" si="33">SUM(C103:C108)</f>
        <v>3462284716.6839337</v>
      </c>
      <c r="D109" s="184">
        <f t="shared" si="33"/>
        <v>3888934759.1159992</v>
      </c>
      <c r="E109" s="184">
        <f t="shared" si="33"/>
        <v>4057846379.7641006</v>
      </c>
      <c r="F109" s="184">
        <f t="shared" si="33"/>
        <v>4165678379.1925001</v>
      </c>
      <c r="G109" s="184">
        <f t="shared" si="33"/>
        <v>4883767762.1815739</v>
      </c>
      <c r="H109" s="184">
        <f t="shared" si="33"/>
        <v>5295557477.6046696</v>
      </c>
      <c r="I109" s="184">
        <f t="shared" si="33"/>
        <v>5321737691.771266</v>
      </c>
      <c r="J109" s="184">
        <f t="shared" si="33"/>
        <v>5224753570.9043217</v>
      </c>
      <c r="K109" s="184">
        <f t="shared" si="33"/>
        <v>5142529408.8489437</v>
      </c>
      <c r="L109" s="184">
        <f t="shared" si="33"/>
        <v>5138309705.7806902</v>
      </c>
      <c r="M109" s="184">
        <f t="shared" si="33"/>
        <v>5207091968.3908367</v>
      </c>
    </row>
    <row r="110" spans="1:13" ht="15" thickTop="1" x14ac:dyDescent="0.3">
      <c r="A110" s="158" t="str">
        <f>IF(ISBLANK(B110),"",MAX(A$8:A109)+1)</f>
        <v/>
      </c>
      <c r="B110" s="169"/>
      <c r="C110" s="177">
        <f t="shared" ref="C110:L110" si="34">C55-C109</f>
        <v>0</v>
      </c>
      <c r="D110" s="177">
        <f t="shared" si="34"/>
        <v>0</v>
      </c>
      <c r="E110" s="177">
        <f t="shared" si="34"/>
        <v>0</v>
      </c>
      <c r="F110" s="177">
        <f t="shared" si="34"/>
        <v>0</v>
      </c>
      <c r="G110" s="177">
        <f t="shared" si="34"/>
        <v>0</v>
      </c>
      <c r="H110" s="177">
        <f t="shared" si="34"/>
        <v>1.6437320709228516</v>
      </c>
      <c r="I110" s="177">
        <f t="shared" si="34"/>
        <v>3.4823846817016602</v>
      </c>
      <c r="J110" s="177">
        <f t="shared" si="34"/>
        <v>-0.34978389739990234</v>
      </c>
      <c r="K110" s="177">
        <f t="shared" si="34"/>
        <v>-0.18620967864990234</v>
      </c>
      <c r="L110" s="177">
        <f t="shared" si="34"/>
        <v>-0.37433528900146484</v>
      </c>
      <c r="M110" s="177">
        <f>M55-M109</f>
        <v>3.345489501953125E-3</v>
      </c>
    </row>
    <row r="111" spans="1:13" x14ac:dyDescent="0.3">
      <c r="A111" s="158" t="str">
        <f>IF(ISBLANK(B111),"",MAX(A$8:A110)+1)</f>
        <v/>
      </c>
    </row>
    <row r="112" spans="1:13" x14ac:dyDescent="0.3">
      <c r="A112" s="158">
        <f>IF(ISBLANK(B112),"",MAX(A$8:A111)+1)</f>
        <v>88</v>
      </c>
      <c r="B112" s="456" t="s">
        <v>93</v>
      </c>
      <c r="C112" s="16">
        <f t="shared" ref="C112:M112" si="35">SUM(C25:C29,C31)</f>
        <v>325081954</v>
      </c>
      <c r="D112" s="16">
        <f t="shared" si="35"/>
        <v>334267431</v>
      </c>
      <c r="E112" s="16">
        <f t="shared" si="35"/>
        <v>342908099</v>
      </c>
      <c r="F112" s="16">
        <f t="shared" si="35"/>
        <v>350088577.93844378</v>
      </c>
      <c r="G112" s="16">
        <f t="shared" si="35"/>
        <v>359031919.19991827</v>
      </c>
      <c r="H112" s="16">
        <f t="shared" si="35"/>
        <v>372115598.34072012</v>
      </c>
      <c r="I112" s="16">
        <f t="shared" si="35"/>
        <v>383250776.87076169</v>
      </c>
      <c r="J112" s="16">
        <f t="shared" si="35"/>
        <v>379658483.271532</v>
      </c>
      <c r="K112" s="16">
        <f t="shared" si="35"/>
        <v>399074692.93704486</v>
      </c>
      <c r="L112" s="16">
        <f t="shared" si="35"/>
        <v>401848228.37282121</v>
      </c>
      <c r="M112" s="16">
        <f t="shared" si="35"/>
        <v>417788926.60226011</v>
      </c>
    </row>
    <row r="113" spans="1:15" x14ac:dyDescent="0.3">
      <c r="A113" s="158" t="str">
        <f>IF(ISBLANK(B113),"",MAX(A$8:A112)+1)</f>
        <v/>
      </c>
      <c r="B113" s="456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1:15" x14ac:dyDescent="0.3">
      <c r="A114" s="158">
        <f>IF(ISBLANK(B114),"",MAX(A$8:A113)+1)</f>
        <v>89</v>
      </c>
      <c r="B114" s="456" t="s">
        <v>94</v>
      </c>
      <c r="C114" s="16">
        <f t="shared" ref="C114:M114" si="36">C37</f>
        <v>118152091</v>
      </c>
      <c r="D114" s="16">
        <f t="shared" si="36"/>
        <v>116977157</v>
      </c>
      <c r="E114" s="16">
        <f t="shared" si="36"/>
        <v>119213711</v>
      </c>
      <c r="F114" s="16">
        <f t="shared" si="36"/>
        <v>127728493.42753384</v>
      </c>
      <c r="G114" s="16">
        <f t="shared" si="36"/>
        <v>130423618.59855486</v>
      </c>
      <c r="H114" s="16">
        <f t="shared" si="36"/>
        <v>109946580.5717608</v>
      </c>
      <c r="I114" s="16">
        <f t="shared" si="36"/>
        <v>88237765.505848348</v>
      </c>
      <c r="J114" s="16">
        <f t="shared" si="36"/>
        <v>90218865.725536928</v>
      </c>
      <c r="K114" s="16">
        <f t="shared" si="36"/>
        <v>89882199.710175306</v>
      </c>
      <c r="L114" s="16">
        <f t="shared" si="36"/>
        <v>92631554.216374725</v>
      </c>
      <c r="M114" s="16">
        <f t="shared" si="36"/>
        <v>87595913.278313041</v>
      </c>
    </row>
    <row r="115" spans="1:15" x14ac:dyDescent="0.3">
      <c r="A115" s="158">
        <f>IF(ISBLANK(B115),"",MAX(A$8:A114)+1)</f>
        <v>90</v>
      </c>
      <c r="B115" s="456" t="s">
        <v>95</v>
      </c>
      <c r="C115" s="16">
        <f>'Sum PropTX 1-2008 Thru 6-2013'!C16</f>
        <v>33615711.899999999</v>
      </c>
      <c r="D115" s="16">
        <f>'Sum PropTX 1-2008 Thru 6-2013'!D16</f>
        <v>30662201.02</v>
      </c>
      <c r="E115" s="16">
        <f>'Sum PropTX 1-2008 Thru 6-2013'!E16</f>
        <v>32935465.170000002</v>
      </c>
      <c r="F115" s="16">
        <f>'Sum PropTX 1-2008 Thru 6-2013'!F16</f>
        <v>38741659.049999997</v>
      </c>
      <c r="G115" s="16">
        <f>'Sum PropTX 1-2008 Thru 6-2013'!G16</f>
        <v>42306537.869999997</v>
      </c>
      <c r="H115" s="16">
        <f>'Sum PropTX 1-2008 Thru 6-2013'!H16</f>
        <v>15237260.27</v>
      </c>
      <c r="I115" s="16"/>
      <c r="J115" s="16"/>
      <c r="K115" s="16"/>
      <c r="L115" s="16"/>
      <c r="M115" s="16"/>
    </row>
    <row r="116" spans="1:15" x14ac:dyDescent="0.3">
      <c r="A116" s="158">
        <f>IF(ISBLANK(B116),"",MAX(A$8:A115)+1)</f>
        <v>91</v>
      </c>
      <c r="B116" s="456" t="s">
        <v>96</v>
      </c>
      <c r="C116" s="16">
        <f t="shared" ref="C116:M116" si="37">C114-C115</f>
        <v>84536379.099999994</v>
      </c>
      <c r="D116" s="16">
        <f t="shared" si="37"/>
        <v>86314955.980000004</v>
      </c>
      <c r="E116" s="16">
        <f t="shared" si="37"/>
        <v>86278245.829999998</v>
      </c>
      <c r="F116" s="16">
        <f t="shared" si="37"/>
        <v>88986834.377533838</v>
      </c>
      <c r="G116" s="16">
        <f t="shared" si="37"/>
        <v>88117080.728554875</v>
      </c>
      <c r="H116" s="16">
        <f t="shared" si="37"/>
        <v>94709320.301760808</v>
      </c>
      <c r="I116" s="16">
        <f t="shared" si="37"/>
        <v>88237765.505848348</v>
      </c>
      <c r="J116" s="16">
        <f t="shared" si="37"/>
        <v>90218865.725536928</v>
      </c>
      <c r="K116" s="16">
        <f t="shared" si="37"/>
        <v>89882199.710175306</v>
      </c>
      <c r="L116" s="16">
        <f t="shared" si="37"/>
        <v>92631554.216374725</v>
      </c>
      <c r="M116" s="16">
        <f t="shared" si="37"/>
        <v>87595913.278313041</v>
      </c>
    </row>
    <row r="117" spans="1:15" x14ac:dyDescent="0.3">
      <c r="A117" s="158" t="str">
        <f>IF(ISBLANK(B117),"",MAX(A$8:A116)+1)</f>
        <v/>
      </c>
    </row>
    <row r="118" spans="1:15" x14ac:dyDescent="0.3">
      <c r="A118" s="158">
        <f>IF(ISBLANK(B118),"",MAX(A$8:A117)+1)</f>
        <v>92</v>
      </c>
      <c r="B118" s="180" t="s">
        <v>97</v>
      </c>
    </row>
    <row r="119" spans="1:15" x14ac:dyDescent="0.3">
      <c r="A119" s="158">
        <f>IF(ISBLANK(B119),"",MAX(A$8:A118)+1)</f>
        <v>93</v>
      </c>
      <c r="B119" s="457" t="s">
        <v>98</v>
      </c>
      <c r="C119" s="16">
        <f t="shared" ref="C119:M119" si="38">C60</f>
        <v>3126647076.6941481</v>
      </c>
      <c r="D119" s="16">
        <f t="shared" si="38"/>
        <v>3282996397.8271761</v>
      </c>
      <c r="E119" s="16">
        <f t="shared" si="38"/>
        <v>3447196696.1536126</v>
      </c>
      <c r="F119" s="16">
        <f t="shared" si="38"/>
        <v>3564292381.2229676</v>
      </c>
      <c r="G119" s="16">
        <f t="shared" si="38"/>
        <v>3165842291.7865334</v>
      </c>
      <c r="H119" s="16">
        <f t="shared" si="38"/>
        <v>3232299791.6025748</v>
      </c>
      <c r="I119" s="16">
        <f t="shared" si="38"/>
        <v>3269591083.0320902</v>
      </c>
      <c r="J119" s="16">
        <f t="shared" si="38"/>
        <v>3425792687.7435322</v>
      </c>
      <c r="K119" s="16">
        <f t="shared" si="38"/>
        <v>3552927499.3939004</v>
      </c>
      <c r="L119" s="16">
        <f t="shared" si="38"/>
        <v>3716330215.1224427</v>
      </c>
      <c r="M119" s="16">
        <f t="shared" si="38"/>
        <v>3906349563.9733167</v>
      </c>
      <c r="N119" s="52"/>
      <c r="O119" s="52"/>
    </row>
    <row r="120" spans="1:15" x14ac:dyDescent="0.3">
      <c r="A120" s="158">
        <f>IF(ISBLANK(B120),"",MAX(A$8:A119)+1)</f>
        <v>94</v>
      </c>
      <c r="B120" s="457" t="s">
        <v>99</v>
      </c>
      <c r="K120" s="162">
        <f>-AMI!$B39</f>
        <v>-169571.83170475002</v>
      </c>
      <c r="L120" s="162">
        <f>-AMI!$B40</f>
        <v>-5674966.8325841678</v>
      </c>
      <c r="M120" s="162">
        <f>-AMI!$B41</f>
        <v>-43086547.452637523</v>
      </c>
    </row>
    <row r="121" spans="1:15" x14ac:dyDescent="0.3">
      <c r="A121" s="158">
        <f>IF(ISBLANK(B121),"",MAX(A$8:A120)+1)</f>
        <v>95</v>
      </c>
      <c r="B121" s="457" t="s">
        <v>100</v>
      </c>
      <c r="C121" s="16">
        <f>C119+C120</f>
        <v>3126647076.6941481</v>
      </c>
      <c r="D121" s="16">
        <f t="shared" ref="D121:M121" si="39">D119+D120</f>
        <v>3282996397.8271761</v>
      </c>
      <c r="E121" s="16">
        <f t="shared" si="39"/>
        <v>3447196696.1536126</v>
      </c>
      <c r="F121" s="16">
        <f t="shared" si="39"/>
        <v>3564292381.2229676</v>
      </c>
      <c r="G121" s="16">
        <f t="shared" si="39"/>
        <v>3165842291.7865334</v>
      </c>
      <c r="H121" s="16">
        <f t="shared" si="39"/>
        <v>3232299791.6025748</v>
      </c>
      <c r="I121" s="16">
        <f t="shared" si="39"/>
        <v>3269591083.0320902</v>
      </c>
      <c r="J121" s="16">
        <f t="shared" si="39"/>
        <v>3425792687.7435322</v>
      </c>
      <c r="K121" s="16">
        <f t="shared" si="39"/>
        <v>3552757927.5621958</v>
      </c>
      <c r="L121" s="16">
        <f t="shared" si="39"/>
        <v>3710655248.2898583</v>
      </c>
      <c r="M121" s="16">
        <f t="shared" si="39"/>
        <v>3863263016.520679</v>
      </c>
      <c r="N121" s="52"/>
      <c r="O121" s="52"/>
    </row>
    <row r="122" spans="1:15" x14ac:dyDescent="0.3">
      <c r="A122" s="158" t="str">
        <f>IF(ISBLANK(B122),"",MAX(A$8:A121)+1)</f>
        <v/>
      </c>
    </row>
    <row r="123" spans="1:15" x14ac:dyDescent="0.3">
      <c r="A123" s="158">
        <f>IF(ISBLANK(B123),"",MAX(A$8:A122)+1)</f>
        <v>96</v>
      </c>
      <c r="B123" s="457" t="s">
        <v>101</v>
      </c>
      <c r="C123" s="16">
        <f t="shared" ref="C123:M123" si="40">C66</f>
        <v>-1037704363.6809652</v>
      </c>
      <c r="D123" s="16">
        <f t="shared" si="40"/>
        <v>-1158111114.436832</v>
      </c>
      <c r="E123" s="16">
        <f t="shared" si="40"/>
        <v>-1224038743.8882952</v>
      </c>
      <c r="F123" s="16">
        <f t="shared" si="40"/>
        <v>-1267987261.4418714</v>
      </c>
      <c r="G123" s="16">
        <f t="shared" si="40"/>
        <v>-1347932268.3968384</v>
      </c>
      <c r="H123" s="16">
        <f t="shared" si="40"/>
        <v>-1502031360.5965569</v>
      </c>
      <c r="I123" s="16">
        <f t="shared" si="40"/>
        <v>-1597917691.2270181</v>
      </c>
      <c r="J123" s="16">
        <f t="shared" si="40"/>
        <v>-1646729664.4994764</v>
      </c>
      <c r="K123" s="16">
        <f t="shared" si="40"/>
        <v>-1732624980.544507</v>
      </c>
      <c r="L123" s="16">
        <f t="shared" si="40"/>
        <v>-1784018956.6891887</v>
      </c>
      <c r="M123" s="16">
        <f t="shared" si="40"/>
        <v>-1967130595.695049</v>
      </c>
    </row>
    <row r="124" spans="1:15" x14ac:dyDescent="0.3">
      <c r="A124" s="158">
        <f>IF(ISBLANK(B124),"",MAX(A$8:A123)+1)</f>
        <v>97</v>
      </c>
      <c r="B124" s="457" t="s">
        <v>102</v>
      </c>
      <c r="K124" s="162">
        <f>-AMI!$E39</f>
        <v>1352.5064655661179</v>
      </c>
      <c r="L124" s="162">
        <f>-AMI!$E40</f>
        <v>302758.53376174771</v>
      </c>
      <c r="M124" s="162">
        <f>-AMI!$E41</f>
        <v>2800433.4436958949</v>
      </c>
    </row>
    <row r="125" spans="1:15" x14ac:dyDescent="0.3">
      <c r="A125" s="158">
        <f>IF(ISBLANK(B125),"",MAX(A$8:A124)+1)</f>
        <v>98</v>
      </c>
      <c r="B125" s="457" t="s">
        <v>103</v>
      </c>
      <c r="C125" s="16">
        <f>C123+C124</f>
        <v>-1037704363.6809652</v>
      </c>
      <c r="D125" s="16">
        <f t="shared" ref="D125:M125" si="41">D123+D124</f>
        <v>-1158111114.436832</v>
      </c>
      <c r="E125" s="16">
        <f t="shared" si="41"/>
        <v>-1224038743.8882952</v>
      </c>
      <c r="F125" s="16">
        <f t="shared" si="41"/>
        <v>-1267987261.4418714</v>
      </c>
      <c r="G125" s="16">
        <f t="shared" si="41"/>
        <v>-1347932268.3968384</v>
      </c>
      <c r="H125" s="16">
        <f t="shared" si="41"/>
        <v>-1502031360.5965569</v>
      </c>
      <c r="I125" s="16">
        <f t="shared" si="41"/>
        <v>-1597917691.2270181</v>
      </c>
      <c r="J125" s="16">
        <f t="shared" si="41"/>
        <v>-1646729664.4994764</v>
      </c>
      <c r="K125" s="16">
        <f t="shared" si="41"/>
        <v>-1732623628.0380414</v>
      </c>
      <c r="L125" s="16">
        <f t="shared" si="41"/>
        <v>-1783716198.155427</v>
      </c>
      <c r="M125" s="16">
        <f t="shared" si="41"/>
        <v>-1964330162.2513533</v>
      </c>
    </row>
    <row r="126" spans="1:15" x14ac:dyDescent="0.3">
      <c r="A126" s="158" t="str">
        <f>IF(ISBLANK(B126),"",MAX(A$8:A125)+1)</f>
        <v/>
      </c>
    </row>
    <row r="127" spans="1:15" x14ac:dyDescent="0.3">
      <c r="A127" s="158">
        <f>IF(ISBLANK(B127),"",MAX(A$8:A126)+1)</f>
        <v>99</v>
      </c>
      <c r="B127" s="457" t="s">
        <v>104</v>
      </c>
      <c r="C127" s="35">
        <f t="shared" ref="C127:M127" si="42">C76</f>
        <v>-291020305.17099226</v>
      </c>
      <c r="D127" s="35">
        <f t="shared" si="42"/>
        <v>-345273698.56752461</v>
      </c>
      <c r="E127" s="35">
        <f t="shared" si="42"/>
        <v>-352792094.36911446</v>
      </c>
      <c r="F127" s="35">
        <f t="shared" si="42"/>
        <v>-385504103.91788042</v>
      </c>
      <c r="G127" s="35">
        <f t="shared" si="42"/>
        <v>-338570386.28523296</v>
      </c>
      <c r="H127" s="35">
        <f t="shared" si="42"/>
        <v>-312771115.81874192</v>
      </c>
      <c r="I127" s="35">
        <f t="shared" si="42"/>
        <v>-311024500.7077288</v>
      </c>
      <c r="J127" s="35">
        <f t="shared" si="42"/>
        <v>-329853615.75445724</v>
      </c>
      <c r="K127" s="35">
        <f t="shared" si="42"/>
        <v>-354650001.93698078</v>
      </c>
      <c r="L127" s="35">
        <f t="shared" si="42"/>
        <v>-363265364.03004867</v>
      </c>
      <c r="M127" s="35">
        <f t="shared" si="42"/>
        <v>-361910119.91365826</v>
      </c>
    </row>
    <row r="128" spans="1:15" x14ac:dyDescent="0.3">
      <c r="A128" s="158">
        <f>IF(ISBLANK(B128),"",MAX(A$8:A127)+1)</f>
        <v>100</v>
      </c>
      <c r="B128" s="457" t="s">
        <v>17</v>
      </c>
      <c r="K128" s="162">
        <f>-AMI!$G39</f>
        <v>2043.3697923645832</v>
      </c>
      <c r="L128" s="162">
        <f>-AMI!$G40</f>
        <v>457453.25793686113</v>
      </c>
      <c r="M128" s="162">
        <f>-AMI!$H41</f>
        <v>2798356.0552379121</v>
      </c>
    </row>
    <row r="129" spans="1:13" x14ac:dyDescent="0.3">
      <c r="A129" s="158">
        <f>IF(ISBLANK(B129),"",MAX(A$8:A128)+1)</f>
        <v>101</v>
      </c>
      <c r="B129" s="457" t="s">
        <v>105</v>
      </c>
      <c r="C129" s="35">
        <f>C127+C128</f>
        <v>-291020305.17099226</v>
      </c>
      <c r="D129" s="35">
        <f t="shared" ref="D129:M129" si="43">D127+D128</f>
        <v>-345273698.56752461</v>
      </c>
      <c r="E129" s="35">
        <f t="shared" si="43"/>
        <v>-352792094.36911446</v>
      </c>
      <c r="F129" s="35">
        <f t="shared" si="43"/>
        <v>-385504103.91788042</v>
      </c>
      <c r="G129" s="35">
        <f t="shared" si="43"/>
        <v>-338570386.28523296</v>
      </c>
      <c r="H129" s="35">
        <f t="shared" si="43"/>
        <v>-312771115.81874192</v>
      </c>
      <c r="I129" s="35">
        <f t="shared" si="43"/>
        <v>-311024500.7077288</v>
      </c>
      <c r="J129" s="35">
        <f t="shared" si="43"/>
        <v>-329853615.75445724</v>
      </c>
      <c r="K129" s="35">
        <f t="shared" si="43"/>
        <v>-354647958.56718844</v>
      </c>
      <c r="L129" s="35">
        <f t="shared" si="43"/>
        <v>-362807910.77211183</v>
      </c>
      <c r="M129" s="35">
        <f t="shared" si="43"/>
        <v>-359111763.85842037</v>
      </c>
    </row>
    <row r="130" spans="1:13" x14ac:dyDescent="0.3">
      <c r="A130" s="158" t="str">
        <f>IF(ISBLANK(B130),"",MAX(A$8:A129)+1)</f>
        <v/>
      </c>
      <c r="B130" s="457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</row>
    <row r="131" spans="1:13" x14ac:dyDescent="0.3">
      <c r="A131" s="158">
        <f>IF(ISBLANK(B131),"",MAX(A$8:A130)+1)</f>
        <v>102</v>
      </c>
      <c r="B131" s="180" t="s">
        <v>106</v>
      </c>
    </row>
    <row r="132" spans="1:13" x14ac:dyDescent="0.3">
      <c r="A132" s="158">
        <f>IF(ISBLANK(B132),"",MAX(A$8:A131)+1)</f>
        <v>103</v>
      </c>
      <c r="B132" s="457" t="s">
        <v>107</v>
      </c>
      <c r="C132" s="16">
        <f t="shared" ref="C132:M132" si="44">C61</f>
        <v>98172140.838679269</v>
      </c>
      <c r="D132" s="16">
        <f t="shared" si="44"/>
        <v>184191012.39805716</v>
      </c>
      <c r="E132" s="16">
        <f t="shared" si="44"/>
        <v>170574253.65480018</v>
      </c>
      <c r="F132" s="16">
        <f t="shared" si="44"/>
        <v>163505118.72319424</v>
      </c>
      <c r="G132" s="16">
        <f t="shared" si="44"/>
        <v>156033543.69077629</v>
      </c>
      <c r="H132" s="16">
        <f t="shared" si="44"/>
        <v>220596514.06650442</v>
      </c>
      <c r="I132" s="16">
        <f t="shared" si="44"/>
        <v>277509795.84000057</v>
      </c>
      <c r="J132" s="16">
        <f t="shared" si="44"/>
        <v>272808912.60467863</v>
      </c>
      <c r="K132" s="16">
        <f t="shared" si="44"/>
        <v>278010584.33501303</v>
      </c>
      <c r="L132" s="16">
        <f t="shared" si="44"/>
        <v>304691223.42869997</v>
      </c>
      <c r="M132" s="16">
        <f t="shared" si="44"/>
        <v>381909676.27170002</v>
      </c>
    </row>
    <row r="133" spans="1:13" x14ac:dyDescent="0.3">
      <c r="A133" s="158">
        <f>IF(ISBLANK(B133),"",MAX(A$8:A132)+1)</f>
        <v>104</v>
      </c>
      <c r="B133" s="457" t="s">
        <v>108</v>
      </c>
      <c r="L133" s="162">
        <f>-'GTZ Historical RB'!$C59</f>
        <v>-2303360.338705</v>
      </c>
      <c r="M133" s="162">
        <f>-'GTZ Historical RB'!$C60</f>
        <v>-32493590.70949842</v>
      </c>
    </row>
    <row r="134" spans="1:13" x14ac:dyDescent="0.3">
      <c r="A134" s="158">
        <f>IF(ISBLANK(B134),"",MAX(A$8:A133)+1)</f>
        <v>105</v>
      </c>
      <c r="B134" s="457" t="s">
        <v>100</v>
      </c>
      <c r="C134" s="16">
        <f>C132+C133</f>
        <v>98172140.838679269</v>
      </c>
      <c r="D134" s="16">
        <f t="shared" ref="D134:M134" si="45">D132+D133</f>
        <v>184191012.39805716</v>
      </c>
      <c r="E134" s="16">
        <f t="shared" si="45"/>
        <v>170574253.65480018</v>
      </c>
      <c r="F134" s="16">
        <f t="shared" si="45"/>
        <v>163505118.72319424</v>
      </c>
      <c r="G134" s="16">
        <f t="shared" si="45"/>
        <v>156033543.69077629</v>
      </c>
      <c r="H134" s="16">
        <f t="shared" si="45"/>
        <v>220596514.06650442</v>
      </c>
      <c r="I134" s="16">
        <f t="shared" si="45"/>
        <v>277509795.84000057</v>
      </c>
      <c r="J134" s="16">
        <f t="shared" si="45"/>
        <v>272808912.60467863</v>
      </c>
      <c r="K134" s="16">
        <f t="shared" si="45"/>
        <v>278010584.33501303</v>
      </c>
      <c r="L134" s="16">
        <f t="shared" si="45"/>
        <v>302387863.08999497</v>
      </c>
      <c r="M134" s="16">
        <f t="shared" si="45"/>
        <v>349416085.56220162</v>
      </c>
    </row>
    <row r="135" spans="1:13" x14ac:dyDescent="0.3">
      <c r="A135" s="158" t="str">
        <f>IF(ISBLANK(B135),"",MAX(A$8:A134)+1)</f>
        <v/>
      </c>
    </row>
    <row r="136" spans="1:13" x14ac:dyDescent="0.3">
      <c r="A136" s="158">
        <f>IF(ISBLANK(B136),"",MAX(A$8:A135)+1)</f>
        <v>106</v>
      </c>
      <c r="B136" s="457" t="s">
        <v>109</v>
      </c>
      <c r="C136" s="35">
        <f t="shared" ref="C136:M136" si="46">C69</f>
        <v>-34535425.44336056</v>
      </c>
      <c r="D136" s="35">
        <f t="shared" si="46"/>
        <v>-54093007.48339434</v>
      </c>
      <c r="E136" s="35">
        <f t="shared" si="46"/>
        <v>-53561588.048107862</v>
      </c>
      <c r="F136" s="35">
        <f t="shared" si="46"/>
        <v>-49133516.594404191</v>
      </c>
      <c r="G136" s="35">
        <f t="shared" si="46"/>
        <v>-54513095.90377479</v>
      </c>
      <c r="H136" s="35">
        <f t="shared" si="46"/>
        <v>-41066545.017626755</v>
      </c>
      <c r="I136" s="35">
        <f t="shared" si="46"/>
        <v>-59395158.73453705</v>
      </c>
      <c r="J136" s="35">
        <f t="shared" si="46"/>
        <v>-59380451.651331559</v>
      </c>
      <c r="K136" s="35">
        <f t="shared" si="46"/>
        <v>-67508919.094406307</v>
      </c>
      <c r="L136" s="35">
        <f t="shared" si="46"/>
        <v>-87004347.75706616</v>
      </c>
      <c r="M136" s="35">
        <f t="shared" si="46"/>
        <v>-128663487.36185595</v>
      </c>
    </row>
    <row r="137" spans="1:13" x14ac:dyDescent="0.3">
      <c r="A137" s="158">
        <f>IF(ISBLANK(B137),"",MAX(A$8:A136)+1)</f>
        <v>107</v>
      </c>
      <c r="B137" s="457" t="s">
        <v>110</v>
      </c>
      <c r="L137" s="162">
        <f>-'GTZ Historical RB'!$G59</f>
        <v>246067.8199052414</v>
      </c>
      <c r="M137" s="162">
        <f>-'GTZ Historical RB'!$G60</f>
        <v>2801052.512056177</v>
      </c>
    </row>
    <row r="138" spans="1:13" x14ac:dyDescent="0.3">
      <c r="A138" s="158">
        <f>IF(ISBLANK(B138),"",MAX(A$8:A137)+1)</f>
        <v>108</v>
      </c>
      <c r="B138" s="457" t="s">
        <v>103</v>
      </c>
      <c r="C138" s="35">
        <f>C136+C137</f>
        <v>-34535425.44336056</v>
      </c>
      <c r="D138" s="35">
        <f t="shared" ref="D138:M138" si="47">D136+D137</f>
        <v>-54093007.48339434</v>
      </c>
      <c r="E138" s="35">
        <f t="shared" si="47"/>
        <v>-53561588.048107862</v>
      </c>
      <c r="F138" s="35">
        <f t="shared" si="47"/>
        <v>-49133516.594404191</v>
      </c>
      <c r="G138" s="35">
        <f t="shared" si="47"/>
        <v>-54513095.90377479</v>
      </c>
      <c r="H138" s="35">
        <f t="shared" si="47"/>
        <v>-41066545.017626755</v>
      </c>
      <c r="I138" s="35">
        <f t="shared" si="47"/>
        <v>-59395158.73453705</v>
      </c>
      <c r="J138" s="35">
        <f t="shared" si="47"/>
        <v>-59380451.651331559</v>
      </c>
      <c r="K138" s="35">
        <f t="shared" si="47"/>
        <v>-67508919.094406307</v>
      </c>
      <c r="L138" s="35">
        <f t="shared" si="47"/>
        <v>-86758279.937160924</v>
      </c>
      <c r="M138" s="35">
        <f t="shared" si="47"/>
        <v>-125862434.84979978</v>
      </c>
    </row>
    <row r="139" spans="1:13" x14ac:dyDescent="0.3">
      <c r="A139" s="158" t="str">
        <f>IF(ISBLANK(B139),"",MAX(A$8:A138)+1)</f>
        <v/>
      </c>
    </row>
    <row r="140" spans="1:13" x14ac:dyDescent="0.3">
      <c r="A140" s="158">
        <f>IF(ISBLANK(B140),"",MAX(A$8:A139)+1)</f>
        <v>109</v>
      </c>
      <c r="B140" s="457" t="s">
        <v>111</v>
      </c>
      <c r="C140" s="16">
        <f t="shared" ref="C140:M140" si="48">C77</f>
        <v>3153586.7354353922</v>
      </c>
      <c r="D140" s="16">
        <f t="shared" si="48"/>
        <v>7135751.1588958148</v>
      </c>
      <c r="E140" s="16">
        <f t="shared" si="48"/>
        <v>7409429.0619201446</v>
      </c>
      <c r="F140" s="16">
        <f t="shared" si="48"/>
        <v>6543247.5410113903</v>
      </c>
      <c r="G140" s="16">
        <f t="shared" si="48"/>
        <v>4531551.6935714195</v>
      </c>
      <c r="H140" s="16">
        <f t="shared" si="48"/>
        <v>2438007.0720844655</v>
      </c>
      <c r="I140" s="16">
        <f t="shared" si="48"/>
        <v>-1227963.0893516347</v>
      </c>
      <c r="J140" s="16">
        <f t="shared" si="48"/>
        <v>-1995628.2097487154</v>
      </c>
      <c r="K140" s="16">
        <f t="shared" si="48"/>
        <v>-1550412.3510436977</v>
      </c>
      <c r="L140" s="16">
        <f t="shared" si="48"/>
        <v>-3093782.7291687187</v>
      </c>
      <c r="M140" s="16">
        <f t="shared" si="48"/>
        <v>-3945447.1849596915</v>
      </c>
    </row>
    <row r="141" spans="1:13" x14ac:dyDescent="0.3">
      <c r="A141" s="158">
        <f>IF(ISBLANK(B141),"",MAX(A$8:A140)+1)</f>
        <v>110</v>
      </c>
      <c r="B141" s="457" t="s">
        <v>18</v>
      </c>
      <c r="L141" s="162">
        <f>-'GTZ Historical RB'!$K59</f>
        <v>126837.37888453221</v>
      </c>
      <c r="M141" s="162">
        <f>-'GTZ Historical RB'!$K60</f>
        <v>1816393.2000356747</v>
      </c>
    </row>
    <row r="142" spans="1:13" x14ac:dyDescent="0.3">
      <c r="A142" s="158">
        <f>IF(ISBLANK(B142),"",MAX(A$8:A141)+1)</f>
        <v>111</v>
      </c>
      <c r="B142" s="457" t="s">
        <v>105</v>
      </c>
      <c r="C142" s="16">
        <f>C140+C141</f>
        <v>3153586.7354353922</v>
      </c>
      <c r="D142" s="16">
        <f t="shared" ref="D142:M142" si="49">D140+D141</f>
        <v>7135751.1588958148</v>
      </c>
      <c r="E142" s="16">
        <f t="shared" si="49"/>
        <v>7409429.0619201446</v>
      </c>
      <c r="F142" s="16">
        <f t="shared" si="49"/>
        <v>6543247.5410113903</v>
      </c>
      <c r="G142" s="16">
        <f t="shared" si="49"/>
        <v>4531551.6935714195</v>
      </c>
      <c r="H142" s="16">
        <f t="shared" si="49"/>
        <v>2438007.0720844655</v>
      </c>
      <c r="I142" s="16">
        <f t="shared" si="49"/>
        <v>-1227963.0893516347</v>
      </c>
      <c r="J142" s="16">
        <f t="shared" si="49"/>
        <v>-1995628.2097487154</v>
      </c>
      <c r="K142" s="16">
        <f t="shared" si="49"/>
        <v>-1550412.3510436977</v>
      </c>
      <c r="L142" s="16">
        <f t="shared" si="49"/>
        <v>-2966945.3502841867</v>
      </c>
      <c r="M142" s="16">
        <f t="shared" si="49"/>
        <v>-2129053.9849240165</v>
      </c>
    </row>
    <row r="143" spans="1:13" x14ac:dyDescent="0.3">
      <c r="A143" s="158" t="str">
        <f>IF(ISBLANK(B143),"",MAX(A$8:A142)+1)</f>
        <v/>
      </c>
    </row>
    <row r="144" spans="1:13" x14ac:dyDescent="0.3">
      <c r="A144" s="158" t="str">
        <f>IF(ISBLANK(B144),"",MAX(A$8:A143)+1)</f>
        <v/>
      </c>
    </row>
    <row r="145" spans="1:1" x14ac:dyDescent="0.3">
      <c r="A145" s="158" t="str">
        <f>IF(ISBLANK(B145),"",MAX(A$8:A144)+1)</f>
        <v/>
      </c>
    </row>
    <row r="146" spans="1:1" x14ac:dyDescent="0.3">
      <c r="A146" s="158" t="str">
        <f>IF(ISBLANK(B146),"",MAX(A$8:A145)+1)</f>
        <v/>
      </c>
    </row>
    <row r="147" spans="1:1" x14ac:dyDescent="0.3">
      <c r="A147" s="158" t="str">
        <f>IF(ISBLANK(B147),"",MAX(A$8:A146)+1)</f>
        <v/>
      </c>
    </row>
    <row r="148" spans="1:1" x14ac:dyDescent="0.3">
      <c r="A148" s="158" t="str">
        <f>IF(ISBLANK(B148),"",MAX(A$8:A147)+1)</f>
        <v/>
      </c>
    </row>
    <row r="149" spans="1:1" x14ac:dyDescent="0.3">
      <c r="A149" s="158" t="str">
        <f>IF(ISBLANK(B149),"",MAX(A$8:A148)+1)</f>
        <v/>
      </c>
    </row>
    <row r="150" spans="1:1" x14ac:dyDescent="0.3">
      <c r="A150" s="158" t="str">
        <f>IF(ISBLANK(B150),"",MAX(A$8:A149)+1)</f>
        <v/>
      </c>
    </row>
    <row r="151" spans="1:1" x14ac:dyDescent="0.3">
      <c r="A151" s="158" t="str">
        <f>IF(ISBLANK(B151),"",MAX(A$8:A150)+1)</f>
        <v/>
      </c>
    </row>
    <row r="152" spans="1:1" x14ac:dyDescent="0.3">
      <c r="A152" s="158" t="str">
        <f>IF(ISBLANK(B152),"",MAX(A$8:A151)+1)</f>
        <v/>
      </c>
    </row>
  </sheetData>
  <pageMargins left="0.7" right="0.7" top="0.75" bottom="0.75" header="0.3" footer="0.3"/>
  <pageSetup scale="48" pageOrder="overThenDown" orientation="landscape" horizontalDpi="1200" verticalDpi="1200" r:id="rId1"/>
  <rowBreaks count="2" manualBreakCount="2">
    <brk id="55" max="16383" man="1"/>
    <brk id="110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2"/>
  <sheetViews>
    <sheetView zoomScale="70" zoomScaleNormal="70"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4.88671875" style="15" customWidth="1"/>
    <col min="4" max="4" width="17.109375" style="15" bestFit="1" customWidth="1"/>
    <col min="5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5546875" style="15" bestFit="1" customWidth="1"/>
    <col min="15" max="18" width="12.109375" style="15" customWidth="1"/>
    <col min="19" max="20" width="9.109375" style="15"/>
    <col min="21" max="21" width="12" style="15" bestFit="1" customWidth="1"/>
    <col min="22" max="22" width="15.5546875" style="15" bestFit="1" customWidth="1"/>
    <col min="23" max="23" width="16.44140625" style="15" bestFit="1" customWidth="1"/>
    <col min="24" max="16384" width="9.109375" style="15"/>
  </cols>
  <sheetData>
    <row r="5" spans="2:23" ht="28.8" x14ac:dyDescent="0.3">
      <c r="B5" s="64" t="s">
        <v>112</v>
      </c>
      <c r="C5" s="119" t="s">
        <v>113</v>
      </c>
      <c r="D5" s="119" t="s">
        <v>143</v>
      </c>
      <c r="E5" s="119" t="str">
        <f>"ln("&amp;D5&amp;")"</f>
        <v>ln(Sales less Power Cost)</v>
      </c>
      <c r="F5" s="119" t="s">
        <v>114</v>
      </c>
    </row>
    <row r="6" spans="2:23" x14ac:dyDescent="0.3">
      <c r="B6" s="15">
        <v>2008</v>
      </c>
      <c r="D6" s="162">
        <f ca="1">OFFSET(Electric_CBR!$C$14,0,$B6-Electric_CBR!$C$7)-OFFSET(Electric_CBR!$C$23,0,$B6-Electric_CBR!$C$7)</f>
        <v>941742964</v>
      </c>
      <c r="E6" s="162"/>
      <c r="T6" s="15" t="s">
        <v>115</v>
      </c>
      <c r="U6" s="60">
        <f t="array" aca="1" ref="U6:V10" ca="1">LINEST(D11:D16,C11:C16,,TRUE)</f>
        <v>12142927.693595709</v>
      </c>
      <c r="V6" s="60">
        <f ca="1"/>
        <v>1345284782.6280341</v>
      </c>
      <c r="W6" s="15" t="s">
        <v>116</v>
      </c>
    </row>
    <row r="7" spans="2:23" x14ac:dyDescent="0.3">
      <c r="B7" s="15">
        <v>2009</v>
      </c>
      <c r="D7" s="162">
        <f ca="1">OFFSET(Electric_CBR!$C$14,0,$B7-Electric_CBR!$C$7)-OFFSET(Electric_CBR!$C$23,0,$B7-Electric_CBR!$C$7)</f>
        <v>986862148</v>
      </c>
      <c r="E7" s="425"/>
      <c r="T7" s="15" t="s">
        <v>117</v>
      </c>
      <c r="U7" s="60">
        <f ca="1"/>
        <v>5820867.0932676001</v>
      </c>
      <c r="V7" s="60">
        <f ca="1"/>
        <v>17623550.316086087</v>
      </c>
      <c r="W7" s="15" t="s">
        <v>118</v>
      </c>
    </row>
    <row r="8" spans="2:23" x14ac:dyDescent="0.3">
      <c r="B8" s="15">
        <f>B7+1</f>
        <v>2010</v>
      </c>
      <c r="D8" s="162">
        <f ca="1">OFFSET(Electric_CBR!$C$14,0,$B8-Electric_CBR!$C$7)-OFFSET(Electric_CBR!$C$23,0,$B8-Electric_CBR!$C$7)</f>
        <v>1033806785</v>
      </c>
      <c r="E8" s="425"/>
      <c r="T8" s="15" t="s">
        <v>119</v>
      </c>
      <c r="U8" s="95">
        <f ca="1"/>
        <v>0.52106277823298863</v>
      </c>
      <c r="V8" s="60">
        <f ca="1"/>
        <v>24350434.083522987</v>
      </c>
      <c r="W8" s="15" t="s">
        <v>120</v>
      </c>
    </row>
    <row r="9" spans="2:23" x14ac:dyDescent="0.3">
      <c r="B9" s="15">
        <f t="shared" ref="B9:B20" si="0">B8+1</f>
        <v>2011</v>
      </c>
      <c r="D9" s="162">
        <f ca="1">OFFSET(Electric_CBR!$C$14,0,$B9-Electric_CBR!$C$7)-OFFSET(Electric_CBR!$C$23,0,$B9-Electric_CBR!$C$7)</f>
        <v>1109101963.2624278</v>
      </c>
      <c r="E9" s="425"/>
      <c r="T9" s="15" t="s">
        <v>121</v>
      </c>
      <c r="U9" s="95">
        <f ca="1"/>
        <v>4.3518252877532246</v>
      </c>
      <c r="V9" s="15">
        <f ca="1"/>
        <v>4</v>
      </c>
      <c r="W9" s="15" t="s">
        <v>122</v>
      </c>
    </row>
    <row r="10" spans="2:23" x14ac:dyDescent="0.3">
      <c r="B10" s="15">
        <f t="shared" si="0"/>
        <v>2012</v>
      </c>
      <c r="D10" s="162">
        <f ca="1">OFFSET(Electric_CBR!$C$14,0,$B10-Electric_CBR!$C$7)-OFFSET(Electric_CBR!$C$23,0,$B10-Electric_CBR!$C$7)</f>
        <v>1246766546.43186</v>
      </c>
      <c r="E10" s="425"/>
      <c r="T10" s="15" t="s">
        <v>123</v>
      </c>
      <c r="U10" s="15">
        <f ca="1"/>
        <v>2580387127008138</v>
      </c>
      <c r="V10" s="15">
        <f ca="1"/>
        <v>2371774560223992</v>
      </c>
      <c r="W10" s="15" t="s">
        <v>124</v>
      </c>
    </row>
    <row r="11" spans="2:23" x14ac:dyDescent="0.3">
      <c r="B11" s="15">
        <f t="shared" si="0"/>
        <v>2013</v>
      </c>
      <c r="C11" s="15">
        <v>0</v>
      </c>
      <c r="D11" s="162">
        <f ca="1">OFFSET(Electric_CBR!$C$14,0,$B11-Electric_CBR!$C$7)-OFFSET(Electric_CBR!$C$23,0,$B11-Electric_CBR!$C$7)</f>
        <v>1331310395.8250394</v>
      </c>
      <c r="E11" s="425"/>
    </row>
    <row r="12" spans="2:23" x14ac:dyDescent="0.3">
      <c r="B12" s="15">
        <f t="shared" si="0"/>
        <v>2014</v>
      </c>
      <c r="C12" s="15">
        <v>1</v>
      </c>
      <c r="D12" s="162">
        <f ca="1">OFFSET(Electric_CBR!$C$14,0,$B12-Electric_CBR!$C$7)-OFFSET(Electric_CBR!$C$23,0,$B12-Electric_CBR!$C$7)</f>
        <v>1359410297.7343988</v>
      </c>
      <c r="E12" s="425">
        <f ca="1">LN(D12/$D$11)</f>
        <v>2.0887283904829228E-2</v>
      </c>
      <c r="F12" s="15">
        <v>1</v>
      </c>
    </row>
    <row r="13" spans="2:23" x14ac:dyDescent="0.3">
      <c r="B13" s="15">
        <f t="shared" si="0"/>
        <v>2015</v>
      </c>
      <c r="C13" s="15">
        <v>2</v>
      </c>
      <c r="D13" s="162">
        <f ca="1">OFFSET(Electric_CBR!$C$14,0,$B13-Electric_CBR!$C$7)-OFFSET(Electric_CBR!$C$23,0,$B13-Electric_CBR!$C$7)</f>
        <v>1373017846.9575553</v>
      </c>
      <c r="E13" s="425">
        <f ca="1">LN(D13/$D$11)</f>
        <v>3.0847408011365124E-2</v>
      </c>
      <c r="F13" s="15">
        <v>2</v>
      </c>
      <c r="T13" s="15" t="s">
        <v>115</v>
      </c>
      <c r="U13" s="13">
        <f t="array" aca="1" ref="U13:V17" ca="1">LINEST(E12:E16,F12:F16,FALSE,TRUE)</f>
        <v>1.1691141884965497E-2</v>
      </c>
      <c r="V13" s="13">
        <f ca="1"/>
        <v>0</v>
      </c>
      <c r="W13" s="15" t="s">
        <v>116</v>
      </c>
    </row>
    <row r="14" spans="2:23" x14ac:dyDescent="0.3">
      <c r="B14" s="15">
        <f t="shared" si="0"/>
        <v>2016</v>
      </c>
      <c r="C14" s="15">
        <v>3</v>
      </c>
      <c r="D14" s="162">
        <f ca="1">OFFSET(Electric_CBR!$C$14,0,$B14-Electric_CBR!$C$7)-OFFSET(Electric_CBR!$C$23,0,$B14-Electric_CBR!$C$7)</f>
        <v>1391891686.9827862</v>
      </c>
      <c r="E14" s="425">
        <f ca="1">LN(D14/$D$11)</f>
        <v>4.4500030606793597E-2</v>
      </c>
      <c r="F14" s="15">
        <v>3</v>
      </c>
      <c r="T14" s="15" t="s">
        <v>117</v>
      </c>
      <c r="U14" s="13">
        <f ca="1"/>
        <v>2.5597112203250907E-3</v>
      </c>
      <c r="V14" s="13" t="e">
        <f ca="1"/>
        <v>#N/A</v>
      </c>
      <c r="W14" s="15" t="s">
        <v>118</v>
      </c>
    </row>
    <row r="15" spans="2:23" x14ac:dyDescent="0.3">
      <c r="B15" s="15">
        <f t="shared" si="0"/>
        <v>2017</v>
      </c>
      <c r="C15" s="15">
        <v>4</v>
      </c>
      <c r="D15" s="162">
        <f ca="1">OFFSET(Electric_CBR!$C$14,0,$B15-Electric_CBR!$C$7)-OFFSET(Electric_CBR!$C$23,0,$B15-Electric_CBR!$C$7)</f>
        <v>1425100208.3913937</v>
      </c>
      <c r="E15" s="425">
        <f ca="1">LN(D15/$D$11)</f>
        <v>6.8078415723920746E-2</v>
      </c>
      <c r="F15" s="15">
        <v>4</v>
      </c>
      <c r="T15" s="15" t="s">
        <v>119</v>
      </c>
      <c r="U15" s="15">
        <f ca="1"/>
        <v>0.83910442984064648</v>
      </c>
      <c r="V15" s="15">
        <f ca="1"/>
        <v>1.8983326479576731E-2</v>
      </c>
      <c r="W15" s="15" t="s">
        <v>120</v>
      </c>
    </row>
    <row r="16" spans="2:23" x14ac:dyDescent="0.3">
      <c r="B16" s="15">
        <f t="shared" si="0"/>
        <v>2018</v>
      </c>
      <c r="C16" s="15">
        <v>5</v>
      </c>
      <c r="D16" s="162">
        <f ca="1">OFFSET(Electric_CBR!$C$14,0,$B16-Electric_CBR!$C$7)-OFFSET(Electric_CBR!$C$23,0,$B16-Electric_CBR!$C$7)</f>
        <v>1373122175.2809663</v>
      </c>
      <c r="E16" s="425">
        <f ca="1">LN(D16/$D$11)</f>
        <v>3.0923389805895821E-2</v>
      </c>
      <c r="F16" s="15">
        <v>5</v>
      </c>
      <c r="T16" s="15" t="s">
        <v>121</v>
      </c>
      <c r="U16" s="15">
        <f ca="1"/>
        <v>20.860846050878436</v>
      </c>
      <c r="V16" s="15">
        <f ca="1"/>
        <v>4</v>
      </c>
      <c r="W16" s="15" t="s">
        <v>122</v>
      </c>
    </row>
    <row r="17" spans="2:23" x14ac:dyDescent="0.3">
      <c r="B17" s="15">
        <f t="shared" si="0"/>
        <v>2019</v>
      </c>
      <c r="C17" s="15">
        <v>6</v>
      </c>
      <c r="D17" s="162"/>
      <c r="E17" s="162"/>
      <c r="T17" s="15" t="s">
        <v>123</v>
      </c>
      <c r="U17" s="15">
        <f ca="1"/>
        <v>7.5175539215917037E-3</v>
      </c>
      <c r="V17" s="15">
        <f ca="1"/>
        <v>1.4414667369207961E-3</v>
      </c>
      <c r="W17" s="15" t="s">
        <v>124</v>
      </c>
    </row>
    <row r="18" spans="2:23" x14ac:dyDescent="0.3">
      <c r="B18" s="15">
        <f t="shared" si="0"/>
        <v>2020</v>
      </c>
      <c r="C18" s="15">
        <v>7</v>
      </c>
      <c r="D18" s="162"/>
      <c r="E18" s="162"/>
    </row>
    <row r="19" spans="2:23" x14ac:dyDescent="0.3">
      <c r="B19" s="15">
        <f t="shared" si="0"/>
        <v>2021</v>
      </c>
      <c r="C19" s="15">
        <v>8</v>
      </c>
      <c r="D19" s="162"/>
      <c r="E19" s="162"/>
    </row>
    <row r="20" spans="2:23" x14ac:dyDescent="0.3">
      <c r="B20" s="15">
        <f t="shared" si="0"/>
        <v>2022</v>
      </c>
      <c r="C20" s="15">
        <v>9</v>
      </c>
      <c r="D20" s="162"/>
      <c r="E20" s="162"/>
    </row>
    <row r="22" spans="2:23" x14ac:dyDescent="0.3">
      <c r="C22" s="35"/>
      <c r="D22" s="35"/>
    </row>
    <row r="25" spans="2:23" x14ac:dyDescent="0.3">
      <c r="B25" s="15" t="s">
        <v>2</v>
      </c>
      <c r="D25" s="52">
        <f ca="1">RATE(3,,-D13,D16)</f>
        <v>2.5327585581367823E-5</v>
      </c>
      <c r="E25" s="52"/>
    </row>
    <row r="26" spans="2:23" x14ac:dyDescent="0.3">
      <c r="B26" s="15" t="s">
        <v>3</v>
      </c>
      <c r="D26" s="52">
        <f ca="1">RATE(5,,-D11,D16)</f>
        <v>6.2038425705289724E-3</v>
      </c>
      <c r="E26" s="52"/>
    </row>
    <row r="27" spans="2:23" x14ac:dyDescent="0.3">
      <c r="B27" s="15" t="s">
        <v>4</v>
      </c>
      <c r="D27" s="52">
        <f ca="1">RATE(10,,-D6,D16)</f>
        <v>3.8431084031201219E-2</v>
      </c>
      <c r="E27" s="52"/>
    </row>
    <row r="28" spans="2:23" x14ac:dyDescent="0.3">
      <c r="B28" s="15" t="s">
        <v>5</v>
      </c>
      <c r="D28" s="52">
        <f ca="1">C52/D16</f>
        <v>8.8432973497868401E-3</v>
      </c>
      <c r="E28" s="52"/>
    </row>
    <row r="29" spans="2:23" x14ac:dyDescent="0.3">
      <c r="B29" s="15" t="s">
        <v>6</v>
      </c>
      <c r="D29" s="52">
        <f ca="1">C52/AVERAGE(D11:D16)</f>
        <v>8.8270980345537889E-3</v>
      </c>
      <c r="E29" s="52"/>
    </row>
    <row r="30" spans="2:23" x14ac:dyDescent="0.3">
      <c r="B30" s="15" t="s">
        <v>7</v>
      </c>
      <c r="D30" s="52">
        <f ca="1">EXP(N52)-1</f>
        <v>1.1759750394165991E-2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0.72184678307310379</v>
      </c>
      <c r="M38" s="426" t="s">
        <v>127</v>
      </c>
      <c r="N38" s="7">
        <f ca="1">N39^0.5</f>
        <v>0.91602643512108672</v>
      </c>
    </row>
    <row r="39" spans="2:18" x14ac:dyDescent="0.3">
      <c r="B39" s="426" t="s">
        <v>128</v>
      </c>
      <c r="C39" s="7">
        <f ca="1">U8</f>
        <v>0.52106277823298863</v>
      </c>
      <c r="M39" s="426" t="s">
        <v>128</v>
      </c>
      <c r="N39" s="7">
        <f ca="1">U15</f>
        <v>0.83910442984064648</v>
      </c>
    </row>
    <row r="40" spans="2:18" x14ac:dyDescent="0.3">
      <c r="B40" s="426" t="s">
        <v>129</v>
      </c>
      <c r="C40" s="7">
        <f ca="1">1-(1-C39)*(C42-1)/(C42-2)</f>
        <v>0.40132847279123585</v>
      </c>
      <c r="M40" s="426" t="s">
        <v>129</v>
      </c>
      <c r="N40" s="7">
        <f ca="1">1-(1-N39)*(N42-1)/(N42-2)</f>
        <v>0.78547257312086194</v>
      </c>
    </row>
    <row r="41" spans="2:18" x14ac:dyDescent="0.3">
      <c r="B41" s="426" t="s">
        <v>120</v>
      </c>
      <c r="C41" s="8">
        <f ca="1">V8</f>
        <v>24350434.083522987</v>
      </c>
      <c r="M41" s="426" t="s">
        <v>120</v>
      </c>
      <c r="N41" s="6">
        <f ca="1">V15</f>
        <v>1.8983326479576731E-2</v>
      </c>
    </row>
    <row r="42" spans="2:18" ht="15" thickBot="1" x14ac:dyDescent="0.35">
      <c r="B42" s="427" t="s">
        <v>130</v>
      </c>
      <c r="C42" s="9">
        <f ca="1">V9+2</f>
        <v>6</v>
      </c>
      <c r="M42" s="427" t="s">
        <v>130</v>
      </c>
      <c r="N42" s="9">
        <f ca="1">V16+1</f>
        <v>5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2580387127008138</v>
      </c>
      <c r="E46" s="428">
        <f ca="1">D46/C46</f>
        <v>2580387127008138</v>
      </c>
      <c r="F46" s="6">
        <f ca="1">E46/E47</f>
        <v>4.3518252877532246</v>
      </c>
      <c r="G46" s="426">
        <f ca="1">FDIST(F46,C46,C47)</f>
        <v>0.10529357051365269</v>
      </c>
      <c r="M46" s="426" t="s">
        <v>137</v>
      </c>
      <c r="N46" s="60">
        <v>1</v>
      </c>
      <c r="O46" s="428">
        <f ca="1">U17</f>
        <v>7.5175539215917037E-3</v>
      </c>
      <c r="P46" s="428">
        <f ca="1">O46/N46</f>
        <v>7.5175539215917037E-3</v>
      </c>
      <c r="Q46" s="6">
        <f ca="1">P46/P47</f>
        <v>20.860846050878436</v>
      </c>
      <c r="R46" s="426">
        <f ca="1">FDIST(Q46,N46,N47)</f>
        <v>1.028126709898965E-2</v>
      </c>
    </row>
    <row r="47" spans="2:18" x14ac:dyDescent="0.3">
      <c r="B47" s="426" t="s">
        <v>138</v>
      </c>
      <c r="C47" s="8">
        <f ca="1">C42-C46-1</f>
        <v>4</v>
      </c>
      <c r="D47" s="428">
        <f ca="1">V10</f>
        <v>2371774560223992</v>
      </c>
      <c r="E47" s="428">
        <f ca="1">D47/C47</f>
        <v>592943640055998</v>
      </c>
      <c r="F47" s="426"/>
      <c r="G47" s="426"/>
      <c r="M47" s="426" t="s">
        <v>138</v>
      </c>
      <c r="N47" s="60">
        <f ca="1">N42-N46</f>
        <v>4</v>
      </c>
      <c r="O47" s="428">
        <f ca="1">V17</f>
        <v>1.4414667369207961E-3</v>
      </c>
      <c r="P47" s="428">
        <f ca="1">O47/N47</f>
        <v>3.6036668423019901E-4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5</v>
      </c>
      <c r="D48" s="429">
        <f ca="1">D46+D47</f>
        <v>4952161687232130</v>
      </c>
      <c r="E48" s="427"/>
      <c r="F48" s="427"/>
      <c r="G48" s="427"/>
      <c r="M48" s="427" t="s">
        <v>0</v>
      </c>
      <c r="N48" s="60">
        <f ca="1">N46+N47</f>
        <v>5</v>
      </c>
      <c r="O48" s="429">
        <f ca="1">O46+O47</f>
        <v>8.9590206585124996E-3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1345284782.6280341</v>
      </c>
      <c r="D51" s="8">
        <f ca="1">V7</f>
        <v>17623550.316086087</v>
      </c>
      <c r="E51" s="6">
        <f ca="1">C51/D51</f>
        <v>76.334493249076544</v>
      </c>
      <c r="F51" s="7">
        <f ca="1">TDIST(ABS(E51),C47,2)</f>
        <v>1.7651077690720238E-7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12142927.693595709</v>
      </c>
      <c r="D52" s="9">
        <f ca="1">U7</f>
        <v>5820867.0932676001</v>
      </c>
      <c r="E52" s="427">
        <f ca="1">C52/D52</f>
        <v>2.0861028948144491</v>
      </c>
      <c r="F52" s="11">
        <f ca="1">TDIST(ABS(E52),C47,2)</f>
        <v>0.10529357051365269</v>
      </c>
      <c r="M52" s="427" t="s">
        <v>114</v>
      </c>
      <c r="N52" s="10">
        <f ca="1">U13</f>
        <v>1.1691141884965497E-2</v>
      </c>
      <c r="O52" s="9">
        <f ca="1">U14</f>
        <v>2.5597112203250907E-3</v>
      </c>
      <c r="P52" s="430">
        <f ca="1">N52/O52</f>
        <v>4.5673675187002889</v>
      </c>
      <c r="Q52" s="11">
        <f ca="1">TDIST(ABS(P52),N47,2)</f>
        <v>1.028126709898965E-2</v>
      </c>
    </row>
  </sheetData>
  <pageMargins left="0.7" right="0.7" top="0.75" bottom="0.75" header="0.3" footer="0.3"/>
  <pageSetup orientation="portrait" horizontalDpi="1200" verticalDpi="1200" r:id="rId1"/>
  <ignoredErrors>
    <ignoredError sqref="D6:D16 E12:E16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3"/>
  <sheetViews>
    <sheetView zoomScale="70" zoomScaleNormal="70"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6.6640625" style="15" bestFit="1" customWidth="1"/>
    <col min="4" max="4" width="18" style="15" bestFit="1" customWidth="1"/>
    <col min="5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5546875" style="15" bestFit="1" customWidth="1"/>
    <col min="15" max="18" width="12.109375" style="15" customWidth="1"/>
    <col min="19" max="20" width="9.109375" style="15"/>
    <col min="21" max="21" width="12" style="15" bestFit="1" customWidth="1"/>
    <col min="22" max="22" width="14.5546875" style="15" bestFit="1" customWidth="1"/>
    <col min="23" max="23" width="16.44140625" style="15" bestFit="1" customWidth="1"/>
    <col min="24" max="16384" width="9.109375" style="15"/>
  </cols>
  <sheetData>
    <row r="5" spans="2:23" ht="43.2" x14ac:dyDescent="0.3">
      <c r="B5" s="64" t="s">
        <v>112</v>
      </c>
      <c r="C5" s="119" t="s">
        <v>113</v>
      </c>
      <c r="D5" s="119" t="s">
        <v>144</v>
      </c>
      <c r="E5" s="119" t="str">
        <f>"ln("&amp;D5&amp;")"</f>
        <v>ln(Gross Production Plant)</v>
      </c>
      <c r="F5" s="119" t="s">
        <v>114</v>
      </c>
    </row>
    <row r="6" spans="2:23" x14ac:dyDescent="0.3">
      <c r="B6" s="15">
        <v>2008</v>
      </c>
      <c r="D6" s="162">
        <f ca="1">OFFSET(Electric_CBR!$C$58,0,Elect_PPlant!$B6-Electric_CBR!$C$7)</f>
        <v>2233728644.5330596</v>
      </c>
      <c r="E6" s="162"/>
      <c r="T6" s="15" t="s">
        <v>115</v>
      </c>
      <c r="U6" s="60">
        <f t="array" aca="1" ref="U6:V10" ca="1">LINEST(D11:D16,C11:C16,,TRUE)</f>
        <v>34784150.411581479</v>
      </c>
      <c r="V6" s="60">
        <f ca="1"/>
        <v>4077471981.0361519</v>
      </c>
      <c r="W6" s="15" t="s">
        <v>116</v>
      </c>
    </row>
    <row r="7" spans="2:23" x14ac:dyDescent="0.3">
      <c r="B7" s="15">
        <v>2009</v>
      </c>
      <c r="D7" s="162">
        <f ca="1">OFFSET(Electric_CBR!$C$58,0,Elect_PPlant!$B7-Electric_CBR!$C$7)</f>
        <v>2628433532.5317345</v>
      </c>
      <c r="E7" s="425"/>
      <c r="T7" s="15" t="s">
        <v>117</v>
      </c>
      <c r="U7" s="60">
        <f ca="1"/>
        <v>17385165.433323231</v>
      </c>
      <c r="V7" s="60">
        <f ca="1"/>
        <v>52636202.280244544</v>
      </c>
      <c r="W7" s="15" t="s">
        <v>118</v>
      </c>
    </row>
    <row r="8" spans="2:23" x14ac:dyDescent="0.3">
      <c r="B8" s="15">
        <f>B7+1</f>
        <v>2010</v>
      </c>
      <c r="D8" s="162">
        <f ca="1">OFFSET(Electric_CBR!$C$58,0,Elect_PPlant!$B8-Electric_CBR!$C$7)</f>
        <v>2804906080.7067275</v>
      </c>
      <c r="E8" s="425"/>
      <c r="T8" s="15" t="s">
        <v>119</v>
      </c>
      <c r="U8" s="95">
        <f ca="1"/>
        <v>0.50019868661422695</v>
      </c>
      <c r="V8" s="60">
        <f ca="1"/>
        <v>72727364.863717526</v>
      </c>
      <c r="W8" s="15" t="s">
        <v>120</v>
      </c>
    </row>
    <row r="9" spans="2:23" x14ac:dyDescent="0.3">
      <c r="B9" s="15">
        <f t="shared" ref="B9:B20" si="0">B8+1</f>
        <v>2011</v>
      </c>
      <c r="D9" s="162">
        <f ca="1">OFFSET(Electric_CBR!$C$58,0,Elect_PPlant!$B9-Electric_CBR!$C$7)</f>
        <v>2834996804.1796851</v>
      </c>
      <c r="E9" s="425"/>
      <c r="T9" s="15" t="s">
        <v>121</v>
      </c>
      <c r="U9" s="95">
        <f ca="1"/>
        <v>4.0031802495736715</v>
      </c>
      <c r="V9" s="15">
        <f ca="1"/>
        <v>4</v>
      </c>
      <c r="W9" s="15" t="s">
        <v>122</v>
      </c>
    </row>
    <row r="10" spans="2:23" x14ac:dyDescent="0.3">
      <c r="B10" s="15">
        <f t="shared" si="0"/>
        <v>2012</v>
      </c>
      <c r="D10" s="162">
        <f ca="1">OFFSET(Electric_CBR!$C$58,0,Elect_PPlant!$B10-Electric_CBR!$C$7)</f>
        <v>3486905089.9354258</v>
      </c>
      <c r="E10" s="425"/>
      <c r="T10" s="15" t="s">
        <v>123</v>
      </c>
      <c r="U10" s="15">
        <f ca="1"/>
        <v>2.1173899597471676E+16</v>
      </c>
      <c r="V10" s="15">
        <f ca="1"/>
        <v>2.115707840008118E+16</v>
      </c>
      <c r="W10" s="15" t="s">
        <v>124</v>
      </c>
    </row>
    <row r="11" spans="2:23" x14ac:dyDescent="0.3">
      <c r="B11" s="15">
        <f t="shared" si="0"/>
        <v>2013</v>
      </c>
      <c r="C11" s="15">
        <v>0</v>
      </c>
      <c r="D11" s="162">
        <f ca="1">OFFSET(Electric_CBR!$C$58,0,Elect_PPlant!$B11-Electric_CBR!$C$7)</f>
        <v>3981472267.7908983</v>
      </c>
      <c r="E11" s="425"/>
    </row>
    <row r="12" spans="2:23" x14ac:dyDescent="0.3">
      <c r="B12" s="15">
        <f t="shared" si="0"/>
        <v>2014</v>
      </c>
      <c r="C12" s="15">
        <v>1</v>
      </c>
      <c r="D12" s="162">
        <f ca="1">OFFSET(Electric_CBR!$C$58,0,Elect_PPlant!$B12-Electric_CBR!$C$7)</f>
        <v>4215626965.9222226</v>
      </c>
      <c r="E12" s="425">
        <f ca="1">LN(D12/$D$11)</f>
        <v>5.7146659331220657E-2</v>
      </c>
      <c r="F12" s="15">
        <v>1</v>
      </c>
    </row>
    <row r="13" spans="2:23" x14ac:dyDescent="0.3">
      <c r="B13" s="15">
        <f t="shared" si="0"/>
        <v>2015</v>
      </c>
      <c r="C13" s="15">
        <v>2</v>
      </c>
      <c r="D13" s="162">
        <f ca="1">OFFSET(Electric_CBR!$C$58,0,Elect_PPlant!$B13-Electric_CBR!$C$7)</f>
        <v>4171211310.736814</v>
      </c>
      <c r="E13" s="425">
        <f t="shared" ref="E13:E16" ca="1" si="1">LN(D13/$D$11)</f>
        <v>4.6554808395538112E-2</v>
      </c>
      <c r="F13" s="15">
        <v>2</v>
      </c>
      <c r="T13" s="15" t="s">
        <v>115</v>
      </c>
      <c r="U13" s="13">
        <f t="array" aca="1" ref="U13:V17" ca="1">LINEST(E12:E16,F12:F16,FALSE,TRUE)</f>
        <v>1.4894732538526929E-2</v>
      </c>
      <c r="V13" s="13">
        <f ca="1"/>
        <v>0</v>
      </c>
      <c r="W13" s="15" t="s">
        <v>116</v>
      </c>
    </row>
    <row r="14" spans="2:23" x14ac:dyDescent="0.3">
      <c r="B14" s="15">
        <f t="shared" si="0"/>
        <v>2016</v>
      </c>
      <c r="C14" s="15">
        <v>3</v>
      </c>
      <c r="D14" s="162">
        <f ca="1">OFFSET(Electric_CBR!$C$58,0,Elect_PPlant!$B14-Electric_CBR!$C$7)</f>
        <v>4182583960.2834702</v>
      </c>
      <c r="E14" s="425">
        <f t="shared" ca="1" si="1"/>
        <v>4.9277560439012442E-2</v>
      </c>
      <c r="F14" s="15">
        <v>3</v>
      </c>
      <c r="T14" s="15" t="s">
        <v>117</v>
      </c>
      <c r="U14" s="13">
        <f ca="1"/>
        <v>3.2474557656017398E-3</v>
      </c>
      <c r="V14" s="13" t="e">
        <f ca="1"/>
        <v>#N/A</v>
      </c>
      <c r="W14" s="15" t="s">
        <v>118</v>
      </c>
    </row>
    <row r="15" spans="2:23" x14ac:dyDescent="0.3">
      <c r="B15" s="15">
        <f t="shared" si="0"/>
        <v>2017</v>
      </c>
      <c r="C15" s="15">
        <v>4</v>
      </c>
      <c r="D15" s="162">
        <f ca="1">OFFSET(Electric_CBR!$C$58,0,Elect_PPlant!$B15-Electric_CBR!$C$7)</f>
        <v>4209091668.3531342</v>
      </c>
      <c r="E15" s="425">
        <f t="shared" ca="1" si="1"/>
        <v>5.5595201255604132E-2</v>
      </c>
      <c r="F15" s="15">
        <v>4</v>
      </c>
      <c r="T15" s="15" t="s">
        <v>119</v>
      </c>
      <c r="U15" s="15">
        <f ca="1"/>
        <v>0.84023494255851283</v>
      </c>
      <c r="V15" s="15">
        <f ca="1"/>
        <v>2.4083776535765707E-2</v>
      </c>
      <c r="W15" s="15" t="s">
        <v>120</v>
      </c>
    </row>
    <row r="16" spans="2:23" x14ac:dyDescent="0.3">
      <c r="B16" s="15">
        <f t="shared" si="0"/>
        <v>2018</v>
      </c>
      <c r="C16" s="15">
        <v>5</v>
      </c>
      <c r="D16" s="162">
        <f ca="1">OFFSET(Electric_CBR!$C$58,0,Elect_PPlant!$B16-Electric_CBR!$C$7)</f>
        <v>4226607969.3040905</v>
      </c>
      <c r="E16" s="425">
        <f t="shared" ca="1" si="1"/>
        <v>5.9748105431446062E-2</v>
      </c>
      <c r="F16" s="15">
        <v>5</v>
      </c>
      <c r="T16" s="15" t="s">
        <v>121</v>
      </c>
      <c r="U16" s="15">
        <f ca="1"/>
        <v>21.036763758339166</v>
      </c>
      <c r="V16" s="15">
        <f ca="1"/>
        <v>4</v>
      </c>
      <c r="W16" s="15" t="s">
        <v>122</v>
      </c>
    </row>
    <row r="17" spans="2:23" x14ac:dyDescent="0.3">
      <c r="B17" s="15">
        <f t="shared" si="0"/>
        <v>2019</v>
      </c>
      <c r="C17" s="15">
        <v>6</v>
      </c>
      <c r="D17" s="162"/>
      <c r="E17" s="162"/>
      <c r="T17" s="15" t="s">
        <v>123</v>
      </c>
      <c r="U17" s="15">
        <f ca="1"/>
        <v>1.2201918156683905E-2</v>
      </c>
      <c r="V17" s="15">
        <f ca="1"/>
        <v>2.3201131688987955E-3</v>
      </c>
      <c r="W17" s="15" t="s">
        <v>124</v>
      </c>
    </row>
    <row r="18" spans="2:23" x14ac:dyDescent="0.3">
      <c r="B18" s="15">
        <f t="shared" si="0"/>
        <v>2020</v>
      </c>
      <c r="C18" s="15">
        <v>7</v>
      </c>
      <c r="D18" s="162"/>
      <c r="E18" s="162"/>
    </row>
    <row r="19" spans="2:23" x14ac:dyDescent="0.3">
      <c r="B19" s="15">
        <f t="shared" si="0"/>
        <v>2021</v>
      </c>
      <c r="C19" s="15">
        <v>8</v>
      </c>
      <c r="D19" s="162"/>
      <c r="E19" s="162"/>
    </row>
    <row r="20" spans="2:23" x14ac:dyDescent="0.3">
      <c r="B20" s="15">
        <f t="shared" si="0"/>
        <v>2022</v>
      </c>
      <c r="C20" s="15">
        <v>9</v>
      </c>
      <c r="D20" s="162"/>
      <c r="E20" s="162"/>
    </row>
    <row r="22" spans="2:23" x14ac:dyDescent="0.3">
      <c r="D22" s="35"/>
    </row>
    <row r="25" spans="2:23" x14ac:dyDescent="0.3">
      <c r="B25" s="15" t="s">
        <v>2</v>
      </c>
      <c r="D25" s="52">
        <f ca="1">RATE(3,,-D13,D16)</f>
        <v>4.4074500414333214E-3</v>
      </c>
      <c r="E25" s="52"/>
    </row>
    <row r="26" spans="2:23" x14ac:dyDescent="0.3">
      <c r="B26" s="15" t="s">
        <v>3</v>
      </c>
      <c r="D26" s="52">
        <f ca="1">RATE(5,,-D11,D16)</f>
        <v>1.2021303047883646E-2</v>
      </c>
      <c r="E26" s="52"/>
    </row>
    <row r="27" spans="2:23" x14ac:dyDescent="0.3">
      <c r="B27" s="15" t="s">
        <v>4</v>
      </c>
      <c r="D27" s="52">
        <f ca="1">RATE(10,,-D6,D16)</f>
        <v>6.58501616686923E-2</v>
      </c>
      <c r="E27" s="52"/>
    </row>
    <row r="28" spans="2:23" x14ac:dyDescent="0.3">
      <c r="B28" s="15" t="s">
        <v>5</v>
      </c>
      <c r="D28" s="52">
        <f ca="1">$C$52/D16</f>
        <v>8.2298028736525284E-3</v>
      </c>
      <c r="E28" s="52"/>
    </row>
    <row r="29" spans="2:23" x14ac:dyDescent="0.3">
      <c r="B29" s="15" t="s">
        <v>6</v>
      </c>
      <c r="D29" s="52">
        <f ca="1">$C$52/AVERAGE(D11:D16)</f>
        <v>8.3526750896959455E-3</v>
      </c>
      <c r="E29" s="52"/>
    </row>
    <row r="30" spans="2:23" x14ac:dyDescent="0.3">
      <c r="B30" s="15" t="s">
        <v>7</v>
      </c>
      <c r="D30" s="52">
        <f ca="1">EXP(N52)-1</f>
        <v>1.5006211864456276E-2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0.70724725988456605</v>
      </c>
      <c r="M38" s="426" t="s">
        <v>127</v>
      </c>
      <c r="N38" s="7">
        <f ca="1">N39^0.5</f>
        <v>0.91664330170383768</v>
      </c>
    </row>
    <row r="39" spans="2:18" x14ac:dyDescent="0.3">
      <c r="B39" s="426" t="s">
        <v>128</v>
      </c>
      <c r="C39" s="7">
        <f ca="1">U8</f>
        <v>0.50019868661422695</v>
      </c>
      <c r="M39" s="426" t="s">
        <v>128</v>
      </c>
      <c r="N39" s="7">
        <f ca="1">U15</f>
        <v>0.84023494255851283</v>
      </c>
    </row>
    <row r="40" spans="2:18" x14ac:dyDescent="0.3">
      <c r="B40" s="426" t="s">
        <v>129</v>
      </c>
      <c r="C40" s="7">
        <f ca="1">1-(1-C39)*(C42-1)/(C42-2)</f>
        <v>0.37524835826778369</v>
      </c>
      <c r="M40" s="426" t="s">
        <v>129</v>
      </c>
      <c r="N40" s="7">
        <f ca="1">1-(1-N39)*(N42-1)/(N42-2)</f>
        <v>0.78697992341135048</v>
      </c>
    </row>
    <row r="41" spans="2:18" x14ac:dyDescent="0.3">
      <c r="B41" s="426" t="s">
        <v>120</v>
      </c>
      <c r="C41" s="8">
        <f ca="1">V8</f>
        <v>72727364.863717526</v>
      </c>
      <c r="M41" s="426" t="s">
        <v>120</v>
      </c>
      <c r="N41" s="6">
        <f ca="1">V15</f>
        <v>2.4083776535765707E-2</v>
      </c>
    </row>
    <row r="42" spans="2:18" ht="15" thickBot="1" x14ac:dyDescent="0.35">
      <c r="B42" s="427" t="s">
        <v>130</v>
      </c>
      <c r="C42" s="9">
        <f ca="1">V9+2</f>
        <v>6</v>
      </c>
      <c r="M42" s="427" t="s">
        <v>130</v>
      </c>
      <c r="N42" s="9">
        <f ca="1">V16+1</f>
        <v>5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2.1173899597471676E+16</v>
      </c>
      <c r="E46" s="428">
        <f ca="1">D46/C46</f>
        <v>2.1173899597471676E+16</v>
      </c>
      <c r="F46" s="6">
        <f ca="1">E46/E47</f>
        <v>4.0031802495736715</v>
      </c>
      <c r="G46" s="426">
        <f ca="1">FDIST(F46,C46,C47)</f>
        <v>0.11601118542603629</v>
      </c>
      <c r="M46" s="426" t="s">
        <v>137</v>
      </c>
      <c r="N46" s="60">
        <v>1</v>
      </c>
      <c r="O46" s="428">
        <f ca="1">U17</f>
        <v>1.2201918156683905E-2</v>
      </c>
      <c r="P46" s="428">
        <f ca="1">O46/N46</f>
        <v>1.2201918156683905E-2</v>
      </c>
      <c r="Q46" s="6">
        <f ca="1">P46/P47</f>
        <v>21.036763758339166</v>
      </c>
      <c r="R46" s="426">
        <f ca="1">FDIST(Q46,N46,N47)</f>
        <v>1.0132913421128247E-2</v>
      </c>
    </row>
    <row r="47" spans="2:18" x14ac:dyDescent="0.3">
      <c r="B47" s="426" t="s">
        <v>138</v>
      </c>
      <c r="C47" s="8">
        <f ca="1">C42-C46-1</f>
        <v>4</v>
      </c>
      <c r="D47" s="428">
        <f ca="1">V10</f>
        <v>2.115707840008118E+16</v>
      </c>
      <c r="E47" s="428">
        <f ca="1">D47/C47</f>
        <v>5289269600020295</v>
      </c>
      <c r="F47" s="426"/>
      <c r="G47" s="426"/>
      <c r="M47" s="426" t="s">
        <v>138</v>
      </c>
      <c r="N47" s="60">
        <f ca="1">N42-N46</f>
        <v>4</v>
      </c>
      <c r="O47" s="428">
        <f ca="1">V17</f>
        <v>2.3201131688987955E-3</v>
      </c>
      <c r="P47" s="428">
        <f ca="1">O47/N47</f>
        <v>5.8002829222469888E-4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5</v>
      </c>
      <c r="D48" s="429">
        <f ca="1">D46+D47</f>
        <v>4.2330977997552856E+16</v>
      </c>
      <c r="E48" s="427"/>
      <c r="F48" s="427"/>
      <c r="G48" s="427"/>
      <c r="M48" s="427" t="s">
        <v>0</v>
      </c>
      <c r="N48" s="60">
        <f ca="1">N46+N47</f>
        <v>5</v>
      </c>
      <c r="O48" s="429">
        <f ca="1">O46+O47</f>
        <v>1.4522031325582701E-2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4077471981.0361519</v>
      </c>
      <c r="D51" s="8">
        <f ca="1">V7</f>
        <v>52636202.280244544</v>
      </c>
      <c r="E51" s="6">
        <f ca="1">C51/D51</f>
        <v>77.465162842238556</v>
      </c>
      <c r="F51" s="7">
        <f ca="1">TDIST(ABS(E51),C47,2)</f>
        <v>1.6643442917059833E-7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34784150.411581479</v>
      </c>
      <c r="D52" s="9">
        <f ca="1">U7</f>
        <v>17385165.433323231</v>
      </c>
      <c r="E52" s="427">
        <f ca="1">C52/D52</f>
        <v>2.0007949044251561</v>
      </c>
      <c r="F52" s="11">
        <f ca="1">TDIST(ABS(E52),C47,2)</f>
        <v>0.11601118542603629</v>
      </c>
      <c r="M52" s="427" t="s">
        <v>114</v>
      </c>
      <c r="N52" s="10">
        <f ca="1">U13</f>
        <v>1.4894732538526929E-2</v>
      </c>
      <c r="O52" s="9">
        <f ca="1">U14</f>
        <v>3.2474557656017398E-3</v>
      </c>
      <c r="P52" s="430">
        <f ca="1">N52/O52</f>
        <v>4.5865851958008115</v>
      </c>
      <c r="Q52" s="11">
        <f ca="1">TDIST(ABS(P52),N47,2)</f>
        <v>1.0132913421128247E-2</v>
      </c>
    </row>
    <row r="53" spans="2:17" x14ac:dyDescent="0.3">
      <c r="D53" s="95"/>
      <c r="E53" s="95"/>
      <c r="N53" s="95"/>
      <c r="O53" s="95"/>
    </row>
  </sheetData>
  <pageMargins left="0.7" right="0.7" top="0.75" bottom="0.75" header="0.3" footer="0.3"/>
  <pageSetup orientation="portrait" horizontalDpi="1200" verticalDpi="1200" r:id="rId1"/>
  <ignoredErrors>
    <ignoredError sqref="D6:D16 E12:E16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3"/>
  <sheetViews>
    <sheetView zoomScale="85" zoomScaleNormal="85"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.109375" style="15" bestFit="1" customWidth="1"/>
    <col min="3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6640625" style="15" bestFit="1" customWidth="1"/>
    <col min="15" max="18" width="12.109375" style="15" customWidth="1"/>
    <col min="19" max="20" width="9.109375" style="15"/>
    <col min="21" max="21" width="12.33203125" style="15" bestFit="1" customWidth="1"/>
    <col min="22" max="22" width="14.33203125" style="15" bestFit="1" customWidth="1"/>
    <col min="23" max="23" width="16.44140625" style="15" bestFit="1" customWidth="1"/>
    <col min="24" max="16384" width="9.109375" style="15"/>
  </cols>
  <sheetData>
    <row r="5" spans="2:23" ht="28.8" x14ac:dyDescent="0.3">
      <c r="B5" s="64" t="s">
        <v>112</v>
      </c>
      <c r="C5" s="119" t="s">
        <v>113</v>
      </c>
      <c r="D5" s="119" t="s">
        <v>145</v>
      </c>
      <c r="E5" s="119" t="str">
        <f>"ln("&amp;D5&amp;")"</f>
        <v>ln(Gross Trans. Plant)</v>
      </c>
      <c r="F5" s="119" t="s">
        <v>114</v>
      </c>
    </row>
    <row r="6" spans="2:23" x14ac:dyDescent="0.3">
      <c r="B6" s="15">
        <v>2008</v>
      </c>
      <c r="D6" s="162">
        <f ca="1">OFFSET(Electric_CBR!$C$59,0,Elect_TPlant!$B6-Electric_CBR!$C$7)</f>
        <v>338417194.91660476</v>
      </c>
      <c r="E6" s="425"/>
      <c r="T6" s="15" t="s">
        <v>115</v>
      </c>
      <c r="U6" s="60">
        <f t="array" aca="1" ref="U6:V10" ca="1">LINEST(D10:D16,C10:C16,,TRUE)</f>
        <v>70737840.794870913</v>
      </c>
      <c r="V6" s="60">
        <f ca="1"/>
        <v>1117063738.5402534</v>
      </c>
      <c r="W6" s="15" t="s">
        <v>116</v>
      </c>
    </row>
    <row r="7" spans="2:23" x14ac:dyDescent="0.3">
      <c r="B7" s="15">
        <v>2009</v>
      </c>
      <c r="D7" s="162">
        <f ca="1">OFFSET(Electric_CBR!$C$59,0,Elect_TPlant!$B7-Electric_CBR!$C$7)</f>
        <v>372719303.50074959</v>
      </c>
      <c r="E7" s="425"/>
      <c r="T7" s="15" t="s">
        <v>117</v>
      </c>
      <c r="U7" s="60">
        <f ca="1"/>
        <v>3816545.8696465436</v>
      </c>
      <c r="V7" s="60">
        <f ca="1"/>
        <v>13760751.828170916</v>
      </c>
      <c r="W7" s="15" t="s">
        <v>118</v>
      </c>
    </row>
    <row r="8" spans="2:23" x14ac:dyDescent="0.3">
      <c r="B8" s="15">
        <f>B7+1</f>
        <v>2010</v>
      </c>
      <c r="D8" s="162">
        <f ca="1">OFFSET(Electric_CBR!$C$59,0,Elect_TPlant!$B8-Electric_CBR!$C$7)</f>
        <v>420480632.14026618</v>
      </c>
      <c r="E8" s="425"/>
      <c r="T8" s="15" t="s">
        <v>119</v>
      </c>
      <c r="U8" s="95">
        <f ca="1"/>
        <v>0.98565396611313716</v>
      </c>
      <c r="V8" s="60">
        <f ca="1"/>
        <v>20195262.476710986</v>
      </c>
      <c r="W8" s="15" t="s">
        <v>120</v>
      </c>
    </row>
    <row r="9" spans="2:23" x14ac:dyDescent="0.3">
      <c r="B9" s="15">
        <f t="shared" ref="B9:B20" si="0">B8+1</f>
        <v>2011</v>
      </c>
      <c r="D9" s="162">
        <f ca="1">OFFSET(Electric_CBR!$C$59,0,Elect_TPlant!$B9-Electric_CBR!$C$7)</f>
        <v>483887591.0385617</v>
      </c>
      <c r="E9" s="425"/>
      <c r="T9" s="15" t="s">
        <v>121</v>
      </c>
      <c r="U9" s="95">
        <f ca="1"/>
        <v>343.52838348434994</v>
      </c>
      <c r="V9" s="15">
        <f ca="1"/>
        <v>5</v>
      </c>
      <c r="W9" s="15" t="s">
        <v>122</v>
      </c>
    </row>
    <row r="10" spans="2:23" x14ac:dyDescent="0.3">
      <c r="B10" s="15">
        <f t="shared" si="0"/>
        <v>2012</v>
      </c>
      <c r="C10" s="15">
        <v>0</v>
      </c>
      <c r="D10" s="162">
        <f ca="1">OFFSET(Electric_CBR!$C$59,0,Elect_TPlant!$B10-Electric_CBR!$C$7)</f>
        <v>1113473317.4041896</v>
      </c>
      <c r="E10" s="425"/>
      <c r="T10" s="15" t="s">
        <v>123</v>
      </c>
      <c r="U10" s="15">
        <f ca="1"/>
        <v>1.4010757936897414E+17</v>
      </c>
      <c r="V10" s="15">
        <f ca="1"/>
        <v>2039243132516253.8</v>
      </c>
      <c r="W10" s="15" t="s">
        <v>124</v>
      </c>
    </row>
    <row r="11" spans="2:23" x14ac:dyDescent="0.3">
      <c r="B11" s="15">
        <f t="shared" si="0"/>
        <v>2013</v>
      </c>
      <c r="C11" s="15">
        <v>1</v>
      </c>
      <c r="D11" s="162">
        <f ca="1">OFFSET(Electric_CBR!$C$59,0,Elect_TPlant!$B11-Electric_CBR!$C$7)</f>
        <v>1161259969.917851</v>
      </c>
      <c r="E11" s="425">
        <f t="shared" ref="E11:E16" ca="1" si="1">LN(D11/$D$10)</f>
        <v>4.2021352002204429E-2</v>
      </c>
      <c r="F11" s="15">
        <v>1</v>
      </c>
    </row>
    <row r="12" spans="2:23" x14ac:dyDescent="0.3">
      <c r="B12" s="15">
        <f t="shared" si="0"/>
        <v>2014</v>
      </c>
      <c r="C12" s="15">
        <v>2</v>
      </c>
      <c r="D12" s="162">
        <f ca="1">OFFSET(Electric_CBR!$C$59,0,Elect_TPlant!$B12-Electric_CBR!$C$7)</f>
        <v>1292205134.0415313</v>
      </c>
      <c r="E12" s="425">
        <f t="shared" ca="1" si="1"/>
        <v>0.14886592062336179</v>
      </c>
      <c r="F12" s="15">
        <v>2</v>
      </c>
    </row>
    <row r="13" spans="2:23" x14ac:dyDescent="0.3">
      <c r="B13" s="15">
        <f t="shared" si="0"/>
        <v>2015</v>
      </c>
      <c r="C13" s="15">
        <v>3</v>
      </c>
      <c r="D13" s="162">
        <f ca="1">OFFSET(Electric_CBR!$C$59,0,Elect_TPlant!$B13-Electric_CBR!$C$7)</f>
        <v>1339165223.7319965</v>
      </c>
      <c r="E13" s="425">
        <f t="shared" ca="1" si="1"/>
        <v>0.18456220786184571</v>
      </c>
      <c r="F13" s="15">
        <v>3</v>
      </c>
      <c r="T13" s="15" t="s">
        <v>115</v>
      </c>
      <c r="U13" s="13">
        <f t="array" aca="1" ref="U13:V17" ca="1">LINEST(E11:E16,F11:F16,FALSE,TRUE)</f>
        <v>5.6100377654990305E-2</v>
      </c>
      <c r="V13" s="13">
        <f ca="1"/>
        <v>0</v>
      </c>
      <c r="W13" s="15" t="s">
        <v>116</v>
      </c>
    </row>
    <row r="14" spans="2:23" x14ac:dyDescent="0.3">
      <c r="B14" s="15">
        <f t="shared" si="0"/>
        <v>2016</v>
      </c>
      <c r="C14" s="15">
        <v>4</v>
      </c>
      <c r="D14" s="162">
        <f ca="1">OFFSET(Electric_CBR!$C$59,0,Elect_TPlant!$B14-Electric_CBR!$C$7)</f>
        <v>1399259273.8470633</v>
      </c>
      <c r="E14" s="425">
        <f t="shared" ca="1" si="1"/>
        <v>0.22845876188241274</v>
      </c>
      <c r="F14" s="15">
        <v>4</v>
      </c>
      <c r="T14" s="15" t="s">
        <v>117</v>
      </c>
      <c r="U14" s="13">
        <f ca="1"/>
        <v>2.1402932460501097E-3</v>
      </c>
      <c r="V14" s="13" t="e">
        <f ca="1"/>
        <v>#N/A</v>
      </c>
      <c r="W14" s="15" t="s">
        <v>118</v>
      </c>
    </row>
    <row r="15" spans="2:23" x14ac:dyDescent="0.3">
      <c r="B15" s="15">
        <f t="shared" si="0"/>
        <v>2017</v>
      </c>
      <c r="C15" s="15">
        <v>5</v>
      </c>
      <c r="D15" s="162">
        <f ca="1">OFFSET(Electric_CBR!$C$59,0,Elect_TPlant!$B15-Electric_CBR!$C$7)</f>
        <v>1462188428.0951748</v>
      </c>
      <c r="E15" s="425">
        <f t="shared" ca="1" si="1"/>
        <v>0.2724499921968167</v>
      </c>
      <c r="F15" s="15">
        <v>5</v>
      </c>
      <c r="T15" s="15" t="s">
        <v>119</v>
      </c>
      <c r="U15" s="15">
        <f ca="1"/>
        <v>0.99277503340310214</v>
      </c>
      <c r="V15" s="15">
        <f ca="1"/>
        <v>2.0417096299351237E-2</v>
      </c>
      <c r="W15" s="15" t="s">
        <v>120</v>
      </c>
    </row>
    <row r="16" spans="2:23" x14ac:dyDescent="0.3">
      <c r="B16" s="15">
        <f t="shared" si="0"/>
        <v>2018</v>
      </c>
      <c r="C16" s="15">
        <v>6</v>
      </c>
      <c r="D16" s="162">
        <f ca="1">OFFSET(Electric_CBR!$C$59,0,Elect_TPlant!$B16-Electric_CBR!$C$7)</f>
        <v>1537389479.4362583</v>
      </c>
      <c r="E16" s="425">
        <f t="shared" ca="1" si="1"/>
        <v>0.32260159020931972</v>
      </c>
      <c r="F16" s="15">
        <v>6</v>
      </c>
      <c r="T16" s="15" t="s">
        <v>121</v>
      </c>
      <c r="U16" s="15">
        <f ca="1"/>
        <v>687.04472199868076</v>
      </c>
      <c r="V16" s="15">
        <f ca="1"/>
        <v>5</v>
      </c>
      <c r="W16" s="15" t="s">
        <v>122</v>
      </c>
    </row>
    <row r="17" spans="2:23" x14ac:dyDescent="0.3">
      <c r="B17" s="15">
        <f t="shared" si="0"/>
        <v>2019</v>
      </c>
      <c r="T17" s="15" t="s">
        <v>123</v>
      </c>
      <c r="U17" s="15">
        <f ca="1"/>
        <v>0.28639996594596079</v>
      </c>
      <c r="V17" s="15">
        <f ca="1"/>
        <v>2.0842891064849103E-3</v>
      </c>
      <c r="W17" s="15" t="s">
        <v>124</v>
      </c>
    </row>
    <row r="18" spans="2:23" x14ac:dyDescent="0.3">
      <c r="B18" s="15">
        <f t="shared" si="0"/>
        <v>2020</v>
      </c>
      <c r="C18" s="35"/>
      <c r="D18" s="35"/>
    </row>
    <row r="19" spans="2:23" x14ac:dyDescent="0.3">
      <c r="B19" s="15">
        <f t="shared" si="0"/>
        <v>2021</v>
      </c>
    </row>
    <row r="20" spans="2:23" x14ac:dyDescent="0.3">
      <c r="B20" s="15">
        <f t="shared" si="0"/>
        <v>2022</v>
      </c>
    </row>
    <row r="21" spans="2:23" x14ac:dyDescent="0.3">
      <c r="E21" s="52"/>
    </row>
    <row r="22" spans="2:23" x14ac:dyDescent="0.3">
      <c r="E22" s="52"/>
    </row>
    <row r="23" spans="2:23" x14ac:dyDescent="0.3">
      <c r="E23" s="52"/>
    </row>
    <row r="24" spans="2:23" x14ac:dyDescent="0.3">
      <c r="E24" s="52"/>
    </row>
    <row r="25" spans="2:23" x14ac:dyDescent="0.3">
      <c r="B25" s="15" t="s">
        <v>2</v>
      </c>
      <c r="D25" s="52">
        <f ca="1">RATE(3,,-D9,D12)</f>
        <v>0.38738073307328674</v>
      </c>
      <c r="E25" s="52"/>
    </row>
    <row r="26" spans="2:23" x14ac:dyDescent="0.3">
      <c r="B26" s="15" t="s">
        <v>3</v>
      </c>
      <c r="D26" s="52">
        <f ca="1">RATE(5,,-D7,D12)</f>
        <v>0.28230080605121821</v>
      </c>
    </row>
    <row r="27" spans="2:23" x14ac:dyDescent="0.3">
      <c r="B27" s="15" t="s">
        <v>4</v>
      </c>
      <c r="D27" s="52">
        <f ca="1">RATE(10,,-D6,D12)</f>
        <v>0.14337292539723606</v>
      </c>
    </row>
    <row r="28" spans="2:23" x14ac:dyDescent="0.3">
      <c r="B28" s="15" t="s">
        <v>5</v>
      </c>
      <c r="D28" s="52">
        <f ca="1">$C$52/D16</f>
        <v>4.6011659206104102E-2</v>
      </c>
    </row>
    <row r="29" spans="2:23" x14ac:dyDescent="0.3">
      <c r="B29" s="15" t="s">
        <v>6</v>
      </c>
      <c r="D29" s="52">
        <f ca="1">$C$52/AVERAGE(D10:D16)</f>
        <v>5.3215264320141842E-2</v>
      </c>
    </row>
    <row r="30" spans="2:23" x14ac:dyDescent="0.3">
      <c r="B30" s="15" t="s">
        <v>7</v>
      </c>
      <c r="D30" s="52">
        <f ca="1">EXP(N52)-1</f>
        <v>5.7703848240210798E-2</v>
      </c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0.99280107076550694</v>
      </c>
      <c r="M38" s="426" t="s">
        <v>127</v>
      </c>
      <c r="N38" s="7">
        <f ca="1">N39^0.5</f>
        <v>0.99638096800526155</v>
      </c>
    </row>
    <row r="39" spans="2:18" x14ac:dyDescent="0.3">
      <c r="B39" s="426" t="s">
        <v>128</v>
      </c>
      <c r="C39" s="7">
        <f ca="1">U8</f>
        <v>0.98565396611313716</v>
      </c>
      <c r="M39" s="426" t="s">
        <v>128</v>
      </c>
      <c r="N39" s="7">
        <f ca="1">U15</f>
        <v>0.99277503340310214</v>
      </c>
    </row>
    <row r="40" spans="2:18" x14ac:dyDescent="0.3">
      <c r="B40" s="426" t="s">
        <v>129</v>
      </c>
      <c r="C40" s="7">
        <f ca="1">1-(1-C39)*(C42-1)/(C42-2)</f>
        <v>0.98278475933576459</v>
      </c>
      <c r="M40" s="426" t="s">
        <v>129</v>
      </c>
      <c r="N40" s="7">
        <f ca="1">1-(1-N39)*(N42-1)/(N42-2)</f>
        <v>0.99096879175387764</v>
      </c>
    </row>
    <row r="41" spans="2:18" x14ac:dyDescent="0.3">
      <c r="B41" s="426" t="s">
        <v>120</v>
      </c>
      <c r="C41" s="8">
        <f ca="1">V8</f>
        <v>20195262.476710986</v>
      </c>
      <c r="M41" s="426" t="s">
        <v>120</v>
      </c>
      <c r="N41" s="6">
        <f ca="1">V15</f>
        <v>2.0417096299351237E-2</v>
      </c>
    </row>
    <row r="42" spans="2:18" ht="15" thickBot="1" x14ac:dyDescent="0.35">
      <c r="B42" s="427" t="s">
        <v>130</v>
      </c>
      <c r="C42" s="9">
        <f ca="1">V9+2</f>
        <v>7</v>
      </c>
      <c r="M42" s="427" t="s">
        <v>130</v>
      </c>
      <c r="N42" s="9">
        <f ca="1">V16+1</f>
        <v>6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1.4010757936897414E+17</v>
      </c>
      <c r="E46" s="428">
        <f ca="1">D46/C46</f>
        <v>1.4010757936897414E+17</v>
      </c>
      <c r="F46" s="6">
        <f ca="1">E46/E47</f>
        <v>343.52838348434994</v>
      </c>
      <c r="G46" s="426">
        <f ca="1">FDIST(F46,C46,C47)</f>
        <v>8.4129179606883128E-6</v>
      </c>
      <c r="M46" s="426" t="s">
        <v>137</v>
      </c>
      <c r="N46" s="60">
        <v>1</v>
      </c>
      <c r="O46" s="428">
        <f ca="1">U17</f>
        <v>0.28639996594596079</v>
      </c>
      <c r="P46" s="428">
        <f ca="1">O46/N46</f>
        <v>0.28639996594596079</v>
      </c>
      <c r="Q46" s="6">
        <f ca="1">P46/P47</f>
        <v>687.04472199868076</v>
      </c>
      <c r="R46" s="426">
        <f ca="1">FDIST(Q46,N46,N47)</f>
        <v>1.5104014027563631E-6</v>
      </c>
    </row>
    <row r="47" spans="2:18" x14ac:dyDescent="0.3">
      <c r="B47" s="426" t="s">
        <v>138</v>
      </c>
      <c r="C47" s="8">
        <f ca="1">C42-C46-1</f>
        <v>5</v>
      </c>
      <c r="D47" s="428">
        <f ca="1">V10</f>
        <v>2039243132516253.8</v>
      </c>
      <c r="E47" s="428">
        <f ca="1">D47/C47</f>
        <v>407848626503250.75</v>
      </c>
      <c r="F47" s="426"/>
      <c r="G47" s="426"/>
      <c r="M47" s="426" t="s">
        <v>138</v>
      </c>
      <c r="N47" s="60">
        <f ca="1">N42-N46</f>
        <v>5</v>
      </c>
      <c r="O47" s="428">
        <f ca="1">V17</f>
        <v>2.0842891064849103E-3</v>
      </c>
      <c r="P47" s="428">
        <f ca="1">O47/N47</f>
        <v>4.1685782129698205E-4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6</v>
      </c>
      <c r="D48" s="429">
        <f ca="1">D46+D47</f>
        <v>1.421468225014904E+17</v>
      </c>
      <c r="E48" s="427"/>
      <c r="F48" s="427"/>
      <c r="G48" s="427"/>
      <c r="M48" s="427" t="s">
        <v>0</v>
      </c>
      <c r="N48" s="60">
        <f ca="1">N46+N47</f>
        <v>6</v>
      </c>
      <c r="O48" s="429">
        <f ca="1">O46+O47</f>
        <v>0.28848425505244568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1117063738.5402534</v>
      </c>
      <c r="D51" s="8">
        <f ca="1">V7</f>
        <v>13760751.828170916</v>
      </c>
      <c r="E51" s="6">
        <f ca="1">C51/D51</f>
        <v>81.177522310474941</v>
      </c>
      <c r="F51" s="7">
        <f ca="1">TDIST(ABS(E51),C47,2)</f>
        <v>5.3755022333796334E-9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70737840.794870913</v>
      </c>
      <c r="D52" s="9">
        <f ca="1">U7</f>
        <v>3816545.8696465436</v>
      </c>
      <c r="E52" s="427">
        <f ca="1">C52/D52</f>
        <v>18.534518701178889</v>
      </c>
      <c r="F52" s="11">
        <f ca="1">TDIST(ABS(E52),C47,2)</f>
        <v>8.4129179606882976E-6</v>
      </c>
      <c r="M52" s="427" t="s">
        <v>114</v>
      </c>
      <c r="N52" s="10">
        <f ca="1">U13</f>
        <v>5.6100377654990305E-2</v>
      </c>
      <c r="O52" s="9">
        <f ca="1">U14</f>
        <v>2.1402932460501097E-3</v>
      </c>
      <c r="P52" s="430">
        <f ca="1">N52/O52</f>
        <v>26.211537955615665</v>
      </c>
      <c r="Q52" s="11">
        <f ca="1">TDIST(ABS(P52),N47,2)</f>
        <v>1.5104014027563631E-6</v>
      </c>
    </row>
    <row r="53" spans="2:17" x14ac:dyDescent="0.3">
      <c r="N53" s="95"/>
      <c r="O53" s="95"/>
    </row>
  </sheetData>
  <pageMargins left="0.7" right="0.7" top="0.75" bottom="0.75" header="0.3" footer="0.3"/>
  <pageSetup orientation="portrait" horizontalDpi="1200" verticalDpi="1200" r:id="rId1"/>
  <ignoredErrors>
    <ignoredError sqref="D6:D7 D8:D16 E11:E16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Response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2020-03-02T08:00:00+00:00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0CA86153-7EDB-420E-BF1E-20AEE2119AD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E3B56F0-D875-4E13-B315-E82FB627A9AC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f74ffd6c-51ec-4664-9ef0-dda9ef28b620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8BE83232-44DC-4A11-B518-0833970C534F}"/>
</file>

<file path=customXml/itemProps4.xml><?xml version="1.0" encoding="utf-8"?>
<ds:datastoreItem xmlns:ds="http://schemas.openxmlformats.org/officeDocument/2006/customXml" ds:itemID="{1F154996-F23E-4191-A6FC-DFA8D983038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4</vt:i4>
      </vt:variant>
    </vt:vector>
  </HeadingPairs>
  <TitlesOfParts>
    <vt:vector size="50" baseType="lpstr">
      <vt:lpstr>RJA-3_Electric_Attrition</vt:lpstr>
      <vt:lpstr>RJA-4_Gas_Attrition</vt:lpstr>
      <vt:lpstr>elec diff for temp norm expl</vt:lpstr>
      <vt:lpstr>gas diff for temp norm expl</vt:lpstr>
      <vt:lpstr>Roll RJA-3&amp;4 to RJA-8&amp;9</vt:lpstr>
      <vt:lpstr>Electric_CBR</vt:lpstr>
      <vt:lpstr>Elect_Sales</vt:lpstr>
      <vt:lpstr>Elect_PPlant</vt:lpstr>
      <vt:lpstr>Elect_TPlant</vt:lpstr>
      <vt:lpstr>Elect_DPlant</vt:lpstr>
      <vt:lpstr>Elect_GPlant</vt:lpstr>
      <vt:lpstr>Electric_OM</vt:lpstr>
      <vt:lpstr>Elect_OMDetail</vt:lpstr>
      <vt:lpstr>Elect_IPlant</vt:lpstr>
      <vt:lpstr>Electric_TOTI</vt:lpstr>
      <vt:lpstr>Elect_Functional_Utility_Plant</vt:lpstr>
      <vt:lpstr>Funct_Plant_Rel_DFIT_Detail</vt:lpstr>
      <vt:lpstr>El_ADIT_w_wo_bonus</vt:lpstr>
      <vt:lpstr>Electric Bonus</vt:lpstr>
      <vt:lpstr>El Gross Plant Data</vt:lpstr>
      <vt:lpstr>El Accum Dep Data</vt:lpstr>
      <vt:lpstr>Gas_CBR</vt:lpstr>
      <vt:lpstr>Gas_Sales</vt:lpstr>
      <vt:lpstr>Gas_PPlant</vt:lpstr>
      <vt:lpstr>Gas_DPlant</vt:lpstr>
      <vt:lpstr>Gas_IPlant</vt:lpstr>
      <vt:lpstr>Gas_GPlant</vt:lpstr>
      <vt:lpstr>Gas_OM</vt:lpstr>
      <vt:lpstr>Gas_OMDetail</vt:lpstr>
      <vt:lpstr>Gas_TOTI</vt:lpstr>
      <vt:lpstr>Gas_Func_Plant</vt:lpstr>
      <vt:lpstr>Gas 282</vt:lpstr>
      <vt:lpstr>Gas Bonus</vt:lpstr>
      <vt:lpstr>GasGross Plant Data</vt:lpstr>
      <vt:lpstr>Gas Accum Dep Data</vt:lpstr>
      <vt:lpstr>CRM</vt:lpstr>
      <vt:lpstr>Indices</vt:lpstr>
      <vt:lpstr>Sum PropTX 1-2008 Thru 6-2013</vt:lpstr>
      <vt:lpstr>Depr Exp 2019 GRC Annual</vt:lpstr>
      <vt:lpstr>DFIT_Summary</vt:lpstr>
      <vt:lpstr>#3a PGA Rev Taxes</vt:lpstr>
      <vt:lpstr>AMI</vt:lpstr>
      <vt:lpstr>AMI_Forecast</vt:lpstr>
      <vt:lpstr>GTZ Historical RB</vt:lpstr>
      <vt:lpstr>GTZ Historical Tax</vt:lpstr>
      <vt:lpstr>GTZ_Forecast</vt:lpstr>
      <vt:lpstr>'elec diff for temp norm expl'!Print_Titles</vt:lpstr>
      <vt:lpstr>'gas diff for temp norm expl'!Print_Titles</vt:lpstr>
      <vt:lpstr>'RJA-3_Electric_Attrition'!Print_Titles</vt:lpstr>
      <vt:lpstr>'RJA-4_Gas_Attrition'!Print_Titles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Patil, Alok A</dc:creator>
  <cp:lastModifiedBy>Peterson, Pete</cp:lastModifiedBy>
  <cp:revision/>
  <cp:lastPrinted>2020-01-14T03:13:54Z</cp:lastPrinted>
  <dcterms:created xsi:type="dcterms:W3CDTF">2019-04-11T17:39:59Z</dcterms:created>
  <dcterms:modified xsi:type="dcterms:W3CDTF">2020-02-28T19:49:17Z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{1DEFBF65-9874-41F7-9D67-FA5922B935AE}</vt:lpwstr>
  </property>
  <property fmtid="{D5CDD505-2E9C-101B-9397-08002B2CF9AE}" pid="3" name="ContentTypeId">
    <vt:lpwstr>0x0101006E56B4D1795A2E4DB2F0B01679ED314A0074081C303D597F46A51B1E34376944AC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