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rc\Desktop\2022 GRC\Bulkley\"/>
    </mc:Choice>
  </mc:AlternateContent>
  <xr:revisionPtr revIDLastSave="0" documentId="8_{A1777409-2ED5-42C0-9FEC-14723DA31C58}" xr6:coauthVersionLast="46" xr6:coauthVersionMax="46" xr10:uidLastSave="{00000000-0000-0000-0000-000000000000}"/>
  <bookViews>
    <workbookView xWindow="-108" yWindow="-108" windowWidth="20376" windowHeight="12216" tabRatio="859" firstSheet="1" activeTab="1" xr2:uid="{00000000-000D-0000-FFFF-FFFF00000000}"/>
  </bookViews>
  <sheets>
    <sheet name="AEB-2 Summary" sheetId="51" state="hidden" r:id="rId1"/>
    <sheet name="Exhibit AEB-9 Expected Earning" sheetId="102" r:id="rId2"/>
    <sheet name="AEB-8 p1-3 Risk Premium- elec" sheetId="96" r:id="rId3"/>
    <sheet name="AEB-8 p 3-6 Risk Premium - Gas" sheetId="114" r:id="rId4"/>
    <sheet name="AEB-7 MRP" sheetId="4" r:id="rId5"/>
    <sheet name="AEB-6 CAPM LT Beta" sheetId="95" r:id="rId6"/>
    <sheet name="AEB-5 CAPM" sheetId="94" r:id="rId7"/>
    <sheet name="AEB-4 Constant DCF" sheetId="35" r:id="rId8"/>
    <sheet name="AEB-3 Proxy Selection" sheetId="52" r:id="rId9"/>
    <sheet name="Exhibit AEB-10 CapEx 1" sheetId="111" r:id="rId10"/>
    <sheet name="Exhibit AEB-10 CapEx 2" sheetId="112" r:id="rId11"/>
    <sheet name="Exhibit AEB-11  Reg Risk" sheetId="106" r:id="rId12"/>
    <sheet name="Exhibit AEB-12 Cap. Str." sheetId="107" r:id="rId13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localSheetId="9" hidden="1">{"quarterly",#N/A,FALSE,"Income Statement";#N/A,#N/A,FALSE,"print segment";#N/A,#N/A,FALSE,"Balance Sheet";#N/A,#N/A,FALSE,"Annl Inc";#N/A,#N/A,FALSE,"Cash Flow"}</definedName>
    <definedName name="fdv" hidden="1">{"quarterly",#N/A,FALSE,"Income Statement";#N/A,#N/A,FALSE,"print segment";#N/A,#N/A,FALSE,"Balance Sheet";#N/A,#N/A,FALSE,"Annl Inc";#N/A,#N/A,FALSE,"Cash Flow"}</definedName>
    <definedName name="FuelCycle" localSheetId="9" hidden="1">{#N/A,#N/A,FALSE,"AltFuel"}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localSheetId="9" hidden="1">{#N/A,#N/A,FALSE,"FinStateUS"}</definedName>
    <definedName name="IncomeStatement" hidden="1">{#N/A,#N/A,FALSE,"FinStateUS"}</definedName>
    <definedName name="IncomeStatement6Years" localSheetId="9" hidden="1">{"IncStatement 6 years",#N/A,FALSE,"FinStateUS"}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9" hidden="1">43865.0429861111</definedName>
    <definedName name="IQ_NAMES_REVISION_DATE_" localSheetId="1" hidden="1">43865.0429861111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'AEB-2 Summary'!$A$1:$F$68</definedName>
    <definedName name="_xlnm.Print_Area" localSheetId="8">'AEB-3 Proxy Selection'!$A$1:$L$32</definedName>
    <definedName name="_xlnm.Print_Area" localSheetId="7">'AEB-4 Constant DCF'!$A$1:$Q$105</definedName>
    <definedName name="_xlnm.Print_Area" localSheetId="6">'AEB-5 CAPM'!$B$1:$I$278</definedName>
    <definedName name="_xlnm.Print_Area" localSheetId="4">'AEB-7 MRP'!$A$1:$G$535</definedName>
    <definedName name="_xlnm.Print_Area" localSheetId="3">'AEB-8 p 3-6 Risk Premium - Gas'!$B$1:$E$143,'AEB-8 p 3-6 Risk Premium - Gas'!$G$1:$P$65</definedName>
    <definedName name="_xlnm.Print_Area" localSheetId="2">'AEB-8 p1-3 Risk Premium- elec'!$B$1:$E$148,'AEB-8 p1-3 Risk Premium- elec'!$F$1:$O$65</definedName>
    <definedName name="_xlnm.Print_Area" localSheetId="9">'Exhibit AEB-10 CapEx 1'!$A$1:$K$93</definedName>
    <definedName name="_xlnm.Print_Area" localSheetId="10">'Exhibit AEB-10 CapEx 2'!$A$1:$F$59</definedName>
    <definedName name="_xlnm.Print_Area" localSheetId="12">'Exhibit AEB-12 Cap. Str.'!$A$1:$AM$69</definedName>
    <definedName name="_xlnm.Print_Area" localSheetId="1">'Exhibit AEB-9 Expected Earning'!$A$1:$M$34</definedName>
    <definedName name="_xlnm.Print_Titles" localSheetId="4">'AEB-7 MRP'!$12:$18</definedName>
    <definedName name="_xlnm.Print_Titles" localSheetId="3">'AEB-8 p 3-6 Risk Premium - Gas'!$1:$5</definedName>
    <definedName name="_xlnm.Print_Titles" localSheetId="2">'AEB-8 p1-3 Risk Premium- elec'!$1:$5</definedName>
    <definedName name="_xlnm.Print_Titles" localSheetId="9">'Exhibit AEB-10 CapEx 1'!$2:$10</definedName>
    <definedName name="_xlnm.Print_Titles" localSheetId="11">'Exhibit AEB-11  Reg Risk'!$1:$7</definedName>
    <definedName name="w" localSheetId="9" hidden="1">{"quarterly",#N/A,FALSE,"Income Statement";#N/A,#N/A,FALSE,"print segment";#N/A,#N/A,FALSE,"Balance Sheet";#N/A,#N/A,FALSE,"Annl Inc";#N/A,#N/A,FALSE,"Cash Flow"}</definedName>
    <definedName name="w" hidden="1">{"quarterly",#N/A,FALSE,"Income Statement";#N/A,#N/A,FALSE,"print segment";#N/A,#N/A,FALSE,"Balance Sheet";#N/A,#N/A,FALSE,"Annl Inc";#N/A,#N/A,FALSE,"Cash Flow"}</definedName>
    <definedName name="wrn.Earnings._.Model.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localSheetId="9" hidden="1">{#N/A,#N/A,FALSE,"AltFuel"}</definedName>
    <definedName name="wrn.Fuel._.Cycle." hidden="1">{#N/A,#N/A,FALSE,"AltFuel"}</definedName>
    <definedName name="wrn.handout." localSheetId="9" hidden="1">{"quarterly",#N/A,FALSE,"Income Statement";#N/A,#N/A,FALSE,"print segment";#N/A,#N/A,FALSE,"Balance Sheet";#N/A,#N/A,FALSE,"Annl Inc";#N/A,#N/A,FALSE,"Cash Flow"}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localSheetId="9" hidden="1">{#N/A,#N/A,FALSE,"FinStateUS"}</definedName>
    <definedName name="wrn.IncStatement._.15._.years." hidden="1">{#N/A,#N/A,FALSE,"FinStateUS"}</definedName>
    <definedName name="wrn.IncStatement._.6._.years." localSheetId="9" hidden="1">{"IncStatement 6 years",#N/A,FALSE,"FinStateUS"}</definedName>
    <definedName name="wrn.IncStatement._.6._.years." hidden="1">{"IncStatement 6 years",#N/A,FALSE,"FinStateUS"}</definedName>
    <definedName name="wrn.market._.share." localSheetId="9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localSheetId="9" hidden="1">{"page1",#N/A,FALSE,"A";"page2",#N/A,FALSE,"A"}</definedName>
    <definedName name="wrn.one." hidden="1">{"page1",#N/A,FALSE,"A";"page2",#N/A,FALSE,"A"}</definedName>
    <definedName name="wrn.Report1." localSheetId="9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07" l="1"/>
  <c r="L10" i="107"/>
  <c r="L11" i="107"/>
  <c r="L12" i="107"/>
  <c r="L13" i="107"/>
  <c r="L14" i="107"/>
  <c r="L15" i="107"/>
  <c r="L16" i="107"/>
  <c r="L17" i="107"/>
  <c r="L5" i="107"/>
  <c r="L20" i="107" s="1"/>
  <c r="L6" i="107"/>
  <c r="L7" i="107"/>
  <c r="L8" i="107"/>
  <c r="AL20" i="107"/>
  <c r="AK20" i="107"/>
  <c r="AJ20" i="107"/>
  <c r="AI20" i="107"/>
  <c r="AH20" i="107"/>
  <c r="AG20" i="107"/>
  <c r="AF20" i="107"/>
  <c r="AE20" i="107"/>
  <c r="AD20" i="107"/>
  <c r="AL19" i="107"/>
  <c r="AK19" i="107"/>
  <c r="AJ19" i="107"/>
  <c r="AI19" i="107"/>
  <c r="AH19" i="107"/>
  <c r="AG19" i="107"/>
  <c r="AF19" i="107"/>
  <c r="AE19" i="107"/>
  <c r="AD19" i="107"/>
  <c r="AL18" i="107"/>
  <c r="AK18" i="107"/>
  <c r="AJ18" i="107"/>
  <c r="AI18" i="107"/>
  <c r="AH18" i="107"/>
  <c r="AG18" i="107"/>
  <c r="AF18" i="107"/>
  <c r="AE18" i="107"/>
  <c r="AD18" i="107"/>
  <c r="Y20" i="107"/>
  <c r="X20" i="107"/>
  <c r="W20" i="107"/>
  <c r="V20" i="107"/>
  <c r="U20" i="107"/>
  <c r="T20" i="107"/>
  <c r="S20" i="107"/>
  <c r="R20" i="107"/>
  <c r="Q20" i="107"/>
  <c r="Y19" i="107"/>
  <c r="X19" i="107"/>
  <c r="W19" i="107"/>
  <c r="V19" i="107"/>
  <c r="U19" i="107"/>
  <c r="T19" i="107"/>
  <c r="S19" i="107"/>
  <c r="R19" i="107"/>
  <c r="Q19" i="107"/>
  <c r="Y18" i="107"/>
  <c r="X18" i="107"/>
  <c r="W18" i="107"/>
  <c r="V18" i="107"/>
  <c r="U18" i="107"/>
  <c r="T18" i="107"/>
  <c r="S18" i="107"/>
  <c r="R18" i="107"/>
  <c r="Q18" i="107"/>
  <c r="E20" i="107"/>
  <c r="F20" i="107"/>
  <c r="G20" i="107"/>
  <c r="H20" i="107"/>
  <c r="I20" i="107"/>
  <c r="J20" i="107"/>
  <c r="K20" i="107"/>
  <c r="D20" i="107"/>
  <c r="E19" i="107"/>
  <c r="F19" i="107"/>
  <c r="G19" i="107"/>
  <c r="H19" i="107"/>
  <c r="I19" i="107"/>
  <c r="J19" i="107"/>
  <c r="K19" i="107"/>
  <c r="D19" i="107"/>
  <c r="E18" i="107"/>
  <c r="F18" i="107"/>
  <c r="G18" i="107"/>
  <c r="H18" i="107"/>
  <c r="I18" i="107"/>
  <c r="J18" i="107"/>
  <c r="K18" i="107"/>
  <c r="D18" i="107"/>
  <c r="L18" i="107" l="1"/>
  <c r="L19" i="107"/>
  <c r="J80" i="111"/>
  <c r="I80" i="111"/>
  <c r="K83" i="111" l="1"/>
  <c r="E19" i="4" l="1"/>
  <c r="G63" i="111" l="1"/>
  <c r="G58" i="111"/>
  <c r="H57" i="111"/>
  <c r="G57" i="111" s="1"/>
  <c r="G52" i="111"/>
  <c r="G53" i="111"/>
  <c r="F523" i="4"/>
  <c r="J523" i="4" s="1"/>
  <c r="E523" i="4"/>
  <c r="E522" i="4"/>
  <c r="E521" i="4"/>
  <c r="E520" i="4"/>
  <c r="E519" i="4"/>
  <c r="E518" i="4"/>
  <c r="F517" i="4"/>
  <c r="E517" i="4"/>
  <c r="E516" i="4"/>
  <c r="E515" i="4"/>
  <c r="E514" i="4"/>
  <c r="E513" i="4"/>
  <c r="E512" i="4"/>
  <c r="E511" i="4"/>
  <c r="E510" i="4"/>
  <c r="E509" i="4"/>
  <c r="F508" i="4"/>
  <c r="J508" i="4" s="1"/>
  <c r="E508" i="4"/>
  <c r="E507" i="4"/>
  <c r="E506" i="4"/>
  <c r="F505" i="4"/>
  <c r="E505" i="4"/>
  <c r="F504" i="4"/>
  <c r="J504" i="4" s="1"/>
  <c r="E504" i="4"/>
  <c r="E503" i="4"/>
  <c r="F502" i="4"/>
  <c r="E502" i="4"/>
  <c r="E501" i="4"/>
  <c r="E500" i="4"/>
  <c r="E499" i="4"/>
  <c r="E498" i="4"/>
  <c r="F497" i="4"/>
  <c r="E497" i="4"/>
  <c r="F496" i="4"/>
  <c r="J496" i="4" s="1"/>
  <c r="E496" i="4"/>
  <c r="E495" i="4"/>
  <c r="F494" i="4"/>
  <c r="E494" i="4"/>
  <c r="E493" i="4"/>
  <c r="E492" i="4"/>
  <c r="E491" i="4"/>
  <c r="E490" i="4"/>
  <c r="E489" i="4"/>
  <c r="F488" i="4"/>
  <c r="J488" i="4" s="1"/>
  <c r="E488" i="4"/>
  <c r="E487" i="4"/>
  <c r="E486" i="4"/>
  <c r="E485" i="4"/>
  <c r="E484" i="4"/>
  <c r="E483" i="4"/>
  <c r="E482" i="4"/>
  <c r="F481" i="4"/>
  <c r="E481" i="4"/>
  <c r="E480" i="4"/>
  <c r="F479" i="4"/>
  <c r="E479" i="4"/>
  <c r="E478" i="4"/>
  <c r="F477" i="4"/>
  <c r="E477" i="4"/>
  <c r="E476" i="4"/>
  <c r="F475" i="4"/>
  <c r="E475" i="4"/>
  <c r="F474" i="4"/>
  <c r="H474" i="4" s="1"/>
  <c r="E474" i="4"/>
  <c r="E473" i="4"/>
  <c r="E472" i="4"/>
  <c r="E471" i="4"/>
  <c r="E470" i="4"/>
  <c r="E469" i="4"/>
  <c r="E468" i="4"/>
  <c r="E467" i="4"/>
  <c r="F466" i="4"/>
  <c r="H466" i="4" s="1"/>
  <c r="E466" i="4"/>
  <c r="F465" i="4"/>
  <c r="E465" i="4"/>
  <c r="F464" i="4"/>
  <c r="J464" i="4" s="1"/>
  <c r="E464" i="4"/>
  <c r="E463" i="4"/>
  <c r="E462" i="4"/>
  <c r="E461" i="4"/>
  <c r="E460" i="4"/>
  <c r="F459" i="4"/>
  <c r="E459" i="4"/>
  <c r="E458" i="4"/>
  <c r="F457" i="4"/>
  <c r="E457" i="4"/>
  <c r="E456" i="4"/>
  <c r="E455" i="4"/>
  <c r="E454" i="4"/>
  <c r="E453" i="4"/>
  <c r="E452" i="4"/>
  <c r="E451" i="4"/>
  <c r="J450" i="4"/>
  <c r="F450" i="4"/>
  <c r="H450" i="4" s="1"/>
  <c r="E450" i="4"/>
  <c r="F449" i="4"/>
  <c r="E449" i="4"/>
  <c r="E448" i="4"/>
  <c r="E447" i="4"/>
  <c r="E446" i="4"/>
  <c r="E445" i="4"/>
  <c r="F444" i="4"/>
  <c r="H444" i="4" s="1"/>
  <c r="E444" i="4"/>
  <c r="F443" i="4"/>
  <c r="E443" i="4"/>
  <c r="E442" i="4"/>
  <c r="E441" i="4"/>
  <c r="F440" i="4"/>
  <c r="E440" i="4"/>
  <c r="E439" i="4"/>
  <c r="J438" i="4"/>
  <c r="F438" i="4"/>
  <c r="H438" i="4" s="1"/>
  <c r="E438" i="4"/>
  <c r="F437" i="4"/>
  <c r="E437" i="4"/>
  <c r="F436" i="4"/>
  <c r="E436" i="4"/>
  <c r="F435" i="4"/>
  <c r="E435" i="4"/>
  <c r="E434" i="4"/>
  <c r="E433" i="4"/>
  <c r="E432" i="4"/>
  <c r="E431" i="4"/>
  <c r="E430" i="4"/>
  <c r="E429" i="4"/>
  <c r="E428" i="4"/>
  <c r="E427" i="4"/>
  <c r="E426" i="4"/>
  <c r="E425" i="4"/>
  <c r="F424" i="4"/>
  <c r="H424" i="4" s="1"/>
  <c r="E424" i="4"/>
  <c r="E423" i="4"/>
  <c r="E422" i="4"/>
  <c r="F421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F408" i="4"/>
  <c r="J408" i="4" s="1"/>
  <c r="E408" i="4"/>
  <c r="E407" i="4"/>
  <c r="E406" i="4"/>
  <c r="F405" i="4"/>
  <c r="E405" i="4"/>
  <c r="F404" i="4"/>
  <c r="H404" i="4" s="1"/>
  <c r="E404" i="4"/>
  <c r="E403" i="4"/>
  <c r="E402" i="4"/>
  <c r="E401" i="4"/>
  <c r="E400" i="4"/>
  <c r="E399" i="4"/>
  <c r="E398" i="4"/>
  <c r="E397" i="4"/>
  <c r="F396" i="4"/>
  <c r="H396" i="4" s="1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F375" i="4"/>
  <c r="E375" i="4"/>
  <c r="E374" i="4"/>
  <c r="E373" i="4"/>
  <c r="E372" i="4"/>
  <c r="E371" i="4"/>
  <c r="E370" i="4"/>
  <c r="E369" i="4"/>
  <c r="F368" i="4"/>
  <c r="J368" i="4" s="1"/>
  <c r="E368" i="4"/>
  <c r="E367" i="4"/>
  <c r="E366" i="4"/>
  <c r="F365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F340" i="4"/>
  <c r="H340" i="4" s="1"/>
  <c r="E340" i="4"/>
  <c r="E339" i="4"/>
  <c r="E338" i="4"/>
  <c r="E337" i="4"/>
  <c r="E336" i="4"/>
  <c r="E335" i="4"/>
  <c r="E334" i="4"/>
  <c r="E333" i="4"/>
  <c r="E332" i="4"/>
  <c r="F331" i="4"/>
  <c r="H331" i="4" s="1"/>
  <c r="E331" i="4"/>
  <c r="E330" i="4"/>
  <c r="E329" i="4"/>
  <c r="F328" i="4"/>
  <c r="E328" i="4"/>
  <c r="E327" i="4"/>
  <c r="F326" i="4"/>
  <c r="H326" i="4" s="1"/>
  <c r="E326" i="4"/>
  <c r="E325" i="4"/>
  <c r="E324" i="4"/>
  <c r="E323" i="4"/>
  <c r="E322" i="4"/>
  <c r="E321" i="4"/>
  <c r="F320" i="4"/>
  <c r="E320" i="4"/>
  <c r="E319" i="4"/>
  <c r="E318" i="4"/>
  <c r="E317" i="4"/>
  <c r="E316" i="4"/>
  <c r="F315" i="4"/>
  <c r="H315" i="4" s="1"/>
  <c r="E315" i="4"/>
  <c r="E314" i="4"/>
  <c r="J313" i="4"/>
  <c r="F313" i="4"/>
  <c r="H313" i="4" s="1"/>
  <c r="E313" i="4"/>
  <c r="E312" i="4"/>
  <c r="E311" i="4"/>
  <c r="E310" i="4"/>
  <c r="E309" i="4"/>
  <c r="E308" i="4"/>
  <c r="E307" i="4"/>
  <c r="E306" i="4"/>
  <c r="E305" i="4"/>
  <c r="E304" i="4"/>
  <c r="F303" i="4"/>
  <c r="E303" i="4"/>
  <c r="E302" i="4"/>
  <c r="F301" i="4"/>
  <c r="H301" i="4" s="1"/>
  <c r="E301" i="4"/>
  <c r="F300" i="4"/>
  <c r="H300" i="4" s="1"/>
  <c r="E300" i="4"/>
  <c r="E299" i="4"/>
  <c r="E298" i="4"/>
  <c r="E297" i="4"/>
  <c r="E296" i="4"/>
  <c r="E295" i="4"/>
  <c r="E294" i="4"/>
  <c r="E293" i="4"/>
  <c r="E292" i="4"/>
  <c r="E291" i="4"/>
  <c r="E290" i="4"/>
  <c r="E289" i="4"/>
  <c r="F288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F272" i="4"/>
  <c r="E272" i="4"/>
  <c r="E271" i="4"/>
  <c r="E270" i="4"/>
  <c r="E269" i="4"/>
  <c r="E268" i="4"/>
  <c r="E267" i="4"/>
  <c r="E266" i="4"/>
  <c r="E265" i="4"/>
  <c r="E264" i="4"/>
  <c r="E263" i="4"/>
  <c r="E262" i="4"/>
  <c r="J261" i="4"/>
  <c r="F261" i="4"/>
  <c r="H261" i="4" s="1"/>
  <c r="E261" i="4"/>
  <c r="E260" i="4"/>
  <c r="E259" i="4"/>
  <c r="E258" i="4"/>
  <c r="E257" i="4"/>
  <c r="E256" i="4"/>
  <c r="F255" i="4"/>
  <c r="E255" i="4"/>
  <c r="E254" i="4"/>
  <c r="E253" i="4"/>
  <c r="E252" i="4"/>
  <c r="E251" i="4"/>
  <c r="F250" i="4"/>
  <c r="H250" i="4" s="1"/>
  <c r="E250" i="4"/>
  <c r="E249" i="4"/>
  <c r="F248" i="4"/>
  <c r="E248" i="4"/>
  <c r="E247" i="4"/>
  <c r="E246" i="4"/>
  <c r="E245" i="4"/>
  <c r="F244" i="4"/>
  <c r="H244" i="4" s="1"/>
  <c r="E244" i="4"/>
  <c r="E243" i="4"/>
  <c r="E242" i="4"/>
  <c r="E241" i="4"/>
  <c r="E240" i="4"/>
  <c r="E239" i="4"/>
  <c r="E238" i="4"/>
  <c r="E237" i="4"/>
  <c r="E236" i="4"/>
  <c r="E235" i="4"/>
  <c r="E234" i="4"/>
  <c r="F233" i="4"/>
  <c r="H233" i="4" s="1"/>
  <c r="E233" i="4"/>
  <c r="E232" i="4"/>
  <c r="E231" i="4"/>
  <c r="E230" i="4"/>
  <c r="E229" i="4"/>
  <c r="E228" i="4"/>
  <c r="F227" i="4"/>
  <c r="H227" i="4" s="1"/>
  <c r="E227" i="4"/>
  <c r="E226" i="4"/>
  <c r="E225" i="4"/>
  <c r="E224" i="4"/>
  <c r="E223" i="4"/>
  <c r="E222" i="4"/>
  <c r="E221" i="4"/>
  <c r="E220" i="4"/>
  <c r="E219" i="4"/>
  <c r="E218" i="4"/>
  <c r="F217" i="4"/>
  <c r="J217" i="4" s="1"/>
  <c r="E217" i="4"/>
  <c r="E216" i="4"/>
  <c r="E215" i="4"/>
  <c r="E214" i="4"/>
  <c r="E213" i="4"/>
  <c r="E212" i="4"/>
  <c r="F211" i="4"/>
  <c r="H211" i="4" s="1"/>
  <c r="E211" i="4"/>
  <c r="E210" i="4"/>
  <c r="E209" i="4"/>
  <c r="F208" i="4"/>
  <c r="H208" i="4" s="1"/>
  <c r="E208" i="4"/>
  <c r="E207" i="4"/>
  <c r="E206" i="4"/>
  <c r="E205" i="4"/>
  <c r="E204" i="4"/>
  <c r="E203" i="4"/>
  <c r="F202" i="4"/>
  <c r="H202" i="4" s="1"/>
  <c r="E202" i="4"/>
  <c r="E201" i="4"/>
  <c r="E200" i="4"/>
  <c r="E199" i="4"/>
  <c r="E198" i="4"/>
  <c r="E197" i="4"/>
  <c r="E196" i="4"/>
  <c r="E195" i="4"/>
  <c r="E194" i="4"/>
  <c r="J193" i="4"/>
  <c r="H193" i="4"/>
  <c r="F193" i="4"/>
  <c r="E193" i="4"/>
  <c r="E192" i="4"/>
  <c r="E191" i="4"/>
  <c r="E190" i="4"/>
  <c r="E189" i="4"/>
  <c r="E188" i="4"/>
  <c r="J187" i="4"/>
  <c r="F187" i="4"/>
  <c r="H187" i="4" s="1"/>
  <c r="E187" i="4"/>
  <c r="E186" i="4"/>
  <c r="F185" i="4"/>
  <c r="J185" i="4" s="1"/>
  <c r="E185" i="4"/>
  <c r="E184" i="4"/>
  <c r="E183" i="4"/>
  <c r="E182" i="4"/>
  <c r="E181" i="4"/>
  <c r="E180" i="4"/>
  <c r="E179" i="4"/>
  <c r="E178" i="4"/>
  <c r="E177" i="4"/>
  <c r="J176" i="4"/>
  <c r="F176" i="4"/>
  <c r="H176" i="4" s="1"/>
  <c r="E176" i="4"/>
  <c r="F175" i="4"/>
  <c r="H175" i="4" s="1"/>
  <c r="E175" i="4"/>
  <c r="E174" i="4"/>
  <c r="E173" i="4"/>
  <c r="E172" i="4"/>
  <c r="E171" i="4"/>
  <c r="E170" i="4"/>
  <c r="E169" i="4"/>
  <c r="E168" i="4"/>
  <c r="E167" i="4"/>
  <c r="E166" i="4"/>
  <c r="E165" i="4"/>
  <c r="E164" i="4"/>
  <c r="J163" i="4"/>
  <c r="F163" i="4"/>
  <c r="H163" i="4" s="1"/>
  <c r="E163" i="4"/>
  <c r="E162" i="4"/>
  <c r="E161" i="4"/>
  <c r="E160" i="4"/>
  <c r="F159" i="4"/>
  <c r="H159" i="4" s="1"/>
  <c r="E159" i="4"/>
  <c r="E158" i="4"/>
  <c r="E157" i="4"/>
  <c r="E156" i="4"/>
  <c r="E155" i="4"/>
  <c r="E154" i="4"/>
  <c r="E153" i="4"/>
  <c r="E152" i="4"/>
  <c r="E151" i="4"/>
  <c r="E150" i="4"/>
  <c r="E149" i="4"/>
  <c r="E148" i="4"/>
  <c r="F147" i="4"/>
  <c r="H147" i="4" s="1"/>
  <c r="E147" i="4"/>
  <c r="F146" i="4"/>
  <c r="J146" i="4" s="1"/>
  <c r="E146" i="4"/>
  <c r="F145" i="4"/>
  <c r="J145" i="4" s="1"/>
  <c r="E145" i="4"/>
  <c r="E144" i="4"/>
  <c r="E143" i="4"/>
  <c r="E142" i="4"/>
  <c r="E141" i="4"/>
  <c r="E140" i="4"/>
  <c r="E139" i="4"/>
  <c r="F138" i="4"/>
  <c r="J138" i="4" s="1"/>
  <c r="E138" i="4"/>
  <c r="F137" i="4"/>
  <c r="J137" i="4" s="1"/>
  <c r="E137" i="4"/>
  <c r="F136" i="4"/>
  <c r="J136" i="4" s="1"/>
  <c r="E136" i="4"/>
  <c r="E135" i="4"/>
  <c r="E134" i="4"/>
  <c r="F133" i="4"/>
  <c r="J133" i="4" s="1"/>
  <c r="E133" i="4"/>
  <c r="E132" i="4"/>
  <c r="E131" i="4"/>
  <c r="E130" i="4"/>
  <c r="F129" i="4"/>
  <c r="J129" i="4" s="1"/>
  <c r="E129" i="4"/>
  <c r="E128" i="4"/>
  <c r="E127" i="4"/>
  <c r="E126" i="4"/>
  <c r="E125" i="4"/>
  <c r="E124" i="4"/>
  <c r="E123" i="4"/>
  <c r="E122" i="4"/>
  <c r="E121" i="4"/>
  <c r="E120" i="4"/>
  <c r="E119" i="4"/>
  <c r="E118" i="4"/>
  <c r="F118" i="4" s="1"/>
  <c r="J118" i="4" s="1"/>
  <c r="E117" i="4"/>
  <c r="E116" i="4"/>
  <c r="E115" i="4"/>
  <c r="H114" i="4"/>
  <c r="F114" i="4"/>
  <c r="J114" i="4" s="1"/>
  <c r="E114" i="4"/>
  <c r="E113" i="4"/>
  <c r="H112" i="4"/>
  <c r="F112" i="4"/>
  <c r="J112" i="4" s="1"/>
  <c r="E112" i="4"/>
  <c r="F111" i="4"/>
  <c r="J111" i="4" s="1"/>
  <c r="E111" i="4"/>
  <c r="E110" i="4"/>
  <c r="E109" i="4"/>
  <c r="E108" i="4"/>
  <c r="E107" i="4"/>
  <c r="E106" i="4"/>
  <c r="E105" i="4"/>
  <c r="E104" i="4"/>
  <c r="F103" i="4"/>
  <c r="J103" i="4" s="1"/>
  <c r="E103" i="4"/>
  <c r="E102" i="4"/>
  <c r="F102" i="4" s="1"/>
  <c r="H102" i="4" s="1"/>
  <c r="E101" i="4"/>
  <c r="E100" i="4"/>
  <c r="E99" i="4"/>
  <c r="E98" i="4"/>
  <c r="H97" i="4"/>
  <c r="F97" i="4"/>
  <c r="J97" i="4" s="1"/>
  <c r="E97" i="4"/>
  <c r="F96" i="4"/>
  <c r="J96" i="4" s="1"/>
  <c r="E96" i="4"/>
  <c r="F95" i="4"/>
  <c r="J95" i="4" s="1"/>
  <c r="E95" i="4"/>
  <c r="E94" i="4"/>
  <c r="E93" i="4"/>
  <c r="F92" i="4"/>
  <c r="J92" i="4" s="1"/>
  <c r="E92" i="4"/>
  <c r="E91" i="4"/>
  <c r="E90" i="4"/>
  <c r="E89" i="4"/>
  <c r="E88" i="4"/>
  <c r="E87" i="4"/>
  <c r="F86" i="4"/>
  <c r="J86" i="4" s="1"/>
  <c r="E86" i="4"/>
  <c r="E85" i="4"/>
  <c r="E84" i="4"/>
  <c r="F83" i="4"/>
  <c r="J83" i="4" s="1"/>
  <c r="E83" i="4"/>
  <c r="E82" i="4"/>
  <c r="F81" i="4"/>
  <c r="J81" i="4" s="1"/>
  <c r="E81" i="4"/>
  <c r="F80" i="4"/>
  <c r="J80" i="4" s="1"/>
  <c r="E80" i="4"/>
  <c r="F79" i="4"/>
  <c r="J79" i="4" s="1"/>
  <c r="E79" i="4"/>
  <c r="E78" i="4"/>
  <c r="F77" i="4"/>
  <c r="J77" i="4" s="1"/>
  <c r="E77" i="4"/>
  <c r="E76" i="4"/>
  <c r="E75" i="4"/>
  <c r="E74" i="4"/>
  <c r="E73" i="4"/>
  <c r="E72" i="4"/>
  <c r="F71" i="4"/>
  <c r="J71" i="4" s="1"/>
  <c r="E71" i="4"/>
  <c r="F70" i="4"/>
  <c r="J70" i="4" s="1"/>
  <c r="E70" i="4"/>
  <c r="E69" i="4"/>
  <c r="E68" i="4"/>
  <c r="E67" i="4"/>
  <c r="E66" i="4"/>
  <c r="E65" i="4"/>
  <c r="F64" i="4"/>
  <c r="J64" i="4" s="1"/>
  <c r="E64" i="4"/>
  <c r="E63" i="4"/>
  <c r="F63" i="4" s="1"/>
  <c r="J63" i="4" s="1"/>
  <c r="E62" i="4"/>
  <c r="F61" i="4"/>
  <c r="J61" i="4" s="1"/>
  <c r="E61" i="4"/>
  <c r="E60" i="4"/>
  <c r="E59" i="4"/>
  <c r="E58" i="4"/>
  <c r="E57" i="4"/>
  <c r="E56" i="4"/>
  <c r="E55" i="4"/>
  <c r="E54" i="4"/>
  <c r="E53" i="4"/>
  <c r="E52" i="4"/>
  <c r="E51" i="4"/>
  <c r="E50" i="4"/>
  <c r="F50" i="4" s="1"/>
  <c r="E49" i="4"/>
  <c r="E48" i="4"/>
  <c r="E47" i="4"/>
  <c r="E46" i="4"/>
  <c r="E45" i="4"/>
  <c r="E44" i="4"/>
  <c r="E43" i="4"/>
  <c r="E42" i="4"/>
  <c r="F42" i="4" s="1"/>
  <c r="E41" i="4"/>
  <c r="E40" i="4"/>
  <c r="E39" i="4"/>
  <c r="E38" i="4"/>
  <c r="F37" i="4"/>
  <c r="J37" i="4" s="1"/>
  <c r="E37" i="4"/>
  <c r="E36" i="4"/>
  <c r="E35" i="4"/>
  <c r="E34" i="4"/>
  <c r="E33" i="4"/>
  <c r="F32" i="4"/>
  <c r="H32" i="4" s="1"/>
  <c r="E32" i="4"/>
  <c r="E31" i="4"/>
  <c r="E30" i="4"/>
  <c r="E29" i="4"/>
  <c r="E28" i="4"/>
  <c r="E27" i="4"/>
  <c r="F26" i="4"/>
  <c r="J26" i="4" s="1"/>
  <c r="E26" i="4"/>
  <c r="E25" i="4"/>
  <c r="E24" i="4"/>
  <c r="F23" i="4"/>
  <c r="H23" i="4" s="1"/>
  <c r="E23" i="4"/>
  <c r="F22" i="4"/>
  <c r="J22" i="4" s="1"/>
  <c r="E22" i="4"/>
  <c r="E21" i="4"/>
  <c r="E20" i="4"/>
  <c r="F34" i="4" l="1"/>
  <c r="F213" i="4"/>
  <c r="J326" i="4"/>
  <c r="H464" i="4"/>
  <c r="F44" i="4"/>
  <c r="F123" i="4"/>
  <c r="H123" i="4" s="1"/>
  <c r="F117" i="4"/>
  <c r="H136" i="4"/>
  <c r="F174" i="4"/>
  <c r="H185" i="4"/>
  <c r="J340" i="4"/>
  <c r="H488" i="4"/>
  <c r="F125" i="4"/>
  <c r="F171" i="4"/>
  <c r="J171" i="4" s="1"/>
  <c r="F219" i="4"/>
  <c r="J301" i="4"/>
  <c r="J424" i="4"/>
  <c r="F60" i="4"/>
  <c r="F46" i="4"/>
  <c r="F101" i="4"/>
  <c r="F113" i="4"/>
  <c r="H113" i="4" s="1"/>
  <c r="F162" i="4"/>
  <c r="H162" i="4" s="1"/>
  <c r="H81" i="4"/>
  <c r="F65" i="4"/>
  <c r="F38" i="4"/>
  <c r="F91" i="4"/>
  <c r="F40" i="4"/>
  <c r="F48" i="4"/>
  <c r="F56" i="4"/>
  <c r="F75" i="4"/>
  <c r="J75" i="4" s="1"/>
  <c r="F85" i="4"/>
  <c r="H85" i="4" s="1"/>
  <c r="F109" i="4"/>
  <c r="F231" i="4"/>
  <c r="J231" i="4" s="1"/>
  <c r="J250" i="4"/>
  <c r="J444" i="4"/>
  <c r="J466" i="4"/>
  <c r="F352" i="4"/>
  <c r="J352" i="4" s="1"/>
  <c r="F52" i="4"/>
  <c r="H52" i="4" s="1"/>
  <c r="F54" i="4"/>
  <c r="J54" i="4" s="1"/>
  <c r="F107" i="4"/>
  <c r="H107" i="4" s="1"/>
  <c r="F36" i="4"/>
  <c r="J36" i="4" s="1"/>
  <c r="F20" i="4"/>
  <c r="F19" i="4"/>
  <c r="H19" i="4" s="1"/>
  <c r="F69" i="4"/>
  <c r="H137" i="4"/>
  <c r="J211" i="4"/>
  <c r="H217" i="4"/>
  <c r="J147" i="4"/>
  <c r="H64" i="4"/>
  <c r="H92" i="4"/>
  <c r="H96" i="4"/>
  <c r="H145" i="4"/>
  <c r="H368" i="4"/>
  <c r="J396" i="4"/>
  <c r="H408" i="4"/>
  <c r="J32" i="4"/>
  <c r="J244" i="4"/>
  <c r="H22" i="4"/>
  <c r="H26" i="4"/>
  <c r="H133" i="4"/>
  <c r="J300" i="4"/>
  <c r="H80" i="4"/>
  <c r="H129" i="4"/>
  <c r="J202" i="4"/>
  <c r="J208" i="4"/>
  <c r="J50" i="4"/>
  <c r="H50" i="4"/>
  <c r="J34" i="4"/>
  <c r="H34" i="4"/>
  <c r="J101" i="4"/>
  <c r="H101" i="4"/>
  <c r="J107" i="4"/>
  <c r="J117" i="4"/>
  <c r="H117" i="4"/>
  <c r="J42" i="4"/>
  <c r="H42" i="4"/>
  <c r="J44" i="4"/>
  <c r="H44" i="4"/>
  <c r="J125" i="4"/>
  <c r="H125" i="4"/>
  <c r="J65" i="4"/>
  <c r="H65" i="4"/>
  <c r="J109" i="4"/>
  <c r="H109" i="4"/>
  <c r="J113" i="4"/>
  <c r="J46" i="4"/>
  <c r="H46" i="4"/>
  <c r="H352" i="4"/>
  <c r="J85" i="4"/>
  <c r="J38" i="4"/>
  <c r="H38" i="4"/>
  <c r="H54" i="4"/>
  <c r="H231" i="4"/>
  <c r="H36" i="4"/>
  <c r="H219" i="4"/>
  <c r="J219" i="4"/>
  <c r="J60" i="4"/>
  <c r="H60" i="4"/>
  <c r="H40" i="4"/>
  <c r="J40" i="4"/>
  <c r="H48" i="4"/>
  <c r="J48" i="4"/>
  <c r="J56" i="4"/>
  <c r="H56" i="4"/>
  <c r="J69" i="4"/>
  <c r="H69" i="4"/>
  <c r="J91" i="4"/>
  <c r="H91" i="4"/>
  <c r="H174" i="4"/>
  <c r="J174" i="4"/>
  <c r="J213" i="4"/>
  <c r="H213" i="4"/>
  <c r="F239" i="4"/>
  <c r="F68" i="4"/>
  <c r="H70" i="4"/>
  <c r="H79" i="4"/>
  <c r="H86" i="4"/>
  <c r="F93" i="4"/>
  <c r="H95" i="4"/>
  <c r="H111" i="4"/>
  <c r="H118" i="4"/>
  <c r="F181" i="4"/>
  <c r="F216" i="4"/>
  <c r="F266" i="4"/>
  <c r="F323" i="4"/>
  <c r="F451" i="4"/>
  <c r="F521" i="4"/>
  <c r="F520" i="4"/>
  <c r="F512" i="4"/>
  <c r="F519" i="4"/>
  <c r="F514" i="4"/>
  <c r="F511" i="4"/>
  <c r="F506" i="4"/>
  <c r="F503" i="4"/>
  <c r="F498" i="4"/>
  <c r="F495" i="4"/>
  <c r="F490" i="4"/>
  <c r="F487" i="4"/>
  <c r="F516" i="4"/>
  <c r="F513" i="4"/>
  <c r="F500" i="4"/>
  <c r="F492" i="4"/>
  <c r="F489" i="4"/>
  <c r="F484" i="4"/>
  <c r="F518" i="4"/>
  <c r="F501" i="4"/>
  <c r="F493" i="4"/>
  <c r="F469" i="4"/>
  <c r="F463" i="4"/>
  <c r="F460" i="4"/>
  <c r="F454" i="4"/>
  <c r="F448" i="4"/>
  <c r="F417" i="4"/>
  <c r="F411" i="4"/>
  <c r="F402" i="4"/>
  <c r="F399" i="4"/>
  <c r="F390" i="4"/>
  <c r="F384" i="4"/>
  <c r="F348" i="4"/>
  <c r="F332" i="4"/>
  <c r="F324" i="4"/>
  <c r="F316" i="4"/>
  <c r="F308" i="4"/>
  <c r="F478" i="4"/>
  <c r="F472" i="4"/>
  <c r="F441" i="4"/>
  <c r="F429" i="4"/>
  <c r="F426" i="4"/>
  <c r="F423" i="4"/>
  <c r="F420" i="4"/>
  <c r="F414" i="4"/>
  <c r="F377" i="4"/>
  <c r="F371" i="4"/>
  <c r="F362" i="4"/>
  <c r="F359" i="4"/>
  <c r="F356" i="4"/>
  <c r="F353" i="4"/>
  <c r="F345" i="4"/>
  <c r="F337" i="4"/>
  <c r="F329" i="4"/>
  <c r="F321" i="4"/>
  <c r="F305" i="4"/>
  <c r="F297" i="4"/>
  <c r="F289" i="4"/>
  <c r="F281" i="4"/>
  <c r="F273" i="4"/>
  <c r="F265" i="4"/>
  <c r="F257" i="4"/>
  <c r="F249" i="4"/>
  <c r="F241" i="4"/>
  <c r="F453" i="4"/>
  <c r="F447" i="4"/>
  <c r="F432" i="4"/>
  <c r="F401" i="4"/>
  <c r="F395" i="4"/>
  <c r="F389" i="4"/>
  <c r="F386" i="4"/>
  <c r="F383" i="4"/>
  <c r="F380" i="4"/>
  <c r="F350" i="4"/>
  <c r="F342" i="4"/>
  <c r="F334" i="4"/>
  <c r="F318" i="4"/>
  <c r="F310" i="4"/>
  <c r="F302" i="4"/>
  <c r="F294" i="4"/>
  <c r="F286" i="4"/>
  <c r="F507" i="4"/>
  <c r="F499" i="4"/>
  <c r="F491" i="4"/>
  <c r="F483" i="4"/>
  <c r="F471" i="4"/>
  <c r="F468" i="4"/>
  <c r="F456" i="4"/>
  <c r="F425" i="4"/>
  <c r="F419" i="4"/>
  <c r="F413" i="4"/>
  <c r="F410" i="4"/>
  <c r="F407" i="4"/>
  <c r="F392" i="4"/>
  <c r="F361" i="4"/>
  <c r="F480" i="4"/>
  <c r="F434" i="4"/>
  <c r="F431" i="4"/>
  <c r="F428" i="4"/>
  <c r="F416" i="4"/>
  <c r="F385" i="4"/>
  <c r="F379" i="4"/>
  <c r="F373" i="4"/>
  <c r="F482" i="4"/>
  <c r="F476" i="4"/>
  <c r="F433" i="4"/>
  <c r="F427" i="4"/>
  <c r="F418" i="4"/>
  <c r="F415" i="4"/>
  <c r="F412" i="4"/>
  <c r="F400" i="4"/>
  <c r="F369" i="4"/>
  <c r="F357" i="4"/>
  <c r="F354" i="4"/>
  <c r="F346" i="4"/>
  <c r="F338" i="4"/>
  <c r="F330" i="4"/>
  <c r="F322" i="4"/>
  <c r="F314" i="4"/>
  <c r="F306" i="4"/>
  <c r="F298" i="4"/>
  <c r="F290" i="4"/>
  <c r="F486" i="4"/>
  <c r="F446" i="4"/>
  <c r="F409" i="4"/>
  <c r="F387" i="4"/>
  <c r="F376" i="4"/>
  <c r="F367" i="4"/>
  <c r="F293" i="4"/>
  <c r="F285" i="4"/>
  <c r="F277" i="4"/>
  <c r="F269" i="4"/>
  <c r="F510" i="4"/>
  <c r="F442" i="4"/>
  <c r="F391" i="4"/>
  <c r="F381" i="4"/>
  <c r="F370" i="4"/>
  <c r="F351" i="4"/>
  <c r="F317" i="4"/>
  <c r="F245" i="4"/>
  <c r="F224" i="4"/>
  <c r="F167" i="4"/>
  <c r="F156" i="4"/>
  <c r="F485" i="4"/>
  <c r="F458" i="4"/>
  <c r="F445" i="4"/>
  <c r="F366" i="4"/>
  <c r="F333" i="4"/>
  <c r="F309" i="4"/>
  <c r="F304" i="4"/>
  <c r="F296" i="4"/>
  <c r="F237" i="4"/>
  <c r="F215" i="4"/>
  <c r="F200" i="4"/>
  <c r="F158" i="4"/>
  <c r="F149" i="4"/>
  <c r="F142" i="4"/>
  <c r="F515" i="4"/>
  <c r="F509" i="4"/>
  <c r="F341" i="4"/>
  <c r="F325" i="4"/>
  <c r="F292" i="4"/>
  <c r="F284" i="4"/>
  <c r="F276" i="4"/>
  <c r="F268" i="4"/>
  <c r="F260" i="4"/>
  <c r="F252" i="4"/>
  <c r="F240" i="4"/>
  <c r="F461" i="4"/>
  <c r="F452" i="4"/>
  <c r="F394" i="4"/>
  <c r="F360" i="4"/>
  <c r="F336" i="4"/>
  <c r="F312" i="4"/>
  <c r="F229" i="4"/>
  <c r="F153" i="4"/>
  <c r="F430" i="4"/>
  <c r="F403" i="4"/>
  <c r="F378" i="4"/>
  <c r="F349" i="4"/>
  <c r="F344" i="4"/>
  <c r="F327" i="4"/>
  <c r="F319" i="4"/>
  <c r="F223" i="4"/>
  <c r="F199" i="4"/>
  <c r="F184" i="4"/>
  <c r="F59" i="4"/>
  <c r="H61" i="4"/>
  <c r="F66" i="4"/>
  <c r="H77" i="4"/>
  <c r="F82" i="4"/>
  <c r="F98" i="4"/>
  <c r="J102" i="4"/>
  <c r="F130" i="4"/>
  <c r="F150" i="4"/>
  <c r="J159" i="4"/>
  <c r="F201" i="4"/>
  <c r="F204" i="4"/>
  <c r="F225" i="4"/>
  <c r="F278" i="4"/>
  <c r="F335" i="4"/>
  <c r="F127" i="4"/>
  <c r="F173" i="4"/>
  <c r="F271" i="4"/>
  <c r="H63" i="4"/>
  <c r="F139" i="4"/>
  <c r="F195" i="4"/>
  <c r="F27" i="4"/>
  <c r="F35" i="4"/>
  <c r="F43" i="4"/>
  <c r="F51" i="4"/>
  <c r="F53" i="4"/>
  <c r="F55" i="4"/>
  <c r="F57" i="4"/>
  <c r="F73" i="4"/>
  <c r="F89" i="4"/>
  <c r="F105" i="4"/>
  <c r="F121" i="4"/>
  <c r="F128" i="4"/>
  <c r="F182" i="4"/>
  <c r="F189" i="4"/>
  <c r="F196" i="4"/>
  <c r="F205" i="4"/>
  <c r="F212" i="4"/>
  <c r="F235" i="4"/>
  <c r="F242" i="4"/>
  <c r="F246" i="4"/>
  <c r="F256" i="4"/>
  <c r="F279" i="4"/>
  <c r="F307" i="4"/>
  <c r="F372" i="4"/>
  <c r="F397" i="4"/>
  <c r="F473" i="4"/>
  <c r="F144" i="4"/>
  <c r="F228" i="4"/>
  <c r="F311" i="4"/>
  <c r="F116" i="4"/>
  <c r="F192" i="4"/>
  <c r="F25" i="4"/>
  <c r="F33" i="4"/>
  <c r="F45" i="4"/>
  <c r="F62" i="4"/>
  <c r="F94" i="4"/>
  <c r="F110" i="4"/>
  <c r="F119" i="4"/>
  <c r="F126" i="4"/>
  <c r="F135" i="4"/>
  <c r="F140" i="4"/>
  <c r="F143" i="4"/>
  <c r="F154" i="4"/>
  <c r="F157" i="4"/>
  <c r="F160" i="4"/>
  <c r="F186" i="4"/>
  <c r="F197" i="4"/>
  <c r="F206" i="4"/>
  <c r="F221" i="4"/>
  <c r="F236" i="4"/>
  <c r="F247" i="4"/>
  <c r="F274" i="4"/>
  <c r="F280" i="4"/>
  <c r="F393" i="4"/>
  <c r="F467" i="4"/>
  <c r="F165" i="4"/>
  <c r="F254" i="4"/>
  <c r="F84" i="4"/>
  <c r="F166" i="4"/>
  <c r="F29" i="4"/>
  <c r="F39" i="4"/>
  <c r="F49" i="4"/>
  <c r="H37" i="4"/>
  <c r="F78" i="4"/>
  <c r="F87" i="4"/>
  <c r="J23" i="4"/>
  <c r="H71" i="4"/>
  <c r="F76" i="4"/>
  <c r="H103" i="4"/>
  <c r="F108" i="4"/>
  <c r="F124" i="4"/>
  <c r="F148" i="4"/>
  <c r="F151" i="4"/>
  <c r="J175" i="4"/>
  <c r="F183" i="4"/>
  <c r="F190" i="4"/>
  <c r="F243" i="4"/>
  <c r="F262" i="4"/>
  <c r="F287" i="4"/>
  <c r="F343" i="4"/>
  <c r="F439" i="4"/>
  <c r="F180" i="4"/>
  <c r="F295" i="4"/>
  <c r="F100" i="4"/>
  <c r="F177" i="4"/>
  <c r="F21" i="4"/>
  <c r="F31" i="4"/>
  <c r="F41" i="4"/>
  <c r="F47" i="4"/>
  <c r="F58" i="4"/>
  <c r="F67" i="4"/>
  <c r="F74" i="4"/>
  <c r="F90" i="4"/>
  <c r="F99" i="4"/>
  <c r="F106" i="4"/>
  <c r="F115" i="4"/>
  <c r="F122" i="4"/>
  <c r="F131" i="4"/>
  <c r="F164" i="4"/>
  <c r="F168" i="4"/>
  <c r="F198" i="4"/>
  <c r="F207" i="4"/>
  <c r="F210" i="4"/>
  <c r="F214" i="4"/>
  <c r="F222" i="4"/>
  <c r="F232" i="4"/>
  <c r="F238" i="4"/>
  <c r="F253" i="4"/>
  <c r="F258" i="4"/>
  <c r="F263" i="4"/>
  <c r="F282" i="4"/>
  <c r="F364" i="4"/>
  <c r="F388" i="4"/>
  <c r="F455" i="4"/>
  <c r="F134" i="4"/>
  <c r="F203" i="4"/>
  <c r="F132" i="4"/>
  <c r="F24" i="4"/>
  <c r="F28" i="4"/>
  <c r="F30" i="4"/>
  <c r="F72" i="4"/>
  <c r="H83" i="4"/>
  <c r="F88" i="4"/>
  <c r="F104" i="4"/>
  <c r="F120" i="4"/>
  <c r="H138" i="4"/>
  <c r="F141" i="4"/>
  <c r="H146" i="4"/>
  <c r="F152" i="4"/>
  <c r="F155" i="4"/>
  <c r="F191" i="4"/>
  <c r="F264" i="4"/>
  <c r="F270" i="4"/>
  <c r="F358" i="4"/>
  <c r="F382" i="4"/>
  <c r="F251" i="4"/>
  <c r="F259" i="4"/>
  <c r="F267" i="4"/>
  <c r="F275" i="4"/>
  <c r="F283" i="4"/>
  <c r="F291" i="4"/>
  <c r="F299" i="4"/>
  <c r="F398" i="4"/>
  <c r="H436" i="4"/>
  <c r="J436" i="4"/>
  <c r="F169" i="4"/>
  <c r="F172" i="4"/>
  <c r="F178" i="4"/>
  <c r="F220" i="4"/>
  <c r="F226" i="4"/>
  <c r="H255" i="4"/>
  <c r="J255" i="4"/>
  <c r="H303" i="4"/>
  <c r="J303" i="4"/>
  <c r="F374" i="4"/>
  <c r="J440" i="4"/>
  <c r="H440" i="4"/>
  <c r="J457" i="4"/>
  <c r="H457" i="4"/>
  <c r="F470" i="4"/>
  <c r="H248" i="4"/>
  <c r="J248" i="4"/>
  <c r="H320" i="4"/>
  <c r="J320" i="4"/>
  <c r="H328" i="4"/>
  <c r="J328" i="4"/>
  <c r="F355" i="4"/>
  <c r="F462" i="4"/>
  <c r="F179" i="4"/>
  <c r="F188" i="4"/>
  <c r="F209" i="4"/>
  <c r="F230" i="4"/>
  <c r="J233" i="4"/>
  <c r="H272" i="4"/>
  <c r="J272" i="4"/>
  <c r="H288" i="4"/>
  <c r="J288" i="4"/>
  <c r="J375" i="4"/>
  <c r="H375" i="4"/>
  <c r="F161" i="4"/>
  <c r="F170" i="4"/>
  <c r="F194" i="4"/>
  <c r="F218" i="4"/>
  <c r="F234" i="4"/>
  <c r="F347" i="4"/>
  <c r="F339" i="4"/>
  <c r="F363" i="4"/>
  <c r="F406" i="4"/>
  <c r="F422" i="4"/>
  <c r="J421" i="4"/>
  <c r="H421" i="4"/>
  <c r="J479" i="4"/>
  <c r="H479" i="4"/>
  <c r="J494" i="4"/>
  <c r="H494" i="4"/>
  <c r="J502" i="4"/>
  <c r="H502" i="4"/>
  <c r="J437" i="4"/>
  <c r="H437" i="4"/>
  <c r="J443" i="4"/>
  <c r="H443" i="4"/>
  <c r="J449" i="4"/>
  <c r="H449" i="4"/>
  <c r="J477" i="4"/>
  <c r="H477" i="4"/>
  <c r="J227" i="4"/>
  <c r="J315" i="4"/>
  <c r="J331" i="4"/>
  <c r="J404" i="4"/>
  <c r="J459" i="4"/>
  <c r="H459" i="4"/>
  <c r="J465" i="4"/>
  <c r="H465" i="4"/>
  <c r="J474" i="4"/>
  <c r="H496" i="4"/>
  <c r="H504" i="4"/>
  <c r="J365" i="4"/>
  <c r="H365" i="4"/>
  <c r="J435" i="4"/>
  <c r="H435" i="4"/>
  <c r="J405" i="4"/>
  <c r="H405" i="4"/>
  <c r="J475" i="4"/>
  <c r="H475" i="4"/>
  <c r="J481" i="4"/>
  <c r="H481" i="4"/>
  <c r="J497" i="4"/>
  <c r="H497" i="4"/>
  <c r="J505" i="4"/>
  <c r="H505" i="4"/>
  <c r="F522" i="4"/>
  <c r="H508" i="4"/>
  <c r="J517" i="4"/>
  <c r="H517" i="4"/>
  <c r="H523" i="4"/>
  <c r="H171" i="4" l="1"/>
  <c r="J123" i="4"/>
  <c r="J162" i="4"/>
  <c r="J52" i="4"/>
  <c r="H75" i="4"/>
  <c r="H222" i="4"/>
  <c r="J222" i="4"/>
  <c r="H236" i="4"/>
  <c r="J236" i="4"/>
  <c r="H188" i="4"/>
  <c r="J188" i="4"/>
  <c r="H267" i="4"/>
  <c r="J267" i="4"/>
  <c r="H134" i="4"/>
  <c r="J134" i="4"/>
  <c r="H164" i="4"/>
  <c r="J164" i="4"/>
  <c r="H295" i="4"/>
  <c r="J295" i="4"/>
  <c r="J19" i="4"/>
  <c r="J157" i="4"/>
  <c r="H157" i="4"/>
  <c r="H311" i="4"/>
  <c r="J311" i="4"/>
  <c r="H182" i="4"/>
  <c r="J182" i="4"/>
  <c r="H271" i="4"/>
  <c r="J271" i="4"/>
  <c r="H360" i="4"/>
  <c r="J360" i="4"/>
  <c r="H149" i="4"/>
  <c r="J149" i="4"/>
  <c r="H245" i="4"/>
  <c r="J245" i="4"/>
  <c r="H446" i="4"/>
  <c r="J446" i="4"/>
  <c r="H338" i="4"/>
  <c r="J338" i="4"/>
  <c r="H418" i="4"/>
  <c r="J418" i="4"/>
  <c r="J416" i="4"/>
  <c r="H416" i="4"/>
  <c r="H410" i="4"/>
  <c r="J410" i="4"/>
  <c r="J491" i="4"/>
  <c r="H491" i="4"/>
  <c r="H334" i="4"/>
  <c r="J334" i="4"/>
  <c r="J401" i="4"/>
  <c r="H401" i="4"/>
  <c r="H273" i="4"/>
  <c r="J273" i="4"/>
  <c r="H345" i="4"/>
  <c r="J345" i="4"/>
  <c r="H420" i="4"/>
  <c r="J420" i="4"/>
  <c r="H316" i="4"/>
  <c r="J316" i="4"/>
  <c r="J411" i="4"/>
  <c r="H411" i="4"/>
  <c r="J501" i="4"/>
  <c r="H501" i="4"/>
  <c r="J487" i="4"/>
  <c r="H487" i="4"/>
  <c r="J519" i="4"/>
  <c r="H519" i="4"/>
  <c r="J181" i="4"/>
  <c r="H181" i="4"/>
  <c r="J68" i="4"/>
  <c r="H68" i="4"/>
  <c r="H470" i="4"/>
  <c r="J470" i="4"/>
  <c r="J439" i="4"/>
  <c r="H439" i="4"/>
  <c r="H339" i="4"/>
  <c r="J339" i="4"/>
  <c r="J169" i="4"/>
  <c r="H169" i="4"/>
  <c r="H155" i="4"/>
  <c r="J155" i="4"/>
  <c r="H238" i="4"/>
  <c r="J238" i="4"/>
  <c r="J67" i="4"/>
  <c r="H67" i="4"/>
  <c r="J183" i="4"/>
  <c r="H183" i="4"/>
  <c r="H274" i="4"/>
  <c r="J274" i="4"/>
  <c r="J94" i="4"/>
  <c r="H94" i="4"/>
  <c r="H256" i="4"/>
  <c r="J256" i="4"/>
  <c r="J53" i="4"/>
  <c r="H53" i="4"/>
  <c r="H349" i="4"/>
  <c r="J349" i="4"/>
  <c r="H276" i="4"/>
  <c r="J276" i="4"/>
  <c r="H333" i="4"/>
  <c r="J333" i="4"/>
  <c r="H269" i="4"/>
  <c r="J269" i="4"/>
  <c r="H347" i="4"/>
  <c r="J347" i="4"/>
  <c r="H179" i="4"/>
  <c r="J179" i="4"/>
  <c r="H259" i="4"/>
  <c r="J259" i="4"/>
  <c r="J152" i="4"/>
  <c r="H152" i="4"/>
  <c r="H72" i="4"/>
  <c r="J72" i="4"/>
  <c r="J455" i="4"/>
  <c r="H455" i="4"/>
  <c r="H232" i="4"/>
  <c r="J232" i="4"/>
  <c r="J131" i="4"/>
  <c r="H131" i="4"/>
  <c r="H58" i="4"/>
  <c r="J58" i="4"/>
  <c r="H180" i="4"/>
  <c r="J180" i="4"/>
  <c r="H166" i="4"/>
  <c r="J166" i="4"/>
  <c r="H247" i="4"/>
  <c r="J247" i="4"/>
  <c r="J154" i="4"/>
  <c r="H154" i="4"/>
  <c r="J62" i="4"/>
  <c r="H62" i="4"/>
  <c r="H228" i="4"/>
  <c r="J228" i="4"/>
  <c r="H246" i="4"/>
  <c r="J246" i="4"/>
  <c r="J128" i="4"/>
  <c r="H128" i="4"/>
  <c r="J51" i="4"/>
  <c r="H51" i="4"/>
  <c r="J173" i="4"/>
  <c r="H173" i="4"/>
  <c r="J150" i="4"/>
  <c r="H150" i="4"/>
  <c r="J59" i="4"/>
  <c r="H59" i="4"/>
  <c r="H378" i="4"/>
  <c r="J378" i="4"/>
  <c r="H394" i="4"/>
  <c r="J394" i="4"/>
  <c r="H284" i="4"/>
  <c r="J284" i="4"/>
  <c r="J158" i="4"/>
  <c r="H158" i="4"/>
  <c r="H366" i="4"/>
  <c r="J366" i="4"/>
  <c r="H317" i="4"/>
  <c r="J317" i="4"/>
  <c r="H277" i="4"/>
  <c r="J277" i="4"/>
  <c r="J486" i="4"/>
  <c r="H486" i="4"/>
  <c r="H346" i="4"/>
  <c r="J346" i="4"/>
  <c r="J427" i="4"/>
  <c r="H427" i="4"/>
  <c r="H428" i="4"/>
  <c r="J428" i="4"/>
  <c r="J413" i="4"/>
  <c r="H413" i="4"/>
  <c r="J499" i="4"/>
  <c r="H499" i="4"/>
  <c r="H342" i="4"/>
  <c r="J342" i="4"/>
  <c r="J432" i="4"/>
  <c r="H432" i="4"/>
  <c r="H281" i="4"/>
  <c r="J281" i="4"/>
  <c r="H353" i="4"/>
  <c r="J353" i="4"/>
  <c r="J423" i="4"/>
  <c r="H423" i="4"/>
  <c r="H324" i="4"/>
  <c r="J324" i="4"/>
  <c r="J417" i="4"/>
  <c r="H417" i="4"/>
  <c r="J518" i="4"/>
  <c r="H518" i="4"/>
  <c r="H490" i="4"/>
  <c r="J490" i="4"/>
  <c r="J512" i="4"/>
  <c r="H512" i="4"/>
  <c r="H239" i="4"/>
  <c r="J239" i="4"/>
  <c r="H234" i="4"/>
  <c r="J234" i="4"/>
  <c r="H122" i="4"/>
  <c r="J122" i="4"/>
  <c r="J45" i="4"/>
  <c r="H45" i="4"/>
  <c r="J127" i="4"/>
  <c r="H127" i="4"/>
  <c r="H200" i="4"/>
  <c r="J200" i="4"/>
  <c r="H290" i="4"/>
  <c r="J290" i="4"/>
  <c r="J419" i="4"/>
  <c r="H419" i="4"/>
  <c r="H289" i="4"/>
  <c r="J289" i="4"/>
  <c r="H426" i="4"/>
  <c r="J426" i="4"/>
  <c r="J448" i="4"/>
  <c r="H448" i="4"/>
  <c r="J495" i="4"/>
  <c r="H495" i="4"/>
  <c r="J522" i="4"/>
  <c r="H522" i="4"/>
  <c r="H218" i="4"/>
  <c r="J218" i="4"/>
  <c r="J355" i="4"/>
  <c r="H355" i="4"/>
  <c r="H398" i="4"/>
  <c r="J398" i="4"/>
  <c r="H382" i="4"/>
  <c r="J382" i="4"/>
  <c r="H141" i="4"/>
  <c r="J141" i="4"/>
  <c r="J28" i="4"/>
  <c r="H28" i="4"/>
  <c r="H364" i="4"/>
  <c r="J364" i="4"/>
  <c r="H214" i="4"/>
  <c r="J214" i="4"/>
  <c r="J115" i="4"/>
  <c r="H115" i="4"/>
  <c r="J41" i="4"/>
  <c r="H41" i="4"/>
  <c r="H343" i="4"/>
  <c r="J343" i="4"/>
  <c r="J148" i="4"/>
  <c r="H148" i="4"/>
  <c r="J78" i="4"/>
  <c r="H78" i="4"/>
  <c r="H254" i="4"/>
  <c r="J254" i="4"/>
  <c r="J221" i="4"/>
  <c r="H221" i="4"/>
  <c r="J140" i="4"/>
  <c r="H140" i="4"/>
  <c r="H33" i="4"/>
  <c r="J33" i="4"/>
  <c r="J473" i="4"/>
  <c r="H473" i="4"/>
  <c r="H235" i="4"/>
  <c r="J235" i="4"/>
  <c r="J105" i="4"/>
  <c r="H105" i="4"/>
  <c r="J35" i="4"/>
  <c r="H35" i="4"/>
  <c r="H335" i="4"/>
  <c r="J335" i="4"/>
  <c r="J199" i="4"/>
  <c r="H199" i="4"/>
  <c r="H430" i="4"/>
  <c r="J430" i="4"/>
  <c r="J461" i="4"/>
  <c r="H461" i="4"/>
  <c r="H325" i="4"/>
  <c r="J325" i="4"/>
  <c r="J215" i="4"/>
  <c r="H215" i="4"/>
  <c r="H458" i="4"/>
  <c r="J458" i="4"/>
  <c r="H370" i="4"/>
  <c r="J370" i="4"/>
  <c r="H293" i="4"/>
  <c r="J293" i="4"/>
  <c r="H298" i="4"/>
  <c r="J298" i="4"/>
  <c r="J357" i="4"/>
  <c r="H357" i="4"/>
  <c r="H476" i="4"/>
  <c r="J476" i="4"/>
  <c r="H434" i="4"/>
  <c r="J434" i="4"/>
  <c r="J425" i="4"/>
  <c r="H425" i="4"/>
  <c r="H286" i="4"/>
  <c r="J286" i="4"/>
  <c r="H380" i="4"/>
  <c r="J380" i="4"/>
  <c r="J453" i="4"/>
  <c r="H453" i="4"/>
  <c r="H297" i="4"/>
  <c r="J297" i="4"/>
  <c r="J359" i="4"/>
  <c r="H359" i="4"/>
  <c r="J429" i="4"/>
  <c r="H429" i="4"/>
  <c r="H348" i="4"/>
  <c r="J348" i="4"/>
  <c r="H454" i="4"/>
  <c r="J454" i="4"/>
  <c r="J489" i="4"/>
  <c r="H489" i="4"/>
  <c r="H498" i="4"/>
  <c r="J498" i="4"/>
  <c r="J521" i="4"/>
  <c r="H521" i="4"/>
  <c r="H462" i="4"/>
  <c r="J462" i="4"/>
  <c r="J47" i="4"/>
  <c r="H47" i="4"/>
  <c r="J143" i="4"/>
  <c r="H143" i="4"/>
  <c r="H43" i="4"/>
  <c r="J43" i="4"/>
  <c r="J403" i="4"/>
  <c r="H403" i="4"/>
  <c r="J445" i="4"/>
  <c r="H445" i="4"/>
  <c r="J433" i="4"/>
  <c r="H433" i="4"/>
  <c r="H350" i="4"/>
  <c r="J350" i="4"/>
  <c r="H356" i="4"/>
  <c r="J356" i="4"/>
  <c r="H332" i="4"/>
  <c r="J332" i="4"/>
  <c r="H484" i="4"/>
  <c r="J484" i="4"/>
  <c r="J520" i="4"/>
  <c r="H520" i="4"/>
  <c r="H194" i="4"/>
  <c r="J194" i="4"/>
  <c r="H226" i="4"/>
  <c r="J226" i="4"/>
  <c r="H299" i="4"/>
  <c r="J299" i="4"/>
  <c r="H358" i="4"/>
  <c r="J358" i="4"/>
  <c r="J24" i="4"/>
  <c r="H24" i="4"/>
  <c r="H282" i="4"/>
  <c r="J282" i="4"/>
  <c r="H210" i="4"/>
  <c r="J210" i="4"/>
  <c r="H106" i="4"/>
  <c r="J106" i="4"/>
  <c r="J31" i="4"/>
  <c r="H31" i="4"/>
  <c r="H287" i="4"/>
  <c r="J287" i="4"/>
  <c r="J124" i="4"/>
  <c r="H124" i="4"/>
  <c r="J165" i="4"/>
  <c r="H165" i="4"/>
  <c r="H206" i="4"/>
  <c r="J206" i="4"/>
  <c r="J135" i="4"/>
  <c r="H135" i="4"/>
  <c r="J25" i="4"/>
  <c r="H25" i="4"/>
  <c r="J397" i="4"/>
  <c r="H397" i="4"/>
  <c r="H212" i="4"/>
  <c r="J212" i="4"/>
  <c r="J89" i="4"/>
  <c r="H89" i="4"/>
  <c r="H27" i="4"/>
  <c r="J27" i="4"/>
  <c r="H278" i="4"/>
  <c r="J278" i="4"/>
  <c r="J98" i="4"/>
  <c r="H98" i="4"/>
  <c r="J223" i="4"/>
  <c r="H223" i="4"/>
  <c r="J153" i="4"/>
  <c r="H153" i="4"/>
  <c r="H240" i="4"/>
  <c r="J240" i="4"/>
  <c r="H341" i="4"/>
  <c r="J341" i="4"/>
  <c r="H237" i="4"/>
  <c r="J237" i="4"/>
  <c r="J485" i="4"/>
  <c r="H485" i="4"/>
  <c r="J381" i="4"/>
  <c r="H381" i="4"/>
  <c r="J367" i="4"/>
  <c r="H367" i="4"/>
  <c r="H306" i="4"/>
  <c r="J306" i="4"/>
  <c r="J369" i="4"/>
  <c r="H369" i="4"/>
  <c r="H482" i="4"/>
  <c r="J482" i="4"/>
  <c r="J480" i="4"/>
  <c r="H480" i="4"/>
  <c r="J456" i="4"/>
  <c r="H456" i="4"/>
  <c r="H294" i="4"/>
  <c r="J294" i="4"/>
  <c r="J383" i="4"/>
  <c r="H383" i="4"/>
  <c r="H241" i="4"/>
  <c r="J241" i="4"/>
  <c r="H305" i="4"/>
  <c r="J305" i="4"/>
  <c r="H362" i="4"/>
  <c r="J362" i="4"/>
  <c r="J441" i="4"/>
  <c r="H441" i="4"/>
  <c r="J384" i="4"/>
  <c r="H384" i="4"/>
  <c r="H460" i="4"/>
  <c r="J460" i="4"/>
  <c r="J492" i="4"/>
  <c r="H492" i="4"/>
  <c r="J503" i="4"/>
  <c r="H503" i="4"/>
  <c r="J451" i="4"/>
  <c r="H451" i="4"/>
  <c r="J93" i="4"/>
  <c r="H93" i="4"/>
  <c r="H251" i="4"/>
  <c r="J251" i="4"/>
  <c r="J87" i="4"/>
  <c r="H87" i="4"/>
  <c r="H242" i="4"/>
  <c r="J242" i="4"/>
  <c r="H184" i="4"/>
  <c r="J184" i="4"/>
  <c r="H292" i="4"/>
  <c r="J292" i="4"/>
  <c r="H285" i="4"/>
  <c r="J285" i="4"/>
  <c r="J431" i="4"/>
  <c r="H431" i="4"/>
  <c r="J447" i="4"/>
  <c r="H447" i="4"/>
  <c r="H220" i="4"/>
  <c r="J220" i="4"/>
  <c r="H270" i="4"/>
  <c r="J270" i="4"/>
  <c r="J20" i="4"/>
  <c r="H20" i="4"/>
  <c r="H207" i="4"/>
  <c r="J207" i="4"/>
  <c r="H262" i="4"/>
  <c r="J262" i="4"/>
  <c r="J49" i="4"/>
  <c r="H49" i="4"/>
  <c r="J126" i="4"/>
  <c r="H126" i="4"/>
  <c r="H192" i="4"/>
  <c r="J192" i="4"/>
  <c r="H372" i="4"/>
  <c r="J372" i="4"/>
  <c r="J205" i="4"/>
  <c r="H205" i="4"/>
  <c r="J73" i="4"/>
  <c r="H73" i="4"/>
  <c r="H195" i="4"/>
  <c r="J195" i="4"/>
  <c r="J225" i="4"/>
  <c r="H225" i="4"/>
  <c r="J82" i="4"/>
  <c r="H82" i="4"/>
  <c r="H319" i="4"/>
  <c r="J319" i="4"/>
  <c r="H229" i="4"/>
  <c r="J229" i="4"/>
  <c r="H252" i="4"/>
  <c r="J252" i="4"/>
  <c r="J509" i="4"/>
  <c r="H509" i="4"/>
  <c r="H296" i="4"/>
  <c r="J296" i="4"/>
  <c r="J156" i="4"/>
  <c r="H156" i="4"/>
  <c r="J391" i="4"/>
  <c r="H391" i="4"/>
  <c r="J376" i="4"/>
  <c r="H376" i="4"/>
  <c r="H314" i="4"/>
  <c r="J314" i="4"/>
  <c r="J400" i="4"/>
  <c r="H400" i="4"/>
  <c r="J373" i="4"/>
  <c r="H373" i="4"/>
  <c r="J361" i="4"/>
  <c r="H361" i="4"/>
  <c r="H468" i="4"/>
  <c r="J468" i="4"/>
  <c r="H302" i="4"/>
  <c r="J302" i="4"/>
  <c r="H386" i="4"/>
  <c r="J386" i="4"/>
  <c r="H249" i="4"/>
  <c r="J249" i="4"/>
  <c r="H321" i="4"/>
  <c r="J321" i="4"/>
  <c r="J371" i="4"/>
  <c r="H371" i="4"/>
  <c r="H472" i="4"/>
  <c r="J472" i="4"/>
  <c r="H390" i="4"/>
  <c r="J390" i="4"/>
  <c r="J463" i="4"/>
  <c r="H463" i="4"/>
  <c r="J500" i="4"/>
  <c r="H500" i="4"/>
  <c r="H506" i="4"/>
  <c r="J506" i="4"/>
  <c r="H323" i="4"/>
  <c r="J323" i="4"/>
  <c r="J30" i="4"/>
  <c r="H30" i="4"/>
  <c r="J151" i="4"/>
  <c r="H151" i="4"/>
  <c r="J144" i="4"/>
  <c r="H144" i="4"/>
  <c r="J130" i="4"/>
  <c r="H130" i="4"/>
  <c r="H452" i="4"/>
  <c r="J452" i="4"/>
  <c r="H351" i="4"/>
  <c r="J351" i="4"/>
  <c r="H354" i="4"/>
  <c r="J354" i="4"/>
  <c r="J507" i="4"/>
  <c r="H507" i="4"/>
  <c r="H422" i="4"/>
  <c r="J422" i="4"/>
  <c r="H170" i="4"/>
  <c r="J170" i="4"/>
  <c r="H291" i="4"/>
  <c r="J291" i="4"/>
  <c r="J120" i="4"/>
  <c r="H120" i="4"/>
  <c r="H263" i="4"/>
  <c r="J263" i="4"/>
  <c r="J99" i="4"/>
  <c r="H99" i="4"/>
  <c r="J21" i="4"/>
  <c r="H21" i="4"/>
  <c r="J108" i="4"/>
  <c r="H108" i="4"/>
  <c r="J467" i="4"/>
  <c r="H467" i="4"/>
  <c r="J197" i="4"/>
  <c r="H197" i="4"/>
  <c r="H406" i="4"/>
  <c r="J406" i="4"/>
  <c r="J161" i="4"/>
  <c r="H161" i="4"/>
  <c r="H230" i="4"/>
  <c r="J230" i="4"/>
  <c r="H178" i="4"/>
  <c r="J178" i="4"/>
  <c r="H283" i="4"/>
  <c r="J283" i="4"/>
  <c r="H264" i="4"/>
  <c r="J264" i="4"/>
  <c r="H104" i="4"/>
  <c r="J104" i="4"/>
  <c r="J132" i="4"/>
  <c r="H132" i="4"/>
  <c r="H258" i="4"/>
  <c r="J258" i="4"/>
  <c r="H198" i="4"/>
  <c r="J198" i="4"/>
  <c r="H90" i="4"/>
  <c r="J90" i="4"/>
  <c r="J177" i="4"/>
  <c r="H177" i="4"/>
  <c r="H243" i="4"/>
  <c r="J243" i="4"/>
  <c r="J39" i="4"/>
  <c r="H39" i="4"/>
  <c r="J393" i="4"/>
  <c r="H393" i="4"/>
  <c r="H186" i="4"/>
  <c r="J186" i="4"/>
  <c r="J119" i="4"/>
  <c r="H119" i="4"/>
  <c r="H307" i="4"/>
  <c r="J307" i="4"/>
  <c r="H196" i="4"/>
  <c r="J196" i="4"/>
  <c r="J57" i="4"/>
  <c r="H57" i="4"/>
  <c r="J139" i="4"/>
  <c r="H139" i="4"/>
  <c r="H204" i="4"/>
  <c r="J204" i="4"/>
  <c r="H327" i="4"/>
  <c r="J327" i="4"/>
  <c r="H312" i="4"/>
  <c r="J312" i="4"/>
  <c r="H260" i="4"/>
  <c r="J260" i="4"/>
  <c r="J515" i="4"/>
  <c r="H515" i="4"/>
  <c r="H304" i="4"/>
  <c r="J304" i="4"/>
  <c r="J167" i="4"/>
  <c r="H167" i="4"/>
  <c r="H442" i="4"/>
  <c r="J442" i="4"/>
  <c r="J387" i="4"/>
  <c r="H387" i="4"/>
  <c r="H322" i="4"/>
  <c r="J322" i="4"/>
  <c r="H412" i="4"/>
  <c r="J412" i="4"/>
  <c r="J379" i="4"/>
  <c r="H379" i="4"/>
  <c r="J392" i="4"/>
  <c r="H392" i="4"/>
  <c r="J471" i="4"/>
  <c r="H471" i="4"/>
  <c r="H310" i="4"/>
  <c r="J310" i="4"/>
  <c r="J389" i="4"/>
  <c r="H389" i="4"/>
  <c r="H257" i="4"/>
  <c r="J257" i="4"/>
  <c r="H329" i="4"/>
  <c r="J329" i="4"/>
  <c r="J377" i="4"/>
  <c r="H377" i="4"/>
  <c r="H478" i="4"/>
  <c r="J478" i="4"/>
  <c r="J399" i="4"/>
  <c r="H399" i="4"/>
  <c r="J469" i="4"/>
  <c r="H469" i="4"/>
  <c r="J513" i="4"/>
  <c r="H513" i="4"/>
  <c r="J511" i="4"/>
  <c r="H511" i="4"/>
  <c r="H266" i="4"/>
  <c r="J266" i="4"/>
  <c r="H388" i="4"/>
  <c r="J388" i="4"/>
  <c r="J84" i="4"/>
  <c r="H84" i="4"/>
  <c r="J121" i="4"/>
  <c r="H121" i="4"/>
  <c r="J363" i="4"/>
  <c r="H363" i="4"/>
  <c r="H209" i="4"/>
  <c r="J209" i="4"/>
  <c r="H374" i="4"/>
  <c r="J374" i="4"/>
  <c r="H172" i="4"/>
  <c r="J172" i="4"/>
  <c r="H275" i="4"/>
  <c r="J275" i="4"/>
  <c r="J191" i="4"/>
  <c r="H191" i="4"/>
  <c r="J88" i="4"/>
  <c r="H88" i="4"/>
  <c r="H203" i="4"/>
  <c r="J203" i="4"/>
  <c r="H253" i="4"/>
  <c r="J253" i="4"/>
  <c r="H168" i="4"/>
  <c r="J168" i="4"/>
  <c r="H74" i="4"/>
  <c r="J74" i="4"/>
  <c r="J100" i="4"/>
  <c r="H100" i="4"/>
  <c r="H190" i="4"/>
  <c r="J190" i="4"/>
  <c r="J76" i="4"/>
  <c r="H76" i="4"/>
  <c r="J29" i="4"/>
  <c r="H29" i="4"/>
  <c r="H280" i="4"/>
  <c r="J280" i="4"/>
  <c r="H160" i="4"/>
  <c r="J160" i="4"/>
  <c r="J110" i="4"/>
  <c r="H110" i="4"/>
  <c r="J116" i="4"/>
  <c r="H116" i="4"/>
  <c r="H279" i="4"/>
  <c r="J279" i="4"/>
  <c r="J189" i="4"/>
  <c r="H189" i="4"/>
  <c r="J55" i="4"/>
  <c r="H55" i="4"/>
  <c r="J201" i="4"/>
  <c r="H201" i="4"/>
  <c r="J66" i="4"/>
  <c r="H66" i="4"/>
  <c r="H344" i="4"/>
  <c r="J344" i="4"/>
  <c r="H336" i="4"/>
  <c r="J336" i="4"/>
  <c r="H268" i="4"/>
  <c r="J268" i="4"/>
  <c r="J142" i="4"/>
  <c r="H142" i="4"/>
  <c r="H309" i="4"/>
  <c r="J309" i="4"/>
  <c r="H224" i="4"/>
  <c r="J224" i="4"/>
  <c r="J510" i="4"/>
  <c r="H510" i="4"/>
  <c r="J409" i="4"/>
  <c r="H409" i="4"/>
  <c r="H330" i="4"/>
  <c r="J330" i="4"/>
  <c r="J415" i="4"/>
  <c r="H415" i="4"/>
  <c r="J385" i="4"/>
  <c r="H385" i="4"/>
  <c r="J407" i="4"/>
  <c r="H407" i="4"/>
  <c r="J483" i="4"/>
  <c r="H483" i="4"/>
  <c r="H318" i="4"/>
  <c r="J318" i="4"/>
  <c r="J395" i="4"/>
  <c r="H395" i="4"/>
  <c r="H265" i="4"/>
  <c r="J265" i="4"/>
  <c r="H337" i="4"/>
  <c r="J337" i="4"/>
  <c r="H414" i="4"/>
  <c r="J414" i="4"/>
  <c r="H308" i="4"/>
  <c r="J308" i="4"/>
  <c r="H402" i="4"/>
  <c r="J402" i="4"/>
  <c r="J493" i="4"/>
  <c r="H493" i="4"/>
  <c r="J516" i="4"/>
  <c r="H516" i="4"/>
  <c r="J514" i="4"/>
  <c r="H514" i="4"/>
  <c r="H216" i="4"/>
  <c r="J216" i="4"/>
  <c r="B4" i="4" l="1"/>
  <c r="B8" i="4" s="1"/>
  <c r="F9" i="94" s="1"/>
  <c r="B6" i="4"/>
  <c r="G13" i="111"/>
  <c r="E14" i="111"/>
  <c r="F102" i="94" l="1"/>
  <c r="G9" i="94"/>
  <c r="E195" i="94"/>
  <c r="I20" i="35"/>
  <c r="I21" i="35"/>
  <c r="I77" i="35"/>
  <c r="E77" i="35"/>
  <c r="E7" i="35" l="1"/>
  <c r="K84" i="111" l="1"/>
  <c r="H63" i="114" l="1"/>
  <c r="F122" i="114"/>
  <c r="L51" i="114" l="1"/>
  <c r="M51" i="114" s="1"/>
  <c r="L52" i="114"/>
  <c r="M52" i="114" s="1"/>
  <c r="L50" i="114" l="1"/>
  <c r="M50" i="114" s="1"/>
  <c r="M53" i="114" s="1"/>
  <c r="E41" i="94" l="1"/>
  <c r="E42" i="94"/>
  <c r="E43" i="94"/>
  <c r="E44" i="94"/>
  <c r="E45" i="94"/>
  <c r="E46" i="94"/>
  <c r="E47" i="94"/>
  <c r="E48" i="94"/>
  <c r="E49" i="94"/>
  <c r="E50" i="94"/>
  <c r="E51" i="94"/>
  <c r="E52" i="94"/>
  <c r="E40" i="94"/>
  <c r="L85" i="106" l="1"/>
  <c r="L84" i="106"/>
  <c r="J85" i="106"/>
  <c r="J84" i="106"/>
  <c r="H84" i="106"/>
  <c r="H85" i="106"/>
  <c r="D87" i="106"/>
  <c r="D84" i="106"/>
  <c r="F85" i="106"/>
  <c r="F84" i="106"/>
  <c r="B180" i="94" l="1"/>
  <c r="K80" i="112" l="1"/>
  <c r="L80" i="111"/>
  <c r="L74" i="111"/>
  <c r="H74" i="111"/>
  <c r="G74" i="111"/>
  <c r="F74" i="111"/>
  <c r="E74" i="111"/>
  <c r="I73" i="111"/>
  <c r="I74" i="111" s="1"/>
  <c r="G73" i="111"/>
  <c r="G72" i="111"/>
  <c r="L69" i="111"/>
  <c r="I69" i="111"/>
  <c r="H69" i="111"/>
  <c r="F69" i="111"/>
  <c r="E69" i="111"/>
  <c r="G68" i="111"/>
  <c r="G67" i="111"/>
  <c r="L64" i="111"/>
  <c r="H64" i="111"/>
  <c r="F64" i="111"/>
  <c r="E64" i="111"/>
  <c r="I64" i="111"/>
  <c r="G62" i="111"/>
  <c r="G64" i="111" s="1"/>
  <c r="L59" i="111"/>
  <c r="F59" i="111"/>
  <c r="E59" i="111"/>
  <c r="I58" i="111"/>
  <c r="I59" i="111" s="1"/>
  <c r="H59" i="111"/>
  <c r="L54" i="111"/>
  <c r="I54" i="111"/>
  <c r="H54" i="111"/>
  <c r="F54" i="111"/>
  <c r="E54" i="111"/>
  <c r="G54" i="111"/>
  <c r="L49" i="111"/>
  <c r="F49" i="111"/>
  <c r="E49" i="111"/>
  <c r="H48" i="111"/>
  <c r="I48" i="111" s="1"/>
  <c r="I47" i="111"/>
  <c r="I49" i="111" s="1"/>
  <c r="G47" i="111"/>
  <c r="G49" i="111" s="1"/>
  <c r="L44" i="111"/>
  <c r="I44" i="111"/>
  <c r="H44" i="111"/>
  <c r="F44" i="111"/>
  <c r="E44" i="111"/>
  <c r="G43" i="111"/>
  <c r="G42" i="111"/>
  <c r="L39" i="111"/>
  <c r="I39" i="111"/>
  <c r="H39" i="111"/>
  <c r="F39" i="111"/>
  <c r="E39" i="111"/>
  <c r="G38" i="111"/>
  <c r="G37" i="111"/>
  <c r="L34" i="111"/>
  <c r="H34" i="111"/>
  <c r="F34" i="111"/>
  <c r="E34" i="111"/>
  <c r="I33" i="111"/>
  <c r="I34" i="111" s="1"/>
  <c r="G33" i="111"/>
  <c r="G32" i="111"/>
  <c r="G34" i="111" s="1"/>
  <c r="L29" i="111"/>
  <c r="I29" i="111"/>
  <c r="H29" i="111"/>
  <c r="F29" i="111"/>
  <c r="E29" i="111"/>
  <c r="G28" i="111"/>
  <c r="G27" i="111"/>
  <c r="L24" i="111"/>
  <c r="I24" i="111"/>
  <c r="H24" i="111"/>
  <c r="F24" i="111"/>
  <c r="E24" i="111"/>
  <c r="G23" i="111"/>
  <c r="G22" i="111"/>
  <c r="L19" i="111"/>
  <c r="I19" i="111"/>
  <c r="H19" i="111"/>
  <c r="F19" i="111"/>
  <c r="E19" i="111"/>
  <c r="G18" i="111"/>
  <c r="G17" i="111"/>
  <c r="G19" i="111" s="1"/>
  <c r="L14" i="111"/>
  <c r="I14" i="111"/>
  <c r="H14" i="111"/>
  <c r="F14" i="111"/>
  <c r="G12" i="111"/>
  <c r="F9" i="111"/>
  <c r="G44" i="111" l="1"/>
  <c r="J44" i="111" s="1"/>
  <c r="J74" i="111"/>
  <c r="G24" i="111"/>
  <c r="H49" i="111"/>
  <c r="J54" i="111"/>
  <c r="J49" i="111"/>
  <c r="G69" i="111"/>
  <c r="J69" i="111" s="1"/>
  <c r="G39" i="111"/>
  <c r="J19" i="111"/>
  <c r="G14" i="111"/>
  <c r="J14" i="111" s="1"/>
  <c r="K14" i="111" s="1"/>
  <c r="C29" i="112" s="1"/>
  <c r="D29" i="112" s="1"/>
  <c r="E29" i="112" s="1"/>
  <c r="G29" i="111"/>
  <c r="J29" i="111" s="1"/>
  <c r="J39" i="111"/>
  <c r="J64" i="111"/>
  <c r="J24" i="111"/>
  <c r="J34" i="111"/>
  <c r="G59" i="111"/>
  <c r="J59" i="111" s="1"/>
  <c r="K85" i="111" l="1"/>
  <c r="K86" i="111" s="1"/>
  <c r="K35" i="111"/>
  <c r="K29" i="111"/>
  <c r="K61" i="111"/>
  <c r="K53" i="111"/>
  <c r="K57" i="111"/>
  <c r="K68" i="111"/>
  <c r="K31" i="111"/>
  <c r="K50" i="111"/>
  <c r="K59" i="111"/>
  <c r="K44" i="111"/>
  <c r="K79" i="111"/>
  <c r="K64" i="111"/>
  <c r="K69" i="111"/>
  <c r="K47" i="111"/>
  <c r="K58" i="111"/>
  <c r="K55" i="111"/>
  <c r="K67" i="111"/>
  <c r="K73" i="111"/>
  <c r="K75" i="111"/>
  <c r="K62" i="111"/>
  <c r="K65" i="111"/>
  <c r="K66" i="111"/>
  <c r="K60" i="111"/>
  <c r="K52" i="111"/>
  <c r="K41" i="111"/>
  <c r="L81" i="111"/>
  <c r="K70" i="111"/>
  <c r="K72" i="111"/>
  <c r="K37" i="111"/>
  <c r="K18" i="111"/>
  <c r="K20" i="111"/>
  <c r="K77" i="111"/>
  <c r="K80" i="111"/>
  <c r="K78" i="111"/>
  <c r="K15" i="111"/>
  <c r="K34" i="111"/>
  <c r="K16" i="111"/>
  <c r="K30" i="111"/>
  <c r="K71" i="111"/>
  <c r="K43" i="111"/>
  <c r="K26" i="111"/>
  <c r="K38" i="111"/>
  <c r="K21" i="111"/>
  <c r="K49" i="111"/>
  <c r="K63" i="111"/>
  <c r="K76" i="111"/>
  <c r="K22" i="111"/>
  <c r="K17" i="111"/>
  <c r="K48" i="111"/>
  <c r="K32" i="111"/>
  <c r="K46" i="111"/>
  <c r="K27" i="111"/>
  <c r="K39" i="111"/>
  <c r="K25" i="111"/>
  <c r="K33" i="111"/>
  <c r="K54" i="111"/>
  <c r="K24" i="111"/>
  <c r="K36" i="111"/>
  <c r="K74" i="111"/>
  <c r="K28" i="111"/>
  <c r="K42" i="111"/>
  <c r="K23" i="111"/>
  <c r="K56" i="111"/>
  <c r="K45" i="111"/>
  <c r="K51" i="111"/>
  <c r="K40" i="111"/>
  <c r="K19" i="111"/>
  <c r="C32" i="112" l="1"/>
  <c r="D32" i="112" s="1"/>
  <c r="E32" i="112" s="1"/>
  <c r="C42" i="112"/>
  <c r="D42" i="112" s="1"/>
  <c r="E42" i="112" s="1"/>
  <c r="C34" i="112"/>
  <c r="D34" i="112" s="1"/>
  <c r="E34" i="112" s="1"/>
  <c r="C37" i="112"/>
  <c r="D37" i="112" s="1"/>
  <c r="E37" i="112" s="1"/>
  <c r="C41" i="112"/>
  <c r="D41" i="112" s="1"/>
  <c r="E41" i="112" s="1"/>
  <c r="C38" i="112"/>
  <c r="D38" i="112" s="1"/>
  <c r="E38" i="112" s="1"/>
  <c r="C33" i="112"/>
  <c r="D33" i="112" s="1"/>
  <c r="E33" i="112" s="1"/>
  <c r="C39" i="112"/>
  <c r="D39" i="112" s="1"/>
  <c r="E39" i="112" s="1"/>
  <c r="C35" i="112"/>
  <c r="D35" i="112" s="1"/>
  <c r="E35" i="112" s="1"/>
  <c r="C31" i="112"/>
  <c r="D31" i="112" s="1"/>
  <c r="E31" i="112" s="1"/>
  <c r="C40" i="112"/>
  <c r="D40" i="112" s="1"/>
  <c r="E40" i="112" s="1"/>
  <c r="C30" i="112"/>
  <c r="D30" i="112" s="1"/>
  <c r="E30" i="112" s="1"/>
  <c r="C36" i="112"/>
  <c r="D36" i="112" s="1"/>
  <c r="E36" i="112" s="1"/>
  <c r="J86" i="106"/>
  <c r="J89" i="106" s="1"/>
  <c r="F86" i="106"/>
  <c r="D86" i="106"/>
  <c r="D85" i="106"/>
  <c r="G7" i="102"/>
  <c r="G8" i="102"/>
  <c r="G9" i="102"/>
  <c r="G10" i="102"/>
  <c r="G11" i="102"/>
  <c r="G12" i="102"/>
  <c r="G13" i="102"/>
  <c r="G14" i="102"/>
  <c r="G15" i="102"/>
  <c r="G16" i="102"/>
  <c r="G17" i="102"/>
  <c r="G18" i="102"/>
  <c r="G19" i="102"/>
  <c r="E71" i="94"/>
  <c r="E44" i="112" l="1"/>
  <c r="E45" i="112" s="1"/>
  <c r="H89" i="106"/>
  <c r="L89" i="106"/>
  <c r="F89" i="106"/>
  <c r="D89" i="106"/>
  <c r="K12" i="102"/>
  <c r="L12" i="102" s="1"/>
  <c r="M12" i="102" s="1"/>
  <c r="K19" i="102"/>
  <c r="L19" i="102" s="1"/>
  <c r="M19" i="102" s="1"/>
  <c r="K15" i="102"/>
  <c r="L15" i="102" s="1"/>
  <c r="M15" i="102" s="1"/>
  <c r="K10" i="102"/>
  <c r="L10" i="102" s="1"/>
  <c r="M10" i="102" s="1"/>
  <c r="K18" i="102"/>
  <c r="L18" i="102" s="1"/>
  <c r="M18" i="102" s="1"/>
  <c r="K7" i="102"/>
  <c r="L7" i="102" s="1"/>
  <c r="M7" i="102" s="1"/>
  <c r="K11" i="102"/>
  <c r="L11" i="102" s="1"/>
  <c r="M11" i="102" s="1"/>
  <c r="K13" i="102"/>
  <c r="L13" i="102" s="1"/>
  <c r="M13" i="102" s="1"/>
  <c r="K17" i="102"/>
  <c r="L17" i="102" s="1"/>
  <c r="M17" i="102" s="1"/>
  <c r="K9" i="102"/>
  <c r="L9" i="102" s="1"/>
  <c r="M9" i="102" s="1"/>
  <c r="K14" i="102"/>
  <c r="L14" i="102" s="1"/>
  <c r="M14" i="102" s="1"/>
  <c r="K8" i="102"/>
  <c r="K16" i="102"/>
  <c r="L16" i="102" s="1"/>
  <c r="M16" i="102" s="1"/>
  <c r="G29" i="112" l="1"/>
  <c r="G42" i="112"/>
  <c r="G41" i="112"/>
  <c r="G37" i="112"/>
  <c r="G36" i="112"/>
  <c r="G35" i="112"/>
  <c r="G34" i="112"/>
  <c r="G33" i="112"/>
  <c r="G40" i="112"/>
  <c r="G31" i="112"/>
  <c r="G32" i="112"/>
  <c r="G39" i="112"/>
  <c r="G38" i="112"/>
  <c r="G30" i="112"/>
  <c r="L8" i="102"/>
  <c r="M8" i="102" s="1"/>
  <c r="M21" i="102" l="1"/>
  <c r="C31" i="51" s="1"/>
  <c r="I21" i="51" s="1"/>
  <c r="M22" i="102"/>
  <c r="C32" i="51" s="1"/>
  <c r="I20" i="51" s="1"/>
  <c r="A8" i="35"/>
  <c r="A43" i="35" s="1"/>
  <c r="E196" i="94"/>
  <c r="E197" i="94"/>
  <c r="E198" i="94"/>
  <c r="E199" i="94"/>
  <c r="E200" i="94"/>
  <c r="E201" i="94"/>
  <c r="E202" i="94"/>
  <c r="E203" i="94"/>
  <c r="E204" i="94"/>
  <c r="E205" i="94"/>
  <c r="E206" i="94"/>
  <c r="E207" i="94"/>
  <c r="D20" i="95"/>
  <c r="E20" i="95"/>
  <c r="F20" i="95"/>
  <c r="G20" i="95"/>
  <c r="H20" i="95"/>
  <c r="I20" i="95"/>
  <c r="J20" i="95"/>
  <c r="K20" i="95"/>
  <c r="L20" i="95"/>
  <c r="M20" i="95"/>
  <c r="C20" i="95"/>
  <c r="G20" i="35" l="1"/>
  <c r="H20" i="35"/>
  <c r="G21" i="35"/>
  <c r="H21" i="35"/>
  <c r="D72" i="94" l="1"/>
  <c r="D73" i="94" s="1"/>
  <c r="D74" i="94" s="1"/>
  <c r="D75" i="94" s="1"/>
  <c r="D76" i="94" s="1"/>
  <c r="D77" i="94" s="1"/>
  <c r="D78" i="94" s="1"/>
  <c r="D79" i="94" s="1"/>
  <c r="D80" i="94" s="1"/>
  <c r="D81" i="94" s="1"/>
  <c r="D82" i="94" s="1"/>
  <c r="D83" i="94" s="1"/>
  <c r="D41" i="94" l="1"/>
  <c r="H77" i="35" l="1"/>
  <c r="G77" i="35" l="1"/>
  <c r="G43" i="35"/>
  <c r="G44" i="35"/>
  <c r="G45" i="35"/>
  <c r="G46" i="35"/>
  <c r="G47" i="35"/>
  <c r="G48" i="35"/>
  <c r="G49" i="35"/>
  <c r="G50" i="35"/>
  <c r="G51" i="35"/>
  <c r="G52" i="35"/>
  <c r="G53" i="35"/>
  <c r="G54" i="35"/>
  <c r="G42" i="35"/>
  <c r="H42" i="35"/>
  <c r="G55" i="35" l="1"/>
  <c r="G56" i="35"/>
  <c r="J52" i="96" l="1"/>
  <c r="K52" i="96" s="1"/>
  <c r="L52" i="96" s="1"/>
  <c r="E28" i="51" s="1"/>
  <c r="I18" i="51" s="1"/>
  <c r="J50" i="96"/>
  <c r="K50" i="96" s="1"/>
  <c r="G63" i="96"/>
  <c r="L50" i="96" l="1"/>
  <c r="C28" i="51" l="1"/>
  <c r="I17" i="51" s="1"/>
  <c r="B274" i="94"/>
  <c r="B243" i="94"/>
  <c r="B182" i="94" l="1"/>
  <c r="B181" i="94"/>
  <c r="B273" i="94"/>
  <c r="E165" i="94"/>
  <c r="E166" i="94"/>
  <c r="E167" i="94"/>
  <c r="E168" i="94"/>
  <c r="E169" i="94"/>
  <c r="E170" i="94"/>
  <c r="E171" i="94"/>
  <c r="E172" i="94"/>
  <c r="E173" i="94"/>
  <c r="E174" i="94"/>
  <c r="E175" i="94"/>
  <c r="E176" i="94"/>
  <c r="E164" i="94"/>
  <c r="D164" i="94"/>
  <c r="D257" i="94" s="1"/>
  <c r="D163" i="94"/>
  <c r="D256" i="94" s="1"/>
  <c r="B120" i="94"/>
  <c r="B151" i="94"/>
  <c r="B150" i="94"/>
  <c r="B149" i="94"/>
  <c r="B242" i="94" s="1"/>
  <c r="E134" i="94"/>
  <c r="E135" i="94"/>
  <c r="E136" i="94"/>
  <c r="E137" i="94"/>
  <c r="E138" i="94"/>
  <c r="E139" i="94"/>
  <c r="E140" i="94"/>
  <c r="E141" i="94"/>
  <c r="E142" i="94"/>
  <c r="E143" i="94"/>
  <c r="E144" i="94"/>
  <c r="E145" i="94"/>
  <c r="E133" i="94"/>
  <c r="D132" i="94"/>
  <c r="D225" i="94" s="1"/>
  <c r="B118" i="94"/>
  <c r="B211" i="94" s="1"/>
  <c r="D102" i="94"/>
  <c r="B89" i="94"/>
  <c r="E72" i="94"/>
  <c r="E73" i="94"/>
  <c r="E74" i="94"/>
  <c r="E75" i="94"/>
  <c r="E76" i="94"/>
  <c r="E77" i="94"/>
  <c r="E78" i="94"/>
  <c r="E79" i="94"/>
  <c r="E80" i="94"/>
  <c r="E81" i="94"/>
  <c r="E82" i="94"/>
  <c r="E83" i="94"/>
  <c r="D166" i="94"/>
  <c r="D259" i="94" s="1"/>
  <c r="B58" i="94"/>
  <c r="J51" i="96"/>
  <c r="D10" i="94"/>
  <c r="D11" i="94" s="1"/>
  <c r="D12" i="94" s="1"/>
  <c r="D13" i="94" s="1"/>
  <c r="D14" i="94" s="1"/>
  <c r="D15" i="94" s="1"/>
  <c r="D16" i="94" s="1"/>
  <c r="D17" i="94" s="1"/>
  <c r="D18" i="94" s="1"/>
  <c r="D19" i="94" s="1"/>
  <c r="D20" i="94" s="1"/>
  <c r="D21" i="94" s="1"/>
  <c r="C10" i="94"/>
  <c r="C72" i="94" s="1"/>
  <c r="C11" i="94"/>
  <c r="C73" i="94" s="1"/>
  <c r="C12" i="94"/>
  <c r="C167" i="94" s="1"/>
  <c r="C13" i="94"/>
  <c r="C44" i="94" s="1"/>
  <c r="C14" i="94"/>
  <c r="C76" i="94" s="1"/>
  <c r="C15" i="94"/>
  <c r="C77" i="94" s="1"/>
  <c r="C16" i="94"/>
  <c r="C47" i="94" s="1"/>
  <c r="C17" i="94"/>
  <c r="C79" i="94" s="1"/>
  <c r="C18" i="94"/>
  <c r="C80" i="94" s="1"/>
  <c r="C19" i="94"/>
  <c r="C174" i="94" s="1"/>
  <c r="C20" i="94"/>
  <c r="C82" i="94" s="1"/>
  <c r="C21" i="94"/>
  <c r="C83" i="94" s="1"/>
  <c r="C9" i="94"/>
  <c r="C40" i="94" s="1"/>
  <c r="B21" i="94"/>
  <c r="B176" i="94" s="1"/>
  <c r="B10" i="94"/>
  <c r="B165" i="94" s="1"/>
  <c r="B11" i="94"/>
  <c r="B42" i="94" s="1"/>
  <c r="B12" i="94"/>
  <c r="B167" i="94" s="1"/>
  <c r="B13" i="94"/>
  <c r="B44" i="94" s="1"/>
  <c r="B14" i="94"/>
  <c r="B169" i="94" s="1"/>
  <c r="B15" i="94"/>
  <c r="B46" i="94" s="1"/>
  <c r="B16" i="94"/>
  <c r="B47" i="94" s="1"/>
  <c r="B17" i="94"/>
  <c r="B172" i="94" s="1"/>
  <c r="B18" i="94"/>
  <c r="B49" i="94" s="1"/>
  <c r="B19" i="94"/>
  <c r="B174" i="94" s="1"/>
  <c r="B20" i="94"/>
  <c r="B175" i="94" s="1"/>
  <c r="B9" i="94"/>
  <c r="B40" i="94" s="1"/>
  <c r="D195" i="94" l="1"/>
  <c r="G102" i="94"/>
  <c r="D114" i="94"/>
  <c r="D207" i="94" s="1"/>
  <c r="D103" i="94"/>
  <c r="D196" i="94" s="1"/>
  <c r="D165" i="94"/>
  <c r="D258" i="94" s="1"/>
  <c r="D109" i="94"/>
  <c r="D202" i="94" s="1"/>
  <c r="D106" i="94"/>
  <c r="D199" i="94" s="1"/>
  <c r="D112" i="94"/>
  <c r="D205" i="94" s="1"/>
  <c r="D105" i="94"/>
  <c r="D198" i="94" s="1"/>
  <c r="B244" i="94"/>
  <c r="B275" i="94"/>
  <c r="B213" i="94"/>
  <c r="D110" i="94"/>
  <c r="D203" i="94" s="1"/>
  <c r="D107" i="94"/>
  <c r="D200" i="94" s="1"/>
  <c r="K51" i="96"/>
  <c r="L51" i="96" s="1"/>
  <c r="D111" i="94"/>
  <c r="D204" i="94" s="1"/>
  <c r="D108" i="94"/>
  <c r="D201" i="94" s="1"/>
  <c r="D104" i="94"/>
  <c r="D197" i="94" s="1"/>
  <c r="D133" i="94"/>
  <c r="D226" i="94" s="1"/>
  <c r="C52" i="94"/>
  <c r="C51" i="94"/>
  <c r="C50" i="94"/>
  <c r="C48" i="94"/>
  <c r="C45" i="94"/>
  <c r="C43" i="94"/>
  <c r="C41" i="94"/>
  <c r="B71" i="94"/>
  <c r="B80" i="94"/>
  <c r="B77" i="94"/>
  <c r="B73" i="94"/>
  <c r="C78" i="94"/>
  <c r="C75" i="94"/>
  <c r="B102" i="94"/>
  <c r="B195" i="94" s="1"/>
  <c r="C111" i="94"/>
  <c r="C109" i="94"/>
  <c r="C108" i="94"/>
  <c r="C106" i="94"/>
  <c r="C104" i="94"/>
  <c r="B133" i="94"/>
  <c r="C142" i="94"/>
  <c r="C140" i="94"/>
  <c r="C139" i="94"/>
  <c r="C137" i="94"/>
  <c r="C135" i="94"/>
  <c r="B164" i="94"/>
  <c r="C173" i="94"/>
  <c r="C171" i="94"/>
  <c r="C170" i="94"/>
  <c r="C168" i="94"/>
  <c r="C166" i="94"/>
  <c r="B52" i="94"/>
  <c r="B51" i="94"/>
  <c r="B50" i="94"/>
  <c r="B48" i="94"/>
  <c r="B45" i="94"/>
  <c r="B43" i="94"/>
  <c r="B41" i="94"/>
  <c r="B83" i="94"/>
  <c r="B82" i="94"/>
  <c r="B79" i="94"/>
  <c r="B76" i="94"/>
  <c r="B72" i="94"/>
  <c r="C81" i="94"/>
  <c r="C74" i="94"/>
  <c r="C102" i="94"/>
  <c r="B111" i="94"/>
  <c r="B109" i="94"/>
  <c r="B108" i="94"/>
  <c r="B106" i="94"/>
  <c r="B104" i="94"/>
  <c r="C133" i="94"/>
  <c r="B142" i="94"/>
  <c r="B140" i="94"/>
  <c r="B139" i="94"/>
  <c r="B137" i="94"/>
  <c r="B135" i="94"/>
  <c r="C164" i="94"/>
  <c r="B173" i="94"/>
  <c r="B171" i="94"/>
  <c r="B170" i="94"/>
  <c r="B168" i="94"/>
  <c r="B166" i="94"/>
  <c r="C49" i="94"/>
  <c r="C46" i="94"/>
  <c r="C42" i="94"/>
  <c r="B78" i="94"/>
  <c r="B75" i="94"/>
  <c r="C71" i="94"/>
  <c r="C114" i="94"/>
  <c r="C113" i="94"/>
  <c r="C112" i="94"/>
  <c r="C110" i="94"/>
  <c r="C107" i="94"/>
  <c r="C105" i="94"/>
  <c r="C103" i="94"/>
  <c r="C145" i="94"/>
  <c r="C144" i="94"/>
  <c r="C143" i="94"/>
  <c r="C141" i="94"/>
  <c r="C138" i="94"/>
  <c r="C136" i="94"/>
  <c r="C134" i="94"/>
  <c r="C176" i="94"/>
  <c r="C175" i="94"/>
  <c r="C172" i="94"/>
  <c r="C169" i="94"/>
  <c r="C165" i="94"/>
  <c r="B81" i="94"/>
  <c r="B74" i="94"/>
  <c r="B114" i="94"/>
  <c r="B113" i="94"/>
  <c r="B112" i="94"/>
  <c r="B110" i="94"/>
  <c r="B107" i="94"/>
  <c r="B105" i="94"/>
  <c r="B103" i="94"/>
  <c r="B145" i="94"/>
  <c r="B144" i="94"/>
  <c r="B143" i="94"/>
  <c r="B141" i="94"/>
  <c r="B138" i="94"/>
  <c r="B136" i="94"/>
  <c r="B134" i="94"/>
  <c r="D167" i="94"/>
  <c r="D260" i="94" s="1"/>
  <c r="H102" i="94" l="1"/>
  <c r="I102" i="94"/>
  <c r="D113" i="94"/>
  <c r="D206" i="94" s="1"/>
  <c r="D28" i="51"/>
  <c r="L53" i="96"/>
  <c r="D42" i="94"/>
  <c r="D134" i="94"/>
  <c r="D227" i="94" s="1"/>
  <c r="C227" i="94"/>
  <c r="C196" i="94"/>
  <c r="E227" i="94" s="1"/>
  <c r="E258" i="94" s="1"/>
  <c r="C258" i="94"/>
  <c r="C234" i="94"/>
  <c r="C203" i="94"/>
  <c r="E234" i="94" s="1"/>
  <c r="E265" i="94" s="1"/>
  <c r="C265" i="94"/>
  <c r="C238" i="94"/>
  <c r="C207" i="94"/>
  <c r="E238" i="94" s="1"/>
  <c r="E269" i="94" s="1"/>
  <c r="C269" i="94"/>
  <c r="B259" i="94"/>
  <c r="B228" i="94"/>
  <c r="B197" i="94"/>
  <c r="B266" i="94"/>
  <c r="B204" i="94"/>
  <c r="B235" i="94"/>
  <c r="C257" i="94"/>
  <c r="C226" i="94"/>
  <c r="C195" i="94"/>
  <c r="E226" i="94" s="1"/>
  <c r="E257" i="94" s="1"/>
  <c r="C202" i="94"/>
  <c r="E233" i="94" s="1"/>
  <c r="E264" i="94" s="1"/>
  <c r="C264" i="94"/>
  <c r="C233" i="94"/>
  <c r="B227" i="94"/>
  <c r="B196" i="94"/>
  <c r="B258" i="94"/>
  <c r="B234" i="94"/>
  <c r="B203" i="94"/>
  <c r="B265" i="94"/>
  <c r="B238" i="94"/>
  <c r="B207" i="94"/>
  <c r="B269" i="94"/>
  <c r="C260" i="94"/>
  <c r="C229" i="94"/>
  <c r="C198" i="94"/>
  <c r="E229" i="94" s="1"/>
  <c r="E260" i="94" s="1"/>
  <c r="C267" i="94"/>
  <c r="C236" i="94"/>
  <c r="C205" i="94"/>
  <c r="E236" i="94" s="1"/>
  <c r="E267" i="94" s="1"/>
  <c r="B230" i="94"/>
  <c r="B199" i="94"/>
  <c r="B261" i="94"/>
  <c r="C228" i="94"/>
  <c r="C197" i="94"/>
  <c r="E228" i="94" s="1"/>
  <c r="E259" i="94" s="1"/>
  <c r="C259" i="94"/>
  <c r="C235" i="94"/>
  <c r="C204" i="94"/>
  <c r="E235" i="94" s="1"/>
  <c r="E266" i="94" s="1"/>
  <c r="C266" i="94"/>
  <c r="B257" i="94"/>
  <c r="B226" i="94"/>
  <c r="B260" i="94"/>
  <c r="B229" i="94"/>
  <c r="B198" i="94"/>
  <c r="B267" i="94"/>
  <c r="B205" i="94"/>
  <c r="B236" i="94"/>
  <c r="C231" i="94"/>
  <c r="C200" i="94"/>
  <c r="E231" i="94" s="1"/>
  <c r="E262" i="94" s="1"/>
  <c r="C262" i="94"/>
  <c r="C237" i="94"/>
  <c r="C206" i="94"/>
  <c r="E237" i="94" s="1"/>
  <c r="E268" i="94" s="1"/>
  <c r="C268" i="94"/>
  <c r="B263" i="94"/>
  <c r="B201" i="94"/>
  <c r="B232" i="94"/>
  <c r="C261" i="94"/>
  <c r="C199" i="94"/>
  <c r="E230" i="94" s="1"/>
  <c r="E261" i="94" s="1"/>
  <c r="C230" i="94"/>
  <c r="B231" i="94"/>
  <c r="B200" i="94"/>
  <c r="B262" i="94"/>
  <c r="B237" i="94"/>
  <c r="B206" i="94"/>
  <c r="B268" i="94"/>
  <c r="B233" i="94"/>
  <c r="B202" i="94"/>
  <c r="B264" i="94"/>
  <c r="C232" i="94"/>
  <c r="C201" i="94"/>
  <c r="E232" i="94" s="1"/>
  <c r="E263" i="94" s="1"/>
  <c r="C263" i="94"/>
  <c r="D168" i="94"/>
  <c r="D261" i="94" s="1"/>
  <c r="D43" i="94" l="1"/>
  <c r="D135" i="94"/>
  <c r="D228" i="94" s="1"/>
  <c r="D169" i="94"/>
  <c r="D262" i="94" s="1"/>
  <c r="D44" i="94" l="1"/>
  <c r="D136" i="94"/>
  <c r="D229" i="94" s="1"/>
  <c r="D170" i="94"/>
  <c r="D263" i="94" s="1"/>
  <c r="D45" i="94" l="1"/>
  <c r="D137" i="94"/>
  <c r="D230" i="94" s="1"/>
  <c r="D46" i="94" l="1"/>
  <c r="D47" i="94" s="1"/>
  <c r="D48" i="94" s="1"/>
  <c r="D49" i="94" s="1"/>
  <c r="D50" i="94" s="1"/>
  <c r="D51" i="94" s="1"/>
  <c r="D52" i="94" s="1"/>
  <c r="D138" i="94"/>
  <c r="D231" i="94" s="1"/>
  <c r="D171" i="94"/>
  <c r="D264" i="94" s="1"/>
  <c r="D139" i="94" l="1"/>
  <c r="D232" i="94" s="1"/>
  <c r="D172" i="94"/>
  <c r="D265" i="94" s="1"/>
  <c r="D173" i="94" l="1"/>
  <c r="D266" i="94" s="1"/>
  <c r="D140" i="94" l="1"/>
  <c r="D233" i="94" s="1"/>
  <c r="D174" i="94" l="1"/>
  <c r="D267" i="94" s="1"/>
  <c r="D268" i="94" s="1"/>
  <c r="D269" i="94" s="1"/>
  <c r="D141" i="94"/>
  <c r="D234" i="94" s="1"/>
  <c r="D142" i="94" l="1"/>
  <c r="D235" i="94" s="1"/>
  <c r="D175" i="94"/>
  <c r="D144" i="94" l="1"/>
  <c r="D237" i="94" s="1"/>
  <c r="D143" i="94"/>
  <c r="D236" i="94" s="1"/>
  <c r="D145" i="94" l="1"/>
  <c r="D238" i="94" s="1"/>
  <c r="D176" i="94"/>
  <c r="A95" i="35" l="1"/>
  <c r="G78" i="35"/>
  <c r="H78" i="35"/>
  <c r="I78" i="35"/>
  <c r="G79" i="35"/>
  <c r="H79" i="35"/>
  <c r="I79" i="35"/>
  <c r="G80" i="35"/>
  <c r="H80" i="35"/>
  <c r="I80" i="35"/>
  <c r="G81" i="35"/>
  <c r="H81" i="35"/>
  <c r="I81" i="35"/>
  <c r="G82" i="35"/>
  <c r="H82" i="35"/>
  <c r="I82" i="35"/>
  <c r="G83" i="35"/>
  <c r="H83" i="35"/>
  <c r="I83" i="35"/>
  <c r="G84" i="35"/>
  <c r="H84" i="35"/>
  <c r="I84" i="35"/>
  <c r="G85" i="35"/>
  <c r="H85" i="35"/>
  <c r="I85" i="35"/>
  <c r="G86" i="35"/>
  <c r="H86" i="35"/>
  <c r="I86" i="35"/>
  <c r="G87" i="35"/>
  <c r="H87" i="35"/>
  <c r="I87" i="35"/>
  <c r="G88" i="35"/>
  <c r="H88" i="35"/>
  <c r="I88" i="35"/>
  <c r="G89" i="35"/>
  <c r="H89" i="35"/>
  <c r="I89" i="35"/>
  <c r="A60" i="35"/>
  <c r="H43" i="35"/>
  <c r="I43" i="35"/>
  <c r="H44" i="35"/>
  <c r="I44" i="35"/>
  <c r="H45" i="35"/>
  <c r="I45" i="35"/>
  <c r="H46" i="35"/>
  <c r="I46" i="35"/>
  <c r="H47" i="35"/>
  <c r="I47" i="35"/>
  <c r="H48" i="35"/>
  <c r="I48" i="35"/>
  <c r="H49" i="35"/>
  <c r="I49" i="35"/>
  <c r="H50" i="35"/>
  <c r="I50" i="35"/>
  <c r="H51" i="35"/>
  <c r="I51" i="35"/>
  <c r="H52" i="35"/>
  <c r="I52" i="35"/>
  <c r="H53" i="35"/>
  <c r="I53" i="35"/>
  <c r="H54" i="35"/>
  <c r="I54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80" i="35" l="1"/>
  <c r="H55" i="35"/>
  <c r="H56" i="35"/>
  <c r="H90" i="35"/>
  <c r="H91" i="35"/>
  <c r="G90" i="35"/>
  <c r="G91" i="35"/>
  <c r="J87" i="35"/>
  <c r="J43" i="35"/>
  <c r="J48" i="35"/>
  <c r="J45" i="35"/>
  <c r="J85" i="35"/>
  <c r="J84" i="35"/>
  <c r="J82" i="35"/>
  <c r="J53" i="35"/>
  <c r="J54" i="35"/>
  <c r="J52" i="35"/>
  <c r="J78" i="35"/>
  <c r="J46" i="35"/>
  <c r="J83" i="35"/>
  <c r="J81" i="35"/>
  <c r="J50" i="35"/>
  <c r="J89" i="35"/>
  <c r="J88" i="35"/>
  <c r="J86" i="35"/>
  <c r="J79" i="35"/>
  <c r="J51" i="35"/>
  <c r="J49" i="35"/>
  <c r="J47" i="35"/>
  <c r="J44" i="35"/>
  <c r="B8" i="35" l="1"/>
  <c r="B9" i="35"/>
  <c r="B10" i="35"/>
  <c r="B11" i="35"/>
  <c r="B12" i="35"/>
  <c r="B13" i="35"/>
  <c r="B14" i="35"/>
  <c r="B15" i="35"/>
  <c r="B16" i="35"/>
  <c r="B17" i="35"/>
  <c r="B18" i="35"/>
  <c r="B19" i="35"/>
  <c r="A19" i="35"/>
  <c r="A18" i="35"/>
  <c r="A9" i="35"/>
  <c r="A10" i="35"/>
  <c r="A11" i="35"/>
  <c r="A12" i="35"/>
  <c r="A13" i="35"/>
  <c r="A14" i="35"/>
  <c r="A15" i="35"/>
  <c r="A16" i="35"/>
  <c r="A17" i="35"/>
  <c r="A7" i="35"/>
  <c r="A47" i="35" l="1"/>
  <c r="A82" i="35"/>
  <c r="B46" i="35"/>
  <c r="B81" i="35"/>
  <c r="A46" i="35"/>
  <c r="A81" i="35"/>
  <c r="B52" i="35"/>
  <c r="B87" i="35"/>
  <c r="B45" i="35"/>
  <c r="B80" i="35"/>
  <c r="A78" i="35"/>
  <c r="A52" i="35"/>
  <c r="A87" i="35"/>
  <c r="A45" i="35"/>
  <c r="A80" i="35"/>
  <c r="A53" i="35"/>
  <c r="A88" i="35"/>
  <c r="B51" i="35"/>
  <c r="B86" i="35"/>
  <c r="B48" i="35"/>
  <c r="B83" i="35"/>
  <c r="B44" i="35"/>
  <c r="B79" i="35"/>
  <c r="A50" i="35"/>
  <c r="A85" i="35"/>
  <c r="A54" i="35"/>
  <c r="A89" i="35"/>
  <c r="B49" i="35"/>
  <c r="B84" i="35"/>
  <c r="A49" i="35"/>
  <c r="A84" i="35"/>
  <c r="A51" i="35"/>
  <c r="A86" i="35"/>
  <c r="A48" i="35"/>
  <c r="A83" i="35"/>
  <c r="A44" i="35"/>
  <c r="A79" i="35"/>
  <c r="B54" i="35"/>
  <c r="B89" i="35"/>
  <c r="B53" i="35"/>
  <c r="B88" i="35"/>
  <c r="B50" i="35"/>
  <c r="B85" i="35"/>
  <c r="B47" i="35"/>
  <c r="B82" i="35"/>
  <c r="B43" i="35"/>
  <c r="B78" i="35"/>
  <c r="I42" i="35" l="1"/>
  <c r="E42" i="35"/>
  <c r="J7" i="35"/>
  <c r="F7" i="35" s="1"/>
  <c r="B7" i="35"/>
  <c r="E56" i="35" l="1"/>
  <c r="E55" i="35"/>
  <c r="J20" i="35"/>
  <c r="J21" i="35"/>
  <c r="I56" i="35"/>
  <c r="I55" i="35"/>
  <c r="I90" i="35"/>
  <c r="I91" i="35"/>
  <c r="B42" i="35"/>
  <c r="B77" i="35"/>
  <c r="A42" i="35"/>
  <c r="J42" i="35"/>
  <c r="F42" i="35" s="1"/>
  <c r="A77" i="35"/>
  <c r="J77" i="35"/>
  <c r="I9" i="94" l="1"/>
  <c r="J55" i="35"/>
  <c r="J56" i="35"/>
  <c r="J90" i="35"/>
  <c r="J91" i="35"/>
  <c r="D29" i="51"/>
  <c r="H9" i="94" l="1"/>
  <c r="F164" i="94"/>
  <c r="G164" i="94" s="1"/>
  <c r="I164" i="94" s="1"/>
  <c r="F71" i="94"/>
  <c r="F133" i="94"/>
  <c r="G133" i="94" s="1"/>
  <c r="I133" i="94" s="1"/>
  <c r="F10" i="94"/>
  <c r="F40" i="94"/>
  <c r="G40" i="94" s="1"/>
  <c r="I40" i="94" s="1"/>
  <c r="G71" i="94" l="1"/>
  <c r="I71" i="94" s="1"/>
  <c r="H164" i="94"/>
  <c r="H40" i="94"/>
  <c r="F134" i="94"/>
  <c r="G134" i="94" s="1"/>
  <c r="I134" i="94" s="1"/>
  <c r="F165" i="94"/>
  <c r="G165" i="94" s="1"/>
  <c r="G10" i="94"/>
  <c r="F41" i="94"/>
  <c r="G41" i="94" s="1"/>
  <c r="F11" i="94"/>
  <c r="F72" i="94"/>
  <c r="G72" i="94" s="1"/>
  <c r="F103" i="94"/>
  <c r="H133" i="94"/>
  <c r="F195" i="94"/>
  <c r="G195" i="94" s="1"/>
  <c r="F257" i="94"/>
  <c r="G257" i="94" s="1"/>
  <c r="I257" i="94" s="1"/>
  <c r="F226" i="94"/>
  <c r="G226" i="94" s="1"/>
  <c r="H71" i="94" l="1"/>
  <c r="H195" i="94"/>
  <c r="I195" i="94"/>
  <c r="H165" i="94"/>
  <c r="I165" i="94"/>
  <c r="H72" i="94"/>
  <c r="I72" i="94"/>
  <c r="H226" i="94"/>
  <c r="I226" i="94"/>
  <c r="H41" i="94"/>
  <c r="I41" i="94"/>
  <c r="H257" i="94"/>
  <c r="G103" i="94"/>
  <c r="F258" i="94"/>
  <c r="G258" i="94" s="1"/>
  <c r="F196" i="94"/>
  <c r="G196" i="94" s="1"/>
  <c r="F227" i="94"/>
  <c r="G227" i="94" s="1"/>
  <c r="H10" i="94"/>
  <c r="I10" i="94"/>
  <c r="F42" i="94"/>
  <c r="G42" i="94" s="1"/>
  <c r="F166" i="94"/>
  <c r="G166" i="94" s="1"/>
  <c r="F12" i="94"/>
  <c r="F104" i="94"/>
  <c r="F73" i="94"/>
  <c r="G73" i="94" s="1"/>
  <c r="G11" i="94"/>
  <c r="F135" i="94"/>
  <c r="G135" i="94" s="1"/>
  <c r="H134" i="94"/>
  <c r="H227" i="94" l="1"/>
  <c r="I227" i="94"/>
  <c r="H258" i="94"/>
  <c r="I258" i="94"/>
  <c r="H42" i="94"/>
  <c r="I42" i="94"/>
  <c r="H196" i="94"/>
  <c r="I196" i="94"/>
  <c r="H166" i="94"/>
  <c r="I166" i="94"/>
  <c r="H73" i="94"/>
  <c r="I73" i="94"/>
  <c r="H103" i="94"/>
  <c r="I103" i="94"/>
  <c r="H135" i="94"/>
  <c r="I135" i="94"/>
  <c r="I11" i="94"/>
  <c r="H11" i="94"/>
  <c r="G104" i="94"/>
  <c r="F259" i="94"/>
  <c r="G259" i="94" s="1"/>
  <c r="F197" i="94"/>
  <c r="G197" i="94" s="1"/>
  <c r="F228" i="94"/>
  <c r="G228" i="94" s="1"/>
  <c r="F136" i="94"/>
  <c r="G136" i="94" s="1"/>
  <c r="F74" i="94"/>
  <c r="G74" i="94" s="1"/>
  <c r="F105" i="94"/>
  <c r="G12" i="94"/>
  <c r="F43" i="94"/>
  <c r="G43" i="94" s="1"/>
  <c r="F13" i="94"/>
  <c r="F167" i="94"/>
  <c r="G167" i="94" s="1"/>
  <c r="I167" i="94" s="1"/>
  <c r="H136" i="94" l="1"/>
  <c r="I136" i="94"/>
  <c r="H259" i="94"/>
  <c r="I259" i="94"/>
  <c r="H43" i="94"/>
  <c r="I43" i="94"/>
  <c r="H104" i="94"/>
  <c r="I104" i="94"/>
  <c r="H228" i="94"/>
  <c r="I228" i="94"/>
  <c r="H197" i="94"/>
  <c r="I197" i="94"/>
  <c r="H74" i="94"/>
  <c r="I74" i="94"/>
  <c r="F168" i="94"/>
  <c r="G168" i="94" s="1"/>
  <c r="F75" i="94"/>
  <c r="G75" i="94" s="1"/>
  <c r="F14" i="94"/>
  <c r="F106" i="94"/>
  <c r="F137" i="94"/>
  <c r="G137" i="94" s="1"/>
  <c r="G13" i="94"/>
  <c r="F44" i="94"/>
  <c r="G44" i="94" s="1"/>
  <c r="H167" i="94"/>
  <c r="G105" i="94"/>
  <c r="I105" i="94" s="1"/>
  <c r="F260" i="94"/>
  <c r="G260" i="94" s="1"/>
  <c r="F198" i="94"/>
  <c r="G198" i="94" s="1"/>
  <c r="F229" i="94"/>
  <c r="G229" i="94" s="1"/>
  <c r="H12" i="94"/>
  <c r="I12" i="94"/>
  <c r="H75" i="94" l="1"/>
  <c r="I75" i="94"/>
  <c r="H44" i="94"/>
  <c r="I44" i="94"/>
  <c r="H260" i="94"/>
  <c r="I260" i="94"/>
  <c r="H168" i="94"/>
  <c r="I168" i="94"/>
  <c r="H137" i="94"/>
  <c r="I137" i="94"/>
  <c r="H229" i="94"/>
  <c r="I229" i="94"/>
  <c r="H198" i="94"/>
  <c r="I198" i="94"/>
  <c r="G106" i="94"/>
  <c r="F199" i="94"/>
  <c r="G199" i="94" s="1"/>
  <c r="F261" i="94"/>
  <c r="G261" i="94" s="1"/>
  <c r="F230" i="94"/>
  <c r="G230" i="94" s="1"/>
  <c r="F138" i="94"/>
  <c r="G138" i="94" s="1"/>
  <c r="F15" i="94"/>
  <c r="F16" i="94" s="1"/>
  <c r="F169" i="94"/>
  <c r="G169" i="94" s="1"/>
  <c r="F45" i="94"/>
  <c r="G45" i="94" s="1"/>
  <c r="F76" i="94"/>
  <c r="G76" i="94" s="1"/>
  <c r="F107" i="94"/>
  <c r="G14" i="94"/>
  <c r="H105" i="94"/>
  <c r="I13" i="94"/>
  <c r="H13" i="94"/>
  <c r="G16" i="94" l="1"/>
  <c r="F17" i="94"/>
  <c r="H169" i="94"/>
  <c r="I169" i="94"/>
  <c r="H45" i="94"/>
  <c r="I45" i="94"/>
  <c r="H138" i="94"/>
  <c r="I138" i="94"/>
  <c r="H76" i="94"/>
  <c r="I76" i="94"/>
  <c r="H199" i="94"/>
  <c r="I199" i="94"/>
  <c r="H106" i="94"/>
  <c r="I106" i="94"/>
  <c r="H230" i="94"/>
  <c r="I230" i="94"/>
  <c r="H261" i="94"/>
  <c r="I261" i="94"/>
  <c r="I14" i="94"/>
  <c r="H14" i="94"/>
  <c r="G107" i="94"/>
  <c r="F200" i="94"/>
  <c r="G200" i="94" s="1"/>
  <c r="F262" i="94"/>
  <c r="G262" i="94" s="1"/>
  <c r="F231" i="94"/>
  <c r="G231" i="94" s="1"/>
  <c r="F170" i="94"/>
  <c r="G170" i="94" s="1"/>
  <c r="F108" i="94"/>
  <c r="F139" i="94"/>
  <c r="G139" i="94" s="1"/>
  <c r="F46" i="94"/>
  <c r="G46" i="94" s="1"/>
  <c r="F77" i="94"/>
  <c r="G77" i="94" s="1"/>
  <c r="G15" i="94"/>
  <c r="G17" i="94" l="1"/>
  <c r="F18" i="94"/>
  <c r="H170" i="94"/>
  <c r="I170" i="94"/>
  <c r="H200" i="94"/>
  <c r="I200" i="94"/>
  <c r="H231" i="94"/>
  <c r="I231" i="94"/>
  <c r="H46" i="94"/>
  <c r="I46" i="94"/>
  <c r="H262" i="94"/>
  <c r="I262" i="94"/>
  <c r="H77" i="94"/>
  <c r="I77" i="94"/>
  <c r="H107" i="94"/>
  <c r="I107" i="94"/>
  <c r="H139" i="94"/>
  <c r="I139" i="94"/>
  <c r="H15" i="94"/>
  <c r="I15" i="94"/>
  <c r="G108" i="94"/>
  <c r="F263" i="94"/>
  <c r="G263" i="94" s="1"/>
  <c r="F201" i="94"/>
  <c r="G201" i="94" s="1"/>
  <c r="F232" i="94"/>
  <c r="G232" i="94" s="1"/>
  <c r="F19" i="94" l="1"/>
  <c r="G18" i="94"/>
  <c r="H232" i="94"/>
  <c r="I232" i="94"/>
  <c r="H201" i="94"/>
  <c r="I201" i="94"/>
  <c r="H263" i="94"/>
  <c r="I263" i="94"/>
  <c r="H108" i="94"/>
  <c r="I108" i="94"/>
  <c r="F171" i="94"/>
  <c r="G171" i="94" s="1"/>
  <c r="F78" i="94"/>
  <c r="G78" i="94" s="1"/>
  <c r="I78" i="94" s="1"/>
  <c r="F47" i="94"/>
  <c r="G47" i="94" s="1"/>
  <c r="F109" i="94"/>
  <c r="F140" i="94"/>
  <c r="G140" i="94" s="1"/>
  <c r="F20" i="94" l="1"/>
  <c r="F21" i="94" s="1"/>
  <c r="G19" i="94"/>
  <c r="H47" i="94"/>
  <c r="I47" i="94"/>
  <c r="H140" i="94"/>
  <c r="I140" i="94"/>
  <c r="H171" i="94"/>
  <c r="I171" i="94"/>
  <c r="H16" i="94"/>
  <c r="I16" i="94"/>
  <c r="G109" i="94"/>
  <c r="F202" i="94"/>
  <c r="G202" i="94" s="1"/>
  <c r="F264" i="94"/>
  <c r="G264" i="94" s="1"/>
  <c r="F233" i="94"/>
  <c r="G233" i="94" s="1"/>
  <c r="H78" i="94"/>
  <c r="F79" i="94"/>
  <c r="G79" i="94" s="1"/>
  <c r="F141" i="94"/>
  <c r="G141" i="94" s="1"/>
  <c r="F172" i="94"/>
  <c r="G172" i="94" s="1"/>
  <c r="F48" i="94"/>
  <c r="G48" i="94" s="1"/>
  <c r="F110" i="94"/>
  <c r="G20" i="94" l="1"/>
  <c r="H79" i="94"/>
  <c r="I79" i="94"/>
  <c r="H233" i="94"/>
  <c r="I233" i="94"/>
  <c r="H48" i="94"/>
  <c r="I48" i="94"/>
  <c r="H264" i="94"/>
  <c r="I264" i="94"/>
  <c r="H172" i="94"/>
  <c r="I172" i="94"/>
  <c r="H202" i="94"/>
  <c r="I202" i="94"/>
  <c r="H141" i="94"/>
  <c r="I141" i="94"/>
  <c r="H109" i="94"/>
  <c r="I109" i="94"/>
  <c r="G110" i="94"/>
  <c r="F203" i="94"/>
  <c r="G203" i="94" s="1"/>
  <c r="F265" i="94"/>
  <c r="G265" i="94" s="1"/>
  <c r="F234" i="94"/>
  <c r="G234" i="94" s="1"/>
  <c r="I17" i="94"/>
  <c r="H17" i="94"/>
  <c r="F49" i="94"/>
  <c r="G49" i="94" s="1"/>
  <c r="F111" i="94"/>
  <c r="F142" i="94"/>
  <c r="G142" i="94" s="1"/>
  <c r="F80" i="94"/>
  <c r="G80" i="94" s="1"/>
  <c r="F173" i="94"/>
  <c r="G173" i="94" s="1"/>
  <c r="H49" i="94" l="1"/>
  <c r="I49" i="94"/>
  <c r="H173" i="94"/>
  <c r="I173" i="94"/>
  <c r="H265" i="94"/>
  <c r="I265" i="94"/>
  <c r="H234" i="94"/>
  <c r="I234" i="94"/>
  <c r="H142" i="94"/>
  <c r="I142" i="94"/>
  <c r="H80" i="94"/>
  <c r="I80" i="94"/>
  <c r="H203" i="94"/>
  <c r="I203" i="94"/>
  <c r="H110" i="94"/>
  <c r="I110" i="94"/>
  <c r="F174" i="94"/>
  <c r="G174" i="94" s="1"/>
  <c r="F50" i="94"/>
  <c r="G50" i="94" s="1"/>
  <c r="F112" i="94"/>
  <c r="F143" i="94"/>
  <c r="G143" i="94" s="1"/>
  <c r="F81" i="94"/>
  <c r="G81" i="94" s="1"/>
  <c r="G111" i="94"/>
  <c r="F204" i="94"/>
  <c r="G204" i="94" s="1"/>
  <c r="F266" i="94"/>
  <c r="G266" i="94" s="1"/>
  <c r="F235" i="94"/>
  <c r="G235" i="94" s="1"/>
  <c r="H18" i="94"/>
  <c r="I18" i="94"/>
  <c r="H111" i="94" l="1"/>
  <c r="I111" i="94"/>
  <c r="H143" i="94"/>
  <c r="I143" i="94"/>
  <c r="H204" i="94"/>
  <c r="I204" i="94"/>
  <c r="H50" i="94"/>
  <c r="I50" i="94"/>
  <c r="H81" i="94"/>
  <c r="I81" i="94"/>
  <c r="H235" i="94"/>
  <c r="I235" i="94"/>
  <c r="H266" i="94"/>
  <c r="I266" i="94"/>
  <c r="H174" i="94"/>
  <c r="I174" i="94"/>
  <c r="G112" i="94"/>
  <c r="F267" i="94"/>
  <c r="G267" i="94" s="1"/>
  <c r="F236" i="94"/>
  <c r="G236" i="94" s="1"/>
  <c r="F205" i="94"/>
  <c r="G205" i="94" s="1"/>
  <c r="I19" i="94"/>
  <c r="H19" i="94"/>
  <c r="G21" i="94" l="1"/>
  <c r="H205" i="94"/>
  <c r="I205" i="94"/>
  <c r="H236" i="94"/>
  <c r="I236" i="94"/>
  <c r="H267" i="94"/>
  <c r="I267" i="94"/>
  <c r="H112" i="94"/>
  <c r="I112" i="94"/>
  <c r="F175" i="94"/>
  <c r="G175" i="94" s="1"/>
  <c r="F82" i="94"/>
  <c r="G82" i="94" s="1"/>
  <c r="F51" i="94"/>
  <c r="G51" i="94" s="1"/>
  <c r="F144" i="94"/>
  <c r="G144" i="94" s="1"/>
  <c r="F113" i="94"/>
  <c r="F268" i="94" s="1"/>
  <c r="H144" i="94" l="1"/>
  <c r="I144" i="94"/>
  <c r="H51" i="94"/>
  <c r="I51" i="94"/>
  <c r="H82" i="94"/>
  <c r="I82" i="94"/>
  <c r="H175" i="94"/>
  <c r="I175" i="94"/>
  <c r="I20" i="94"/>
  <c r="H20" i="94"/>
  <c r="G113" i="94"/>
  <c r="G268" i="94"/>
  <c r="F237" i="94"/>
  <c r="G237" i="94" s="1"/>
  <c r="F206" i="94"/>
  <c r="G206" i="94" s="1"/>
  <c r="H206" i="94" l="1"/>
  <c r="I206" i="94"/>
  <c r="H237" i="94"/>
  <c r="I237" i="94"/>
  <c r="H268" i="94"/>
  <c r="I268" i="94"/>
  <c r="H113" i="94"/>
  <c r="I113" i="94"/>
  <c r="F52" i="94" l="1"/>
  <c r="G52" i="94" s="1"/>
  <c r="I52" i="94" s="1"/>
  <c r="F176" i="94"/>
  <c r="G176" i="94" s="1"/>
  <c r="I176" i="94" s="1"/>
  <c r="F114" i="94"/>
  <c r="F269" i="94" s="1"/>
  <c r="F83" i="94"/>
  <c r="G83" i="94" s="1"/>
  <c r="F145" i="94"/>
  <c r="G145" i="94" s="1"/>
  <c r="I145" i="94" s="1"/>
  <c r="H83" i="94" l="1"/>
  <c r="H84" i="94" s="1"/>
  <c r="E18" i="51" s="1"/>
  <c r="I83" i="94"/>
  <c r="I84" i="94" s="1"/>
  <c r="E23" i="51" s="1"/>
  <c r="H145" i="94"/>
  <c r="H146" i="94" s="1"/>
  <c r="D19" i="51" s="1"/>
  <c r="H176" i="94"/>
  <c r="H177" i="94" s="1"/>
  <c r="E19" i="51" s="1"/>
  <c r="H21" i="94"/>
  <c r="H22" i="94" s="1"/>
  <c r="C18" i="51" s="1"/>
  <c r="I21" i="94"/>
  <c r="I22" i="94" s="1"/>
  <c r="C23" i="51" s="1"/>
  <c r="G114" i="94"/>
  <c r="I114" i="94" s="1"/>
  <c r="I115" i="94" s="1"/>
  <c r="C24" i="51" s="1"/>
  <c r="G269" i="94"/>
  <c r="F207" i="94"/>
  <c r="G207" i="94" s="1"/>
  <c r="F238" i="94"/>
  <c r="G238" i="94" s="1"/>
  <c r="H52" i="94"/>
  <c r="H53" i="94" s="1"/>
  <c r="D18" i="51" s="1"/>
  <c r="H269" i="94" l="1"/>
  <c r="H270" i="94" s="1"/>
  <c r="E20" i="51" s="1"/>
  <c r="I269" i="94"/>
  <c r="I270" i="94" s="1"/>
  <c r="E25" i="51" s="1"/>
  <c r="H238" i="94"/>
  <c r="H239" i="94" s="1"/>
  <c r="D20" i="51" s="1"/>
  <c r="I238" i="94"/>
  <c r="I239" i="94" s="1"/>
  <c r="D25" i="51" s="1"/>
  <c r="H207" i="94"/>
  <c r="H208" i="94" s="1"/>
  <c r="C20" i="51" s="1"/>
  <c r="I207" i="94"/>
  <c r="I208" i="94" s="1"/>
  <c r="C25" i="51" s="1"/>
  <c r="I146" i="94"/>
  <c r="D24" i="51" s="1"/>
  <c r="I177" i="94"/>
  <c r="E24" i="51" s="1"/>
  <c r="I53" i="94"/>
  <c r="D23" i="51" s="1"/>
  <c r="H114" i="94"/>
  <c r="H115" i="94" s="1"/>
  <c r="C19" i="51" s="1"/>
  <c r="I14" i="51" l="1"/>
  <c r="I13" i="51"/>
  <c r="I15" i="51"/>
  <c r="I16" i="51" l="1"/>
  <c r="F52" i="35" l="1"/>
  <c r="M42" i="35"/>
  <c r="F54" i="35"/>
  <c r="K52" i="35"/>
  <c r="O52" i="35" s="1"/>
  <c r="K54" i="35"/>
  <c r="O54" i="35" s="1"/>
  <c r="Q42" i="35" l="1"/>
  <c r="F45" i="35"/>
  <c r="M54" i="35"/>
  <c r="Q54" i="35" s="1"/>
  <c r="F53" i="35"/>
  <c r="L53" i="35" s="1"/>
  <c r="P53" i="35" s="1"/>
  <c r="F51" i="35"/>
  <c r="F44" i="35"/>
  <c r="M52" i="35"/>
  <c r="Q52" i="35" s="1"/>
  <c r="K42" i="35"/>
  <c r="F49" i="35"/>
  <c r="F48" i="35"/>
  <c r="F47" i="35"/>
  <c r="F50" i="35"/>
  <c r="F43" i="35"/>
  <c r="F46" i="35"/>
  <c r="M48" i="35"/>
  <c r="Q48" i="35" s="1"/>
  <c r="M53" i="35"/>
  <c r="Q53" i="35" s="1"/>
  <c r="K53" i="35"/>
  <c r="O53" i="35" s="1"/>
  <c r="K51" i="35"/>
  <c r="O51" i="35" s="1"/>
  <c r="M51" i="35"/>
  <c r="Q51" i="35" s="1"/>
  <c r="M49" i="35"/>
  <c r="Q49" i="35" s="1"/>
  <c r="K49" i="35"/>
  <c r="O49" i="35" s="1"/>
  <c r="M45" i="35"/>
  <c r="Q45" i="35" s="1"/>
  <c r="K45" i="35"/>
  <c r="O45" i="35" s="1"/>
  <c r="M44" i="35"/>
  <c r="Q44" i="35" s="1"/>
  <c r="K44" i="35"/>
  <c r="O44" i="35" s="1"/>
  <c r="F56" i="35" l="1"/>
  <c r="F55" i="35"/>
  <c r="O42" i="35"/>
  <c r="K48" i="35"/>
  <c r="O48" i="35" s="1"/>
  <c r="K47" i="35"/>
  <c r="O47" i="35" s="1"/>
  <c r="K46" i="35"/>
  <c r="O46" i="35" s="1"/>
  <c r="L51" i="35"/>
  <c r="P51" i="35" s="1"/>
  <c r="L48" i="35"/>
  <c r="P48" i="35" s="1"/>
  <c r="L54" i="35"/>
  <c r="P54" i="35" s="1"/>
  <c r="L52" i="35"/>
  <c r="P52" i="35" s="1"/>
  <c r="L42" i="35"/>
  <c r="M47" i="35"/>
  <c r="Q47" i="35" s="1"/>
  <c r="M46" i="35"/>
  <c r="Q46" i="35" s="1"/>
  <c r="K50" i="35"/>
  <c r="O50" i="35" s="1"/>
  <c r="M50" i="35"/>
  <c r="Q50" i="35" s="1"/>
  <c r="L50" i="35"/>
  <c r="P50" i="35" s="1"/>
  <c r="K43" i="35"/>
  <c r="O43" i="35" s="1"/>
  <c r="M43" i="35"/>
  <c r="K55" i="35" l="1"/>
  <c r="K56" i="35"/>
  <c r="C7" i="51" s="1"/>
  <c r="O56" i="35"/>
  <c r="O55" i="35"/>
  <c r="C13" i="51" s="1"/>
  <c r="Q43" i="35"/>
  <c r="M56" i="35"/>
  <c r="E7" i="51" s="1"/>
  <c r="M55" i="35"/>
  <c r="P42" i="35"/>
  <c r="L49" i="35"/>
  <c r="P49" i="35" s="1"/>
  <c r="L47" i="35"/>
  <c r="P47" i="35" s="1"/>
  <c r="L46" i="35"/>
  <c r="P46" i="35" s="1"/>
  <c r="L44" i="35"/>
  <c r="P44" i="35" s="1"/>
  <c r="L45" i="35"/>
  <c r="P45" i="35" s="1"/>
  <c r="L43" i="35"/>
  <c r="P43" i="35" s="1"/>
  <c r="L56" i="35" l="1"/>
  <c r="D7" i="51" s="1"/>
  <c r="Q56" i="35"/>
  <c r="Q55" i="35"/>
  <c r="E13" i="51" s="1"/>
  <c r="L55" i="35"/>
  <c r="P55" i="35"/>
  <c r="D13" i="51" s="1"/>
  <c r="P56" i="35"/>
  <c r="E89" i="35" l="1"/>
  <c r="E86" i="35"/>
  <c r="M89" i="35" l="1"/>
  <c r="Q89" i="35" s="1"/>
  <c r="F89" i="35"/>
  <c r="L89" i="35" s="1"/>
  <c r="P89" i="35" s="1"/>
  <c r="K89" i="35"/>
  <c r="O89" i="35" s="1"/>
  <c r="K86" i="35"/>
  <c r="O86" i="35" s="1"/>
  <c r="F86" i="35"/>
  <c r="L86" i="35" s="1"/>
  <c r="P86" i="35" s="1"/>
  <c r="M86" i="35"/>
  <c r="Q86" i="35" s="1"/>
  <c r="E19" i="35"/>
  <c r="E16" i="35"/>
  <c r="E82" i="35"/>
  <c r="E83" i="35"/>
  <c r="E84" i="35"/>
  <c r="E85" i="35"/>
  <c r="E87" i="35"/>
  <c r="E79" i="35"/>
  <c r="E78" i="35"/>
  <c r="E88" i="35"/>
  <c r="E81" i="35"/>
  <c r="E80" i="35"/>
  <c r="F78" i="35" l="1"/>
  <c r="L78" i="35" s="1"/>
  <c r="P78" i="35" s="1"/>
  <c r="M78" i="35"/>
  <c r="Q78" i="35" s="1"/>
  <c r="K78" i="35"/>
  <c r="O78" i="35" s="1"/>
  <c r="F79" i="35"/>
  <c r="L79" i="35" s="1"/>
  <c r="P79" i="35" s="1"/>
  <c r="K79" i="35"/>
  <c r="O79" i="35" s="1"/>
  <c r="M79" i="35"/>
  <c r="Q79" i="35" s="1"/>
  <c r="F85" i="35"/>
  <c r="L85" i="35" s="1"/>
  <c r="P85" i="35" s="1"/>
  <c r="K85" i="35"/>
  <c r="O85" i="35" s="1"/>
  <c r="M85" i="35"/>
  <c r="Q85" i="35" s="1"/>
  <c r="M83" i="35"/>
  <c r="Q83" i="35" s="1"/>
  <c r="F83" i="35"/>
  <c r="L83" i="35" s="1"/>
  <c r="P83" i="35" s="1"/>
  <c r="K83" i="35"/>
  <c r="O83" i="35" s="1"/>
  <c r="M82" i="35"/>
  <c r="Q82" i="35" s="1"/>
  <c r="F82" i="35"/>
  <c r="L82" i="35" s="1"/>
  <c r="P82" i="35" s="1"/>
  <c r="K82" i="35"/>
  <c r="O82" i="35" s="1"/>
  <c r="K87" i="35"/>
  <c r="O87" i="35" s="1"/>
  <c r="M87" i="35"/>
  <c r="Q87" i="35" s="1"/>
  <c r="F87" i="35"/>
  <c r="L87" i="35" s="1"/>
  <c r="P87" i="35" s="1"/>
  <c r="F80" i="35"/>
  <c r="L80" i="35" s="1"/>
  <c r="P80" i="35" s="1"/>
  <c r="M80" i="35"/>
  <c r="Q80" i="35" s="1"/>
  <c r="K80" i="35"/>
  <c r="O80" i="35" s="1"/>
  <c r="M88" i="35"/>
  <c r="Q88" i="35" s="1"/>
  <c r="F88" i="35"/>
  <c r="L88" i="35" s="1"/>
  <c r="P88" i="35" s="1"/>
  <c r="K88" i="35"/>
  <c r="O88" i="35" s="1"/>
  <c r="F81" i="35"/>
  <c r="L81" i="35" s="1"/>
  <c r="P81" i="35" s="1"/>
  <c r="M81" i="35"/>
  <c r="Q81" i="35" s="1"/>
  <c r="K81" i="35"/>
  <c r="O81" i="35" s="1"/>
  <c r="K84" i="35"/>
  <c r="O84" i="35" s="1"/>
  <c r="F84" i="35"/>
  <c r="L84" i="35" s="1"/>
  <c r="P84" i="35" s="1"/>
  <c r="M84" i="35"/>
  <c r="Q84" i="35" s="1"/>
  <c r="F77" i="35"/>
  <c r="K77" i="35"/>
  <c r="M77" i="35"/>
  <c r="E91" i="35"/>
  <c r="E90" i="35"/>
  <c r="M16" i="35"/>
  <c r="Q16" i="35" s="1"/>
  <c r="K16" i="35"/>
  <c r="O16" i="35" s="1"/>
  <c r="F16" i="35"/>
  <c r="L16" i="35" s="1"/>
  <c r="P16" i="35" s="1"/>
  <c r="K19" i="35"/>
  <c r="O19" i="35" s="1"/>
  <c r="F19" i="35"/>
  <c r="L19" i="35" s="1"/>
  <c r="P19" i="35" s="1"/>
  <c r="M19" i="35"/>
  <c r="Q19" i="35" s="1"/>
  <c r="E10" i="35"/>
  <c r="E18" i="35"/>
  <c r="E11" i="35"/>
  <c r="E14" i="35"/>
  <c r="E8" i="35"/>
  <c r="E9" i="35"/>
  <c r="E15" i="35"/>
  <c r="E13" i="35"/>
  <c r="E12" i="35"/>
  <c r="E17" i="35"/>
  <c r="Q77" i="35" l="1"/>
  <c r="M90" i="35"/>
  <c r="M91" i="35"/>
  <c r="E8" i="51" s="1"/>
  <c r="O77" i="35"/>
  <c r="K90" i="35"/>
  <c r="K91" i="35"/>
  <c r="C8" i="51" s="1"/>
  <c r="L77" i="35"/>
  <c r="F91" i="35"/>
  <c r="F90" i="35"/>
  <c r="M13" i="35"/>
  <c r="Q13" i="35" s="1"/>
  <c r="K13" i="35"/>
  <c r="O13" i="35" s="1"/>
  <c r="F13" i="35"/>
  <c r="L13" i="35" s="1"/>
  <c r="P13" i="35" s="1"/>
  <c r="M14" i="35"/>
  <c r="Q14" i="35" s="1"/>
  <c r="K14" i="35"/>
  <c r="O14" i="35" s="1"/>
  <c r="F14" i="35"/>
  <c r="L14" i="35" s="1"/>
  <c r="P14" i="35" s="1"/>
  <c r="M15" i="35"/>
  <c r="Q15" i="35" s="1"/>
  <c r="K15" i="35"/>
  <c r="O15" i="35" s="1"/>
  <c r="F15" i="35"/>
  <c r="L15" i="35" s="1"/>
  <c r="P15" i="35" s="1"/>
  <c r="K11" i="35"/>
  <c r="O11" i="35" s="1"/>
  <c r="M11" i="35"/>
  <c r="Q11" i="35" s="1"/>
  <c r="F11" i="35"/>
  <c r="L11" i="35" s="1"/>
  <c r="P11" i="35" s="1"/>
  <c r="M17" i="35"/>
  <c r="Q17" i="35" s="1"/>
  <c r="K17" i="35"/>
  <c r="O17" i="35" s="1"/>
  <c r="F17" i="35"/>
  <c r="L17" i="35" s="1"/>
  <c r="P17" i="35" s="1"/>
  <c r="M9" i="35"/>
  <c r="Q9" i="35" s="1"/>
  <c r="K9" i="35"/>
  <c r="O9" i="35" s="1"/>
  <c r="F9" i="35"/>
  <c r="L9" i="35" s="1"/>
  <c r="P9" i="35" s="1"/>
  <c r="M18" i="35"/>
  <c r="Q18" i="35" s="1"/>
  <c r="K18" i="35"/>
  <c r="O18" i="35" s="1"/>
  <c r="F18" i="35"/>
  <c r="L18" i="35" s="1"/>
  <c r="P18" i="35" s="1"/>
  <c r="M12" i="35"/>
  <c r="Q12" i="35" s="1"/>
  <c r="K12" i="35"/>
  <c r="O12" i="35" s="1"/>
  <c r="F12" i="35"/>
  <c r="L12" i="35" s="1"/>
  <c r="P12" i="35" s="1"/>
  <c r="M8" i="35"/>
  <c r="Q8" i="35" s="1"/>
  <c r="K8" i="35"/>
  <c r="O8" i="35" s="1"/>
  <c r="F8" i="35"/>
  <c r="L8" i="35" s="1"/>
  <c r="P8" i="35" s="1"/>
  <c r="M10" i="35"/>
  <c r="Q10" i="35" s="1"/>
  <c r="K10" i="35"/>
  <c r="O10" i="35" s="1"/>
  <c r="F10" i="35"/>
  <c r="L10" i="35" s="1"/>
  <c r="P10" i="35" s="1"/>
  <c r="E21" i="35"/>
  <c r="E20" i="35"/>
  <c r="K7" i="35"/>
  <c r="M7" i="35"/>
  <c r="L90" i="35" l="1"/>
  <c r="P77" i="35"/>
  <c r="L91" i="35"/>
  <c r="D8" i="51" s="1"/>
  <c r="O91" i="35"/>
  <c r="O90" i="35"/>
  <c r="C14" i="51" s="1"/>
  <c r="Q90" i="35"/>
  <c r="E14" i="51" s="1"/>
  <c r="Q91" i="35"/>
  <c r="Q7" i="35"/>
  <c r="M20" i="35"/>
  <c r="M21" i="35"/>
  <c r="E6" i="51" s="1"/>
  <c r="E9" i="51" s="1"/>
  <c r="I9" i="51" s="1"/>
  <c r="L7" i="35"/>
  <c r="F21" i="35"/>
  <c r="F20" i="35"/>
  <c r="O7" i="35"/>
  <c r="K20" i="35"/>
  <c r="K21" i="35"/>
  <c r="C6" i="51" s="1"/>
  <c r="C9" i="51" s="1"/>
  <c r="I7" i="51" s="1"/>
  <c r="P91" i="35" l="1"/>
  <c r="P90" i="35"/>
  <c r="D14" i="51" s="1"/>
  <c r="O21" i="35"/>
  <c r="O20" i="35"/>
  <c r="C12" i="51" s="1"/>
  <c r="C15" i="51" s="1"/>
  <c r="I10" i="51" s="1"/>
  <c r="P7" i="35"/>
  <c r="L20" i="35"/>
  <c r="L21" i="35"/>
  <c r="D6" i="51" s="1"/>
  <c r="D9" i="51" s="1"/>
  <c r="I8" i="51" s="1"/>
  <c r="Q20" i="35"/>
  <c r="E12" i="51" s="1"/>
  <c r="E15" i="51" s="1"/>
  <c r="I12" i="51" s="1"/>
  <c r="Q21" i="35"/>
  <c r="P21" i="35" l="1"/>
  <c r="P20" i="35"/>
  <c r="D12" i="51" s="1"/>
  <c r="D15" i="51" s="1"/>
  <c r="I11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tc={F7CF8C68-943D-49B9-AFF0-85B8E96DEAFF}</author>
  </authors>
  <commentList>
    <comment ref="A1" authorId="0" shapeId="0" xr:uid="{00000000-0006-0000-04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</t>
      </text>
    </comment>
  </commentList>
</comments>
</file>

<file path=xl/sharedStrings.xml><?xml version="1.0" encoding="utf-8"?>
<sst xmlns="http://schemas.openxmlformats.org/spreadsheetml/2006/main" count="3276" uniqueCount="1528">
  <si>
    <r>
      <t>SUMMARY OF ROE ANALYSES RESULTS</t>
    </r>
    <r>
      <rPr>
        <vertAlign val="superscript"/>
        <sz val="11"/>
        <rFont val="Arial"/>
        <family val="2"/>
      </rPr>
      <t>1</t>
    </r>
  </si>
  <si>
    <t>Constant Growth DCF</t>
  </si>
  <si>
    <t>Median Low</t>
  </si>
  <si>
    <t>Median</t>
  </si>
  <si>
    <t>Median High</t>
  </si>
  <si>
    <t>30-Day Average</t>
  </si>
  <si>
    <t>X</t>
  </si>
  <si>
    <t>Y</t>
  </si>
  <si>
    <t>90-Day Average</t>
  </si>
  <si>
    <t xml:space="preserve">Constant Growth DCF - Median </t>
  </si>
  <si>
    <t>180-Day Average</t>
  </si>
  <si>
    <t>Constant Growth Average</t>
  </si>
  <si>
    <t>Constant Growth DCF - Avg. W/ Excl.</t>
  </si>
  <si>
    <t>Constant Growth DCF w/ exclusions</t>
  </si>
  <si>
    <t>Mean Low</t>
  </si>
  <si>
    <t>Mean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</si>
  <si>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</si>
  <si>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</si>
  <si>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</si>
  <si>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</si>
  <si>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</si>
  <si>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</si>
  <si>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Risk Premium</t>
  </si>
  <si>
    <t>Value Line Beta</t>
  </si>
  <si>
    <t>Bloomberg Beta</t>
  </si>
  <si>
    <t>Long-Term Avg. Beta</t>
  </si>
  <si>
    <t>Expected Earnings</t>
  </si>
  <si>
    <t>Recommended ROE Range</t>
  </si>
  <si>
    <t>Treasury Yield Plus Risk Premium</t>
  </si>
  <si>
    <t>Risk Premium Analysis</t>
  </si>
  <si>
    <t>Risk Premium Mean Result</t>
  </si>
  <si>
    <t>Notes:</t>
  </si>
  <si>
    <t xml:space="preserve">[1] The Constant Growth DCF with exclusions results exclude the results for individual companies that did not meet the minimum threshold of 7 percent. </t>
  </si>
  <si>
    <t>PROXY GROUP SCREENING DATA AND RESULTS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</si>
  <si>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</si>
  <si>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</si>
  <si>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</si>
  <si>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</si>
  <si>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</si>
  <si>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</si>
  <si>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</si>
  <si>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</si>
  <si>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</si>
  <si>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</si>
  <si>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Company</t>
  </si>
  <si>
    <t>Ticker</t>
  </si>
  <si>
    <t>Dividends</t>
  </si>
  <si>
    <t>S&amp;P Credit Rating Between BBB- and AAA</t>
  </si>
  <si>
    <t>Covered by More Than 1 Analyst</t>
  </si>
  <si>
    <t>Positive Growth Rates from at least two sources (Value Line, Yahoo! First Call, and Zacks)</t>
  </si>
  <si>
    <t xml:space="preserve">Owns an Electric Utility and Natural Gas Distribution Company </t>
  </si>
  <si>
    <t>Generation Assets Included in Rate Base</t>
  </si>
  <si>
    <t>% Regulated Nuclear Generation Capacity &lt; 50%</t>
  </si>
  <si>
    <t>% Company-Owned Generation &gt;40%</t>
  </si>
  <si>
    <t>% Regulated Operating Income &gt; 60%</t>
  </si>
  <si>
    <t>Announced Merger</t>
  </si>
  <si>
    <t>NiSource Inc.</t>
  </si>
  <si>
    <t>NI</t>
  </si>
  <si>
    <t>Yes</t>
  </si>
  <si>
    <t>BBB+</t>
  </si>
  <si>
    <t>No</t>
  </si>
  <si>
    <t>Alliant Energy Corporation</t>
  </si>
  <si>
    <t>LNT</t>
  </si>
  <si>
    <t>A-</t>
  </si>
  <si>
    <t>Ameren Corporation</t>
  </si>
  <si>
    <t>AEE</t>
  </si>
  <si>
    <t>Avista Corporation</t>
  </si>
  <si>
    <t>AVA</t>
  </si>
  <si>
    <t>BBB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</si>
  <si>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</si>
  <si>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</si>
  <si>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</si>
  <si>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</si>
  <si>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</si>
  <si>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</si>
  <si>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</si>
  <si>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</si>
  <si>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AA-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</si>
  <si>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</si>
  <si>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</si>
  <si>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</si>
  <si>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</si>
  <si>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</si>
  <si>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</si>
  <si>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</si>
  <si>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</si>
  <si>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</si>
  <si>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</si>
  <si>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[1] Source: Bloomberg Professional</t>
  </si>
  <si>
    <t>[2] Source: Bloomberg Professional</t>
  </si>
  <si>
    <t>[3] Source: Yahoo! Finance and Zacks</t>
  </si>
  <si>
    <t>[4] Source: Yahoo! Finance, Value Line Investment Survey, and Zacks</t>
  </si>
  <si>
    <t>[5] Source: S&amp;P Capital IQ Pro</t>
  </si>
  <si>
    <t>[6] Source: S&amp;P Capital IQ Pro</t>
  </si>
  <si>
    <t>[7] Source: S&amp;P Capital IQ Pro</t>
  </si>
  <si>
    <t>[8] Source: S&amp;P Capital IQ Pro</t>
  </si>
  <si>
    <t>[9] Source: Form 10-Ks for 2020, 2019 &amp; 2018</t>
  </si>
  <si>
    <t>[10] SNL Financial News Releases</t>
  </si>
  <si>
    <t xml:space="preserve">30-DAY CONSTANT GROWTH DCF </t>
  </si>
  <si>
    <t>With Exclusions</t>
  </si>
  <si>
    <t>[12]</t>
  </si>
  <si>
    <t>[13]</t>
  </si>
  <si>
    <t>[14]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</si>
  <si>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</si>
  <si>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</si>
  <si>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</si>
  <si>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</si>
  <si>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</si>
  <si>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</si>
  <si>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</si>
  <si>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</si>
  <si>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</si>
  <si>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</si>
  <si>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</si>
  <si>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[2] Source: Bloomberg Professional, equals 30-day average as of November 30, 2021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</si>
  <si>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</si>
  <si>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</si>
  <si>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</si>
  <si>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</si>
  <si>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</si>
  <si>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</si>
  <si>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</si>
  <si>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</si>
  <si>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</si>
  <si>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</si>
  <si>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</si>
  <si>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</si>
  <si>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</si>
  <si>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</si>
  <si>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</si>
  <si>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</si>
  <si>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</si>
  <si>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</si>
  <si>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</si>
  <si>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</si>
  <si>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</si>
  <si>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[1] Source: Bloomberg Professional, as of November 30, 2021</t>
  </si>
  <si>
    <t>[2] Source: Value Line</t>
  </si>
  <si>
    <t>[3] Source: Direct Exhibit AEB-6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</si>
  <si>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</si>
  <si>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</si>
  <si>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</si>
  <si>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</si>
  <si>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Near-term projected 30-year U.S. Treasury bond yield 
(Q1 2022 - Q1 2023)</t>
  </si>
  <si>
    <t>[1] Source: Blue Chip Financial Forecasts, Vol. 40, No.12, December 1, 2021, at 2</t>
  </si>
  <si>
    <t>[2] Source:  Value Line</t>
  </si>
  <si>
    <t>CAPITAL ASSET PRICING MODEL -- LONG-TERM PROJECTED RISK-FREE RATE &amp; VL BETA</t>
  </si>
  <si>
    <t>Projected 30-year U.S. Treasury bond yield 
(2023 - 2027)</t>
  </si>
  <si>
    <t>[1] Source: Blue Chip Financial Forecasts, Vol. 40, No. 12, December 1, 2021, at 14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</si>
  <si>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</si>
  <si>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</si>
  <si>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</si>
  <si>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</si>
  <si>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</si>
  <si>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[2] Source: Direct Exhibit AEB-5</t>
  </si>
  <si>
    <t>CAPITAL ASSET PRICING MODEL -- NEAR-TERM PROJECTED RISK-FREE RATE &amp; VALUE LINE LT AVERAGE BETA</t>
  </si>
  <si>
    <t>CAPITAL ASSET PRICING MODEL -- LONG-TERM PROJECTED RISK-FREE RATE &amp; VALUE LINE LT BETA</t>
  </si>
  <si>
    <t>HISTORICAL BETA - 2011 - 2020</t>
  </si>
  <si>
    <t>[11]</t>
  </si>
  <si>
    <t>Average</t>
  </si>
  <si>
    <t>NMF</t>
  </si>
  <si>
    <t>[1] Value Line, dated November 4, 2011, November 25, 2011, December 9, 2011 and December 23, 2011.</t>
  </si>
  <si>
    <t>[2] Value Line, dated November 2, 2012, November 23, 2012, December 7, 2012 and December 21, 2012.</t>
  </si>
  <si>
    <t>[3] Value Line, dated November 1, 2013, November 22, 2013, December 6, 2013 and December 20, 2013.</t>
  </si>
  <si>
    <t>[4] Value Line, dated October 31, 2014, November 21, 2014, December 5, 2014 and December 19, 2014.</t>
  </si>
  <si>
    <t>[5] Value Line, dated October 30,2015, November 20, 2015, December 4, 2015 and December 18, 2015.</t>
  </si>
  <si>
    <t>[6] Value Line, dated October 28, 2016, November 18, 2016, December 2, 2016 and December 16, 2016.</t>
  </si>
  <si>
    <t>[7] Value Line, dated October 27, 2017, November 17, 2017, December 1, 2017 and December 15, 2017.</t>
  </si>
  <si>
    <t>[8] Value Line, dated October 18, 2018, November 16, 2018, November 30, 2018 and Decenber 14, 2018.</t>
  </si>
  <si>
    <t>[9] Value Line, dated October 25, 2019, November 15, 2019, November 29, 2019 and December 13, 2019.</t>
  </si>
  <si>
    <t>[10] Value Line, dated October 23, 2020, November 13, 2020, November 27, 2020 and December 11, 2020.</t>
  </si>
  <si>
    <t>[11] Average ([1] - [10])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</si>
  <si>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</si>
  <si>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</si>
  <si>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</si>
  <si>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</si>
  <si>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</si>
  <si>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Shares</t>
  </si>
  <si>
    <t>Market</t>
  </si>
  <si>
    <t>Weight in</t>
  </si>
  <si>
    <t>Estimated</t>
  </si>
  <si>
    <t>Name</t>
  </si>
  <si>
    <t>Outst'g</t>
  </si>
  <si>
    <t>Price</t>
  </si>
  <si>
    <t>Capitalization</t>
  </si>
  <si>
    <t>Index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</si>
  <si>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</si>
  <si>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</si>
  <si>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</si>
  <si>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</si>
  <si>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</si>
  <si>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</si>
  <si>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</si>
  <si>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</si>
  <si>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</si>
  <si>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</si>
  <si>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/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</si>
  <si>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</si>
  <si>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</si>
  <si>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</si>
  <si>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</si>
  <si>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</si>
  <si>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</si>
  <si>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</si>
  <si>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</si>
  <si>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</si>
  <si>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</si>
  <si>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</si>
  <si>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</si>
  <si>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</si>
  <si>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</si>
  <si>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</si>
  <si>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</si>
  <si>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</si>
  <si>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</si>
  <si>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</si>
  <si>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</si>
  <si>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</si>
  <si>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</si>
  <si>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</si>
  <si>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</si>
  <si>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</si>
  <si>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</si>
  <si>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</si>
  <si>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</si>
  <si>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</si>
  <si>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</si>
  <si>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</si>
  <si>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</si>
  <si>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</si>
  <si>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</si>
  <si>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</si>
  <si>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</si>
  <si>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</si>
  <si>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</si>
  <si>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</si>
  <si>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</si>
  <si>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</si>
  <si>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</si>
  <si>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</si>
  <si>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</si>
  <si>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</si>
  <si>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</si>
  <si>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</si>
  <si>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</si>
  <si>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</si>
  <si>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</si>
  <si>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</si>
  <si>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</si>
  <si>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</si>
  <si>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</si>
  <si>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</si>
  <si>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</si>
  <si>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</si>
  <si>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</si>
  <si>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</si>
  <si>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Cisco Systems Inc/Delaware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</si>
  <si>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</si>
  <si>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</si>
  <si>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</si>
  <si>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</si>
  <si>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</si>
  <si>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</si>
  <si>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</si>
  <si>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</si>
  <si>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</si>
  <si>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</si>
  <si>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</si>
  <si>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</si>
  <si>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</si>
  <si>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</si>
  <si>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</si>
  <si>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</si>
  <si>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</si>
  <si>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</si>
  <si>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</si>
  <si>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</si>
  <si>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</si>
  <si>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Under Armour Inc</t>
  </si>
  <si>
    <t>UAA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</si>
  <si>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</si>
  <si>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</si>
  <si>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</si>
  <si>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</si>
  <si>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</si>
  <si>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</si>
  <si>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</si>
  <si>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</si>
  <si>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</si>
  <si>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</si>
  <si>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</si>
  <si>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</si>
  <si>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</si>
  <si>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</si>
  <si>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</si>
  <si>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</si>
  <si>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</si>
  <si>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</si>
  <si>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</si>
  <si>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</si>
  <si>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</si>
  <si>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</si>
  <si>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</si>
  <si>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</si>
  <si>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</si>
  <si>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</si>
  <si>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</si>
  <si>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</si>
  <si>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</si>
  <si>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BLL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</si>
  <si>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</si>
  <si>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</si>
  <si>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</si>
  <si>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</si>
  <si>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</si>
  <si>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</si>
  <si>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</si>
  <si>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</si>
  <si>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</si>
  <si>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</si>
  <si>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</si>
  <si>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</si>
  <si>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</si>
  <si>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</si>
  <si>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</si>
  <si>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</si>
  <si>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</si>
  <si>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</si>
  <si>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</si>
  <si>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</si>
  <si>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</si>
  <si>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</si>
  <si>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</si>
  <si>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</si>
  <si>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</si>
  <si>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</si>
  <si>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</si>
  <si>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</si>
  <si>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Kansas City Southern</t>
  </si>
  <si>
    <t>KSU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</si>
  <si>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</si>
  <si>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</si>
  <si>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</si>
  <si>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</si>
  <si>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</si>
  <si>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</si>
  <si>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</si>
  <si>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</si>
  <si>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</si>
  <si>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</si>
  <si>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</si>
  <si>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</si>
  <si>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</si>
  <si>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</si>
  <si>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</si>
  <si>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</si>
  <si>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</si>
  <si>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</si>
  <si>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</si>
  <si>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</si>
  <si>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</si>
  <si>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IPG Photonics Corp</t>
  </si>
  <si>
    <t>IPGP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</si>
  <si>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</si>
  <si>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</si>
  <si>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</si>
  <si>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</si>
  <si>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</si>
  <si>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</si>
  <si>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</si>
  <si>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</si>
  <si>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</si>
  <si>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</si>
  <si>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</si>
  <si>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</si>
  <si>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</si>
  <si>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</si>
  <si>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</si>
  <si>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</si>
  <si>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</si>
  <si>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</si>
  <si>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</si>
  <si>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</si>
  <si>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</si>
  <si>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</si>
  <si>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</si>
  <si>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</si>
  <si>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</si>
  <si>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</si>
  <si>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</si>
  <si>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</si>
  <si>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</si>
  <si>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</si>
  <si>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</si>
  <si>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</si>
  <si>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</si>
  <si>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</si>
  <si>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</si>
  <si>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</si>
  <si>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</si>
  <si>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</si>
  <si>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</si>
  <si>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</si>
  <si>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</si>
  <si>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</si>
  <si>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</si>
  <si>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</si>
  <si>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</si>
  <si>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</si>
  <si>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</si>
  <si>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</si>
  <si>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</si>
  <si>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</si>
  <si>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</si>
  <si>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</si>
  <si>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</si>
  <si>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</si>
  <si>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</si>
  <si>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</si>
  <si>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</si>
  <si>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Gap Inc/The</t>
  </si>
  <si>
    <t>GPS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</si>
  <si>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</si>
  <si>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</si>
  <si>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</si>
  <si>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</si>
  <si>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</si>
  <si>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</si>
  <si>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</si>
  <si>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</si>
  <si>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</si>
  <si>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</si>
  <si>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</si>
  <si>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</si>
  <si>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</si>
  <si>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</si>
  <si>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</si>
  <si>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</si>
  <si>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</si>
  <si>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</si>
  <si>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</si>
  <si>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</si>
  <si>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</si>
  <si>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</si>
  <si>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</si>
  <si>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</si>
  <si>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</si>
  <si>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</si>
  <si>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</si>
  <si>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</si>
  <si>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</si>
  <si>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</si>
  <si>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</si>
  <si>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</si>
  <si>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</si>
  <si>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</si>
  <si>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</si>
  <si>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</si>
  <si>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</si>
  <si>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WLTW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</si>
  <si>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</si>
  <si>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</si>
  <si>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</si>
  <si>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</si>
  <si>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</si>
  <si>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</si>
  <si>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</si>
  <si>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</si>
  <si>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</si>
  <si>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</si>
  <si>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</si>
  <si>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</si>
  <si>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</si>
  <si>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</si>
  <si>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</si>
  <si>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</si>
  <si>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Hanesbrands Inc</t>
  </si>
  <si>
    <t>HBI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</si>
  <si>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</si>
  <si>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</si>
  <si>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</si>
  <si>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</si>
  <si>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</si>
  <si>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</si>
  <si>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</si>
  <si>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</si>
  <si>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</si>
  <si>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</si>
  <si>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</si>
  <si>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</si>
  <si>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Leggett &amp; Platt Inc</t>
  </si>
  <si>
    <t>LEG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</si>
  <si>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</si>
  <si>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</si>
  <si>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</si>
  <si>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</si>
  <si>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</si>
  <si>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</si>
  <si>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</si>
  <si>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</si>
  <si>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</si>
  <si>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</si>
  <si>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</si>
  <si>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</si>
  <si>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</si>
  <si>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</si>
  <si>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</si>
  <si>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</si>
  <si>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</si>
  <si>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</si>
  <si>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</si>
  <si>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</si>
  <si>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</si>
  <si>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</si>
  <si>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</si>
  <si>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</si>
  <si>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</si>
  <si>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</si>
  <si>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</si>
  <si>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</si>
  <si>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</si>
  <si>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</si>
  <si>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</si>
  <si>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</si>
  <si>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</si>
  <si>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</si>
  <si>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</si>
  <si>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</si>
  <si>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</si>
  <si>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</si>
  <si>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</si>
  <si>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</si>
  <si>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</si>
  <si>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</si>
  <si>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</si>
  <si>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</si>
  <si>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</si>
  <si>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</si>
  <si>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</si>
  <si>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</si>
  <si>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</si>
  <si>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</si>
  <si>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</si>
  <si>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</si>
  <si>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</si>
  <si>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</si>
  <si>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</si>
  <si>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</si>
  <si>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</si>
  <si>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</si>
  <si>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</si>
  <si>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</si>
  <si>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</si>
  <si>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</si>
  <si>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</si>
  <si>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</si>
  <si>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</si>
  <si>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</si>
  <si>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</si>
  <si>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</si>
  <si>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</si>
  <si>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</si>
  <si>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</si>
  <si>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</si>
  <si>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</si>
  <si>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</si>
  <si>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</si>
  <si>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</si>
  <si>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</si>
  <si>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</si>
  <si>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</si>
  <si>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</si>
  <si>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</si>
  <si>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</si>
  <si>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</si>
  <si>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</si>
  <si>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</si>
  <si>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</si>
  <si>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</si>
  <si>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</si>
  <si>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</si>
  <si>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</si>
  <si>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</si>
  <si>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</si>
  <si>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</si>
  <si>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</si>
  <si>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</si>
  <si>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</si>
  <si>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</si>
  <si>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</si>
  <si>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</si>
  <si>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</si>
  <si>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</si>
  <si>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</si>
  <si>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</si>
  <si>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</si>
  <si>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</si>
  <si>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</si>
  <si>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</si>
  <si>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</si>
  <si>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</si>
  <si>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</si>
  <si>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</si>
  <si>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</si>
  <si>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</si>
  <si>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</si>
  <si>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</si>
  <si>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</si>
  <si>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</si>
  <si>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</si>
  <si>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</si>
  <si>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</si>
  <si>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</si>
  <si>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</si>
  <si>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</si>
  <si>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</si>
  <si>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</si>
  <si>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</si>
  <si>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</si>
  <si>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</si>
  <si>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</si>
  <si>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</si>
  <si>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</si>
  <si>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</si>
  <si>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</si>
  <si>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</si>
  <si>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</si>
  <si>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</si>
  <si>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</si>
  <si>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</si>
  <si>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</si>
  <si>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</si>
  <si>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</si>
  <si>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</si>
  <si>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</si>
  <si>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</si>
  <si>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</si>
  <si>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</si>
  <si>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</si>
  <si>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</si>
  <si>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</si>
  <si>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</si>
  <si>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</si>
  <si>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</si>
  <si>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</si>
  <si>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</si>
  <si>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</si>
  <si>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</si>
  <si>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</si>
  <si>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</si>
  <si>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</si>
  <si>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</si>
  <si>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</si>
  <si>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</si>
  <si>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</si>
  <si>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</si>
  <si>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</si>
  <si>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</si>
  <si>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</si>
  <si>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</si>
  <si>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</si>
  <si>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</si>
  <si>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</si>
  <si>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</si>
  <si>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</si>
  <si>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</si>
  <si>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</si>
  <si>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</si>
  <si>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</si>
  <si>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</si>
  <si>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</si>
  <si>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</si>
  <si>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</si>
  <si>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</si>
  <si>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</si>
  <si>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</si>
  <si>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</si>
  <si>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</si>
  <si>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</si>
  <si>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</si>
  <si>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</si>
  <si>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</si>
  <si>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</si>
  <si>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</si>
  <si>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</si>
  <si>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</si>
  <si>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</si>
  <si>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</si>
  <si>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</si>
  <si>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</si>
  <si>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</si>
  <si>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Cerner Corp</t>
  </si>
  <si>
    <t>CERN</t>
  </si>
  <si>
    <t>Cincinnati Financial Corp</t>
  </si>
  <si>
    <t>CINF</t>
  </si>
  <si>
    <t>ViacomCBS Inc</t>
  </si>
  <si>
    <t>VIAC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</si>
  <si>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</si>
  <si>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</si>
  <si>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</si>
  <si>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</si>
  <si>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</si>
  <si>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</si>
  <si>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</si>
  <si>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</si>
  <si>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</si>
  <si>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</si>
  <si>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</si>
  <si>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</si>
  <si>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</si>
  <si>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</si>
  <si>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</si>
  <si>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</si>
  <si>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</si>
  <si>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</si>
  <si>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</si>
  <si>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</si>
  <si>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</si>
  <si>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</si>
  <si>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</si>
  <si>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</si>
  <si>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</si>
  <si>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</si>
  <si>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</si>
  <si>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</si>
  <si>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</si>
  <si>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</si>
  <si>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</si>
  <si>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People's United Financial Inc</t>
  </si>
  <si>
    <t>PBCT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</si>
  <si>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</si>
  <si>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</si>
  <si>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</si>
  <si>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</si>
  <si>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</si>
  <si>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</si>
  <si>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</si>
  <si>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</si>
  <si>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</si>
  <si>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</si>
  <si>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</si>
  <si>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</si>
  <si>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</si>
  <si>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</si>
  <si>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</si>
  <si>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</si>
  <si>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</si>
  <si>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</si>
  <si>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</si>
  <si>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</si>
  <si>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</si>
  <si>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</si>
  <si>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</si>
  <si>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</si>
  <si>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</si>
  <si>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</si>
  <si>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</si>
  <si>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</si>
  <si>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</si>
  <si>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</si>
  <si>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</si>
  <si>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Xilinx Inc</t>
  </si>
  <si>
    <t>XLNX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</si>
  <si>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</si>
  <si>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</si>
  <si>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</si>
  <si>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</si>
  <si>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</si>
  <si>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</si>
  <si>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</si>
  <si>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</si>
  <si>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</si>
  <si>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</si>
  <si>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</si>
  <si>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</si>
  <si>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</si>
  <si>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</si>
  <si>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</si>
  <si>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</si>
  <si>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</si>
  <si>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</si>
  <si>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</si>
  <si>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</si>
  <si>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</si>
  <si>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</si>
  <si>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</si>
  <si>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</si>
  <si>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</si>
  <si>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</si>
  <si>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</si>
  <si>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</si>
  <si>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</si>
  <si>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</si>
  <si>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</si>
  <si>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</si>
  <si>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</si>
  <si>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</si>
  <si>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</si>
  <si>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</si>
  <si>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</si>
  <si>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</si>
  <si>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</si>
  <si>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</si>
  <si>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</si>
  <si>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</si>
  <si>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</si>
  <si>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</si>
  <si>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</si>
  <si>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</si>
  <si>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</si>
  <si>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</si>
  <si>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</si>
  <si>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</si>
  <si>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</si>
  <si>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</si>
  <si>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</si>
  <si>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</si>
  <si>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</si>
  <si>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</si>
  <si>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</si>
  <si>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</si>
  <si>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</si>
  <si>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</si>
  <si>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</si>
  <si>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</si>
  <si>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</si>
  <si>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</si>
  <si>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</si>
  <si>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</si>
  <si>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</si>
  <si>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</si>
  <si>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</si>
  <si>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</si>
  <si>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</si>
  <si>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</si>
  <si>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</si>
  <si>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</si>
  <si>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</si>
  <si>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</si>
  <si>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</si>
  <si>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</si>
  <si>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</si>
  <si>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</si>
  <si>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</si>
  <si>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</si>
  <si>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</si>
  <si>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</si>
  <si>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</si>
  <si>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</si>
  <si>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</si>
  <si>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</si>
  <si>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</si>
  <si>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</si>
  <si>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</si>
  <si>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</si>
  <si>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</si>
  <si>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</si>
  <si>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</si>
  <si>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</si>
  <si>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</si>
  <si>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</si>
  <si>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</si>
  <si>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</si>
  <si>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</si>
  <si>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</si>
  <si>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</si>
  <si>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</si>
  <si>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</si>
  <si>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</si>
  <si>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</si>
  <si>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</si>
  <si>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</si>
  <si>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</si>
  <si>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</si>
  <si>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</si>
  <si>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</si>
  <si>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</si>
  <si>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</si>
  <si>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</si>
  <si>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</si>
  <si>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</si>
  <si>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</si>
  <si>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</si>
  <si>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</si>
  <si>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</si>
  <si>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</si>
  <si>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</si>
  <si>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</si>
  <si>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</si>
  <si>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Western Union Co/The</t>
  </si>
  <si>
    <t>WU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</si>
  <si>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</si>
  <si>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</si>
  <si>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</si>
  <si>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</si>
  <si>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</si>
  <si>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</si>
  <si>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</si>
  <si>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</si>
  <si>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</si>
  <si>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</si>
  <si>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</si>
  <si>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</si>
  <si>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</si>
  <si>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</si>
  <si>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</si>
  <si>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</si>
  <si>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</si>
  <si>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</si>
  <si>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</si>
  <si>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</si>
  <si>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</si>
  <si>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</si>
  <si>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</si>
  <si>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</si>
  <si>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</si>
  <si>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</si>
  <si>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</si>
  <si>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</si>
  <si>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</si>
  <si>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</si>
  <si>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</si>
  <si>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</si>
  <si>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</si>
  <si>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</si>
  <si>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</si>
  <si>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</si>
  <si>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</si>
  <si>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</si>
  <si>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</si>
  <si>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</si>
  <si>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</si>
  <si>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</si>
  <si>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</si>
  <si>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</si>
  <si>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</si>
  <si>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</si>
  <si>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</si>
  <si>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</si>
  <si>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</si>
  <si>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</si>
  <si>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</si>
  <si>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</si>
  <si>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</si>
  <si>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</si>
  <si>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</si>
  <si>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</si>
  <si>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</si>
  <si>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</si>
  <si>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</si>
  <si>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</si>
  <si>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</si>
  <si>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</si>
  <si>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</si>
  <si>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</si>
  <si>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</si>
  <si>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</si>
  <si>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</si>
  <si>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</si>
  <si>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</si>
  <si>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</si>
  <si>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</si>
  <si>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Anthem Inc</t>
  </si>
  <si>
    <t>ANTM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</si>
  <si>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</si>
  <si>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</si>
  <si>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</si>
  <si>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</si>
  <si>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</si>
  <si>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</si>
  <si>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</si>
  <si>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</si>
  <si>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</si>
  <si>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</si>
  <si>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</si>
  <si>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</si>
  <si>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</si>
  <si>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</si>
  <si>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</si>
  <si>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</si>
  <si>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salesforce.com Inc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</si>
  <si>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</si>
  <si>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</si>
  <si>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</si>
  <si>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</si>
  <si>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</si>
  <si>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</si>
  <si>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</si>
  <si>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UA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</si>
  <si>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</si>
  <si>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</si>
  <si>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</si>
  <si>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</si>
  <si>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</si>
  <si>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</si>
  <si>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</si>
  <si>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</si>
  <si>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</si>
  <si>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</si>
  <si>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</si>
  <si>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</si>
  <si>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</si>
  <si>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</si>
  <si>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</si>
  <si>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</si>
  <si>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</si>
  <si>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</si>
  <si>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</si>
  <si>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</si>
  <si>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</si>
  <si>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</si>
  <si>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</si>
  <si>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</si>
  <si>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</si>
  <si>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</si>
  <si>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</si>
  <si>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</si>
  <si>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</si>
  <si>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</si>
  <si>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</si>
  <si>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</si>
  <si>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</si>
  <si>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</si>
  <si>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</si>
  <si>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</si>
  <si>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</si>
  <si>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</si>
  <si>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</si>
  <si>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</si>
  <si>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</si>
  <si>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</si>
  <si>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Discovery Inc</t>
  </si>
  <si>
    <t>DISCA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</si>
  <si>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</si>
  <si>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</si>
  <si>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</si>
  <si>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</si>
  <si>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</si>
  <si>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</si>
  <si>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</si>
  <si>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</si>
  <si>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</si>
  <si>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</si>
  <si>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</si>
  <si>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</si>
  <si>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</si>
  <si>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</si>
  <si>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</si>
  <si>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</si>
  <si>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</si>
  <si>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</si>
  <si>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</si>
  <si>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</si>
  <si>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</si>
  <si>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</si>
  <si>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</si>
  <si>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</si>
  <si>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</si>
  <si>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</si>
  <si>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</si>
  <si>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</si>
  <si>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</si>
  <si>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</si>
  <si>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</si>
  <si>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</si>
  <si>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</si>
  <si>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</si>
  <si>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</si>
  <si>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</si>
  <si>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</si>
  <si>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</si>
  <si>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</si>
  <si>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</si>
  <si>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</si>
  <si>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</si>
  <si>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</si>
  <si>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IHS Markit Ltd</t>
  </si>
  <si>
    <t>INFO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</si>
  <si>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</si>
  <si>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</si>
  <si>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</si>
  <si>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</si>
  <si>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</si>
  <si>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</si>
  <si>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</si>
  <si>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</si>
  <si>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</si>
  <si>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</si>
  <si>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</si>
  <si>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</si>
  <si>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</si>
  <si>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</si>
  <si>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</si>
  <si>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</si>
  <si>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Federal Realty Investment Trust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</si>
  <si>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</si>
  <si>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</si>
  <si>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</si>
  <si>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</si>
  <si>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</si>
  <si>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</si>
  <si>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</si>
  <si>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</si>
  <si>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</si>
  <si>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</si>
  <si>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</si>
  <si>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</si>
  <si>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</si>
  <si>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</si>
  <si>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</si>
  <si>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</si>
  <si>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</si>
  <si>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</si>
  <si>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</si>
  <si>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</si>
  <si>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FB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</si>
  <si>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</si>
  <si>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</si>
  <si>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</si>
  <si>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</si>
  <si>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</si>
  <si>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</si>
  <si>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</si>
  <si>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</si>
  <si>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</si>
  <si>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</si>
  <si>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</si>
  <si>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</si>
  <si>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</si>
  <si>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</si>
  <si>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</si>
  <si>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</si>
  <si>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</si>
  <si>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</si>
  <si>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</si>
  <si>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</si>
  <si>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</si>
  <si>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</si>
  <si>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</si>
  <si>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</si>
  <si>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</si>
  <si>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</si>
  <si>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</si>
  <si>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</si>
  <si>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</si>
  <si>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</si>
  <si>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</si>
  <si>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</si>
  <si>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 National Gaming Inc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</si>
  <si>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</si>
  <si>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</si>
  <si>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</si>
  <si>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</si>
  <si>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</si>
  <si>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</si>
  <si>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</si>
  <si>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</si>
  <si>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</si>
  <si>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</si>
  <si>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Crown Castle International Corp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</si>
  <si>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</si>
  <si>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</si>
  <si>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</si>
  <si>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</si>
  <si>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</si>
  <si>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</si>
  <si>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</si>
  <si>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</si>
  <si>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</si>
  <si>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</si>
  <si>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</si>
  <si>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</si>
  <si>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</si>
  <si>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</si>
  <si>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</si>
  <si>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</si>
  <si>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</si>
  <si>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</si>
  <si>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</si>
  <si>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</si>
  <si>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</si>
  <si>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</si>
  <si>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</si>
  <si>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DISCK</t>
  </si>
  <si>
    <t>[1] Equals sum of Col. [9]</t>
  </si>
  <si>
    <t>[2] Equals sum of Col. [11]</t>
  </si>
  <si>
    <t>[3] Equals ([1] x (1 + (0.5 x [2]))) + [2]</t>
  </si>
  <si>
    <t>[4] Source: Bloomberg Professional as of November 30, 2021</t>
  </si>
  <si>
    <t>[5] Source: Bloomberg Professional as of November 30, 2021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</si>
  <si>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</si>
  <si>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</si>
  <si>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[8] Source: Bloomberg Professional, as of November 30, 2021</t>
  </si>
  <si>
    <t>[9] Equals [7] x [8]</t>
  </si>
  <si>
    <t>[10] Source: Value Line, as of November 30, 2021</t>
  </si>
  <si>
    <t>[11] Equals [7] x [10]</t>
  </si>
  <si>
    <t>Risk Premium -- Vertically Integrated Electric Utilities</t>
  </si>
  <si>
    <t>Average Authorized VI Electric ROE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</si>
  <si>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</si>
  <si>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</si>
  <si>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</si>
  <si>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</si>
  <si>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</si>
  <si>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</si>
  <si>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</si>
  <si>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</si>
  <si>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</si>
  <si>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</si>
  <si>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</si>
  <si>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</si>
  <si>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</si>
  <si>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</si>
  <si>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</si>
  <si>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</si>
  <si>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</si>
  <si>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</si>
  <si>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</si>
  <si>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</si>
  <si>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</si>
  <si>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</si>
  <si>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</si>
  <si>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</si>
  <si>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</si>
  <si>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</si>
  <si>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</si>
  <si>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</si>
  <si>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</si>
  <si>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</si>
  <si>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</si>
  <si>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</si>
  <si>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</si>
  <si>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</si>
  <si>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</si>
  <si>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</si>
  <si>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</si>
  <si>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</si>
  <si>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</si>
  <si>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</si>
  <si>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</si>
  <si>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</si>
  <si>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</si>
  <si>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</si>
  <si>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</si>
  <si>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</si>
  <si>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</si>
  <si>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</si>
  <si>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</si>
  <si>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</si>
  <si>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</si>
  <si>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</si>
  <si>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</si>
  <si>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</si>
  <si>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</si>
  <si>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</si>
  <si>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</si>
  <si>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</si>
  <si>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</si>
  <si>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</si>
  <si>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</si>
  <si>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</si>
  <si>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</si>
  <si>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</si>
  <si>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</si>
  <si>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</si>
  <si>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</si>
  <si>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</si>
  <si>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</si>
  <si>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</si>
  <si>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</si>
  <si>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</si>
  <si>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</si>
  <si>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Blue Chip Long-Term Projected Forecast (2023-2027) [6]</t>
  </si>
  <si>
    <t>2003.4</t>
  </si>
  <si>
    <t>AVERAGE</t>
  </si>
  <si>
    <t>2004.1</t>
  </si>
  <si>
    <t>2004.2</t>
  </si>
  <si>
    <t>2004.3</t>
  </si>
  <si>
    <t>[1] Source: Regulatory Research Associates, rate cases through November 30, 2021</t>
  </si>
  <si>
    <t>2004.4</t>
  </si>
  <si>
    <t>[2] Source: Bloomberg Professional, quarterly bond yields are the average of each trading day in the quarter</t>
  </si>
  <si>
    <t>2005.1</t>
  </si>
  <si>
    <t>[3] Equals Column [1] − Column [2]</t>
  </si>
  <si>
    <t>2005.2</t>
  </si>
  <si>
    <t>[4] Source: Bloomberg Professional, 30-day average as of November 30, 2021</t>
  </si>
  <si>
    <t>2005.3</t>
  </si>
  <si>
    <t>[5] Source: Blue Chip Financial Forecasts, Vol. 40, No. 12, December 1, 2021, at 2</t>
  </si>
  <si>
    <t>2005.4</t>
  </si>
  <si>
    <t>[6] Source: Blue Chip Financial Forecasts, Vol. 40, No. 12, December 1, 2020, at 14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</si>
  <si>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</si>
  <si>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</si>
  <si>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</si>
  <si>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</si>
  <si>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</si>
  <si>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</si>
  <si>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</si>
  <si>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</si>
  <si>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</si>
  <si>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</si>
  <si>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</si>
  <si>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</si>
  <si>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</si>
  <si>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</si>
  <si>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</si>
  <si>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</si>
  <si>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</si>
  <si>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</si>
  <si>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</si>
  <si>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</si>
  <si>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</si>
  <si>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</si>
  <si>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</si>
  <si>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</si>
  <si>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</si>
  <si>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</si>
  <si>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</si>
  <si>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</si>
  <si>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</si>
  <si>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</si>
  <si>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</si>
  <si>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</si>
  <si>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</si>
  <si>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</si>
  <si>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</si>
  <si>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</si>
  <si>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</si>
  <si>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</si>
  <si>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</si>
  <si>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</si>
  <si>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</si>
  <si>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</si>
  <si>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</si>
  <si>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</si>
  <si>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</si>
  <si>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</si>
  <si>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</si>
  <si>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</si>
  <si>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</si>
  <si>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</si>
  <si>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</si>
  <si>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</si>
  <si>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</si>
  <si>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</si>
  <si>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</si>
  <si>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</si>
  <si>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</si>
  <si>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</si>
  <si>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</si>
  <si>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</si>
  <si>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</si>
  <si>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</si>
  <si>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</si>
  <si>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</si>
  <si>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Value Line ROE
2024-2026</t>
  </si>
  <si>
    <t>Value Line
Total Capital
2020</t>
  </si>
  <si>
    <t>Value Line
Common Equity Ratio 
2020</t>
  </si>
  <si>
    <t>Total Equity 
2020</t>
  </si>
  <si>
    <t>Value Line
Total Capital
2024-2026</t>
  </si>
  <si>
    <t>Value Line
Common Equity Ratio
2024-2026</t>
  </si>
  <si>
    <t>Total Equity 
2024-2026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</si>
  <si>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</si>
  <si>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</si>
  <si>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</si>
  <si>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</si>
  <si>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</si>
  <si>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</si>
  <si>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</si>
  <si>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</si>
  <si>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</si>
  <si>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</si>
  <si>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</si>
  <si>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2021-2025 CAPITAL EXPENDITURES AS A PERCENT OF 2020 NET PLANT</t>
  </si>
  <si>
    <t>($ Millions)</t>
  </si>
  <si>
    <t>2021-25</t>
  </si>
  <si>
    <t>Cap. Ex. /</t>
  </si>
  <si>
    <t>Net Plant</t>
  </si>
  <si>
    <t>Rank</t>
  </si>
  <si>
    <t>Capital Spending per Share</t>
  </si>
  <si>
    <t>Common Shares Outstanding</t>
  </si>
  <si>
    <t>Capital Expenditures</t>
  </si>
  <si>
    <t>Puget Sound Energy</t>
  </si>
  <si>
    <t>PSE</t>
  </si>
  <si>
    <t>Capital Expenditures [8]</t>
  </si>
  <si>
    <t>Net Plant [9]</t>
  </si>
  <si>
    <t>Puget Sound Energy CapEx Annual Average</t>
  </si>
  <si>
    <t>Proxy Group Median</t>
  </si>
  <si>
    <t>Puget Sound Energy as % Proxy Group Median</t>
  </si>
  <si>
    <t>[1] - [6] Source: Value Line, dated  July 23, 2021, August 13, 2021 and September 10, 2021.</t>
  </si>
  <si>
    <t xml:space="preserve">[7] Equals (Column [2] + [3] + [4] + [5] + [6]) /  Column [1] </t>
  </si>
  <si>
    <t>[8] Source: Company Provided Data</t>
  </si>
  <si>
    <t>[9] Source: Company Provided Data</t>
  </si>
  <si>
    <t>For Chart Median</t>
  </si>
  <si>
    <t>Puget Sound Energy/Proxy Group</t>
  </si>
  <si>
    <t>RISK ASSESSMENT</t>
  </si>
  <si>
    <t>Proxy Group Company</t>
  </si>
  <si>
    <t>Operation State</t>
  </si>
  <si>
    <t>Operation</t>
  </si>
  <si>
    <t>Test Year</t>
  </si>
  <si>
    <t>Rate Base</t>
  </si>
  <si>
    <t>Revenue Decoupling</t>
  </si>
  <si>
    <t>Capital Cost Recovery Mechanism</t>
  </si>
  <si>
    <t>Indiana</t>
  </si>
  <si>
    <t>Electric</t>
  </si>
  <si>
    <t>Fully Forecast</t>
  </si>
  <si>
    <t>Year End</t>
  </si>
  <si>
    <t>Partial</t>
  </si>
  <si>
    <t>Gas</t>
  </si>
  <si>
    <t>Kentucky</t>
  </si>
  <si>
    <t>Maryland</t>
  </si>
  <si>
    <t>Partially Forecast</t>
  </si>
  <si>
    <t>Ohio</t>
  </si>
  <si>
    <t>Pennsylvania</t>
  </si>
  <si>
    <t>Virginia</t>
  </si>
  <si>
    <t>Historical</t>
  </si>
  <si>
    <t>Iowa</t>
  </si>
  <si>
    <t>Wisconsin</t>
  </si>
  <si>
    <t>Alaska</t>
  </si>
  <si>
    <t>Idaho</t>
  </si>
  <si>
    <t>Yes - Sharing Band</t>
  </si>
  <si>
    <t>Full</t>
  </si>
  <si>
    <t>Oregon</t>
  </si>
  <si>
    <t>Washington</t>
  </si>
  <si>
    <t>Arkansas</t>
  </si>
  <si>
    <t>Colorado</t>
  </si>
  <si>
    <t>Kansas</t>
  </si>
  <si>
    <t>Nebraska</t>
  </si>
  <si>
    <t>South Dakota</t>
  </si>
  <si>
    <t>Wyoming</t>
  </si>
  <si>
    <t>Michigan</t>
  </si>
  <si>
    <t>Florida</t>
  </si>
  <si>
    <t>North Carolina</t>
  </si>
  <si>
    <t>N/A</t>
  </si>
  <si>
    <t>Ohio [6]</t>
  </si>
  <si>
    <t>South Carolina</t>
  </si>
  <si>
    <t>Tennessee</t>
  </si>
  <si>
    <t>MGE Energy, Inc,</t>
  </si>
  <si>
    <t>Texas</t>
  </si>
  <si>
    <t>Montana</t>
  </si>
  <si>
    <t>Alabama</t>
  </si>
  <si>
    <t>Georgia</t>
  </si>
  <si>
    <t>Georgia [6]</t>
  </si>
  <si>
    <t>Illinois</t>
  </si>
  <si>
    <t>Mississippi</t>
  </si>
  <si>
    <t>Minnesota</t>
  </si>
  <si>
    <t>New Mexico</t>
  </si>
  <si>
    <t>North Dakota</t>
  </si>
  <si>
    <t>North Dakota [6]</t>
  </si>
  <si>
    <t>Capital Cost Recovery</t>
  </si>
  <si>
    <t>Proxy Group Average</t>
  </si>
  <si>
    <t>Yes / N/A</t>
  </si>
  <si>
    <t>Forecast</t>
  </si>
  <si>
    <t>RDM</t>
  </si>
  <si>
    <t>CCRM</t>
  </si>
  <si>
    <t>Puget Sound Energy [7]</t>
  </si>
  <si>
    <t>Electric and Gas</t>
  </si>
  <si>
    <t xml:space="preserve">[1] Source: S&amp;P Global Market Intelligence, Regulatory Focus: Adjustment Clauses, dated November 12, 2019. Operating subsidiaries not covered in this report were excluded from this exhibit. </t>
  </si>
  <si>
    <t>[2] Source: "Alternative Regulation for Evolving Utility Challenges," Prepared by Pacific Economics Group Research for Edison Electric Institute, Table 6, November 2015; S&amp;P RRA Research; Company Investor Presentations.</t>
  </si>
  <si>
    <t>[3] Source:  Regulatory Research Associates, effective as of October 27, 20121.</t>
  </si>
  <si>
    <t xml:space="preserve">[4] - [5] Source: S&amp;P Global Market Intelligence, Regulatory Focus: Adjustment Clauses, dated November 12, 2019. </t>
  </si>
  <si>
    <t>[6] Operations classified as full revenue decoupling since the company operates under a straight fixed-variable rate design.</t>
  </si>
  <si>
    <t>[7] Data provided by PSE</t>
  </si>
  <si>
    <t>CAPITAL STRUCTURE ANALYSIS</t>
  </si>
  <si>
    <t>COMMON EQUITY RATIO [1]</t>
  </si>
  <si>
    <t>LONG-TERM DEBT RATIO [1]</t>
  </si>
  <si>
    <t>SHORT-TERM DEBT RATIO [1]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</si>
  <si>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</si>
  <si>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</si>
  <si>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</si>
  <si>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</si>
  <si>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</si>
  <si>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</si>
  <si>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</si>
  <si>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</si>
  <si>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The Southern Company</t>
  </si>
  <si>
    <t>MEAN</t>
  </si>
  <si>
    <t>HIGH</t>
  </si>
  <si>
    <t>COMMON EQUITY RATIO - UTILITY OPERATING COMPANIES [2]</t>
  </si>
  <si>
    <t>LONG-TERM DEBT RATIO - UTILITY OPERATING COMPANIES [2]</t>
  </si>
  <si>
    <t>SHORT-TERM DEBT RATIO - UTILITY OPERATING COMPANIES [2]</t>
  </si>
  <si>
    <t>Company Name</t>
  </si>
  <si>
    <t>Interstate Power and Light Company</t>
  </si>
  <si>
    <t>Wisconsin Power and Light Company</t>
  </si>
  <si>
    <t>Ameren Illinois Company</t>
  </si>
  <si>
    <t>Union Electric Company</t>
  </si>
  <si>
    <t>Alaska Electric Light and Power Company</t>
  </si>
  <si>
    <t>Black Hills Colorado Electric Utility Company, LP</t>
  </si>
  <si>
    <t>Black Hills Power, Inc.</t>
  </si>
  <si>
    <t>Cheyenne Light, Fuel and Power Company</t>
  </si>
  <si>
    <t>Consumers Energy Company</t>
  </si>
  <si>
    <t>Duke Energy Carolinas, LLC</t>
  </si>
  <si>
    <t>Duke Energy Florida, LLC</t>
  </si>
  <si>
    <t>Duke Energy Indiana, LLC</t>
  </si>
  <si>
    <t>Duke Energy Kentucky, Inc.</t>
  </si>
  <si>
    <t>Duke Energy Ohio, Inc.</t>
  </si>
  <si>
    <t>Duke Energy Progress, LLC</t>
  </si>
  <si>
    <t>Madison Gas and Electric Company</t>
  </si>
  <si>
    <t>Florida Power &amp; Light Company</t>
  </si>
  <si>
    <t>Northern Indiana Public Service Company</t>
  </si>
  <si>
    <t>Alabama Power Company</t>
  </si>
  <si>
    <t>Georgia Power Company</t>
  </si>
  <si>
    <t>Gulf Power Company</t>
  </si>
  <si>
    <t>Mississippi Power Company</t>
  </si>
  <si>
    <t>Wisconsin Electric Power Company</t>
  </si>
  <si>
    <t>Wisconsin Public Service Corporation</t>
  </si>
  <si>
    <t>Northern States Power Company - MN</t>
  </si>
  <si>
    <t>Northern States Power Company - WI</t>
  </si>
  <si>
    <t>Public Service Company of Colorado</t>
  </si>
  <si>
    <t>Southwestern Public Service Company</t>
  </si>
  <si>
    <t>[1] Ratios are weighted by actual common capital, preferred capital, and long-term debt of Operating Subsidiaries.</t>
  </si>
  <si>
    <t xml:space="preserve">[2] Natural Gas and Electric Operating Subsidiaries with data listed as N/A from SNL Financial have been excluded from the analysis.  </t>
  </si>
  <si>
    <t>Electric fuel/gas commodity/purchase power</t>
  </si>
  <si>
    <t>Full [8]</t>
  </si>
  <si>
    <t>[8] Straight Fixed Variable raate design</t>
  </si>
  <si>
    <t>Value Line</t>
  </si>
  <si>
    <t xml:space="preserve">Cap-Weighted </t>
  </si>
  <si>
    <t>Cap-Weighted</t>
  </si>
  <si>
    <t>Long-Term</t>
  </si>
  <si>
    <t>Growth Est.</t>
  </si>
  <si>
    <t xml:space="preserve">COMPARISON OF PUGET SOUND ENERGY AND PROXY GROUP COMPANIES  </t>
  </si>
  <si>
    <t>Blue Chip Near-Term Projected Forecast (Q1 2022 - Q1 2023) [5]</t>
  </si>
  <si>
    <t>[6] Source: Blue Chip Financial Forecasts, Vol. 40, No. 12, December 1, 2021, at 14</t>
  </si>
  <si>
    <t>Puget Sound Energy CapEx Total (2022 - 2026)</t>
  </si>
  <si>
    <t>[1] - [6] Source: Value Line.</t>
  </si>
  <si>
    <t>2021-2026</t>
  </si>
  <si>
    <r>
      <t>COMPARISION OF CAPITAL EXPENDITURES/NET PLANT 2021-2026</t>
    </r>
    <r>
      <rPr>
        <vertAlign val="superscript"/>
        <sz val="10"/>
        <rFont val="Arial"/>
        <family val="2"/>
      </rPr>
      <t>1</t>
    </r>
  </si>
  <si>
    <r>
      <t>Projected CAPEX / 2020 Net Plant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</si>
  <si>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2 </t>
    </r>
    <r>
      <rPr>
        <sz val="10"/>
        <color theme="1"/>
        <rFont val="Arial"/>
        <family val="2"/>
      </rPr>
      <t>Puget Sound Energy Net Plant is as of June 30, 2021, Proxy Group data as of December 31, 2020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</si>
  <si>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Puget Sound Energy capital projections as of 2022-2026,  proxy group data as of 2021-2025</t>
    </r>
  </si>
  <si>
    <t xml:space="preserve">Notes: </t>
  </si>
  <si>
    <t xml:space="preserve">Avista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</si>
</sst>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[&quot;#&quot;]&quot;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0.00_);\(0.00\)"/>
    <numFmt numFmtId="169" formatCode="&quot;$&quot;* #,##0_);&quot;$&quot;* \(#,##0\)"/>
    <numFmt numFmtId="170" formatCode="_(* #,##0.00000_);_(* \(#,##0.00000\);_(* &quot;-&quot;?????_);_(@_)"/>
    <numFmt numFmtId="171" formatCode="0.00000%"/>
    <numFmt numFmtId="172" formatCode="0.0000"/>
    <numFmt numFmtId="173" formatCode="0.0"/>
    <numFmt numFmtId="174" formatCode="General_)"/>
    <numFmt numFmtId="175" formatCode="_(* #,##0.0000_);_(* \(#,##0.0000\);_(* &quot;-&quot;??_);_(@_)"/>
    <numFmt numFmtId="176" formatCode="0.000"/>
    <numFmt numFmtId="177" formatCode="[$-409]mmm\-yy;@"/>
    <numFmt numFmtId="178" formatCode="&quot;$&quot;#,##0.0"/>
    <numFmt numFmtId="179" formatCode="0.0%"/>
    <numFmt numFmtId="180" formatCode="&quot;$&quot;#,##0"/>
    <numFmt numFmtId="181" formatCode="0.000000"/>
  </numFmts>
  <fonts count="1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10"/>
      <color theme="1"/>
      <name val="Arie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62"/>
      <name val="Arial"/>
      <family val="2"/>
    </font>
    <font>
      <b/>
      <sz val="12"/>
      <name val="Tms Rmn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.7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12"/>
      <name val="MS Sans Serif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1"/>
      <name val="Garamond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u/>
      <sz val="10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12">
    <xf numFmtId="0" fontId="0" fillId="0" borderId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31" fillId="0" borderId="0"/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42" fontId="29" fillId="0" borderId="0" applyFill="0" applyBorder="0" applyProtection="0">
      <alignment horizontal="left"/>
    </xf>
    <xf numFmtId="42" fontId="51" fillId="0" borderId="0" applyFill="0" applyBorder="0" applyAlignment="0" applyProtection="0"/>
    <xf numFmtId="44" fontId="31" fillId="0" borderId="0">
      <alignment horizontal="left"/>
    </xf>
    <xf numFmtId="167" fontId="29" fillId="0" borderId="12" applyBorder="0">
      <alignment horizont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8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8" fillId="3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8" fillId="35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8" fillId="3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8" fillId="37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8" fillId="3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8" fillId="3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8" fillId="4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8" fillId="4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8" fillId="3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8" fillId="39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8" fillId="4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2" fillId="4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2" fillId="4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2" fillId="4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2" fillId="44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2" fillId="45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2" fillId="4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2" fillId="47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2" fillId="48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2" fillId="49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2" fillId="44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2" fillId="45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2" fillId="50" borderId="0" applyNumberFormat="0" applyBorder="0" applyAlignment="0" applyProtection="0"/>
    <xf numFmtId="43" fontId="31" fillId="0" borderId="0">
      <alignment horizontal="left"/>
    </xf>
    <xf numFmtId="168" fontId="31" fillId="0" borderId="0">
      <alignment horizontal="left"/>
    </xf>
    <xf numFmtId="37" fontId="29" fillId="0" borderId="0" applyNumberFormat="0" applyBorder="0" applyAlignment="0"/>
    <xf numFmtId="38" fontId="53" fillId="0" borderId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4" fillId="34" borderId="0" applyNumberFormat="0" applyBorder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55" fillId="51" borderId="13" applyNumberFormat="0" applyAlignment="0" applyProtection="0"/>
    <xf numFmtId="0" fontId="55" fillId="51" borderId="13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56" fillId="52" borderId="14" applyNumberFormat="0" applyAlignment="0" applyProtection="0"/>
    <xf numFmtId="37" fontId="31" fillId="0" borderId="0">
      <alignment horizontal="center"/>
    </xf>
    <xf numFmtId="37" fontId="29" fillId="0" borderId="0" applyNumberFormat="0" applyFill="0" applyBorder="0" applyProtection="0">
      <alignment horizontal="centerContinuous"/>
    </xf>
    <xf numFmtId="37" fontId="31" fillId="0" borderId="15">
      <alignment horizontal="center"/>
    </xf>
    <xf numFmtId="37" fontId="31" fillId="0" borderId="15">
      <alignment horizontal="center"/>
    </xf>
    <xf numFmtId="0" fontId="57" fillId="53" borderId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3" fontId="29" fillId="0" borderId="0" applyFont="0" applyFill="0" applyBorder="0" applyAlignment="0" applyProtection="0"/>
    <xf numFmtId="37" fontId="29" fillId="0" borderId="0" applyFill="0" applyBorder="0" applyAlignment="0" applyProtection="0"/>
    <xf numFmtId="0" fontId="29" fillId="0" borderId="0" applyNumberFormat="0" applyFill="0" applyBorder="0" applyAlignment="0" applyProtection="0"/>
    <xf numFmtId="4" fontId="63" fillId="0" borderId="1" applyFill="0" applyProtection="0">
      <alignment horizontal="center" vertical="center" wrapText="1"/>
    </xf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1" fontId="29" fillId="0" borderId="0" applyFill="0" applyBorder="0" applyAlignment="0" applyProtection="0"/>
    <xf numFmtId="42" fontId="29" fillId="0" borderId="2"/>
    <xf numFmtId="42" fontId="29" fillId="0" borderId="2"/>
    <xf numFmtId="43" fontId="29" fillId="0" borderId="0" applyBorder="0">
      <alignment horizontal="left"/>
    </xf>
    <xf numFmtId="5" fontId="29" fillId="0" borderId="0" applyFill="0" applyBorder="0" applyAlignment="0" applyProtection="0"/>
    <xf numFmtId="0" fontId="65" fillId="0" borderId="0"/>
    <xf numFmtId="0" fontId="65" fillId="0" borderId="0"/>
    <xf numFmtId="0" fontId="65" fillId="0" borderId="16"/>
    <xf numFmtId="0" fontId="29" fillId="0" borderId="0" applyFont="0" applyFill="0" applyBorder="0" applyAlignment="0" applyProtection="0"/>
    <xf numFmtId="169" fontId="29" fillId="0" borderId="0"/>
    <xf numFmtId="7" fontId="66" fillId="0" borderId="17"/>
    <xf numFmtId="7" fontId="66" fillId="0" borderId="17"/>
    <xf numFmtId="7" fontId="66" fillId="0" borderId="17"/>
    <xf numFmtId="7" fontId="66" fillId="0" borderId="17"/>
    <xf numFmtId="4" fontId="67" fillId="0" borderId="0" applyFont="0" applyBorder="0">
      <alignment horizontal="justify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29" fillId="0" borderId="0" applyFont="0" applyFill="0" applyBorder="0" applyAlignment="0" applyProtection="0"/>
    <xf numFmtId="38" fontId="51" fillId="0" borderId="0"/>
    <xf numFmtId="170" fontId="29" fillId="0" borderId="0">
      <alignment horizontal="center"/>
    </xf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69" fillId="35" borderId="0" applyNumberFormat="0" applyBorder="0" applyAlignment="0" applyProtection="0"/>
    <xf numFmtId="38" fontId="70" fillId="0" borderId="0"/>
    <xf numFmtId="49" fontId="71" fillId="0" borderId="0" applyNumberFormat="0" applyFill="0" applyBorder="0" applyProtection="0">
      <alignment horizontal="centerContinuous"/>
    </xf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72" fillId="0" borderId="18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73" fillId="0" borderId="19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74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59" fillId="54" borderId="0"/>
    <xf numFmtId="0" fontId="59" fillId="54" borderId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78" fillId="38" borderId="13" applyNumberFormat="0" applyAlignment="0" applyProtection="0"/>
    <xf numFmtId="0" fontId="78" fillId="38" borderId="13" applyNumberFormat="0" applyAlignment="0" applyProtection="0"/>
    <xf numFmtId="0" fontId="79" fillId="55" borderId="16"/>
    <xf numFmtId="37" fontId="80" fillId="0" borderId="0" applyBorder="0" applyAlignment="0" applyProtection="0"/>
    <xf numFmtId="0" fontId="80" fillId="56" borderId="0"/>
    <xf numFmtId="41" fontId="51" fillId="0" borderId="0" applyFill="0" applyBorder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81" fillId="0" borderId="21" applyNumberFormat="0" applyFill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82" fillId="57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60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8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61" fillId="0" borderId="0"/>
    <xf numFmtId="0" fontId="29" fillId="0" borderId="0"/>
    <xf numFmtId="0" fontId="29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64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31" fillId="0" borderId="0"/>
    <xf numFmtId="0" fontId="29" fillId="0" borderId="0" applyNumberFormat="0" applyFill="0" applyBorder="0" applyAlignment="0" applyProtection="0"/>
    <xf numFmtId="0" fontId="21" fillId="0" borderId="0"/>
    <xf numFmtId="0" fontId="21" fillId="0" borderId="0"/>
    <xf numFmtId="0" fontId="84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171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 applyNumberFormat="0" applyFill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5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29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85" fillId="0" borderId="0"/>
    <xf numFmtId="0" fontId="85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29" fillId="0" borderId="0" applyFill="0" applyBorder="0" applyAlignment="0" applyProtection="0"/>
    <xf numFmtId="37" fontId="29" fillId="0" borderId="0" applyFill="0" applyBorder="0" applyProtection="0"/>
    <xf numFmtId="37" fontId="29" fillId="0" borderId="0" applyBorder="0" applyAlignment="0" applyProtection="0"/>
    <xf numFmtId="0" fontId="58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9" fillId="58" borderId="22" applyNumberFormat="0" applyFon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86" fillId="51" borderId="23" applyNumberFormat="0" applyAlignment="0" applyProtection="0"/>
    <xf numFmtId="0" fontId="86" fillId="51" borderId="23" applyNumberFormat="0" applyAlignment="0" applyProtection="0"/>
    <xf numFmtId="40" fontId="87" fillId="54" borderId="0">
      <alignment horizontal="right"/>
    </xf>
    <xf numFmtId="0" fontId="88" fillId="54" borderId="0">
      <alignment horizontal="right"/>
    </xf>
    <xf numFmtId="0" fontId="89" fillId="54" borderId="24"/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3" fontId="63" fillId="0" borderId="1" applyFill="0" applyProtection="0">
      <alignment horizontal="center" vertical="center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37" fontId="80" fillId="0" borderId="0" applyNumberFormat="0" applyBorder="0" applyAlignment="0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93" fillId="0" borderId="1">
      <alignment horizontal="center"/>
    </xf>
    <xf numFmtId="3" fontId="92" fillId="0" borderId="0" applyFont="0" applyFill="0" applyBorder="0" applyAlignment="0" applyProtection="0"/>
    <xf numFmtId="0" fontId="92" fillId="59" borderId="0" applyNumberFormat="0" applyFont="0" applyBorder="0" applyAlignment="0" applyProtection="0"/>
    <xf numFmtId="0" fontId="94" fillId="0" borderId="25"/>
    <xf numFmtId="0" fontId="65" fillId="0" borderId="0"/>
    <xf numFmtId="0" fontId="65" fillId="0" borderId="0"/>
    <xf numFmtId="49" fontId="29" fillId="0" borderId="0">
      <alignment horizontal="left" wrapText="1"/>
    </xf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>
      <alignment wrapText="1"/>
    </xf>
    <xf numFmtId="0" fontId="56" fillId="61" borderId="0" applyNumberFormat="0" applyBorder="0" applyAlignment="0" applyProtection="0"/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99" fillId="0" borderId="26"/>
    <xf numFmtId="0" fontId="65" fillId="0" borderId="16"/>
    <xf numFmtId="0" fontId="65" fillId="0" borderId="16"/>
    <xf numFmtId="37" fontId="100" fillId="0" borderId="0">
      <alignment horizontal="left"/>
    </xf>
    <xf numFmtId="37" fontId="29" fillId="0" borderId="0">
      <alignment horizontal="left" indent="1"/>
    </xf>
    <xf numFmtId="37" fontId="29" fillId="0" borderId="0">
      <alignment horizontal="left" indent="2"/>
    </xf>
    <xf numFmtId="37" fontId="29" fillId="0" borderId="0">
      <alignment horizontal="left" indent="3"/>
    </xf>
    <xf numFmtId="37" fontId="100" fillId="0" borderId="0">
      <alignment horizontal="left"/>
    </xf>
    <xf numFmtId="37" fontId="100" fillId="0" borderId="0">
      <alignment horizontal="left" indent="1"/>
    </xf>
    <xf numFmtId="49" fontId="31" fillId="0" borderId="0">
      <alignment horizontal="left" vertical="center" wrapText="1" indent="1"/>
    </xf>
    <xf numFmtId="0" fontId="101" fillId="0" borderId="0" applyAlignment="0"/>
    <xf numFmtId="0" fontId="29" fillId="0" borderId="0"/>
    <xf numFmtId="0" fontId="102" fillId="63" borderId="0"/>
    <xf numFmtId="0" fontId="102" fillId="63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>
      <alignment horizontal="left" vertical="center"/>
    </xf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79" fillId="0" borderId="28"/>
    <xf numFmtId="0" fontId="79" fillId="0" borderId="28"/>
    <xf numFmtId="0" fontId="79" fillId="0" borderId="16"/>
    <xf numFmtId="0" fontId="79" fillId="0" borderId="16"/>
    <xf numFmtId="174" fontId="106" fillId="0" borderId="0"/>
    <xf numFmtId="39" fontId="66" fillId="0" borderId="29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8" fillId="0" borderId="0"/>
    <xf numFmtId="0" fontId="3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09" fillId="0" borderId="0"/>
    <xf numFmtId="0" fontId="29" fillId="0" borderId="0"/>
    <xf numFmtId="0" fontId="31" fillId="0" borderId="0"/>
    <xf numFmtId="0" fontId="31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1" fillId="0" borderId="0"/>
    <xf numFmtId="0" fontId="3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/>
    <xf numFmtId="0" fontId="29" fillId="0" borderId="32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3" fillId="0" borderId="32" applyFill="0" applyProtection="0">
      <alignment horizontal="center" vertical="center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29" fillId="0" borderId="31"/>
    <xf numFmtId="42" fontId="29" fillId="0" borderId="3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0" fontId="29" fillId="0" borderId="0"/>
    <xf numFmtId="9" fontId="4" fillId="0" borderId="0" applyFont="0" applyFill="0" applyBorder="0" applyAlignment="0" applyProtection="0"/>
    <xf numFmtId="0" fontId="29" fillId="0" borderId="0"/>
    <xf numFmtId="3" fontId="63" fillId="0" borderId="32" applyFill="0" applyProtection="0">
      <alignment horizontal="center" vertical="center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3" fillId="0" borderId="32">
      <alignment horizontal="center"/>
    </xf>
    <xf numFmtId="0" fontId="29" fillId="0" borderId="0"/>
    <xf numFmtId="37" fontId="31" fillId="0" borderId="51">
      <alignment horizontal="center"/>
    </xf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6" fillId="0" borderId="0"/>
    <xf numFmtId="0" fontId="117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18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7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31" fillId="0" borderId="51">
      <alignment horizont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28" fillId="0" borderId="0" xfId="0" applyFont="1"/>
    <xf numFmtId="0" fontId="29" fillId="0" borderId="0" xfId="0" applyFont="1"/>
    <xf numFmtId="0" fontId="29" fillId="0" borderId="0" xfId="0" quotePrefix="1" applyFont="1"/>
    <xf numFmtId="165" fontId="29" fillId="0" borderId="0" xfId="0" applyNumberFormat="1" applyFont="1" applyAlignment="1">
      <alignment horizontal="center"/>
    </xf>
    <xf numFmtId="0" fontId="29" fillId="0" borderId="0" xfId="9388" applyFont="1"/>
    <xf numFmtId="10" fontId="29" fillId="0" borderId="0" xfId="0" applyNumberFormat="1" applyFont="1"/>
    <xf numFmtId="0" fontId="29" fillId="0" borderId="35" xfId="0" applyFont="1" applyBorder="1"/>
    <xf numFmtId="0" fontId="29" fillId="0" borderId="0" xfId="9388" applyFont="1" applyAlignment="1">
      <alignment horizontal="center"/>
    </xf>
    <xf numFmtId="164" fontId="29" fillId="0" borderId="0" xfId="0" applyNumberFormat="1" applyFont="1" applyAlignment="1">
      <alignment horizontal="center"/>
    </xf>
    <xf numFmtId="10" fontId="29" fillId="0" borderId="0" xfId="1" applyNumberFormat="1" applyFont="1" applyFill="1" applyAlignment="1">
      <alignment horizontal="center"/>
    </xf>
    <xf numFmtId="10" fontId="0" fillId="0" borderId="0" xfId="1" applyNumberFormat="1" applyFont="1"/>
    <xf numFmtId="10" fontId="29" fillId="0" borderId="0" xfId="0" applyNumberFormat="1" applyFont="1" applyAlignment="1">
      <alignment horizontal="center"/>
    </xf>
    <xf numFmtId="10" fontId="29" fillId="0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31" fillId="0" borderId="0" xfId="7147" applyAlignment="1">
      <alignment horizontal="center"/>
    </xf>
    <xf numFmtId="0" fontId="29" fillId="0" borderId="0" xfId="9387" applyFont="1"/>
    <xf numFmtId="0" fontId="29" fillId="0" borderId="0" xfId="7147" applyFont="1" applyAlignment="1">
      <alignment horizontal="center"/>
    </xf>
    <xf numFmtId="0" fontId="29" fillId="0" borderId="0" xfId="0" applyFont="1" applyAlignment="1">
      <alignment vertical="top"/>
    </xf>
    <xf numFmtId="0" fontId="31" fillId="0" borderId="0" xfId="9388" applyAlignment="1">
      <alignment horizontal="center"/>
    </xf>
    <xf numFmtId="0" fontId="31" fillId="0" borderId="35" xfId="7147" applyBorder="1" applyAlignment="1">
      <alignment horizontal="center"/>
    </xf>
    <xf numFmtId="0" fontId="31" fillId="0" borderId="35" xfId="9388" applyBorder="1" applyAlignment="1">
      <alignment horizontal="center"/>
    </xf>
    <xf numFmtId="0" fontId="31" fillId="0" borderId="0" xfId="9388"/>
    <xf numFmtId="164" fontId="0" fillId="0" borderId="0" xfId="0" applyNumberFormat="1"/>
    <xf numFmtId="0" fontId="0" fillId="0" borderId="0" xfId="7147" applyFont="1" applyAlignment="1">
      <alignment horizontal="center"/>
    </xf>
    <xf numFmtId="164" fontId="0" fillId="0" borderId="0" xfId="0" applyNumberFormat="1" applyAlignment="1">
      <alignment horizontal="center"/>
    </xf>
    <xf numFmtId="0" fontId="84" fillId="0" borderId="0" xfId="0" applyFont="1" applyAlignment="1">
      <alignment vertical="center" wrapText="1"/>
    </xf>
    <xf numFmtId="0" fontId="84" fillId="0" borderId="0" xfId="0" applyFont="1" applyAlignment="1">
      <alignment vertical="top" wrapText="1"/>
    </xf>
    <xf numFmtId="0" fontId="0" fillId="0" borderId="0" xfId="9388" applyFont="1"/>
    <xf numFmtId="0" fontId="29" fillId="0" borderId="0" xfId="3579"/>
    <xf numFmtId="0" fontId="29" fillId="0" borderId="0" xfId="3579" applyAlignment="1">
      <alignment horizontal="centerContinuous"/>
    </xf>
    <xf numFmtId="0" fontId="29" fillId="0" borderId="0" xfId="3579" applyAlignment="1">
      <alignment horizontal="center"/>
    </xf>
    <xf numFmtId="166" fontId="29" fillId="0" borderId="0" xfId="377" applyNumberFormat="1" applyFont="1"/>
    <xf numFmtId="166" fontId="29" fillId="0" borderId="0" xfId="3579" applyNumberFormat="1"/>
    <xf numFmtId="0" fontId="29" fillId="0" borderId="0" xfId="3579" quotePrefix="1" applyAlignment="1">
      <alignment horizontal="center"/>
    </xf>
    <xf numFmtId="0" fontId="110" fillId="0" borderId="0" xfId="9394" applyFont="1" applyAlignment="1">
      <alignment horizontal="center" wrapText="1"/>
    </xf>
    <xf numFmtId="0" fontId="110" fillId="0" borderId="0" xfId="9394" applyFont="1" applyAlignment="1">
      <alignment wrapText="1"/>
    </xf>
    <xf numFmtId="0" fontId="110" fillId="65" borderId="0" xfId="9394" applyFont="1" applyFill="1" applyAlignment="1">
      <alignment horizontal="right" vertical="center"/>
    </xf>
    <xf numFmtId="10" fontId="110" fillId="0" borderId="0" xfId="9394" applyNumberFormat="1" applyFont="1" applyAlignment="1">
      <alignment horizontal="center" vertical="center" wrapText="1"/>
    </xf>
    <xf numFmtId="0" fontId="110" fillId="0" borderId="0" xfId="9394" applyFont="1" applyAlignment="1">
      <alignment horizontal="center" vertical="center" wrapText="1"/>
    </xf>
    <xf numFmtId="0" fontId="110" fillId="0" borderId="33" xfId="9394" applyFont="1" applyBorder="1" applyAlignment="1">
      <alignment horizontal="center" vertical="center" wrapText="1"/>
    </xf>
    <xf numFmtId="0" fontId="110" fillId="0" borderId="0" xfId="9394" applyFont="1" applyAlignment="1">
      <alignment horizontal="right" vertical="center"/>
    </xf>
    <xf numFmtId="10" fontId="110" fillId="0" borderId="33" xfId="9394" applyNumberFormat="1" applyFont="1" applyBorder="1" applyAlignment="1">
      <alignment horizontal="center" vertical="center" wrapText="1"/>
    </xf>
    <xf numFmtId="10" fontId="110" fillId="65" borderId="0" xfId="9394" applyNumberFormat="1" applyFont="1" applyFill="1" applyAlignment="1">
      <alignment horizontal="right" vertical="center"/>
    </xf>
    <xf numFmtId="10" fontId="110" fillId="0" borderId="34" xfId="9394" applyNumberFormat="1" applyFont="1" applyBorder="1" applyAlignment="1">
      <alignment horizontal="center" vertical="center" wrapText="1"/>
    </xf>
    <xf numFmtId="0" fontId="110" fillId="0" borderId="0" xfId="9394" applyFont="1"/>
    <xf numFmtId="173" fontId="110" fillId="0" borderId="0" xfId="9394" applyNumberFormat="1" applyFont="1" applyAlignment="1">
      <alignment horizontal="center" vertical="center" wrapText="1"/>
    </xf>
    <xf numFmtId="0" fontId="31" fillId="0" borderId="36" xfId="9388" applyBorder="1" applyAlignment="1">
      <alignment horizontal="center"/>
    </xf>
    <xf numFmtId="0" fontId="0" fillId="0" borderId="36" xfId="9388" applyFont="1" applyBorder="1" applyAlignment="1">
      <alignment horizontal="center" wrapText="1"/>
    </xf>
    <xf numFmtId="0" fontId="31" fillId="0" borderId="36" xfId="9388" applyBorder="1" applyAlignment="1">
      <alignment horizontal="center" wrapText="1"/>
    </xf>
    <xf numFmtId="0" fontId="29" fillId="0" borderId="36" xfId="9388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0" xfId="0" applyBorder="1"/>
    <xf numFmtId="10" fontId="0" fillId="0" borderId="3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/>
    <xf numFmtId="0" fontId="29" fillId="0" borderId="32" xfId="0" applyFont="1" applyBorder="1"/>
    <xf numFmtId="165" fontId="31" fillId="0" borderId="32" xfId="0" applyNumberFormat="1" applyFon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29" fillId="0" borderId="0" xfId="3162"/>
    <xf numFmtId="0" fontId="29" fillId="0" borderId="0" xfId="3579" applyAlignment="1">
      <alignment horizontal="left"/>
    </xf>
    <xf numFmtId="0" fontId="29" fillId="0" borderId="0" xfId="5308" applyAlignment="1">
      <alignment horizontal="left"/>
    </xf>
    <xf numFmtId="0" fontId="29" fillId="0" borderId="36" xfId="3579" applyBorder="1"/>
    <xf numFmtId="0" fontId="29" fillId="0" borderId="36" xfId="3579" applyBorder="1" applyAlignment="1">
      <alignment horizontal="center" wrapText="1"/>
    </xf>
    <xf numFmtId="10" fontId="29" fillId="0" borderId="0" xfId="13" applyNumberFormat="1" applyFont="1" applyAlignment="1">
      <alignment horizontal="center"/>
    </xf>
    <xf numFmtId="10" fontId="29" fillId="0" borderId="0" xfId="13" applyNumberFormat="1" applyFont="1" applyFill="1" applyBorder="1" applyAlignment="1">
      <alignment horizontal="center"/>
    </xf>
    <xf numFmtId="0" fontId="29" fillId="0" borderId="30" xfId="3579" applyBorder="1"/>
    <xf numFmtId="10" fontId="29" fillId="0" borderId="30" xfId="13" applyNumberFormat="1" applyFont="1" applyBorder="1" applyAlignment="1">
      <alignment horizontal="center"/>
    </xf>
    <xf numFmtId="0" fontId="29" fillId="0" borderId="32" xfId="3579" applyBorder="1" applyAlignment="1">
      <alignment horizontal="center"/>
    </xf>
    <xf numFmtId="10" fontId="31" fillId="0" borderId="32" xfId="3579" applyNumberFormat="1" applyFont="1" applyBorder="1" applyAlignment="1">
      <alignment horizontal="center"/>
    </xf>
    <xf numFmtId="0" fontId="0" fillId="0" borderId="44" xfId="0" applyBorder="1"/>
    <xf numFmtId="0" fontId="71" fillId="0" borderId="41" xfId="9394" applyFont="1" applyBorder="1" applyAlignment="1">
      <alignment horizontal="center" vertical="center" wrapText="1"/>
    </xf>
    <xf numFmtId="0" fontId="110" fillId="0" borderId="38" xfId="9394" applyFont="1" applyBorder="1" applyAlignment="1">
      <alignment horizontal="center" vertical="center" wrapText="1"/>
    </xf>
    <xf numFmtId="0" fontId="110" fillId="0" borderId="41" xfId="9394" applyFont="1" applyBorder="1" applyAlignment="1">
      <alignment horizontal="center" vertical="center" wrapText="1"/>
    </xf>
    <xf numFmtId="10" fontId="110" fillId="0" borderId="38" xfId="9394" applyNumberFormat="1" applyFont="1" applyBorder="1" applyAlignment="1">
      <alignment horizontal="center" vertical="center" wrapText="1"/>
    </xf>
    <xf numFmtId="0" fontId="110" fillId="0" borderId="45" xfId="9394" applyFont="1" applyBorder="1" applyAlignment="1">
      <alignment horizontal="center" vertical="center" wrapText="1"/>
    </xf>
    <xf numFmtId="0" fontId="110" fillId="0" borderId="46" xfId="9394" applyFont="1" applyBorder="1" applyAlignment="1">
      <alignment horizontal="center" vertical="center" wrapText="1"/>
    </xf>
    <xf numFmtId="10" fontId="110" fillId="0" borderId="47" xfId="9394" applyNumberFormat="1" applyFont="1" applyBorder="1" applyAlignment="1">
      <alignment horizontal="center" vertical="center" wrapText="1"/>
    </xf>
    <xf numFmtId="0" fontId="112" fillId="0" borderId="41" xfId="9394" applyFont="1" applyBorder="1" applyAlignment="1">
      <alignment horizontal="center" vertical="center" wrapText="1"/>
    </xf>
    <xf numFmtId="0" fontId="112" fillId="0" borderId="38" xfId="9394" applyFont="1" applyBorder="1" applyAlignment="1">
      <alignment horizontal="center" vertical="center" wrapText="1"/>
    </xf>
    <xf numFmtId="10" fontId="84" fillId="0" borderId="0" xfId="0" applyNumberFormat="1" applyFont="1" applyAlignment="1">
      <alignment vertical="top" wrapText="1"/>
    </xf>
    <xf numFmtId="10" fontId="110" fillId="0" borderId="0" xfId="9394" applyNumberFormat="1" applyFont="1" applyAlignment="1">
      <alignment wrapText="1"/>
    </xf>
    <xf numFmtId="0" fontId="29" fillId="0" borderId="0" xfId="9394" applyAlignment="1">
      <alignment horizontal="center" vertical="center" wrapText="1"/>
    </xf>
    <xf numFmtId="0" fontId="29" fillId="65" borderId="0" xfId="9394" applyFill="1" applyAlignment="1">
      <alignment horizontal="right" vertical="center"/>
    </xf>
    <xf numFmtId="0" fontId="29" fillId="65" borderId="0" xfId="9394" applyFill="1" applyAlignment="1">
      <alignment horizontal="center" vertical="center" wrapText="1"/>
    </xf>
    <xf numFmtId="10" fontId="29" fillId="65" borderId="0" xfId="9394" applyNumberFormat="1" applyFill="1" applyAlignment="1">
      <alignment horizontal="center" vertical="center" wrapText="1"/>
    </xf>
    <xf numFmtId="10" fontId="29" fillId="0" borderId="0" xfId="9394" applyNumberFormat="1" applyAlignment="1">
      <alignment horizontal="right" vertical="center"/>
    </xf>
    <xf numFmtId="10" fontId="29" fillId="0" borderId="0" xfId="9394" applyNumberFormat="1" applyAlignment="1">
      <alignment horizontal="center" vertical="center" wrapText="1"/>
    </xf>
    <xf numFmtId="0" fontId="29" fillId="0" borderId="0" xfId="9394" applyAlignment="1">
      <alignment horizontal="right" vertical="center" wrapText="1"/>
    </xf>
    <xf numFmtId="0" fontId="29" fillId="0" borderId="0" xfId="9394" applyAlignment="1">
      <alignment horizontal="right" vertical="center"/>
    </xf>
    <xf numFmtId="0" fontId="110" fillId="0" borderId="37" xfId="9394" applyFont="1" applyBorder="1" applyAlignment="1">
      <alignment horizontal="center" vertical="center" wrapText="1"/>
    </xf>
    <xf numFmtId="10" fontId="110" fillId="0" borderId="42" xfId="9394" applyNumberFormat="1" applyFont="1" applyBorder="1" applyAlignment="1">
      <alignment horizontal="center" vertical="center" wrapText="1"/>
    </xf>
    <xf numFmtId="10" fontId="110" fillId="0" borderId="43" xfId="9394" applyNumberFormat="1" applyFont="1" applyBorder="1" applyAlignment="1">
      <alignment horizontal="center" vertical="center" wrapText="1"/>
    </xf>
    <xf numFmtId="0" fontId="112" fillId="0" borderId="37" xfId="9394" applyFont="1" applyBorder="1" applyAlignment="1">
      <alignment horizontal="center" vertical="center" wrapText="1"/>
    </xf>
    <xf numFmtId="10" fontId="112" fillId="0" borderId="43" xfId="9394" applyNumberFormat="1" applyFont="1" applyBorder="1" applyAlignment="1">
      <alignment horizontal="center" vertical="center" wrapText="1"/>
    </xf>
    <xf numFmtId="10" fontId="110" fillId="0" borderId="48" xfId="9394" applyNumberFormat="1" applyFont="1" applyBorder="1" applyAlignment="1">
      <alignment horizontal="center" vertical="center" wrapText="1"/>
    </xf>
    <xf numFmtId="10" fontId="110" fillId="0" borderId="30" xfId="9394" applyNumberFormat="1" applyFont="1" applyBorder="1" applyAlignment="1">
      <alignment horizontal="center" vertical="center" wrapText="1"/>
    </xf>
    <xf numFmtId="10" fontId="110" fillId="0" borderId="49" xfId="9394" applyNumberFormat="1" applyFont="1" applyBorder="1" applyAlignment="1">
      <alignment horizontal="center" vertical="center" wrapText="1"/>
    </xf>
    <xf numFmtId="0" fontId="71" fillId="0" borderId="0" xfId="9394" applyFont="1" applyAlignment="1">
      <alignment horizontal="left" wrapText="1"/>
    </xf>
    <xf numFmtId="0" fontId="29" fillId="0" borderId="36" xfId="0" applyFont="1" applyBorder="1" applyAlignment="1">
      <alignment horizontal="center"/>
    </xf>
    <xf numFmtId="0" fontId="29" fillId="0" borderId="36" xfId="0" applyFont="1" applyBorder="1" applyAlignment="1">
      <alignment horizontal="center" wrapText="1"/>
    </xf>
    <xf numFmtId="10" fontId="31" fillId="0" borderId="0" xfId="1" applyNumberFormat="1" applyFont="1" applyFill="1" applyBorder="1" applyAlignment="1">
      <alignment horizontal="center"/>
    </xf>
    <xf numFmtId="10" fontId="31" fillId="0" borderId="35" xfId="1" applyNumberFormat="1" applyFont="1" applyFill="1" applyBorder="1" applyAlignment="1">
      <alignment horizontal="center"/>
    </xf>
    <xf numFmtId="9" fontId="114" fillId="0" borderId="0" xfId="0" applyNumberFormat="1" applyFont="1"/>
    <xf numFmtId="0" fontId="29" fillId="0" borderId="36" xfId="0" applyFont="1" applyBorder="1" applyAlignment="1">
      <alignment horizontal="left"/>
    </xf>
    <xf numFmtId="0" fontId="29" fillId="0" borderId="36" xfId="0" applyFont="1" applyBorder="1"/>
    <xf numFmtId="0" fontId="31" fillId="0" borderId="36" xfId="9388" applyBorder="1"/>
    <xf numFmtId="0" fontId="34" fillId="0" borderId="0" xfId="11174" applyFont="1"/>
    <xf numFmtId="0" fontId="34" fillId="0" borderId="0" xfId="11174" applyFont="1" applyAlignment="1">
      <alignment horizontal="center" vertical="center" wrapText="1"/>
    </xf>
    <xf numFmtId="0" fontId="119" fillId="0" borderId="0" xfId="11200" applyFont="1"/>
    <xf numFmtId="0" fontId="119" fillId="0" borderId="0" xfId="11200" applyFont="1" applyAlignment="1">
      <alignment horizontal="left"/>
    </xf>
    <xf numFmtId="0" fontId="31" fillId="0" borderId="0" xfId="11200" applyFont="1"/>
    <xf numFmtId="0" fontId="31" fillId="0" borderId="0" xfId="11200" applyFont="1" applyAlignment="1">
      <alignment horizontal="left"/>
    </xf>
    <xf numFmtId="10" fontId="119" fillId="0" borderId="0" xfId="11201" applyNumberFormat="1" applyFont="1"/>
    <xf numFmtId="10" fontId="31" fillId="0" borderId="0" xfId="11201" applyNumberFormat="1" applyFont="1"/>
    <xf numFmtId="43" fontId="119" fillId="0" borderId="0" xfId="11200" applyNumberFormat="1" applyFont="1"/>
    <xf numFmtId="43" fontId="31" fillId="0" borderId="0" xfId="11200" applyNumberFormat="1" applyFont="1"/>
    <xf numFmtId="166" fontId="119" fillId="0" borderId="0" xfId="11200" applyNumberFormat="1" applyFont="1"/>
    <xf numFmtId="166" fontId="31" fillId="0" borderId="0" xfId="11202" applyNumberFormat="1" applyFont="1"/>
    <xf numFmtId="0" fontId="119" fillId="0" borderId="0" xfId="11200" applyFont="1" applyAlignment="1">
      <alignment horizontal="center"/>
    </xf>
    <xf numFmtId="0" fontId="31" fillId="0" borderId="51" xfId="11200" applyFont="1" applyBorder="1"/>
    <xf numFmtId="10" fontId="31" fillId="0" borderId="32" xfId="11200" applyNumberFormat="1" applyFont="1" applyBorder="1" applyAlignment="1">
      <alignment horizontal="center" vertical="center"/>
    </xf>
    <xf numFmtId="0" fontId="31" fillId="0" borderId="32" xfId="11200" applyFont="1" applyBorder="1"/>
    <xf numFmtId="0" fontId="34" fillId="0" borderId="32" xfId="11200" applyFont="1" applyBorder="1" applyAlignment="1">
      <alignment horizontal="center"/>
    </xf>
    <xf numFmtId="0" fontId="31" fillId="0" borderId="32" xfId="11200" applyFont="1" applyBorder="1" applyAlignment="1">
      <alignment horizontal="center"/>
    </xf>
    <xf numFmtId="0" fontId="31" fillId="0" borderId="0" xfId="11200" applyFont="1" applyAlignment="1">
      <alignment horizontal="center" vertical="center"/>
    </xf>
    <xf numFmtId="10" fontId="31" fillId="0" borderId="0" xfId="11200" applyNumberFormat="1" applyFont="1" applyAlignment="1">
      <alignment horizontal="center"/>
    </xf>
    <xf numFmtId="176" fontId="31" fillId="0" borderId="0" xfId="11200" applyNumberFormat="1" applyFont="1" applyAlignment="1">
      <alignment horizontal="center"/>
    </xf>
    <xf numFmtId="10" fontId="31" fillId="0" borderId="0" xfId="11204" applyNumberFormat="1" applyFont="1" applyAlignment="1">
      <alignment horizontal="center"/>
    </xf>
    <xf numFmtId="3" fontId="29" fillId="0" borderId="0" xfId="11202" applyNumberFormat="1" applyFont="1" applyAlignment="1">
      <alignment horizontal="center"/>
    </xf>
    <xf numFmtId="0" fontId="31" fillId="0" borderId="0" xfId="11200" applyFont="1" applyAlignment="1">
      <alignment horizontal="center"/>
    </xf>
    <xf numFmtId="175" fontId="119" fillId="0" borderId="0" xfId="11202" applyNumberFormat="1" applyFont="1"/>
    <xf numFmtId="9" fontId="119" fillId="0" borderId="0" xfId="11201" applyFont="1"/>
    <xf numFmtId="0" fontId="31" fillId="0" borderId="0" xfId="11200" applyFont="1" applyAlignment="1">
      <alignment horizontal="center" wrapText="1"/>
    </xf>
    <xf numFmtId="0" fontId="31" fillId="0" borderId="36" xfId="11200" applyFont="1" applyBorder="1" applyAlignment="1">
      <alignment horizontal="center" wrapText="1"/>
    </xf>
    <xf numFmtId="0" fontId="119" fillId="0" borderId="0" xfId="11200" applyFont="1" applyAlignment="1">
      <alignment horizontal="centerContinuous"/>
    </xf>
    <xf numFmtId="0" fontId="29" fillId="0" borderId="0" xfId="9405" applyFont="1"/>
    <xf numFmtId="0" fontId="31" fillId="0" borderId="0" xfId="9405"/>
    <xf numFmtId="0" fontId="29" fillId="0" borderId="51" xfId="9405" applyFont="1" applyBorder="1"/>
    <xf numFmtId="43" fontId="29" fillId="0" borderId="0" xfId="11120" applyFont="1"/>
    <xf numFmtId="178" fontId="29" fillId="0" borderId="0" xfId="9405" applyNumberFormat="1" applyFont="1" applyAlignment="1">
      <alignment horizontal="center"/>
    </xf>
    <xf numFmtId="164" fontId="29" fillId="0" borderId="0" xfId="9405" applyNumberFormat="1" applyFont="1" applyAlignment="1">
      <alignment horizontal="center"/>
    </xf>
    <xf numFmtId="0" fontId="29" fillId="0" borderId="0" xfId="9405" applyFont="1" applyAlignment="1">
      <alignment horizontal="left" vertical="center"/>
    </xf>
    <xf numFmtId="164" fontId="29" fillId="0" borderId="0" xfId="9405" applyNumberFormat="1" applyFont="1"/>
    <xf numFmtId="0" fontId="114" fillId="0" borderId="0" xfId="9405" applyFont="1" applyAlignment="1">
      <alignment horizontal="left" vertical="center"/>
    </xf>
    <xf numFmtId="0" fontId="114" fillId="0" borderId="0" xfId="9405" applyFont="1"/>
    <xf numFmtId="164" fontId="29" fillId="0" borderId="51" xfId="9405" applyNumberFormat="1" applyFont="1" applyBorder="1" applyAlignment="1">
      <alignment horizontal="center"/>
    </xf>
    <xf numFmtId="4" fontId="29" fillId="0" borderId="51" xfId="9405" applyNumberFormat="1" applyFont="1" applyBorder="1" applyAlignment="1">
      <alignment horizontal="center"/>
    </xf>
    <xf numFmtId="0" fontId="31" fillId="0" borderId="0" xfId="9405" applyAlignment="1">
      <alignment horizontal="center"/>
    </xf>
    <xf numFmtId="0" fontId="29" fillId="0" borderId="0" xfId="9405" applyFont="1" applyAlignment="1">
      <alignment horizontal="center"/>
    </xf>
    <xf numFmtId="0" fontId="29" fillId="0" borderId="51" xfId="9405" applyFont="1" applyBorder="1" applyAlignment="1">
      <alignment horizontal="center"/>
    </xf>
    <xf numFmtId="0" fontId="29" fillId="0" borderId="50" xfId="9405" applyFont="1" applyBorder="1" applyAlignment="1">
      <alignment horizontal="center"/>
    </xf>
    <xf numFmtId="0" fontId="29" fillId="0" borderId="50" xfId="9405" applyFont="1" applyBorder="1"/>
    <xf numFmtId="0" fontId="30" fillId="0" borderId="50" xfId="9405" applyFont="1" applyBorder="1"/>
    <xf numFmtId="0" fontId="30" fillId="0" borderId="0" xfId="9405" applyFont="1"/>
    <xf numFmtId="0" fontId="29" fillId="0" borderId="0" xfId="9405" applyFont="1" applyAlignment="1">
      <alignment horizontal="centerContinuous"/>
    </xf>
    <xf numFmtId="0" fontId="31" fillId="0" borderId="0" xfId="9405" applyAlignment="1">
      <alignment horizontal="centerContinuous"/>
    </xf>
    <xf numFmtId="0" fontId="31" fillId="0" borderId="51" xfId="9405" applyBorder="1" applyAlignment="1">
      <alignment horizontal="center"/>
    </xf>
    <xf numFmtId="0" fontId="31" fillId="0" borderId="51" xfId="9405" applyBorder="1"/>
    <xf numFmtId="0" fontId="114" fillId="0" borderId="0" xfId="9405" applyFont="1" applyAlignment="1">
      <alignment horizontal="center"/>
    </xf>
    <xf numFmtId="10" fontId="29" fillId="0" borderId="0" xfId="9405" applyNumberFormat="1" applyFont="1" applyAlignment="1">
      <alignment horizontal="center"/>
    </xf>
    <xf numFmtId="10" fontId="114" fillId="0" borderId="0" xfId="9405" applyNumberFormat="1" applyFont="1"/>
    <xf numFmtId="10" fontId="31" fillId="0" borderId="0" xfId="9405" applyNumberFormat="1"/>
    <xf numFmtId="0" fontId="31" fillId="0" borderId="32" xfId="9405" applyBorder="1"/>
    <xf numFmtId="0" fontId="31" fillId="0" borderId="0" xfId="9395"/>
    <xf numFmtId="0" fontId="0" fillId="0" borderId="0" xfId="9405" applyFont="1" applyAlignment="1">
      <alignment horizontal="center"/>
    </xf>
    <xf numFmtId="0" fontId="120" fillId="0" borderId="36" xfId="9405" applyFont="1" applyBorder="1" applyAlignment="1">
      <alignment horizontal="center" vertical="center"/>
    </xf>
    <xf numFmtId="0" fontId="120" fillId="0" borderId="36" xfId="9405" applyFont="1" applyBorder="1" applyAlignment="1">
      <alignment horizontal="center" vertical="center" wrapText="1"/>
    </xf>
    <xf numFmtId="0" fontId="120" fillId="0" borderId="36" xfId="9405" applyFont="1" applyBorder="1" applyAlignment="1">
      <alignment vertical="center" wrapText="1"/>
    </xf>
    <xf numFmtId="0" fontId="0" fillId="0" borderId="0" xfId="9405" applyFont="1"/>
    <xf numFmtId="0" fontId="29" fillId="0" borderId="0" xfId="3162" applyAlignment="1">
      <alignment horizontal="left"/>
    </xf>
    <xf numFmtId="0" fontId="31" fillId="0" borderId="0" xfId="9404"/>
    <xf numFmtId="0" fontId="31" fillId="0" borderId="0" xfId="9404" applyAlignment="1">
      <alignment horizontal="center"/>
    </xf>
    <xf numFmtId="10" fontId="31" fillId="0" borderId="0" xfId="11206" applyNumberFormat="1" applyFont="1" applyAlignment="1">
      <alignment horizontal="center"/>
    </xf>
    <xf numFmtId="0" fontId="0" fillId="0" borderId="0" xfId="9395" applyFont="1" applyAlignment="1">
      <alignment horizontal="left"/>
    </xf>
    <xf numFmtId="0" fontId="31" fillId="0" borderId="0" xfId="9396" applyAlignment="1">
      <alignment vertical="center"/>
    </xf>
    <xf numFmtId="10" fontId="31" fillId="0" borderId="0" xfId="11206" applyNumberFormat="1" applyFont="1" applyFill="1" applyAlignment="1">
      <alignment horizontal="center"/>
    </xf>
    <xf numFmtId="0" fontId="29" fillId="0" borderId="0" xfId="9396" applyFont="1" applyAlignment="1">
      <alignment vertical="center"/>
    </xf>
    <xf numFmtId="10" fontId="31" fillId="0" borderId="0" xfId="11205" applyNumberFormat="1" applyFont="1" applyFill="1" applyAlignment="1">
      <alignment horizontal="center"/>
    </xf>
    <xf numFmtId="0" fontId="0" fillId="0" borderId="0" xfId="9396" applyFont="1" applyAlignment="1">
      <alignment vertical="center"/>
    </xf>
    <xf numFmtId="10" fontId="0" fillId="0" borderId="0" xfId="11206" applyNumberFormat="1" applyFont="1" applyAlignment="1">
      <alignment horizontal="center"/>
    </xf>
    <xf numFmtId="0" fontId="0" fillId="0" borderId="0" xfId="9404" applyFont="1" applyAlignment="1">
      <alignment horizontal="center"/>
    </xf>
    <xf numFmtId="179" fontId="29" fillId="0" borderId="0" xfId="11205" applyNumberFormat="1" applyFont="1" applyAlignment="1">
      <alignment horizontal="center"/>
    </xf>
    <xf numFmtId="0" fontId="29" fillId="0" borderId="30" xfId="9405" applyFont="1" applyBorder="1"/>
    <xf numFmtId="0" fontId="31" fillId="0" borderId="30" xfId="9405" applyBorder="1"/>
    <xf numFmtId="0" fontId="29" fillId="0" borderId="0" xfId="18"/>
    <xf numFmtId="0" fontId="0" fillId="0" borderId="0" xfId="9395" applyFont="1" applyAlignment="1">
      <alignment horizontal="left" wrapText="1"/>
    </xf>
    <xf numFmtId="0" fontId="29" fillId="0" borderId="0" xfId="9395" applyFont="1" applyAlignment="1">
      <alignment horizontal="left"/>
    </xf>
    <xf numFmtId="0" fontId="31" fillId="0" borderId="0" xfId="9405" applyAlignment="1">
      <alignment vertical="top"/>
    </xf>
    <xf numFmtId="0" fontId="31" fillId="0" borderId="0" xfId="9405" applyAlignment="1">
      <alignment wrapText="1"/>
    </xf>
    <xf numFmtId="0" fontId="31" fillId="0" borderId="0" xfId="9405" applyAlignment="1">
      <alignment horizontal="center" vertical="top"/>
    </xf>
    <xf numFmtId="10" fontId="29" fillId="0" borderId="0" xfId="11208" applyNumberFormat="1" applyFont="1" applyFill="1" applyBorder="1" applyAlignment="1">
      <alignment horizontal="center"/>
    </xf>
    <xf numFmtId="10" fontId="31" fillId="0" borderId="0" xfId="11207" applyNumberFormat="1" applyFont="1" applyAlignment="1">
      <alignment horizontal="center"/>
    </xf>
    <xf numFmtId="0" fontId="31" fillId="0" borderId="0" xfId="11207" applyFont="1"/>
    <xf numFmtId="0" fontId="31" fillId="0" borderId="0" xfId="3579" applyFont="1"/>
    <xf numFmtId="10" fontId="31" fillId="0" borderId="0" xfId="3579" applyNumberFormat="1" applyFont="1" applyAlignment="1">
      <alignment horizontal="center"/>
    </xf>
    <xf numFmtId="0" fontId="31" fillId="0" borderId="0" xfId="3579" applyFont="1" applyAlignment="1">
      <alignment horizontal="center"/>
    </xf>
    <xf numFmtId="10" fontId="29" fillId="0" borderId="0" xfId="13" applyNumberFormat="1" applyFont="1" applyFill="1" applyAlignment="1">
      <alignment horizontal="center"/>
    </xf>
    <xf numFmtId="166" fontId="29" fillId="0" borderId="0" xfId="377" applyNumberFormat="1" applyFont="1" applyFill="1"/>
    <xf numFmtId="0" fontId="29" fillId="0" borderId="0" xfId="3162" applyAlignment="1">
      <alignment horizontal="center"/>
    </xf>
    <xf numFmtId="10" fontId="29" fillId="0" borderId="0" xfId="13" applyNumberFormat="1" applyFill="1" applyAlignment="1">
      <alignment horizontal="center"/>
    </xf>
    <xf numFmtId="43" fontId="29" fillId="0" borderId="0" xfId="11209" applyFont="1" applyFill="1" applyAlignment="1">
      <alignment horizontal="center"/>
    </xf>
    <xf numFmtId="9" fontId="29" fillId="0" borderId="0" xfId="1" applyFont="1" applyFill="1" applyAlignment="1">
      <alignment horizontal="center"/>
    </xf>
    <xf numFmtId="3" fontId="29" fillId="0" borderId="0" xfId="11202" applyNumberFormat="1" applyFont="1" applyFill="1" applyAlignment="1">
      <alignment horizontal="center"/>
    </xf>
    <xf numFmtId="3" fontId="31" fillId="0" borderId="0" xfId="11200" applyNumberFormat="1" applyFont="1"/>
    <xf numFmtId="166" fontId="31" fillId="0" borderId="0" xfId="11202" applyNumberFormat="1" applyFont="1" applyFill="1"/>
    <xf numFmtId="10" fontId="31" fillId="0" borderId="0" xfId="11201" applyNumberFormat="1" applyFont="1" applyFill="1"/>
    <xf numFmtId="10" fontId="28" fillId="0" borderId="0" xfId="1" applyNumberFormat="1" applyFont="1"/>
    <xf numFmtId="0" fontId="31" fillId="0" borderId="0" xfId="9405" applyAlignment="1">
      <alignment horizontal="center" vertical="center"/>
    </xf>
    <xf numFmtId="0" fontId="29" fillId="0" borderId="0" xfId="0" applyFont="1" applyAlignment="1">
      <alignment horizontal="center"/>
    </xf>
    <xf numFmtId="10" fontId="29" fillId="0" borderId="0" xfId="11211" applyNumberFormat="1" applyFont="1" applyAlignment="1">
      <alignment horizontal="center"/>
    </xf>
    <xf numFmtId="9" fontId="29" fillId="0" borderId="0" xfId="11211" applyFont="1"/>
    <xf numFmtId="0" fontId="120" fillId="0" borderId="0" xfId="11200" applyFont="1" applyAlignment="1">
      <alignment horizontal="center" wrapText="1"/>
    </xf>
    <xf numFmtId="0" fontId="120" fillId="0" borderId="0" xfId="11173" applyFont="1" applyAlignment="1">
      <alignment horizontal="center" wrapText="1"/>
    </xf>
    <xf numFmtId="0" fontId="120" fillId="0" borderId="0" xfId="0" applyFont="1" applyAlignment="1">
      <alignment horizontal="center" wrapText="1"/>
    </xf>
    <xf numFmtId="0" fontId="31" fillId="0" borderId="51" xfId="11200" applyFont="1" applyBorder="1" applyAlignment="1">
      <alignment horizontal="center"/>
    </xf>
    <xf numFmtId="0" fontId="29" fillId="0" borderId="51" xfId="6866" applyBorder="1" applyAlignment="1">
      <alignment horizontal="center" wrapText="1"/>
    </xf>
    <xf numFmtId="0" fontId="31" fillId="0" borderId="0" xfId="11168" applyAlignment="1">
      <alignment horizontal="center"/>
    </xf>
    <xf numFmtId="1" fontId="0" fillId="0" borderId="0" xfId="0" applyNumberFormat="1" applyAlignment="1">
      <alignment horizontal="left"/>
    </xf>
    <xf numFmtId="10" fontId="29" fillId="0" borderId="0" xfId="9409" applyNumberFormat="1" applyFont="1" applyBorder="1" applyAlignment="1">
      <alignment horizontal="center"/>
    </xf>
    <xf numFmtId="0" fontId="31" fillId="0" borderId="0" xfId="11173" applyFont="1"/>
    <xf numFmtId="0" fontId="31" fillId="0" borderId="0" xfId="0" applyFont="1"/>
    <xf numFmtId="1" fontId="31" fillId="0" borderId="52" xfId="0" applyNumberFormat="1" applyFont="1" applyBorder="1" applyAlignment="1">
      <alignment horizontal="left"/>
    </xf>
    <xf numFmtId="0" fontId="29" fillId="0" borderId="0" xfId="11200" applyFont="1" applyAlignment="1">
      <alignment horizontal="left"/>
    </xf>
    <xf numFmtId="10" fontId="29" fillId="0" borderId="0" xfId="11200" applyNumberFormat="1" applyFont="1" applyAlignment="1">
      <alignment horizontal="center"/>
    </xf>
    <xf numFmtId="0" fontId="34" fillId="0" borderId="0" xfId="1120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0" xfId="11173" applyFont="1" applyAlignment="1">
      <alignment horizontal="center" wrapText="1"/>
    </xf>
    <xf numFmtId="0" fontId="31" fillId="0" borderId="0" xfId="11200" applyFont="1" applyAlignment="1">
      <alignment horizontal="left" wrapText="1"/>
    </xf>
    <xf numFmtId="0" fontId="121" fillId="0" borderId="0" xfId="0" applyFont="1" applyAlignment="1">
      <alignment horizontal="center"/>
    </xf>
    <xf numFmtId="0" fontId="29" fillId="0" borderId="51" xfId="0" applyFont="1" applyBorder="1" applyAlignment="1">
      <alignment horizontal="center"/>
    </xf>
    <xf numFmtId="0" fontId="121" fillId="0" borderId="0" xfId="0" applyFont="1"/>
    <xf numFmtId="0" fontId="110" fillId="0" borderId="56" xfId="9394" applyFont="1" applyBorder="1" applyAlignment="1">
      <alignment horizontal="center" vertical="center" wrapText="1"/>
    </xf>
    <xf numFmtId="0" fontId="29" fillId="0" borderId="51" xfId="0" applyFont="1" applyBorder="1"/>
    <xf numFmtId="0" fontId="31" fillId="0" borderId="51" xfId="11168" applyBorder="1" applyAlignment="1">
      <alignment horizontal="center"/>
    </xf>
    <xf numFmtId="0" fontId="120" fillId="0" borderId="0" xfId="9405" applyFont="1" applyAlignment="1">
      <alignment horizontal="center"/>
    </xf>
    <xf numFmtId="0" fontId="120" fillId="0" borderId="0" xfId="9405" applyFont="1"/>
    <xf numFmtId="0" fontId="29" fillId="0" borderId="30" xfId="9405" applyFont="1" applyBorder="1" applyAlignment="1">
      <alignment horizontal="center"/>
    </xf>
    <xf numFmtId="179" fontId="29" fillId="0" borderId="30" xfId="9405" applyNumberFormat="1" applyFont="1" applyBorder="1" applyAlignment="1">
      <alignment horizontal="center"/>
    </xf>
    <xf numFmtId="10" fontId="121" fillId="0" borderId="0" xfId="0" applyNumberFormat="1" applyFont="1" applyAlignment="1">
      <alignment horizontal="center"/>
    </xf>
    <xf numFmtId="0" fontId="29" fillId="0" borderId="50" xfId="0" applyFont="1" applyBorder="1"/>
    <xf numFmtId="0" fontId="51" fillId="0" borderId="50" xfId="0" applyFont="1" applyBorder="1"/>
    <xf numFmtId="0" fontId="121" fillId="0" borderId="51" xfId="0" applyFont="1" applyBorder="1"/>
    <xf numFmtId="2" fontId="29" fillId="0" borderId="0" xfId="7610" applyNumberFormat="1" applyFont="1" applyFill="1" applyBorder="1" applyAlignment="1">
      <alignment horizontal="center"/>
    </xf>
    <xf numFmtId="2" fontId="29" fillId="0" borderId="51" xfId="7610" applyNumberFormat="1" applyFont="1" applyFill="1" applyBorder="1" applyAlignment="1">
      <alignment horizontal="center"/>
    </xf>
    <xf numFmtId="0" fontId="121" fillId="0" borderId="32" xfId="0" applyFont="1" applyBorder="1"/>
    <xf numFmtId="0" fontId="30" fillId="0" borderId="36" xfId="0" applyFont="1" applyBorder="1" applyAlignment="1">
      <alignment horizontal="center"/>
    </xf>
    <xf numFmtId="0" fontId="31" fillId="0" borderId="50" xfId="11200" applyFont="1" applyBorder="1"/>
    <xf numFmtId="0" fontId="31" fillId="0" borderId="62" xfId="11200" applyFont="1" applyBorder="1"/>
    <xf numFmtId="0" fontId="30" fillId="0" borderId="36" xfId="3162" applyFont="1" applyBorder="1" applyAlignment="1">
      <alignment horizontal="centerContinuous"/>
    </xf>
    <xf numFmtId="0" fontId="29" fillId="0" borderId="32" xfId="3162" applyBorder="1"/>
    <xf numFmtId="0" fontId="30" fillId="0" borderId="36" xfId="3162" applyFont="1" applyBorder="1" applyAlignment="1">
      <alignment horizontal="center"/>
    </xf>
    <xf numFmtId="0" fontId="29" fillId="0" borderId="50" xfId="3579" applyBorder="1"/>
    <xf numFmtId="0" fontId="29" fillId="0" borderId="50" xfId="3579" applyBorder="1" applyAlignment="1">
      <alignment horizontal="center"/>
    </xf>
    <xf numFmtId="0" fontId="29" fillId="0" borderId="51" xfId="3579" applyBorder="1"/>
    <xf numFmtId="0" fontId="29" fillId="0" borderId="51" xfId="3579" applyBorder="1" applyAlignment="1">
      <alignment horizontal="center"/>
    </xf>
    <xf numFmtId="10" fontId="29" fillId="0" borderId="51" xfId="13" applyNumberFormat="1" applyFont="1" applyBorder="1" applyAlignment="1">
      <alignment horizontal="center"/>
    </xf>
    <xf numFmtId="0" fontId="29" fillId="0" borderId="51" xfId="5308" applyBorder="1" applyAlignment="1">
      <alignment horizontal="left"/>
    </xf>
    <xf numFmtId="0" fontId="29" fillId="0" borderId="62" xfId="3579" applyBorder="1" applyAlignment="1">
      <alignment horizontal="center"/>
    </xf>
    <xf numFmtId="10" fontId="31" fillId="0" borderId="62" xfId="3579" applyNumberFormat="1" applyFont="1" applyBorder="1" applyAlignment="1">
      <alignment horizontal="center"/>
    </xf>
    <xf numFmtId="10" fontId="31" fillId="0" borderId="0" xfId="11204" applyNumberFormat="1" applyFont="1" applyFill="1" applyAlignment="1">
      <alignment horizontal="center"/>
    </xf>
    <xf numFmtId="164" fontId="31" fillId="0" borderId="0" xfId="9405" applyNumberFormat="1" applyAlignment="1">
      <alignment horizontal="center"/>
    </xf>
    <xf numFmtId="10" fontId="31" fillId="0" borderId="0" xfId="11211" applyNumberFormat="1" applyFont="1" applyFill="1" applyAlignment="1">
      <alignment horizontal="center"/>
    </xf>
    <xf numFmtId="180" fontId="31" fillId="0" borderId="0" xfId="9405" applyNumberFormat="1" applyAlignment="1">
      <alignment horizontal="center"/>
    </xf>
    <xf numFmtId="178" fontId="31" fillId="0" borderId="0" xfId="9405" applyNumberFormat="1" applyAlignment="1">
      <alignment horizontal="center"/>
    </xf>
    <xf numFmtId="10" fontId="31" fillId="0" borderId="0" xfId="11211" applyNumberFormat="1" applyFont="1" applyFill="1"/>
    <xf numFmtId="178" fontId="31" fillId="0" borderId="0" xfId="9405" applyNumberFormat="1"/>
    <xf numFmtId="173" fontId="31" fillId="0" borderId="0" xfId="1" applyNumberFormat="1" applyFont="1" applyFill="1"/>
    <xf numFmtId="166" fontId="29" fillId="0" borderId="0" xfId="11209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71" fillId="0" borderId="51" xfId="9394" applyFont="1" applyBorder="1" applyAlignment="1">
      <alignment horizontal="left" wrapText="1"/>
    </xf>
    <xf numFmtId="0" fontId="31" fillId="0" borderId="50" xfId="9388" applyBorder="1"/>
    <xf numFmtId="0" fontId="31" fillId="0" borderId="50" xfId="9388" applyBorder="1" applyAlignment="1">
      <alignment horizontal="center"/>
    </xf>
    <xf numFmtId="0" fontId="31" fillId="0" borderId="50" xfId="9388" applyBorder="1" applyAlignment="1">
      <alignment horizontal="center" wrapText="1"/>
    </xf>
    <xf numFmtId="0" fontId="0" fillId="0" borderId="50" xfId="9388" applyFont="1" applyBorder="1" applyAlignment="1">
      <alignment horizontal="center" wrapText="1"/>
    </xf>
    <xf numFmtId="0" fontId="29" fillId="0" borderId="62" xfId="0" applyFont="1" applyBorder="1"/>
    <xf numFmtId="0" fontId="31" fillId="0" borderId="62" xfId="7147" applyBorder="1" applyAlignment="1">
      <alignment horizontal="center"/>
    </xf>
    <xf numFmtId="0" fontId="31" fillId="0" borderId="62" xfId="9388" applyBorder="1" applyAlignment="1">
      <alignment horizontal="center"/>
    </xf>
    <xf numFmtId="10" fontId="31" fillId="0" borderId="62" xfId="1" applyNumberFormat="1" applyFont="1" applyFill="1" applyBorder="1" applyAlignment="1">
      <alignment horizontal="center"/>
    </xf>
    <xf numFmtId="0" fontId="31" fillId="0" borderId="51" xfId="9388" applyBorder="1"/>
    <xf numFmtId="0" fontId="0" fillId="0" borderId="62" xfId="0" applyBorder="1"/>
    <xf numFmtId="10" fontId="29" fillId="0" borderId="51" xfId="0" applyNumberFormat="1" applyFont="1" applyBorder="1" applyAlignment="1">
      <alignment horizontal="center"/>
    </xf>
    <xf numFmtId="0" fontId="29" fillId="0" borderId="62" xfId="0" applyFont="1" applyBorder="1" applyAlignment="1">
      <alignment horizontal="left"/>
    </xf>
    <xf numFmtId="10" fontId="29" fillId="0" borderId="62" xfId="9379" applyNumberFormat="1" applyFont="1" applyFill="1" applyBorder="1" applyAlignment="1">
      <alignment horizontal="center"/>
    </xf>
    <xf numFmtId="0" fontId="29" fillId="0" borderId="51" xfId="0" applyFont="1" applyBorder="1" applyAlignment="1">
      <alignment horizontal="left"/>
    </xf>
    <xf numFmtId="10" fontId="0" fillId="0" borderId="62" xfId="0" applyNumberFormat="1" applyBorder="1" applyAlignment="1">
      <alignment horizontal="center"/>
    </xf>
    <xf numFmtId="10" fontId="0" fillId="0" borderId="5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4" fontId="29" fillId="0" borderId="51" xfId="0" applyNumberFormat="1" applyFont="1" applyBorder="1" applyAlignment="1">
      <alignment horizontal="center"/>
    </xf>
    <xf numFmtId="14" fontId="29" fillId="0" borderId="51" xfId="0" applyNumberFormat="1" applyFont="1" applyBorder="1" applyAlignment="1">
      <alignment horizontal="center" wrapText="1"/>
    </xf>
    <xf numFmtId="0" fontId="29" fillId="0" borderId="61" xfId="0" applyFont="1" applyBorder="1"/>
    <xf numFmtId="0" fontId="29" fillId="0" borderId="61" xfId="0" applyFont="1" applyBorder="1" applyAlignment="1">
      <alignment horizontal="center"/>
    </xf>
    <xf numFmtId="2" fontId="29" fillId="0" borderId="61" xfId="9400" applyNumberFormat="1" applyFont="1" applyBorder="1" applyAlignment="1">
      <alignment horizontal="center"/>
    </xf>
    <xf numFmtId="0" fontId="31" fillId="0" borderId="51" xfId="0" applyFont="1" applyBorder="1"/>
    <xf numFmtId="10" fontId="29" fillId="0" borderId="51" xfId="13" applyNumberFormat="1" applyFont="1" applyFill="1" applyBorder="1" applyAlignment="1">
      <alignment horizontal="center"/>
    </xf>
    <xf numFmtId="0" fontId="29" fillId="0" borderId="62" xfId="9405" applyFont="1" applyBorder="1" applyAlignment="1">
      <alignment horizontal="left" vertical="center"/>
    </xf>
    <xf numFmtId="0" fontId="31" fillId="0" borderId="62" xfId="11200" applyFont="1" applyBorder="1" applyAlignment="1">
      <alignment horizontal="center"/>
    </xf>
    <xf numFmtId="0" fontId="34" fillId="0" borderId="62" xfId="11200" applyFont="1" applyBorder="1" applyAlignment="1">
      <alignment horizontal="center"/>
    </xf>
    <xf numFmtId="10" fontId="29" fillId="0" borderId="62" xfId="11203" applyNumberFormat="1" applyFont="1" applyBorder="1" applyAlignment="1">
      <alignment horizontal="center"/>
    </xf>
    <xf numFmtId="0" fontId="29" fillId="0" borderId="62" xfId="9405" applyFont="1" applyBorder="1"/>
    <xf numFmtId="0" fontId="31" fillId="0" borderId="62" xfId="9405" applyBorder="1"/>
    <xf numFmtId="0" fontId="0" fillId="0" borderId="61" xfId="9405" applyFont="1" applyBorder="1"/>
    <xf numFmtId="0" fontId="31" fillId="0" borderId="61" xfId="9405" applyBorder="1"/>
    <xf numFmtId="0" fontId="29" fillId="0" borderId="61" xfId="3162" applyBorder="1" applyAlignment="1">
      <alignment horizontal="left"/>
    </xf>
    <xf numFmtId="0" fontId="31" fillId="0" borderId="61" xfId="9405" applyBorder="1" applyAlignment="1">
      <alignment horizontal="center"/>
    </xf>
    <xf numFmtId="179" fontId="29" fillId="0" borderId="61" xfId="11205" applyNumberFormat="1" applyFont="1" applyBorder="1" applyAlignment="1">
      <alignment horizontal="center"/>
    </xf>
    <xf numFmtId="179" fontId="29" fillId="0" borderId="61" xfId="11205" applyNumberFormat="1" applyFont="1" applyFill="1" applyBorder="1" applyAlignment="1">
      <alignment horizontal="center"/>
    </xf>
    <xf numFmtId="0" fontId="31" fillId="0" borderId="62" xfId="11168" applyBorder="1" applyAlignment="1">
      <alignment horizontal="center"/>
    </xf>
    <xf numFmtId="10" fontId="31" fillId="0" borderId="62" xfId="11200" applyNumberFormat="1" applyFont="1" applyBorder="1" applyAlignment="1">
      <alignment horizontal="center"/>
    </xf>
    <xf numFmtId="0" fontId="120" fillId="0" borderId="62" xfId="11200" applyFont="1" applyBorder="1" applyAlignment="1">
      <alignment horizontal="center" wrapText="1"/>
    </xf>
    <xf numFmtId="0" fontId="31" fillId="0" borderId="62" xfId="3579" applyFont="1" applyBorder="1"/>
    <xf numFmtId="0" fontId="31" fillId="0" borderId="62" xfId="3579" applyFont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19" applyFont="1" applyAlignment="1">
      <alignment horizontal="center"/>
    </xf>
    <xf numFmtId="0" fontId="28" fillId="0" borderId="50" xfId="0" applyFont="1" applyBorder="1"/>
    <xf numFmtId="0" fontId="28" fillId="0" borderId="50" xfId="19" applyFont="1" applyBorder="1"/>
    <xf numFmtId="0" fontId="28" fillId="0" borderId="50" xfId="0" applyFont="1" applyBorder="1" applyAlignment="1">
      <alignment horizontal="center"/>
    </xf>
    <xf numFmtId="0" fontId="28" fillId="0" borderId="0" xfId="19" applyFont="1"/>
    <xf numFmtId="0" fontId="28" fillId="0" borderId="0" xfId="0" applyFont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1" xfId="19" applyFont="1" applyBorder="1" applyAlignment="1">
      <alignment horizontal="center"/>
    </xf>
    <xf numFmtId="4" fontId="0" fillId="0" borderId="0" xfId="0" applyNumberFormat="1" applyAlignment="1">
      <alignment horizontal="center"/>
    </xf>
    <xf numFmtId="10" fontId="28" fillId="0" borderId="0" xfId="0" applyNumberFormat="1" applyFont="1" applyAlignment="1">
      <alignment horizontal="center"/>
    </xf>
    <xf numFmtId="10" fontId="28" fillId="0" borderId="0" xfId="1" applyNumberFormat="1" applyFont="1" applyFill="1" applyAlignment="1">
      <alignment horizontal="center"/>
    </xf>
    <xf numFmtId="2" fontId="110" fillId="0" borderId="0" xfId="9394" applyNumberFormat="1" applyFont="1" applyAlignment="1">
      <alignment horizontal="center" vertical="center" wrapText="1"/>
    </xf>
    <xf numFmtId="1" fontId="110" fillId="0" borderId="0" xfId="9394" applyNumberFormat="1" applyFont="1" applyAlignment="1">
      <alignment horizontal="center" vertical="center" wrapText="1"/>
    </xf>
    <xf numFmtId="181" fontId="121" fillId="0" borderId="0" xfId="0" applyNumberFormat="1" applyFont="1"/>
    <xf numFmtId="181" fontId="121" fillId="0" borderId="32" xfId="0" applyNumberFormat="1" applyFont="1" applyBorder="1"/>
    <xf numFmtId="2" fontId="29" fillId="0" borderId="51" xfId="7610" applyNumberFormat="1" applyFont="1" applyBorder="1" applyAlignment="1">
      <alignment horizontal="center"/>
    </xf>
    <xf numFmtId="178" fontId="29" fillId="0" borderId="51" xfId="9405" applyNumberFormat="1" applyFont="1" applyBorder="1" applyAlignment="1">
      <alignment horizontal="center"/>
    </xf>
    <xf numFmtId="0" fontId="29" fillId="0" borderId="32" xfId="9405" applyFont="1" applyBorder="1"/>
    <xf numFmtId="10" fontId="31" fillId="0" borderId="0" xfId="11211" applyNumberFormat="1" applyFont="1" applyAlignment="1">
      <alignment horizontal="center"/>
    </xf>
    <xf numFmtId="10" fontId="31" fillId="0" borderId="0" xfId="9405" applyNumberFormat="1" applyAlignment="1">
      <alignment horizontal="center"/>
    </xf>
    <xf numFmtId="2" fontId="31" fillId="0" borderId="32" xfId="11209" applyNumberFormat="1" applyBorder="1" applyAlignment="1">
      <alignment horizontal="center" vertical="center"/>
    </xf>
    <xf numFmtId="0" fontId="0" fillId="0" borderId="51" xfId="9405" applyFont="1" applyBorder="1" applyAlignment="1">
      <alignment horizontal="center"/>
    </xf>
    <xf numFmtId="0" fontId="124" fillId="0" borderId="0" xfId="9405" applyFont="1"/>
    <xf numFmtId="0" fontId="126" fillId="0" borderId="0" xfId="9405" applyFont="1"/>
    <xf numFmtId="0" fontId="29" fillId="0" borderId="0" xfId="0" applyFont="1" applyBorder="1"/>
    <xf numFmtId="164" fontId="29" fillId="0" borderId="51" xfId="0" applyNumberFormat="1" applyFont="1" applyBorder="1" applyAlignment="1">
      <alignment horizontal="center"/>
    </xf>
    <xf numFmtId="0" fontId="0" fillId="0" borderId="0" xfId="11200" applyFont="1" applyAlignment="1">
      <alignment horizontal="left"/>
    </xf>
    <xf numFmtId="0" fontId="84" fillId="0" borderId="0" xfId="0" applyFont="1" applyAlignment="1">
      <alignment horizontal="left" vertical="top" wrapText="1"/>
    </xf>
    <xf numFmtId="0" fontId="111" fillId="64" borderId="39" xfId="9394" applyFont="1" applyFill="1" applyBorder="1" applyAlignment="1">
      <alignment horizontal="center" vertical="center" wrapText="1"/>
    </xf>
    <xf numFmtId="0" fontId="111" fillId="64" borderId="36" xfId="9394" applyFont="1" applyFill="1" applyBorder="1" applyAlignment="1">
      <alignment horizontal="center" vertical="center" wrapText="1"/>
    </xf>
    <xf numFmtId="0" fontId="111" fillId="64" borderId="40" xfId="9394" applyFont="1" applyFill="1" applyBorder="1" applyAlignment="1">
      <alignment horizontal="center" vertical="center" wrapText="1"/>
    </xf>
    <xf numFmtId="0" fontId="110" fillId="0" borderId="0" xfId="9394" applyFont="1" applyAlignment="1">
      <alignment horizontal="center" wrapText="1"/>
    </xf>
    <xf numFmtId="0" fontId="111" fillId="64" borderId="39" xfId="9394" applyFont="1" applyFill="1" applyBorder="1" applyAlignment="1">
      <alignment horizontal="center" vertical="center"/>
    </xf>
    <xf numFmtId="0" fontId="111" fillId="64" borderId="36" xfId="9394" applyFont="1" applyFill="1" applyBorder="1" applyAlignment="1">
      <alignment horizontal="center" vertical="center"/>
    </xf>
    <xf numFmtId="0" fontId="111" fillId="64" borderId="40" xfId="9394" applyFont="1" applyFill="1" applyBorder="1" applyAlignment="1">
      <alignment horizontal="center" vertical="center"/>
    </xf>
    <xf numFmtId="0" fontId="111" fillId="64" borderId="54" xfId="9394" applyFont="1" applyFill="1" applyBorder="1" applyAlignment="1">
      <alignment horizontal="center" vertical="center" wrapText="1"/>
    </xf>
    <xf numFmtId="0" fontId="111" fillId="64" borderId="50" xfId="9394" applyFont="1" applyFill="1" applyBorder="1" applyAlignment="1">
      <alignment horizontal="center" vertical="center" wrapText="1"/>
    </xf>
    <xf numFmtId="0" fontId="111" fillId="64" borderId="55" xfId="9394" applyFont="1" applyFill="1" applyBorder="1" applyAlignment="1">
      <alignment horizontal="center" vertical="center" wrapText="1"/>
    </xf>
    <xf numFmtId="10" fontId="110" fillId="0" borderId="57" xfId="9394" applyNumberFormat="1" applyFont="1" applyBorder="1" applyAlignment="1">
      <alignment horizontal="center" vertical="center" wrapText="1"/>
    </xf>
    <xf numFmtId="10" fontId="110" fillId="0" borderId="58" xfId="9394" applyNumberFormat="1" applyFont="1" applyBorder="1" applyAlignment="1">
      <alignment horizontal="center" vertical="center" wrapText="1"/>
    </xf>
    <xf numFmtId="10" fontId="110" fillId="0" borderId="53" xfId="9394" applyNumberFormat="1" applyFont="1" applyBorder="1" applyAlignment="1">
      <alignment horizontal="center" vertical="center" wrapText="1"/>
    </xf>
    <xf numFmtId="10" fontId="110" fillId="0" borderId="59" xfId="9394" applyNumberFormat="1" applyFont="1" applyBorder="1" applyAlignment="1">
      <alignment horizontal="center" vertical="center" wrapText="1"/>
    </xf>
    <xf numFmtId="0" fontId="29" fillId="0" borderId="0" xfId="9388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9388" applyFont="1" applyAlignment="1">
      <alignment horizontal="center"/>
    </xf>
    <xf numFmtId="0" fontId="31" fillId="0" borderId="0" xfId="9388" applyAlignment="1">
      <alignment horizontal="center"/>
    </xf>
    <xf numFmtId="0" fontId="121" fillId="0" borderId="0" xfId="0" applyFont="1" applyAlignment="1">
      <alignment horizontal="center" wrapText="1"/>
    </xf>
    <xf numFmtId="10" fontId="28" fillId="0" borderId="60" xfId="0" applyNumberFormat="1" applyFont="1" applyBorder="1" applyAlignment="1">
      <alignment horizontal="center"/>
    </xf>
    <xf numFmtId="10" fontId="28" fillId="0" borderId="63" xfId="0" applyNumberFormat="1" applyFont="1" applyBorder="1" applyAlignment="1">
      <alignment horizontal="center"/>
    </xf>
    <xf numFmtId="10" fontId="28" fillId="0" borderId="60" xfId="1" applyNumberFormat="1" applyFont="1" applyFill="1" applyBorder="1" applyAlignment="1">
      <alignment horizontal="center"/>
    </xf>
    <xf numFmtId="10" fontId="28" fillId="0" borderId="63" xfId="1" applyNumberFormat="1" applyFont="1" applyFill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1" fillId="0" borderId="0" xfId="11200" applyFont="1" applyAlignment="1">
      <alignment horizontal="center"/>
    </xf>
    <xf numFmtId="0" fontId="29" fillId="0" borderId="0" xfId="9405" applyFont="1" applyAlignment="1">
      <alignment horizontal="center"/>
    </xf>
    <xf numFmtId="0" fontId="30" fillId="0" borderId="0" xfId="9405" applyFont="1" applyAlignment="1">
      <alignment horizontal="center"/>
    </xf>
    <xf numFmtId="0" fontId="120" fillId="0" borderId="0" xfId="9405" applyFont="1" applyAlignment="1">
      <alignment horizontal="center"/>
    </xf>
    <xf numFmtId="0" fontId="34" fillId="0" borderId="0" xfId="9405" applyFont="1" applyAlignment="1">
      <alignment horizontal="center"/>
    </xf>
    <xf numFmtId="0" fontId="29" fillId="0" borderId="32" xfId="9405" applyFont="1" applyBorder="1" applyAlignment="1">
      <alignment horizontal="center"/>
    </xf>
    <xf numFmtId="0" fontId="0" fillId="0" borderId="32" xfId="9405" applyFont="1" applyBorder="1" applyAlignment="1">
      <alignment horizontal="center"/>
    </xf>
    <xf numFmtId="0" fontId="31" fillId="0" borderId="32" xfId="9405" applyBorder="1" applyAlignment="1">
      <alignment horizontal="center"/>
    </xf>
    <xf numFmtId="0" fontId="29" fillId="0" borderId="0" xfId="9395" applyFont="1" applyAlignment="1">
      <alignment horizontal="left" wrapText="1"/>
    </xf>
    <xf numFmtId="0" fontId="0" fillId="0" borderId="0" xfId="9395" applyFont="1" applyAlignment="1">
      <alignment horizontal="left" wrapText="1"/>
    </xf>
    <xf numFmtId="0" fontId="120" fillId="0" borderId="36" xfId="9405" applyFont="1" applyBorder="1" applyAlignment="1">
      <alignment horizontal="center" vertical="center"/>
    </xf>
    <xf numFmtId="0" fontId="120" fillId="0" borderId="36" xfId="9404" applyFont="1" applyBorder="1" applyAlignment="1">
      <alignment horizontal="center" vertical="center" wrapText="1"/>
    </xf>
    <xf numFmtId="0" fontId="31" fillId="0" borderId="0" xfId="9404" applyAlignment="1">
      <alignment horizontal="center"/>
    </xf>
  </cellXfs>
  <cellStyles count="11212">
    <cellStyle name="_x000a_bidires=100_x000d_ 2 2 2" xfId="11192" xr:uid="{00000000-0005-0000-0000-000000000000}"/>
    <cellStyle name="$ Currency" xfId="23" xr:uid="{00000000-0005-0000-0000-000001000000}"/>
    <cellStyle name="$ Linked Amount" xfId="24" xr:uid="{00000000-0005-0000-0000-000002000000}"/>
    <cellStyle name="$Currency x2" xfId="25" xr:uid="{00000000-0005-0000-0000-000003000000}"/>
    <cellStyle name="$Gas Cost x5" xfId="26" xr:uid="{00000000-0005-0000-0000-000004000000}"/>
    <cellStyle name="20% - Accent1 2" xfId="27" xr:uid="{00000000-0005-0000-0000-000005000000}"/>
    <cellStyle name="20% - Accent1 2 2" xfId="28" xr:uid="{00000000-0005-0000-0000-000006000000}"/>
    <cellStyle name="20% - Accent1 2 2 2" xfId="29" xr:uid="{00000000-0005-0000-0000-000007000000}"/>
    <cellStyle name="20% - Accent1 2 2 3" xfId="30" xr:uid="{00000000-0005-0000-0000-000008000000}"/>
    <cellStyle name="20% - Accent1 2 2 4" xfId="9419" xr:uid="{00000000-0005-0000-0000-000009000000}"/>
    <cellStyle name="20% - Accent1 2 3" xfId="31" xr:uid="{00000000-0005-0000-0000-00000A000000}"/>
    <cellStyle name="20% - Accent1 2 3 2" xfId="32" xr:uid="{00000000-0005-0000-0000-00000B000000}"/>
    <cellStyle name="20% - Accent1 2 3 3" xfId="9420" xr:uid="{00000000-0005-0000-0000-00000C000000}"/>
    <cellStyle name="20% - Accent1 2 4" xfId="33" xr:uid="{00000000-0005-0000-0000-00000D000000}"/>
    <cellStyle name="20% - Accent1 2 4 2" xfId="11072" xr:uid="{00000000-0005-0000-0000-00000E000000}"/>
    <cellStyle name="20% - Accent1 2 5" xfId="34" xr:uid="{00000000-0005-0000-0000-00000F000000}"/>
    <cellStyle name="20% - Accent1 2 6" xfId="9418" xr:uid="{00000000-0005-0000-0000-000010000000}"/>
    <cellStyle name="20% - Accent1 3" xfId="35" xr:uid="{00000000-0005-0000-0000-000011000000}"/>
    <cellStyle name="20% - Accent1 3 2" xfId="36" xr:uid="{00000000-0005-0000-0000-000012000000}"/>
    <cellStyle name="20% - Accent1 3 2 2" xfId="37" xr:uid="{00000000-0005-0000-0000-000013000000}"/>
    <cellStyle name="20% - Accent1 3 2 3" xfId="9422" xr:uid="{00000000-0005-0000-0000-000014000000}"/>
    <cellStyle name="20% - Accent1 3 3" xfId="38" xr:uid="{00000000-0005-0000-0000-000015000000}"/>
    <cellStyle name="20% - Accent1 3 3 2" xfId="11073" xr:uid="{00000000-0005-0000-0000-000016000000}"/>
    <cellStyle name="20% - Accent1 3 4" xfId="39" xr:uid="{00000000-0005-0000-0000-000017000000}"/>
    <cellStyle name="20% - Accent1 3 5" xfId="9421" xr:uid="{00000000-0005-0000-0000-000018000000}"/>
    <cellStyle name="20% - Accent1 4" xfId="40" xr:uid="{00000000-0005-0000-0000-000019000000}"/>
    <cellStyle name="20% - Accent1 4 2" xfId="41" xr:uid="{00000000-0005-0000-0000-00001A000000}"/>
    <cellStyle name="20% - Accent1 4 2 2" xfId="42" xr:uid="{00000000-0005-0000-0000-00001B000000}"/>
    <cellStyle name="20% - Accent1 4 2 3" xfId="9424" xr:uid="{00000000-0005-0000-0000-00001C000000}"/>
    <cellStyle name="20% - Accent1 4 3" xfId="43" xr:uid="{00000000-0005-0000-0000-00001D000000}"/>
    <cellStyle name="20% - Accent1 4 3 2" xfId="11074" xr:uid="{00000000-0005-0000-0000-00001E000000}"/>
    <cellStyle name="20% - Accent1 4 4" xfId="9423" xr:uid="{00000000-0005-0000-0000-00001F000000}"/>
    <cellStyle name="20% - Accent1 5" xfId="44" xr:uid="{00000000-0005-0000-0000-000020000000}"/>
    <cellStyle name="20% - Accent1 5 2" xfId="45" xr:uid="{00000000-0005-0000-0000-000021000000}"/>
    <cellStyle name="20% - Accent1 5 2 2" xfId="46" xr:uid="{00000000-0005-0000-0000-000022000000}"/>
    <cellStyle name="20% - Accent1 5 2 3" xfId="9426" xr:uid="{00000000-0005-0000-0000-000023000000}"/>
    <cellStyle name="20% - Accent1 5 3" xfId="47" xr:uid="{00000000-0005-0000-0000-000024000000}"/>
    <cellStyle name="20% - Accent1 5 3 2" xfId="11075" xr:uid="{00000000-0005-0000-0000-000025000000}"/>
    <cellStyle name="20% - Accent1 5 4" xfId="9425" xr:uid="{00000000-0005-0000-0000-000026000000}"/>
    <cellStyle name="20% - Accent1 6" xfId="48" xr:uid="{00000000-0005-0000-0000-000027000000}"/>
    <cellStyle name="20% - Accent2 2" xfId="49" xr:uid="{00000000-0005-0000-0000-000028000000}"/>
    <cellStyle name="20% - Accent2 2 2" xfId="50" xr:uid="{00000000-0005-0000-0000-000029000000}"/>
    <cellStyle name="20% - Accent2 2 2 2" xfId="51" xr:uid="{00000000-0005-0000-0000-00002A000000}"/>
    <cellStyle name="20% - Accent2 2 2 3" xfId="52" xr:uid="{00000000-0005-0000-0000-00002B000000}"/>
    <cellStyle name="20% - Accent2 2 2 4" xfId="9428" xr:uid="{00000000-0005-0000-0000-00002C000000}"/>
    <cellStyle name="20% - Accent2 2 3" xfId="53" xr:uid="{00000000-0005-0000-0000-00002D000000}"/>
    <cellStyle name="20% - Accent2 2 3 2" xfId="54" xr:uid="{00000000-0005-0000-0000-00002E000000}"/>
    <cellStyle name="20% - Accent2 2 3 3" xfId="9429" xr:uid="{00000000-0005-0000-0000-00002F000000}"/>
    <cellStyle name="20% - Accent2 2 4" xfId="55" xr:uid="{00000000-0005-0000-0000-000030000000}"/>
    <cellStyle name="20% - Accent2 2 4 2" xfId="11076" xr:uid="{00000000-0005-0000-0000-000031000000}"/>
    <cellStyle name="20% - Accent2 2 5" xfId="56" xr:uid="{00000000-0005-0000-0000-000032000000}"/>
    <cellStyle name="20% - Accent2 2 6" xfId="9427" xr:uid="{00000000-0005-0000-0000-000033000000}"/>
    <cellStyle name="20% - Accent2 3" xfId="57" xr:uid="{00000000-0005-0000-0000-000034000000}"/>
    <cellStyle name="20% - Accent2 3 2" xfId="58" xr:uid="{00000000-0005-0000-0000-000035000000}"/>
    <cellStyle name="20% - Accent2 3 2 2" xfId="59" xr:uid="{00000000-0005-0000-0000-000036000000}"/>
    <cellStyle name="20% - Accent2 3 2 3" xfId="9431" xr:uid="{00000000-0005-0000-0000-000037000000}"/>
    <cellStyle name="20% - Accent2 3 3" xfId="60" xr:uid="{00000000-0005-0000-0000-000038000000}"/>
    <cellStyle name="20% - Accent2 3 3 2" xfId="11077" xr:uid="{00000000-0005-0000-0000-000039000000}"/>
    <cellStyle name="20% - Accent2 3 4" xfId="61" xr:uid="{00000000-0005-0000-0000-00003A000000}"/>
    <cellStyle name="20% - Accent2 3 5" xfId="9430" xr:uid="{00000000-0005-0000-0000-00003B000000}"/>
    <cellStyle name="20% - Accent2 4" xfId="62" xr:uid="{00000000-0005-0000-0000-00003C000000}"/>
    <cellStyle name="20% - Accent2 4 2" xfId="63" xr:uid="{00000000-0005-0000-0000-00003D000000}"/>
    <cellStyle name="20% - Accent2 4 2 2" xfId="64" xr:uid="{00000000-0005-0000-0000-00003E000000}"/>
    <cellStyle name="20% - Accent2 4 2 3" xfId="9433" xr:uid="{00000000-0005-0000-0000-00003F000000}"/>
    <cellStyle name="20% - Accent2 4 3" xfId="65" xr:uid="{00000000-0005-0000-0000-000040000000}"/>
    <cellStyle name="20% - Accent2 4 3 2" xfId="11078" xr:uid="{00000000-0005-0000-0000-000041000000}"/>
    <cellStyle name="20% - Accent2 4 4" xfId="9432" xr:uid="{00000000-0005-0000-0000-000042000000}"/>
    <cellStyle name="20% - Accent2 5" xfId="66" xr:uid="{00000000-0005-0000-0000-000043000000}"/>
    <cellStyle name="20% - Accent2 5 2" xfId="67" xr:uid="{00000000-0005-0000-0000-000044000000}"/>
    <cellStyle name="20% - Accent2 5 2 2" xfId="68" xr:uid="{00000000-0005-0000-0000-000045000000}"/>
    <cellStyle name="20% - Accent2 5 2 3" xfId="9435" xr:uid="{00000000-0005-0000-0000-000046000000}"/>
    <cellStyle name="20% - Accent2 5 3" xfId="69" xr:uid="{00000000-0005-0000-0000-000047000000}"/>
    <cellStyle name="20% - Accent2 5 3 2" xfId="11079" xr:uid="{00000000-0005-0000-0000-000048000000}"/>
    <cellStyle name="20% - Accent2 5 4" xfId="9434" xr:uid="{00000000-0005-0000-0000-000049000000}"/>
    <cellStyle name="20% - Accent2 6" xfId="70" xr:uid="{00000000-0005-0000-0000-00004A000000}"/>
    <cellStyle name="20% - Accent3 2" xfId="71" xr:uid="{00000000-0005-0000-0000-00004B000000}"/>
    <cellStyle name="20% - Accent3 2 2" xfId="72" xr:uid="{00000000-0005-0000-0000-00004C000000}"/>
    <cellStyle name="20% - Accent3 2 2 2" xfId="73" xr:uid="{00000000-0005-0000-0000-00004D000000}"/>
    <cellStyle name="20% - Accent3 2 2 3" xfId="74" xr:uid="{00000000-0005-0000-0000-00004E000000}"/>
    <cellStyle name="20% - Accent3 2 2 4" xfId="9437" xr:uid="{00000000-0005-0000-0000-00004F000000}"/>
    <cellStyle name="20% - Accent3 2 3" xfId="75" xr:uid="{00000000-0005-0000-0000-000050000000}"/>
    <cellStyle name="20% - Accent3 2 3 2" xfId="76" xr:uid="{00000000-0005-0000-0000-000051000000}"/>
    <cellStyle name="20% - Accent3 2 3 3" xfId="9438" xr:uid="{00000000-0005-0000-0000-000052000000}"/>
    <cellStyle name="20% - Accent3 2 4" xfId="77" xr:uid="{00000000-0005-0000-0000-000053000000}"/>
    <cellStyle name="20% - Accent3 2 4 2" xfId="11080" xr:uid="{00000000-0005-0000-0000-000054000000}"/>
    <cellStyle name="20% - Accent3 2 5" xfId="78" xr:uid="{00000000-0005-0000-0000-000055000000}"/>
    <cellStyle name="20% - Accent3 2 6" xfId="9436" xr:uid="{00000000-0005-0000-0000-000056000000}"/>
    <cellStyle name="20% - Accent3 3" xfId="79" xr:uid="{00000000-0005-0000-0000-000057000000}"/>
    <cellStyle name="20% - Accent3 3 2" xfId="80" xr:uid="{00000000-0005-0000-0000-000058000000}"/>
    <cellStyle name="20% - Accent3 3 2 2" xfId="81" xr:uid="{00000000-0005-0000-0000-000059000000}"/>
    <cellStyle name="20% - Accent3 3 2 3" xfId="9440" xr:uid="{00000000-0005-0000-0000-00005A000000}"/>
    <cellStyle name="20% - Accent3 3 3" xfId="82" xr:uid="{00000000-0005-0000-0000-00005B000000}"/>
    <cellStyle name="20% - Accent3 3 3 2" xfId="11081" xr:uid="{00000000-0005-0000-0000-00005C000000}"/>
    <cellStyle name="20% - Accent3 3 4" xfId="83" xr:uid="{00000000-0005-0000-0000-00005D000000}"/>
    <cellStyle name="20% - Accent3 3 5" xfId="9439" xr:uid="{00000000-0005-0000-0000-00005E000000}"/>
    <cellStyle name="20% - Accent3 4" xfId="84" xr:uid="{00000000-0005-0000-0000-00005F000000}"/>
    <cellStyle name="20% - Accent3 4 2" xfId="85" xr:uid="{00000000-0005-0000-0000-000060000000}"/>
    <cellStyle name="20% - Accent3 4 2 2" xfId="86" xr:uid="{00000000-0005-0000-0000-000061000000}"/>
    <cellStyle name="20% - Accent3 4 2 3" xfId="9442" xr:uid="{00000000-0005-0000-0000-000062000000}"/>
    <cellStyle name="20% - Accent3 4 3" xfId="87" xr:uid="{00000000-0005-0000-0000-000063000000}"/>
    <cellStyle name="20% - Accent3 4 3 2" xfId="11082" xr:uid="{00000000-0005-0000-0000-000064000000}"/>
    <cellStyle name="20% - Accent3 4 4" xfId="9441" xr:uid="{00000000-0005-0000-0000-000065000000}"/>
    <cellStyle name="20% - Accent3 5" xfId="88" xr:uid="{00000000-0005-0000-0000-000066000000}"/>
    <cellStyle name="20% - Accent3 5 2" xfId="89" xr:uid="{00000000-0005-0000-0000-000067000000}"/>
    <cellStyle name="20% - Accent3 5 2 2" xfId="90" xr:uid="{00000000-0005-0000-0000-000068000000}"/>
    <cellStyle name="20% - Accent3 5 2 3" xfId="9444" xr:uid="{00000000-0005-0000-0000-000069000000}"/>
    <cellStyle name="20% - Accent3 5 3" xfId="91" xr:uid="{00000000-0005-0000-0000-00006A000000}"/>
    <cellStyle name="20% - Accent3 5 3 2" xfId="11083" xr:uid="{00000000-0005-0000-0000-00006B000000}"/>
    <cellStyle name="20% - Accent3 5 4" xfId="9443" xr:uid="{00000000-0005-0000-0000-00006C000000}"/>
    <cellStyle name="20% - Accent3 6" xfId="92" xr:uid="{00000000-0005-0000-0000-00006D000000}"/>
    <cellStyle name="20% - Accent4 2" xfId="93" xr:uid="{00000000-0005-0000-0000-00006E000000}"/>
    <cellStyle name="20% - Accent4 2 2" xfId="94" xr:uid="{00000000-0005-0000-0000-00006F000000}"/>
    <cellStyle name="20% - Accent4 2 2 2" xfId="95" xr:uid="{00000000-0005-0000-0000-000070000000}"/>
    <cellStyle name="20% - Accent4 2 2 3" xfId="96" xr:uid="{00000000-0005-0000-0000-000071000000}"/>
    <cellStyle name="20% - Accent4 2 2 4" xfId="9446" xr:uid="{00000000-0005-0000-0000-000072000000}"/>
    <cellStyle name="20% - Accent4 2 3" xfId="97" xr:uid="{00000000-0005-0000-0000-000073000000}"/>
    <cellStyle name="20% - Accent4 2 3 2" xfId="98" xr:uid="{00000000-0005-0000-0000-000074000000}"/>
    <cellStyle name="20% - Accent4 2 3 3" xfId="9447" xr:uid="{00000000-0005-0000-0000-000075000000}"/>
    <cellStyle name="20% - Accent4 2 4" xfId="99" xr:uid="{00000000-0005-0000-0000-000076000000}"/>
    <cellStyle name="20% - Accent4 2 4 2" xfId="11084" xr:uid="{00000000-0005-0000-0000-000077000000}"/>
    <cellStyle name="20% - Accent4 2 5" xfId="100" xr:uid="{00000000-0005-0000-0000-000078000000}"/>
    <cellStyle name="20% - Accent4 2 6" xfId="9445" xr:uid="{00000000-0005-0000-0000-000079000000}"/>
    <cellStyle name="20% - Accent4 3" xfId="101" xr:uid="{00000000-0005-0000-0000-00007A000000}"/>
    <cellStyle name="20% - Accent4 3 2" xfId="102" xr:uid="{00000000-0005-0000-0000-00007B000000}"/>
    <cellStyle name="20% - Accent4 3 2 2" xfId="103" xr:uid="{00000000-0005-0000-0000-00007C000000}"/>
    <cellStyle name="20% - Accent4 3 2 3" xfId="9449" xr:uid="{00000000-0005-0000-0000-00007D000000}"/>
    <cellStyle name="20% - Accent4 3 3" xfId="104" xr:uid="{00000000-0005-0000-0000-00007E000000}"/>
    <cellStyle name="20% - Accent4 3 3 2" xfId="11085" xr:uid="{00000000-0005-0000-0000-00007F000000}"/>
    <cellStyle name="20% - Accent4 3 4" xfId="105" xr:uid="{00000000-0005-0000-0000-000080000000}"/>
    <cellStyle name="20% - Accent4 3 5" xfId="9448" xr:uid="{00000000-0005-0000-0000-000081000000}"/>
    <cellStyle name="20% - Accent4 4" xfId="106" xr:uid="{00000000-0005-0000-0000-000082000000}"/>
    <cellStyle name="20% - Accent4 4 2" xfId="107" xr:uid="{00000000-0005-0000-0000-000083000000}"/>
    <cellStyle name="20% - Accent4 4 2 2" xfId="108" xr:uid="{00000000-0005-0000-0000-000084000000}"/>
    <cellStyle name="20% - Accent4 4 2 3" xfId="9451" xr:uid="{00000000-0005-0000-0000-000085000000}"/>
    <cellStyle name="20% - Accent4 4 3" xfId="109" xr:uid="{00000000-0005-0000-0000-000086000000}"/>
    <cellStyle name="20% - Accent4 4 3 2" xfId="11086" xr:uid="{00000000-0005-0000-0000-000087000000}"/>
    <cellStyle name="20% - Accent4 4 4" xfId="9450" xr:uid="{00000000-0005-0000-0000-000088000000}"/>
    <cellStyle name="20% - Accent4 5" xfId="110" xr:uid="{00000000-0005-0000-0000-000089000000}"/>
    <cellStyle name="20% - Accent4 5 2" xfId="111" xr:uid="{00000000-0005-0000-0000-00008A000000}"/>
    <cellStyle name="20% - Accent4 5 2 2" xfId="112" xr:uid="{00000000-0005-0000-0000-00008B000000}"/>
    <cellStyle name="20% - Accent4 5 2 3" xfId="9453" xr:uid="{00000000-0005-0000-0000-00008C000000}"/>
    <cellStyle name="20% - Accent4 5 3" xfId="113" xr:uid="{00000000-0005-0000-0000-00008D000000}"/>
    <cellStyle name="20% - Accent4 5 3 2" xfId="11087" xr:uid="{00000000-0005-0000-0000-00008E000000}"/>
    <cellStyle name="20% - Accent4 5 4" xfId="9452" xr:uid="{00000000-0005-0000-0000-00008F000000}"/>
    <cellStyle name="20% - Accent4 6" xfId="114" xr:uid="{00000000-0005-0000-0000-000090000000}"/>
    <cellStyle name="20% - Accent5 2" xfId="115" xr:uid="{00000000-0005-0000-0000-000091000000}"/>
    <cellStyle name="20% - Accent5 2 2" xfId="116" xr:uid="{00000000-0005-0000-0000-000092000000}"/>
    <cellStyle name="20% - Accent5 2 2 2" xfId="117" xr:uid="{00000000-0005-0000-0000-000093000000}"/>
    <cellStyle name="20% - Accent5 2 2 3" xfId="118" xr:uid="{00000000-0005-0000-0000-000094000000}"/>
    <cellStyle name="20% - Accent5 2 2 4" xfId="9455" xr:uid="{00000000-0005-0000-0000-000095000000}"/>
    <cellStyle name="20% - Accent5 2 3" xfId="119" xr:uid="{00000000-0005-0000-0000-000096000000}"/>
    <cellStyle name="20% - Accent5 2 3 2" xfId="120" xr:uid="{00000000-0005-0000-0000-000097000000}"/>
    <cellStyle name="20% - Accent5 2 3 3" xfId="9456" xr:uid="{00000000-0005-0000-0000-000098000000}"/>
    <cellStyle name="20% - Accent5 2 4" xfId="121" xr:uid="{00000000-0005-0000-0000-000099000000}"/>
    <cellStyle name="20% - Accent5 2 4 2" xfId="11088" xr:uid="{00000000-0005-0000-0000-00009A000000}"/>
    <cellStyle name="20% - Accent5 2 5" xfId="122" xr:uid="{00000000-0005-0000-0000-00009B000000}"/>
    <cellStyle name="20% - Accent5 2 6" xfId="9454" xr:uid="{00000000-0005-0000-0000-00009C000000}"/>
    <cellStyle name="20% - Accent5 3" xfId="123" xr:uid="{00000000-0005-0000-0000-00009D000000}"/>
    <cellStyle name="20% - Accent5 3 2" xfId="124" xr:uid="{00000000-0005-0000-0000-00009E000000}"/>
    <cellStyle name="20% - Accent5 3 2 2" xfId="125" xr:uid="{00000000-0005-0000-0000-00009F000000}"/>
    <cellStyle name="20% - Accent5 3 2 3" xfId="9458" xr:uid="{00000000-0005-0000-0000-0000A0000000}"/>
    <cellStyle name="20% - Accent5 3 3" xfId="126" xr:uid="{00000000-0005-0000-0000-0000A1000000}"/>
    <cellStyle name="20% - Accent5 3 3 2" xfId="11089" xr:uid="{00000000-0005-0000-0000-0000A2000000}"/>
    <cellStyle name="20% - Accent5 3 4" xfId="127" xr:uid="{00000000-0005-0000-0000-0000A3000000}"/>
    <cellStyle name="20% - Accent5 3 5" xfId="9457" xr:uid="{00000000-0005-0000-0000-0000A4000000}"/>
    <cellStyle name="20% - Accent5 4" xfId="128" xr:uid="{00000000-0005-0000-0000-0000A5000000}"/>
    <cellStyle name="20% - Accent5 4 2" xfId="129" xr:uid="{00000000-0005-0000-0000-0000A6000000}"/>
    <cellStyle name="20% - Accent5 4 2 2" xfId="130" xr:uid="{00000000-0005-0000-0000-0000A7000000}"/>
    <cellStyle name="20% - Accent5 4 2 3" xfId="9460" xr:uid="{00000000-0005-0000-0000-0000A8000000}"/>
    <cellStyle name="20% - Accent5 4 3" xfId="131" xr:uid="{00000000-0005-0000-0000-0000A9000000}"/>
    <cellStyle name="20% - Accent5 4 3 2" xfId="11090" xr:uid="{00000000-0005-0000-0000-0000AA000000}"/>
    <cellStyle name="20% - Accent5 4 4" xfId="9459" xr:uid="{00000000-0005-0000-0000-0000AB000000}"/>
    <cellStyle name="20% - Accent5 5" xfId="132" xr:uid="{00000000-0005-0000-0000-0000AC000000}"/>
    <cellStyle name="20% - Accent5 5 2" xfId="133" xr:uid="{00000000-0005-0000-0000-0000AD000000}"/>
    <cellStyle name="20% - Accent5 5 2 2" xfId="134" xr:uid="{00000000-0005-0000-0000-0000AE000000}"/>
    <cellStyle name="20% - Accent5 5 2 3" xfId="9462" xr:uid="{00000000-0005-0000-0000-0000AF000000}"/>
    <cellStyle name="20% - Accent5 5 3" xfId="135" xr:uid="{00000000-0005-0000-0000-0000B0000000}"/>
    <cellStyle name="20% - Accent5 5 3 2" xfId="11091" xr:uid="{00000000-0005-0000-0000-0000B1000000}"/>
    <cellStyle name="20% - Accent5 5 4" xfId="9461" xr:uid="{00000000-0005-0000-0000-0000B2000000}"/>
    <cellStyle name="20% - Accent5 6" xfId="136" xr:uid="{00000000-0005-0000-0000-0000B3000000}"/>
    <cellStyle name="20% - Accent6 2" xfId="137" xr:uid="{00000000-0005-0000-0000-0000B4000000}"/>
    <cellStyle name="20% - Accent6 2 2" xfId="138" xr:uid="{00000000-0005-0000-0000-0000B5000000}"/>
    <cellStyle name="20% - Accent6 2 2 2" xfId="139" xr:uid="{00000000-0005-0000-0000-0000B6000000}"/>
    <cellStyle name="20% - Accent6 2 2 3" xfId="140" xr:uid="{00000000-0005-0000-0000-0000B7000000}"/>
    <cellStyle name="20% - Accent6 2 2 4" xfId="9464" xr:uid="{00000000-0005-0000-0000-0000B8000000}"/>
    <cellStyle name="20% - Accent6 2 3" xfId="141" xr:uid="{00000000-0005-0000-0000-0000B9000000}"/>
    <cellStyle name="20% - Accent6 2 3 2" xfId="142" xr:uid="{00000000-0005-0000-0000-0000BA000000}"/>
    <cellStyle name="20% - Accent6 2 3 3" xfId="9465" xr:uid="{00000000-0005-0000-0000-0000BB000000}"/>
    <cellStyle name="20% - Accent6 2 4" xfId="143" xr:uid="{00000000-0005-0000-0000-0000BC000000}"/>
    <cellStyle name="20% - Accent6 2 4 2" xfId="11092" xr:uid="{00000000-0005-0000-0000-0000BD000000}"/>
    <cellStyle name="20% - Accent6 2 5" xfId="144" xr:uid="{00000000-0005-0000-0000-0000BE000000}"/>
    <cellStyle name="20% - Accent6 2 6" xfId="9463" xr:uid="{00000000-0005-0000-0000-0000BF000000}"/>
    <cellStyle name="20% - Accent6 3" xfId="145" xr:uid="{00000000-0005-0000-0000-0000C0000000}"/>
    <cellStyle name="20% - Accent6 3 2" xfId="146" xr:uid="{00000000-0005-0000-0000-0000C1000000}"/>
    <cellStyle name="20% - Accent6 3 2 2" xfId="147" xr:uid="{00000000-0005-0000-0000-0000C2000000}"/>
    <cellStyle name="20% - Accent6 3 2 3" xfId="9467" xr:uid="{00000000-0005-0000-0000-0000C3000000}"/>
    <cellStyle name="20% - Accent6 3 3" xfId="148" xr:uid="{00000000-0005-0000-0000-0000C4000000}"/>
    <cellStyle name="20% - Accent6 3 3 2" xfId="11093" xr:uid="{00000000-0005-0000-0000-0000C5000000}"/>
    <cellStyle name="20% - Accent6 3 4" xfId="149" xr:uid="{00000000-0005-0000-0000-0000C6000000}"/>
    <cellStyle name="20% - Accent6 3 5" xfId="9466" xr:uid="{00000000-0005-0000-0000-0000C7000000}"/>
    <cellStyle name="20% - Accent6 4" xfId="150" xr:uid="{00000000-0005-0000-0000-0000C8000000}"/>
    <cellStyle name="20% - Accent6 4 2" xfId="151" xr:uid="{00000000-0005-0000-0000-0000C9000000}"/>
    <cellStyle name="20% - Accent6 4 2 2" xfId="152" xr:uid="{00000000-0005-0000-0000-0000CA000000}"/>
    <cellStyle name="20% - Accent6 4 2 3" xfId="9469" xr:uid="{00000000-0005-0000-0000-0000CB000000}"/>
    <cellStyle name="20% - Accent6 4 3" xfId="153" xr:uid="{00000000-0005-0000-0000-0000CC000000}"/>
    <cellStyle name="20% - Accent6 4 3 2" xfId="11094" xr:uid="{00000000-0005-0000-0000-0000CD000000}"/>
    <cellStyle name="20% - Accent6 4 4" xfId="9468" xr:uid="{00000000-0005-0000-0000-0000CE000000}"/>
    <cellStyle name="20% - Accent6 5" xfId="154" xr:uid="{00000000-0005-0000-0000-0000CF000000}"/>
    <cellStyle name="20% - Accent6 5 2" xfId="155" xr:uid="{00000000-0005-0000-0000-0000D0000000}"/>
    <cellStyle name="20% - Accent6 5 2 2" xfId="156" xr:uid="{00000000-0005-0000-0000-0000D1000000}"/>
    <cellStyle name="20% - Accent6 5 2 3" xfId="9471" xr:uid="{00000000-0005-0000-0000-0000D2000000}"/>
    <cellStyle name="20% - Accent6 5 3" xfId="157" xr:uid="{00000000-0005-0000-0000-0000D3000000}"/>
    <cellStyle name="20% - Accent6 5 3 2" xfId="11095" xr:uid="{00000000-0005-0000-0000-0000D4000000}"/>
    <cellStyle name="20% - Accent6 5 4" xfId="9470" xr:uid="{00000000-0005-0000-0000-0000D5000000}"/>
    <cellStyle name="20% - Accent6 6" xfId="158" xr:uid="{00000000-0005-0000-0000-0000D6000000}"/>
    <cellStyle name="40% - Accent1 2" xfId="159" xr:uid="{00000000-0005-0000-0000-0000D7000000}"/>
    <cellStyle name="40% - Accent1 2 2" xfId="160" xr:uid="{00000000-0005-0000-0000-0000D8000000}"/>
    <cellStyle name="40% - Accent1 2 2 2" xfId="161" xr:uid="{00000000-0005-0000-0000-0000D9000000}"/>
    <cellStyle name="40% - Accent1 2 2 3" xfId="162" xr:uid="{00000000-0005-0000-0000-0000DA000000}"/>
    <cellStyle name="40% - Accent1 2 2 4" xfId="9473" xr:uid="{00000000-0005-0000-0000-0000DB000000}"/>
    <cellStyle name="40% - Accent1 2 3" xfId="163" xr:uid="{00000000-0005-0000-0000-0000DC000000}"/>
    <cellStyle name="40% - Accent1 2 3 2" xfId="164" xr:uid="{00000000-0005-0000-0000-0000DD000000}"/>
    <cellStyle name="40% - Accent1 2 3 3" xfId="9474" xr:uid="{00000000-0005-0000-0000-0000DE000000}"/>
    <cellStyle name="40% - Accent1 2 4" xfId="165" xr:uid="{00000000-0005-0000-0000-0000DF000000}"/>
    <cellStyle name="40% - Accent1 2 4 2" xfId="11096" xr:uid="{00000000-0005-0000-0000-0000E0000000}"/>
    <cellStyle name="40% - Accent1 2 5" xfId="166" xr:uid="{00000000-0005-0000-0000-0000E1000000}"/>
    <cellStyle name="40% - Accent1 2 6" xfId="9472" xr:uid="{00000000-0005-0000-0000-0000E2000000}"/>
    <cellStyle name="40% - Accent1 3" xfId="167" xr:uid="{00000000-0005-0000-0000-0000E3000000}"/>
    <cellStyle name="40% - Accent1 3 2" xfId="168" xr:uid="{00000000-0005-0000-0000-0000E4000000}"/>
    <cellStyle name="40% - Accent1 3 2 2" xfId="169" xr:uid="{00000000-0005-0000-0000-0000E5000000}"/>
    <cellStyle name="40% - Accent1 3 2 3" xfId="9476" xr:uid="{00000000-0005-0000-0000-0000E6000000}"/>
    <cellStyle name="40% - Accent1 3 3" xfId="170" xr:uid="{00000000-0005-0000-0000-0000E7000000}"/>
    <cellStyle name="40% - Accent1 3 3 2" xfId="11097" xr:uid="{00000000-0005-0000-0000-0000E8000000}"/>
    <cellStyle name="40% - Accent1 3 4" xfId="171" xr:uid="{00000000-0005-0000-0000-0000E9000000}"/>
    <cellStyle name="40% - Accent1 3 5" xfId="9475" xr:uid="{00000000-0005-0000-0000-0000EA000000}"/>
    <cellStyle name="40% - Accent1 4" xfId="172" xr:uid="{00000000-0005-0000-0000-0000EB000000}"/>
    <cellStyle name="40% - Accent1 4 2" xfId="173" xr:uid="{00000000-0005-0000-0000-0000EC000000}"/>
    <cellStyle name="40% - Accent1 4 2 2" xfId="174" xr:uid="{00000000-0005-0000-0000-0000ED000000}"/>
    <cellStyle name="40% - Accent1 4 2 3" xfId="9478" xr:uid="{00000000-0005-0000-0000-0000EE000000}"/>
    <cellStyle name="40% - Accent1 4 3" xfId="175" xr:uid="{00000000-0005-0000-0000-0000EF000000}"/>
    <cellStyle name="40% - Accent1 4 3 2" xfId="11098" xr:uid="{00000000-0005-0000-0000-0000F0000000}"/>
    <cellStyle name="40% - Accent1 4 4" xfId="9477" xr:uid="{00000000-0005-0000-0000-0000F1000000}"/>
    <cellStyle name="40% - Accent1 5" xfId="176" xr:uid="{00000000-0005-0000-0000-0000F2000000}"/>
    <cellStyle name="40% - Accent1 5 2" xfId="177" xr:uid="{00000000-0005-0000-0000-0000F3000000}"/>
    <cellStyle name="40% - Accent1 5 2 2" xfId="178" xr:uid="{00000000-0005-0000-0000-0000F4000000}"/>
    <cellStyle name="40% - Accent1 5 2 3" xfId="9480" xr:uid="{00000000-0005-0000-0000-0000F5000000}"/>
    <cellStyle name="40% - Accent1 5 3" xfId="179" xr:uid="{00000000-0005-0000-0000-0000F6000000}"/>
    <cellStyle name="40% - Accent1 5 3 2" xfId="11099" xr:uid="{00000000-0005-0000-0000-0000F7000000}"/>
    <cellStyle name="40% - Accent1 5 4" xfId="9479" xr:uid="{00000000-0005-0000-0000-0000F8000000}"/>
    <cellStyle name="40% - Accent1 6" xfId="180" xr:uid="{00000000-0005-0000-0000-0000F9000000}"/>
    <cellStyle name="40% - Accent2 2" xfId="181" xr:uid="{00000000-0005-0000-0000-0000FA000000}"/>
    <cellStyle name="40% - Accent2 2 2" xfId="182" xr:uid="{00000000-0005-0000-0000-0000FB000000}"/>
    <cellStyle name="40% - Accent2 2 2 2" xfId="183" xr:uid="{00000000-0005-0000-0000-0000FC000000}"/>
    <cellStyle name="40% - Accent2 2 2 3" xfId="184" xr:uid="{00000000-0005-0000-0000-0000FD000000}"/>
    <cellStyle name="40% - Accent2 2 2 4" xfId="9482" xr:uid="{00000000-0005-0000-0000-0000FE000000}"/>
    <cellStyle name="40% - Accent2 2 3" xfId="185" xr:uid="{00000000-0005-0000-0000-0000FF000000}"/>
    <cellStyle name="40% - Accent2 2 3 2" xfId="186" xr:uid="{00000000-0005-0000-0000-000000010000}"/>
    <cellStyle name="40% - Accent2 2 3 3" xfId="9483" xr:uid="{00000000-0005-0000-0000-000001010000}"/>
    <cellStyle name="40% - Accent2 2 4" xfId="187" xr:uid="{00000000-0005-0000-0000-000002010000}"/>
    <cellStyle name="40% - Accent2 2 4 2" xfId="11100" xr:uid="{00000000-0005-0000-0000-000003010000}"/>
    <cellStyle name="40% - Accent2 2 5" xfId="188" xr:uid="{00000000-0005-0000-0000-000004010000}"/>
    <cellStyle name="40% - Accent2 2 6" xfId="9481" xr:uid="{00000000-0005-0000-0000-000005010000}"/>
    <cellStyle name="40% - Accent2 3" xfId="189" xr:uid="{00000000-0005-0000-0000-000006010000}"/>
    <cellStyle name="40% - Accent2 3 2" xfId="190" xr:uid="{00000000-0005-0000-0000-000007010000}"/>
    <cellStyle name="40% - Accent2 3 2 2" xfId="191" xr:uid="{00000000-0005-0000-0000-000008010000}"/>
    <cellStyle name="40% - Accent2 3 2 3" xfId="9485" xr:uid="{00000000-0005-0000-0000-000009010000}"/>
    <cellStyle name="40% - Accent2 3 3" xfId="192" xr:uid="{00000000-0005-0000-0000-00000A010000}"/>
    <cellStyle name="40% - Accent2 3 3 2" xfId="11101" xr:uid="{00000000-0005-0000-0000-00000B010000}"/>
    <cellStyle name="40% - Accent2 3 4" xfId="193" xr:uid="{00000000-0005-0000-0000-00000C010000}"/>
    <cellStyle name="40% - Accent2 3 5" xfId="9484" xr:uid="{00000000-0005-0000-0000-00000D010000}"/>
    <cellStyle name="40% - Accent2 4" xfId="194" xr:uid="{00000000-0005-0000-0000-00000E010000}"/>
    <cellStyle name="40% - Accent2 4 2" xfId="195" xr:uid="{00000000-0005-0000-0000-00000F010000}"/>
    <cellStyle name="40% - Accent2 4 2 2" xfId="196" xr:uid="{00000000-0005-0000-0000-000010010000}"/>
    <cellStyle name="40% - Accent2 4 2 3" xfId="9487" xr:uid="{00000000-0005-0000-0000-000011010000}"/>
    <cellStyle name="40% - Accent2 4 3" xfId="197" xr:uid="{00000000-0005-0000-0000-000012010000}"/>
    <cellStyle name="40% - Accent2 4 3 2" xfId="11102" xr:uid="{00000000-0005-0000-0000-000013010000}"/>
    <cellStyle name="40% - Accent2 4 4" xfId="9486" xr:uid="{00000000-0005-0000-0000-000014010000}"/>
    <cellStyle name="40% - Accent2 5" xfId="198" xr:uid="{00000000-0005-0000-0000-000015010000}"/>
    <cellStyle name="40% - Accent2 5 2" xfId="199" xr:uid="{00000000-0005-0000-0000-000016010000}"/>
    <cellStyle name="40% - Accent2 5 2 2" xfId="200" xr:uid="{00000000-0005-0000-0000-000017010000}"/>
    <cellStyle name="40% - Accent2 5 2 3" xfId="9489" xr:uid="{00000000-0005-0000-0000-000018010000}"/>
    <cellStyle name="40% - Accent2 5 3" xfId="201" xr:uid="{00000000-0005-0000-0000-000019010000}"/>
    <cellStyle name="40% - Accent2 5 3 2" xfId="11103" xr:uid="{00000000-0005-0000-0000-00001A010000}"/>
    <cellStyle name="40% - Accent2 5 4" xfId="9488" xr:uid="{00000000-0005-0000-0000-00001B010000}"/>
    <cellStyle name="40% - Accent2 6" xfId="202" xr:uid="{00000000-0005-0000-0000-00001C010000}"/>
    <cellStyle name="40% - Accent3 2" xfId="203" xr:uid="{00000000-0005-0000-0000-00001D010000}"/>
    <cellStyle name="40% - Accent3 2 2" xfId="204" xr:uid="{00000000-0005-0000-0000-00001E010000}"/>
    <cellStyle name="40% - Accent3 2 2 2" xfId="205" xr:uid="{00000000-0005-0000-0000-00001F010000}"/>
    <cellStyle name="40% - Accent3 2 2 3" xfId="206" xr:uid="{00000000-0005-0000-0000-000020010000}"/>
    <cellStyle name="40% - Accent3 2 2 4" xfId="9491" xr:uid="{00000000-0005-0000-0000-000021010000}"/>
    <cellStyle name="40% - Accent3 2 3" xfId="207" xr:uid="{00000000-0005-0000-0000-000022010000}"/>
    <cellStyle name="40% - Accent3 2 3 2" xfId="208" xr:uid="{00000000-0005-0000-0000-000023010000}"/>
    <cellStyle name="40% - Accent3 2 3 3" xfId="9492" xr:uid="{00000000-0005-0000-0000-000024010000}"/>
    <cellStyle name="40% - Accent3 2 4" xfId="209" xr:uid="{00000000-0005-0000-0000-000025010000}"/>
    <cellStyle name="40% - Accent3 2 4 2" xfId="11104" xr:uid="{00000000-0005-0000-0000-000026010000}"/>
    <cellStyle name="40% - Accent3 2 5" xfId="210" xr:uid="{00000000-0005-0000-0000-000027010000}"/>
    <cellStyle name="40% - Accent3 2 6" xfId="9490" xr:uid="{00000000-0005-0000-0000-000028010000}"/>
    <cellStyle name="40% - Accent3 3" xfId="211" xr:uid="{00000000-0005-0000-0000-000029010000}"/>
    <cellStyle name="40% - Accent3 3 2" xfId="212" xr:uid="{00000000-0005-0000-0000-00002A010000}"/>
    <cellStyle name="40% - Accent3 3 2 2" xfId="213" xr:uid="{00000000-0005-0000-0000-00002B010000}"/>
    <cellStyle name="40% - Accent3 3 2 3" xfId="9494" xr:uid="{00000000-0005-0000-0000-00002C010000}"/>
    <cellStyle name="40% - Accent3 3 3" xfId="214" xr:uid="{00000000-0005-0000-0000-00002D010000}"/>
    <cellStyle name="40% - Accent3 3 3 2" xfId="11105" xr:uid="{00000000-0005-0000-0000-00002E010000}"/>
    <cellStyle name="40% - Accent3 3 4" xfId="215" xr:uid="{00000000-0005-0000-0000-00002F010000}"/>
    <cellStyle name="40% - Accent3 3 5" xfId="9493" xr:uid="{00000000-0005-0000-0000-000030010000}"/>
    <cellStyle name="40% - Accent3 4" xfId="216" xr:uid="{00000000-0005-0000-0000-000031010000}"/>
    <cellStyle name="40% - Accent3 4 2" xfId="217" xr:uid="{00000000-0005-0000-0000-000032010000}"/>
    <cellStyle name="40% - Accent3 4 2 2" xfId="218" xr:uid="{00000000-0005-0000-0000-000033010000}"/>
    <cellStyle name="40% - Accent3 4 2 3" xfId="9496" xr:uid="{00000000-0005-0000-0000-000034010000}"/>
    <cellStyle name="40% - Accent3 4 3" xfId="219" xr:uid="{00000000-0005-0000-0000-000035010000}"/>
    <cellStyle name="40% - Accent3 4 3 2" xfId="11106" xr:uid="{00000000-0005-0000-0000-000036010000}"/>
    <cellStyle name="40% - Accent3 4 4" xfId="9495" xr:uid="{00000000-0005-0000-0000-000037010000}"/>
    <cellStyle name="40% - Accent3 5" xfId="220" xr:uid="{00000000-0005-0000-0000-000038010000}"/>
    <cellStyle name="40% - Accent3 5 2" xfId="221" xr:uid="{00000000-0005-0000-0000-000039010000}"/>
    <cellStyle name="40% - Accent3 5 2 2" xfId="222" xr:uid="{00000000-0005-0000-0000-00003A010000}"/>
    <cellStyle name="40% - Accent3 5 2 3" xfId="9498" xr:uid="{00000000-0005-0000-0000-00003B010000}"/>
    <cellStyle name="40% - Accent3 5 3" xfId="223" xr:uid="{00000000-0005-0000-0000-00003C010000}"/>
    <cellStyle name="40% - Accent3 5 3 2" xfId="11107" xr:uid="{00000000-0005-0000-0000-00003D010000}"/>
    <cellStyle name="40% - Accent3 5 4" xfId="9497" xr:uid="{00000000-0005-0000-0000-00003E010000}"/>
    <cellStyle name="40% - Accent3 6" xfId="224" xr:uid="{00000000-0005-0000-0000-00003F010000}"/>
    <cellStyle name="40% - Accent4 2" xfId="225" xr:uid="{00000000-0005-0000-0000-000040010000}"/>
    <cellStyle name="40% - Accent4 2 2" xfId="226" xr:uid="{00000000-0005-0000-0000-000041010000}"/>
    <cellStyle name="40% - Accent4 2 2 2" xfId="227" xr:uid="{00000000-0005-0000-0000-000042010000}"/>
    <cellStyle name="40% - Accent4 2 2 3" xfId="228" xr:uid="{00000000-0005-0000-0000-000043010000}"/>
    <cellStyle name="40% - Accent4 2 2 4" xfId="9500" xr:uid="{00000000-0005-0000-0000-000044010000}"/>
    <cellStyle name="40% - Accent4 2 3" xfId="229" xr:uid="{00000000-0005-0000-0000-000045010000}"/>
    <cellStyle name="40% - Accent4 2 3 2" xfId="230" xr:uid="{00000000-0005-0000-0000-000046010000}"/>
    <cellStyle name="40% - Accent4 2 3 3" xfId="9501" xr:uid="{00000000-0005-0000-0000-000047010000}"/>
    <cellStyle name="40% - Accent4 2 4" xfId="231" xr:uid="{00000000-0005-0000-0000-000048010000}"/>
    <cellStyle name="40% - Accent4 2 4 2" xfId="11108" xr:uid="{00000000-0005-0000-0000-000049010000}"/>
    <cellStyle name="40% - Accent4 2 5" xfId="232" xr:uid="{00000000-0005-0000-0000-00004A010000}"/>
    <cellStyle name="40% - Accent4 2 6" xfId="9499" xr:uid="{00000000-0005-0000-0000-00004B010000}"/>
    <cellStyle name="40% - Accent4 3" xfId="233" xr:uid="{00000000-0005-0000-0000-00004C010000}"/>
    <cellStyle name="40% - Accent4 3 2" xfId="234" xr:uid="{00000000-0005-0000-0000-00004D010000}"/>
    <cellStyle name="40% - Accent4 3 2 2" xfId="235" xr:uid="{00000000-0005-0000-0000-00004E010000}"/>
    <cellStyle name="40% - Accent4 3 2 3" xfId="9503" xr:uid="{00000000-0005-0000-0000-00004F010000}"/>
    <cellStyle name="40% - Accent4 3 3" xfId="236" xr:uid="{00000000-0005-0000-0000-000050010000}"/>
    <cellStyle name="40% - Accent4 3 3 2" xfId="11109" xr:uid="{00000000-0005-0000-0000-000051010000}"/>
    <cellStyle name="40% - Accent4 3 4" xfId="237" xr:uid="{00000000-0005-0000-0000-000052010000}"/>
    <cellStyle name="40% - Accent4 3 5" xfId="9502" xr:uid="{00000000-0005-0000-0000-000053010000}"/>
    <cellStyle name="40% - Accent4 4" xfId="238" xr:uid="{00000000-0005-0000-0000-000054010000}"/>
    <cellStyle name="40% - Accent4 4 2" xfId="239" xr:uid="{00000000-0005-0000-0000-000055010000}"/>
    <cellStyle name="40% - Accent4 4 2 2" xfId="240" xr:uid="{00000000-0005-0000-0000-000056010000}"/>
    <cellStyle name="40% - Accent4 4 2 3" xfId="9505" xr:uid="{00000000-0005-0000-0000-000057010000}"/>
    <cellStyle name="40% - Accent4 4 3" xfId="241" xr:uid="{00000000-0005-0000-0000-000058010000}"/>
    <cellStyle name="40% - Accent4 4 3 2" xfId="11110" xr:uid="{00000000-0005-0000-0000-000059010000}"/>
    <cellStyle name="40% - Accent4 4 4" xfId="9504" xr:uid="{00000000-0005-0000-0000-00005A010000}"/>
    <cellStyle name="40% - Accent4 5" xfId="242" xr:uid="{00000000-0005-0000-0000-00005B010000}"/>
    <cellStyle name="40% - Accent4 5 2" xfId="243" xr:uid="{00000000-0005-0000-0000-00005C010000}"/>
    <cellStyle name="40% - Accent4 5 2 2" xfId="244" xr:uid="{00000000-0005-0000-0000-00005D010000}"/>
    <cellStyle name="40% - Accent4 5 2 3" xfId="9507" xr:uid="{00000000-0005-0000-0000-00005E010000}"/>
    <cellStyle name="40% - Accent4 5 3" xfId="245" xr:uid="{00000000-0005-0000-0000-00005F010000}"/>
    <cellStyle name="40% - Accent4 5 3 2" xfId="11111" xr:uid="{00000000-0005-0000-0000-000060010000}"/>
    <cellStyle name="40% - Accent4 5 4" xfId="9506" xr:uid="{00000000-0005-0000-0000-000061010000}"/>
    <cellStyle name="40% - Accent4 6" xfId="246" xr:uid="{00000000-0005-0000-0000-000062010000}"/>
    <cellStyle name="40% - Accent5 2" xfId="247" xr:uid="{00000000-0005-0000-0000-000063010000}"/>
    <cellStyle name="40% - Accent5 2 2" xfId="248" xr:uid="{00000000-0005-0000-0000-000064010000}"/>
    <cellStyle name="40% - Accent5 2 2 2" xfId="249" xr:uid="{00000000-0005-0000-0000-000065010000}"/>
    <cellStyle name="40% - Accent5 2 2 3" xfId="250" xr:uid="{00000000-0005-0000-0000-000066010000}"/>
    <cellStyle name="40% - Accent5 2 2 4" xfId="9509" xr:uid="{00000000-0005-0000-0000-000067010000}"/>
    <cellStyle name="40% - Accent5 2 3" xfId="251" xr:uid="{00000000-0005-0000-0000-000068010000}"/>
    <cellStyle name="40% - Accent5 2 3 2" xfId="252" xr:uid="{00000000-0005-0000-0000-000069010000}"/>
    <cellStyle name="40% - Accent5 2 3 3" xfId="9510" xr:uid="{00000000-0005-0000-0000-00006A010000}"/>
    <cellStyle name="40% - Accent5 2 4" xfId="253" xr:uid="{00000000-0005-0000-0000-00006B010000}"/>
    <cellStyle name="40% - Accent5 2 4 2" xfId="11112" xr:uid="{00000000-0005-0000-0000-00006C010000}"/>
    <cellStyle name="40% - Accent5 2 5" xfId="254" xr:uid="{00000000-0005-0000-0000-00006D010000}"/>
    <cellStyle name="40% - Accent5 2 6" xfId="9508" xr:uid="{00000000-0005-0000-0000-00006E010000}"/>
    <cellStyle name="40% - Accent5 3" xfId="255" xr:uid="{00000000-0005-0000-0000-00006F010000}"/>
    <cellStyle name="40% - Accent5 3 2" xfId="256" xr:uid="{00000000-0005-0000-0000-000070010000}"/>
    <cellStyle name="40% - Accent5 3 2 2" xfId="257" xr:uid="{00000000-0005-0000-0000-000071010000}"/>
    <cellStyle name="40% - Accent5 3 2 3" xfId="9512" xr:uid="{00000000-0005-0000-0000-000072010000}"/>
    <cellStyle name="40% - Accent5 3 3" xfId="258" xr:uid="{00000000-0005-0000-0000-000073010000}"/>
    <cellStyle name="40% - Accent5 3 3 2" xfId="11113" xr:uid="{00000000-0005-0000-0000-000074010000}"/>
    <cellStyle name="40% - Accent5 3 4" xfId="259" xr:uid="{00000000-0005-0000-0000-000075010000}"/>
    <cellStyle name="40% - Accent5 3 5" xfId="9511" xr:uid="{00000000-0005-0000-0000-000076010000}"/>
    <cellStyle name="40% - Accent5 4" xfId="260" xr:uid="{00000000-0005-0000-0000-000077010000}"/>
    <cellStyle name="40% - Accent5 4 2" xfId="261" xr:uid="{00000000-0005-0000-0000-000078010000}"/>
    <cellStyle name="40% - Accent5 4 2 2" xfId="262" xr:uid="{00000000-0005-0000-0000-000079010000}"/>
    <cellStyle name="40% - Accent5 4 2 3" xfId="9514" xr:uid="{00000000-0005-0000-0000-00007A010000}"/>
    <cellStyle name="40% - Accent5 4 3" xfId="263" xr:uid="{00000000-0005-0000-0000-00007B010000}"/>
    <cellStyle name="40% - Accent5 4 3 2" xfId="11114" xr:uid="{00000000-0005-0000-0000-00007C010000}"/>
    <cellStyle name="40% - Accent5 4 4" xfId="9513" xr:uid="{00000000-0005-0000-0000-00007D010000}"/>
    <cellStyle name="40% - Accent5 5" xfId="264" xr:uid="{00000000-0005-0000-0000-00007E010000}"/>
    <cellStyle name="40% - Accent5 5 2" xfId="265" xr:uid="{00000000-0005-0000-0000-00007F010000}"/>
    <cellStyle name="40% - Accent5 5 2 2" xfId="266" xr:uid="{00000000-0005-0000-0000-000080010000}"/>
    <cellStyle name="40% - Accent5 5 2 3" xfId="9516" xr:uid="{00000000-0005-0000-0000-000081010000}"/>
    <cellStyle name="40% - Accent5 5 3" xfId="267" xr:uid="{00000000-0005-0000-0000-000082010000}"/>
    <cellStyle name="40% - Accent5 5 3 2" xfId="11115" xr:uid="{00000000-0005-0000-0000-000083010000}"/>
    <cellStyle name="40% - Accent5 5 4" xfId="9515" xr:uid="{00000000-0005-0000-0000-000084010000}"/>
    <cellStyle name="40% - Accent5 6" xfId="268" xr:uid="{00000000-0005-0000-0000-000085010000}"/>
    <cellStyle name="40% - Accent6 2" xfId="269" xr:uid="{00000000-0005-0000-0000-000086010000}"/>
    <cellStyle name="40% - Accent6 2 2" xfId="270" xr:uid="{00000000-0005-0000-0000-000087010000}"/>
    <cellStyle name="40% - Accent6 2 2 2" xfId="271" xr:uid="{00000000-0005-0000-0000-000088010000}"/>
    <cellStyle name="40% - Accent6 2 2 3" xfId="272" xr:uid="{00000000-0005-0000-0000-000089010000}"/>
    <cellStyle name="40% - Accent6 2 2 4" xfId="9518" xr:uid="{00000000-0005-0000-0000-00008A010000}"/>
    <cellStyle name="40% - Accent6 2 3" xfId="273" xr:uid="{00000000-0005-0000-0000-00008B010000}"/>
    <cellStyle name="40% - Accent6 2 3 2" xfId="274" xr:uid="{00000000-0005-0000-0000-00008C010000}"/>
    <cellStyle name="40% - Accent6 2 3 3" xfId="9519" xr:uid="{00000000-0005-0000-0000-00008D010000}"/>
    <cellStyle name="40% - Accent6 2 4" xfId="275" xr:uid="{00000000-0005-0000-0000-00008E010000}"/>
    <cellStyle name="40% - Accent6 2 4 2" xfId="11116" xr:uid="{00000000-0005-0000-0000-00008F010000}"/>
    <cellStyle name="40% - Accent6 2 5" xfId="276" xr:uid="{00000000-0005-0000-0000-000090010000}"/>
    <cellStyle name="40% - Accent6 2 6" xfId="9517" xr:uid="{00000000-0005-0000-0000-000091010000}"/>
    <cellStyle name="40% - Accent6 3" xfId="277" xr:uid="{00000000-0005-0000-0000-000092010000}"/>
    <cellStyle name="40% - Accent6 3 2" xfId="278" xr:uid="{00000000-0005-0000-0000-000093010000}"/>
    <cellStyle name="40% - Accent6 3 2 2" xfId="279" xr:uid="{00000000-0005-0000-0000-000094010000}"/>
    <cellStyle name="40% - Accent6 3 2 3" xfId="9521" xr:uid="{00000000-0005-0000-0000-000095010000}"/>
    <cellStyle name="40% - Accent6 3 3" xfId="280" xr:uid="{00000000-0005-0000-0000-000096010000}"/>
    <cellStyle name="40% - Accent6 3 3 2" xfId="11117" xr:uid="{00000000-0005-0000-0000-000097010000}"/>
    <cellStyle name="40% - Accent6 3 4" xfId="281" xr:uid="{00000000-0005-0000-0000-000098010000}"/>
    <cellStyle name="40% - Accent6 3 5" xfId="9520" xr:uid="{00000000-0005-0000-0000-000099010000}"/>
    <cellStyle name="40% - Accent6 4" xfId="282" xr:uid="{00000000-0005-0000-0000-00009A010000}"/>
    <cellStyle name="40% - Accent6 4 2" xfId="283" xr:uid="{00000000-0005-0000-0000-00009B010000}"/>
    <cellStyle name="40% - Accent6 4 2 2" xfId="284" xr:uid="{00000000-0005-0000-0000-00009C010000}"/>
    <cellStyle name="40% - Accent6 4 2 3" xfId="9523" xr:uid="{00000000-0005-0000-0000-00009D010000}"/>
    <cellStyle name="40% - Accent6 4 3" xfId="285" xr:uid="{00000000-0005-0000-0000-00009E010000}"/>
    <cellStyle name="40% - Accent6 4 3 2" xfId="11118" xr:uid="{00000000-0005-0000-0000-00009F010000}"/>
    <cellStyle name="40% - Accent6 4 4" xfId="9522" xr:uid="{00000000-0005-0000-0000-0000A0010000}"/>
    <cellStyle name="40% - Accent6 5" xfId="286" xr:uid="{00000000-0005-0000-0000-0000A1010000}"/>
    <cellStyle name="40% - Accent6 5 2" xfId="287" xr:uid="{00000000-0005-0000-0000-0000A2010000}"/>
    <cellStyle name="40% - Accent6 5 2 2" xfId="288" xr:uid="{00000000-0005-0000-0000-0000A3010000}"/>
    <cellStyle name="40% - Accent6 5 2 3" xfId="9525" xr:uid="{00000000-0005-0000-0000-0000A4010000}"/>
    <cellStyle name="40% - Accent6 5 3" xfId="289" xr:uid="{00000000-0005-0000-0000-0000A5010000}"/>
    <cellStyle name="40% - Accent6 5 3 2" xfId="11119" xr:uid="{00000000-0005-0000-0000-0000A6010000}"/>
    <cellStyle name="40% - Accent6 5 4" xfId="9524" xr:uid="{00000000-0005-0000-0000-0000A7010000}"/>
    <cellStyle name="40% - Accent6 6" xfId="290" xr:uid="{00000000-0005-0000-0000-0000A8010000}"/>
    <cellStyle name="60% - Accent1 2" xfId="291" xr:uid="{00000000-0005-0000-0000-0000A9010000}"/>
    <cellStyle name="60% - Accent1 3" xfId="292" xr:uid="{00000000-0005-0000-0000-0000AA010000}"/>
    <cellStyle name="60% - Accent1 4" xfId="293" xr:uid="{00000000-0005-0000-0000-0000AB010000}"/>
    <cellStyle name="60% - Accent1 5" xfId="294" xr:uid="{00000000-0005-0000-0000-0000AC010000}"/>
    <cellStyle name="60% - Accent1 6" xfId="295" xr:uid="{00000000-0005-0000-0000-0000AD010000}"/>
    <cellStyle name="60% - Accent2 2" xfId="296" xr:uid="{00000000-0005-0000-0000-0000AE010000}"/>
    <cellStyle name="60% - Accent2 3" xfId="297" xr:uid="{00000000-0005-0000-0000-0000AF010000}"/>
    <cellStyle name="60% - Accent2 4" xfId="298" xr:uid="{00000000-0005-0000-0000-0000B0010000}"/>
    <cellStyle name="60% - Accent2 5" xfId="299" xr:uid="{00000000-0005-0000-0000-0000B1010000}"/>
    <cellStyle name="60% - Accent2 6" xfId="300" xr:uid="{00000000-0005-0000-0000-0000B2010000}"/>
    <cellStyle name="60% - Accent3 2" xfId="301" xr:uid="{00000000-0005-0000-0000-0000B3010000}"/>
    <cellStyle name="60% - Accent3 3" xfId="302" xr:uid="{00000000-0005-0000-0000-0000B4010000}"/>
    <cellStyle name="60% - Accent3 4" xfId="303" xr:uid="{00000000-0005-0000-0000-0000B5010000}"/>
    <cellStyle name="60% - Accent3 5" xfId="304" xr:uid="{00000000-0005-0000-0000-0000B6010000}"/>
    <cellStyle name="60% - Accent3 6" xfId="305" xr:uid="{00000000-0005-0000-0000-0000B7010000}"/>
    <cellStyle name="60% - Accent4 2" xfId="306" xr:uid="{00000000-0005-0000-0000-0000B8010000}"/>
    <cellStyle name="60% - Accent4 3" xfId="307" xr:uid="{00000000-0005-0000-0000-0000B9010000}"/>
    <cellStyle name="60% - Accent4 4" xfId="308" xr:uid="{00000000-0005-0000-0000-0000BA010000}"/>
    <cellStyle name="60% - Accent4 5" xfId="309" xr:uid="{00000000-0005-0000-0000-0000BB010000}"/>
    <cellStyle name="60% - Accent4 6" xfId="310" xr:uid="{00000000-0005-0000-0000-0000BC010000}"/>
    <cellStyle name="60% - Accent5 2" xfId="311" xr:uid="{00000000-0005-0000-0000-0000BD010000}"/>
    <cellStyle name="60% - Accent5 3" xfId="312" xr:uid="{00000000-0005-0000-0000-0000BE010000}"/>
    <cellStyle name="60% - Accent5 4" xfId="313" xr:uid="{00000000-0005-0000-0000-0000BF010000}"/>
    <cellStyle name="60% - Accent5 5" xfId="314" xr:uid="{00000000-0005-0000-0000-0000C0010000}"/>
    <cellStyle name="60% - Accent5 6" xfId="315" xr:uid="{00000000-0005-0000-0000-0000C1010000}"/>
    <cellStyle name="60% - Accent6 2" xfId="316" xr:uid="{00000000-0005-0000-0000-0000C2010000}"/>
    <cellStyle name="60% - Accent6 3" xfId="317" xr:uid="{00000000-0005-0000-0000-0000C3010000}"/>
    <cellStyle name="60% - Accent6 4" xfId="318" xr:uid="{00000000-0005-0000-0000-0000C4010000}"/>
    <cellStyle name="60% - Accent6 5" xfId="319" xr:uid="{00000000-0005-0000-0000-0000C5010000}"/>
    <cellStyle name="60% - Accent6 6" xfId="320" xr:uid="{00000000-0005-0000-0000-0000C6010000}"/>
    <cellStyle name="Accent1 2" xfId="321" xr:uid="{00000000-0005-0000-0000-0000C7010000}"/>
    <cellStyle name="Accent1 3" xfId="322" xr:uid="{00000000-0005-0000-0000-0000C8010000}"/>
    <cellStyle name="Accent1 4" xfId="323" xr:uid="{00000000-0005-0000-0000-0000C9010000}"/>
    <cellStyle name="Accent1 5" xfId="324" xr:uid="{00000000-0005-0000-0000-0000CA010000}"/>
    <cellStyle name="Accent1 6" xfId="325" xr:uid="{00000000-0005-0000-0000-0000CB010000}"/>
    <cellStyle name="Accent2 2" xfId="326" xr:uid="{00000000-0005-0000-0000-0000CC010000}"/>
    <cellStyle name="Accent2 3" xfId="327" xr:uid="{00000000-0005-0000-0000-0000CD010000}"/>
    <cellStyle name="Accent2 4" xfId="328" xr:uid="{00000000-0005-0000-0000-0000CE010000}"/>
    <cellStyle name="Accent2 5" xfId="329" xr:uid="{00000000-0005-0000-0000-0000CF010000}"/>
    <cellStyle name="Accent2 6" xfId="330" xr:uid="{00000000-0005-0000-0000-0000D0010000}"/>
    <cellStyle name="Accent3 2" xfId="331" xr:uid="{00000000-0005-0000-0000-0000D1010000}"/>
    <cellStyle name="Accent3 3" xfId="332" xr:uid="{00000000-0005-0000-0000-0000D2010000}"/>
    <cellStyle name="Accent3 4" xfId="333" xr:uid="{00000000-0005-0000-0000-0000D3010000}"/>
    <cellStyle name="Accent3 5" xfId="334" xr:uid="{00000000-0005-0000-0000-0000D4010000}"/>
    <cellStyle name="Accent3 6" xfId="335" xr:uid="{00000000-0005-0000-0000-0000D5010000}"/>
    <cellStyle name="Accent4 2" xfId="336" xr:uid="{00000000-0005-0000-0000-0000D6010000}"/>
    <cellStyle name="Accent4 3" xfId="337" xr:uid="{00000000-0005-0000-0000-0000D7010000}"/>
    <cellStyle name="Accent4 4" xfId="338" xr:uid="{00000000-0005-0000-0000-0000D8010000}"/>
    <cellStyle name="Accent4 5" xfId="339" xr:uid="{00000000-0005-0000-0000-0000D9010000}"/>
    <cellStyle name="Accent4 6" xfId="340" xr:uid="{00000000-0005-0000-0000-0000DA010000}"/>
    <cellStyle name="Accent5 2" xfId="341" xr:uid="{00000000-0005-0000-0000-0000DB010000}"/>
    <cellStyle name="Accent5 3" xfId="342" xr:uid="{00000000-0005-0000-0000-0000DC010000}"/>
    <cellStyle name="Accent5 4" xfId="343" xr:uid="{00000000-0005-0000-0000-0000DD010000}"/>
    <cellStyle name="Accent5 5" xfId="344" xr:uid="{00000000-0005-0000-0000-0000DE010000}"/>
    <cellStyle name="Accent5 6" xfId="345" xr:uid="{00000000-0005-0000-0000-0000DF010000}"/>
    <cellStyle name="Accent6 2" xfId="346" xr:uid="{00000000-0005-0000-0000-0000E0010000}"/>
    <cellStyle name="Accent6 3" xfId="347" xr:uid="{00000000-0005-0000-0000-0000E1010000}"/>
    <cellStyle name="Accent6 4" xfId="348" xr:uid="{00000000-0005-0000-0000-0000E2010000}"/>
    <cellStyle name="Accent6 5" xfId="349" xr:uid="{00000000-0005-0000-0000-0000E3010000}"/>
    <cellStyle name="Accent6 6" xfId="350" xr:uid="{00000000-0005-0000-0000-0000E4010000}"/>
    <cellStyle name="Account No." xfId="351" xr:uid="{00000000-0005-0000-0000-0000E5010000}"/>
    <cellStyle name="Account No. 2" xfId="352" xr:uid="{00000000-0005-0000-0000-0000E6010000}"/>
    <cellStyle name="adj detail" xfId="353" xr:uid="{00000000-0005-0000-0000-0000E7010000}"/>
    <cellStyle name="Allocated" xfId="354" xr:uid="{00000000-0005-0000-0000-0000E8010000}"/>
    <cellStyle name="Bad 2" xfId="355" xr:uid="{00000000-0005-0000-0000-0000E9010000}"/>
    <cellStyle name="Bad 3" xfId="356" xr:uid="{00000000-0005-0000-0000-0000EA010000}"/>
    <cellStyle name="Bad 4" xfId="357" xr:uid="{00000000-0005-0000-0000-0000EB010000}"/>
    <cellStyle name="Bad 5" xfId="358" xr:uid="{00000000-0005-0000-0000-0000EC010000}"/>
    <cellStyle name="Bad 6" xfId="359" xr:uid="{00000000-0005-0000-0000-0000ED010000}"/>
    <cellStyle name="Calculation 2" xfId="360" xr:uid="{00000000-0005-0000-0000-0000EE010000}"/>
    <cellStyle name="Calculation 3" xfId="361" xr:uid="{00000000-0005-0000-0000-0000EF010000}"/>
    <cellStyle name="Calculation 4" xfId="362" xr:uid="{00000000-0005-0000-0000-0000F0010000}"/>
    <cellStyle name="Calculation 5" xfId="363" xr:uid="{00000000-0005-0000-0000-0000F1010000}"/>
    <cellStyle name="Calculation 6" xfId="364" xr:uid="{00000000-0005-0000-0000-0000F2010000}"/>
    <cellStyle name="Calculation 7" xfId="365" xr:uid="{00000000-0005-0000-0000-0000F3010000}"/>
    <cellStyle name="Check Cell 2" xfId="366" xr:uid="{00000000-0005-0000-0000-0000F4010000}"/>
    <cellStyle name="Check Cell 3" xfId="367" xr:uid="{00000000-0005-0000-0000-0000F5010000}"/>
    <cellStyle name="Check Cell 4" xfId="368" xr:uid="{00000000-0005-0000-0000-0000F6010000}"/>
    <cellStyle name="Check Cell 5" xfId="369" xr:uid="{00000000-0005-0000-0000-0000F7010000}"/>
    <cellStyle name="Check Cell 6" xfId="370" xr:uid="{00000000-0005-0000-0000-0000F8010000}"/>
    <cellStyle name="Col Cent" xfId="371" xr:uid="{00000000-0005-0000-0000-0000F9010000}"/>
    <cellStyle name="Col Cent Across" xfId="372" xr:uid="{00000000-0005-0000-0000-0000FA010000}"/>
    <cellStyle name="Col Head Cent" xfId="373" xr:uid="{00000000-0005-0000-0000-0000FB010000}"/>
    <cellStyle name="Col Head Cent 2" xfId="374" xr:uid="{00000000-0005-0000-0000-0000FC010000}"/>
    <cellStyle name="Col Head Cent 2 2" xfId="11199" xr:uid="{00000000-0005-0000-0000-0000FD010000}"/>
    <cellStyle name="Col Head Cent 3" xfId="11044" xr:uid="{00000000-0005-0000-0000-0000FE010000}"/>
    <cellStyle name="ColumnHeaderNormal" xfId="375" xr:uid="{00000000-0005-0000-0000-0000FF010000}"/>
    <cellStyle name="Comma" xfId="11209" builtinId="3"/>
    <cellStyle name="Comma [0] 2" xfId="376" xr:uid="{00000000-0005-0000-0000-000001020000}"/>
    <cellStyle name="Comma 10" xfId="377" xr:uid="{00000000-0005-0000-0000-000002020000}"/>
    <cellStyle name="Comma 101" xfId="9400" xr:uid="{00000000-0005-0000-0000-000003020000}"/>
    <cellStyle name="Comma 11" xfId="378" xr:uid="{00000000-0005-0000-0000-000004020000}"/>
    <cellStyle name="Comma 12" xfId="379" xr:uid="{00000000-0005-0000-0000-000005020000}"/>
    <cellStyle name="Comma 13" xfId="380" xr:uid="{00000000-0005-0000-0000-000006020000}"/>
    <cellStyle name="Comma 14" xfId="381" xr:uid="{00000000-0005-0000-0000-000007020000}"/>
    <cellStyle name="Comma 15" xfId="382" xr:uid="{00000000-0005-0000-0000-000008020000}"/>
    <cellStyle name="Comma 16" xfId="383" xr:uid="{00000000-0005-0000-0000-000009020000}"/>
    <cellStyle name="Comma 17" xfId="384" xr:uid="{00000000-0005-0000-0000-00000A020000}"/>
    <cellStyle name="Comma 18" xfId="385" xr:uid="{00000000-0005-0000-0000-00000B020000}"/>
    <cellStyle name="Comma 18 2" xfId="386" xr:uid="{00000000-0005-0000-0000-00000C020000}"/>
    <cellStyle name="Comma 18 2 2" xfId="9527" xr:uid="{00000000-0005-0000-0000-00000D020000}"/>
    <cellStyle name="Comma 18 3" xfId="387" xr:uid="{00000000-0005-0000-0000-00000E020000}"/>
    <cellStyle name="Comma 18 3 2" xfId="9528" xr:uid="{00000000-0005-0000-0000-00000F020000}"/>
    <cellStyle name="Comma 18 4" xfId="9526" xr:uid="{00000000-0005-0000-0000-000010020000}"/>
    <cellStyle name="Comma 19" xfId="388" xr:uid="{00000000-0005-0000-0000-000011020000}"/>
    <cellStyle name="Comma 2" xfId="9" xr:uid="{00000000-0005-0000-0000-000012020000}"/>
    <cellStyle name="Comma 2 10" xfId="389" xr:uid="{00000000-0005-0000-0000-000013020000}"/>
    <cellStyle name="Comma 2 10 2" xfId="390" xr:uid="{00000000-0005-0000-0000-000014020000}"/>
    <cellStyle name="Comma 2 10 2 2" xfId="391" xr:uid="{00000000-0005-0000-0000-000015020000}"/>
    <cellStyle name="Comma 2 10 2 3" xfId="392" xr:uid="{00000000-0005-0000-0000-000016020000}"/>
    <cellStyle name="Comma 2 10 3" xfId="393" xr:uid="{00000000-0005-0000-0000-000017020000}"/>
    <cellStyle name="Comma 2 100" xfId="394" xr:uid="{00000000-0005-0000-0000-000018020000}"/>
    <cellStyle name="Comma 2 101" xfId="395" xr:uid="{00000000-0005-0000-0000-000019020000}"/>
    <cellStyle name="Comma 2 102" xfId="396" xr:uid="{00000000-0005-0000-0000-00001A020000}"/>
    <cellStyle name="Comma 2 103" xfId="397" xr:uid="{00000000-0005-0000-0000-00001B020000}"/>
    <cellStyle name="Comma 2 104" xfId="398" xr:uid="{00000000-0005-0000-0000-00001C020000}"/>
    <cellStyle name="Comma 2 105" xfId="399" xr:uid="{00000000-0005-0000-0000-00001D020000}"/>
    <cellStyle name="Comma 2 106" xfId="400" xr:uid="{00000000-0005-0000-0000-00001E020000}"/>
    <cellStyle name="Comma 2 107" xfId="401" xr:uid="{00000000-0005-0000-0000-00001F020000}"/>
    <cellStyle name="Comma 2 108" xfId="402" xr:uid="{00000000-0005-0000-0000-000020020000}"/>
    <cellStyle name="Comma 2 109" xfId="403" xr:uid="{00000000-0005-0000-0000-000021020000}"/>
    <cellStyle name="Comma 2 11" xfId="404" xr:uid="{00000000-0005-0000-0000-000022020000}"/>
    <cellStyle name="Comma 2 11 2" xfId="405" xr:uid="{00000000-0005-0000-0000-000023020000}"/>
    <cellStyle name="Comma 2 11 2 2" xfId="406" xr:uid="{00000000-0005-0000-0000-000024020000}"/>
    <cellStyle name="Comma 2 11 2 3" xfId="407" xr:uid="{00000000-0005-0000-0000-000025020000}"/>
    <cellStyle name="Comma 2 11 3" xfId="408" xr:uid="{00000000-0005-0000-0000-000026020000}"/>
    <cellStyle name="Comma 2 110" xfId="409" xr:uid="{00000000-0005-0000-0000-000027020000}"/>
    <cellStyle name="Comma 2 111" xfId="410" xr:uid="{00000000-0005-0000-0000-000028020000}"/>
    <cellStyle name="Comma 2 112" xfId="411" xr:uid="{00000000-0005-0000-0000-000029020000}"/>
    <cellStyle name="Comma 2 113" xfId="412" xr:uid="{00000000-0005-0000-0000-00002A020000}"/>
    <cellStyle name="Comma 2 114" xfId="413" xr:uid="{00000000-0005-0000-0000-00002B020000}"/>
    <cellStyle name="Comma 2 115" xfId="414" xr:uid="{00000000-0005-0000-0000-00002C020000}"/>
    <cellStyle name="Comma 2 116" xfId="415" xr:uid="{00000000-0005-0000-0000-00002D020000}"/>
    <cellStyle name="Comma 2 117" xfId="416" xr:uid="{00000000-0005-0000-0000-00002E020000}"/>
    <cellStyle name="Comma 2 118" xfId="417" xr:uid="{00000000-0005-0000-0000-00002F020000}"/>
    <cellStyle name="Comma 2 119" xfId="418" xr:uid="{00000000-0005-0000-0000-000030020000}"/>
    <cellStyle name="Comma 2 12" xfId="419" xr:uid="{00000000-0005-0000-0000-000031020000}"/>
    <cellStyle name="Comma 2 12 2" xfId="420" xr:uid="{00000000-0005-0000-0000-000032020000}"/>
    <cellStyle name="Comma 2 12 2 2" xfId="421" xr:uid="{00000000-0005-0000-0000-000033020000}"/>
    <cellStyle name="Comma 2 12 2 3" xfId="422" xr:uid="{00000000-0005-0000-0000-000034020000}"/>
    <cellStyle name="Comma 2 12 3" xfId="423" xr:uid="{00000000-0005-0000-0000-000035020000}"/>
    <cellStyle name="Comma 2 120" xfId="424" xr:uid="{00000000-0005-0000-0000-000036020000}"/>
    <cellStyle name="Comma 2 121" xfId="425" xr:uid="{00000000-0005-0000-0000-000037020000}"/>
    <cellStyle name="Comma 2 122" xfId="426" xr:uid="{00000000-0005-0000-0000-000038020000}"/>
    <cellStyle name="Comma 2 123" xfId="427" xr:uid="{00000000-0005-0000-0000-000039020000}"/>
    <cellStyle name="Comma 2 124" xfId="428" xr:uid="{00000000-0005-0000-0000-00003A020000}"/>
    <cellStyle name="Comma 2 125" xfId="429" xr:uid="{00000000-0005-0000-0000-00003B020000}"/>
    <cellStyle name="Comma 2 126" xfId="430" xr:uid="{00000000-0005-0000-0000-00003C020000}"/>
    <cellStyle name="Comma 2 127" xfId="431" xr:uid="{00000000-0005-0000-0000-00003D020000}"/>
    <cellStyle name="Comma 2 128" xfId="432" xr:uid="{00000000-0005-0000-0000-00003E020000}"/>
    <cellStyle name="Comma 2 129" xfId="433" xr:uid="{00000000-0005-0000-0000-00003F020000}"/>
    <cellStyle name="Comma 2 13" xfId="434" xr:uid="{00000000-0005-0000-0000-000040020000}"/>
    <cellStyle name="Comma 2 13 2" xfId="435" xr:uid="{00000000-0005-0000-0000-000041020000}"/>
    <cellStyle name="Comma 2 13 2 2" xfId="436" xr:uid="{00000000-0005-0000-0000-000042020000}"/>
    <cellStyle name="Comma 2 13 2 3" xfId="437" xr:uid="{00000000-0005-0000-0000-000043020000}"/>
    <cellStyle name="Comma 2 13 3" xfId="438" xr:uid="{00000000-0005-0000-0000-000044020000}"/>
    <cellStyle name="Comma 2 130" xfId="439" xr:uid="{00000000-0005-0000-0000-000045020000}"/>
    <cellStyle name="Comma 2 131" xfId="440" xr:uid="{00000000-0005-0000-0000-000046020000}"/>
    <cellStyle name="Comma 2 132" xfId="441" xr:uid="{00000000-0005-0000-0000-000047020000}"/>
    <cellStyle name="Comma 2 133" xfId="442" xr:uid="{00000000-0005-0000-0000-000048020000}"/>
    <cellStyle name="Comma 2 134" xfId="443" xr:uid="{00000000-0005-0000-0000-000049020000}"/>
    <cellStyle name="Comma 2 135" xfId="444" xr:uid="{00000000-0005-0000-0000-00004A020000}"/>
    <cellStyle name="Comma 2 136" xfId="445" xr:uid="{00000000-0005-0000-0000-00004B020000}"/>
    <cellStyle name="Comma 2 137" xfId="446" xr:uid="{00000000-0005-0000-0000-00004C020000}"/>
    <cellStyle name="Comma 2 138" xfId="447" xr:uid="{00000000-0005-0000-0000-00004D020000}"/>
    <cellStyle name="Comma 2 139" xfId="448" xr:uid="{00000000-0005-0000-0000-00004E020000}"/>
    <cellStyle name="Comma 2 14" xfId="449" xr:uid="{00000000-0005-0000-0000-00004F020000}"/>
    <cellStyle name="Comma 2 14 2" xfId="450" xr:uid="{00000000-0005-0000-0000-000050020000}"/>
    <cellStyle name="Comma 2 14 2 2" xfId="451" xr:uid="{00000000-0005-0000-0000-000051020000}"/>
    <cellStyle name="Comma 2 14 2 3" xfId="452" xr:uid="{00000000-0005-0000-0000-000052020000}"/>
    <cellStyle name="Comma 2 14 3" xfId="453" xr:uid="{00000000-0005-0000-0000-000053020000}"/>
    <cellStyle name="Comma 2 140" xfId="454" xr:uid="{00000000-0005-0000-0000-000054020000}"/>
    <cellStyle name="Comma 2 141" xfId="455" xr:uid="{00000000-0005-0000-0000-000055020000}"/>
    <cellStyle name="Comma 2 142" xfId="456" xr:uid="{00000000-0005-0000-0000-000056020000}"/>
    <cellStyle name="Comma 2 143" xfId="457" xr:uid="{00000000-0005-0000-0000-000057020000}"/>
    <cellStyle name="Comma 2 144" xfId="458" xr:uid="{00000000-0005-0000-0000-000058020000}"/>
    <cellStyle name="Comma 2 145" xfId="459" xr:uid="{00000000-0005-0000-0000-000059020000}"/>
    <cellStyle name="Comma 2 146" xfId="460" xr:uid="{00000000-0005-0000-0000-00005A020000}"/>
    <cellStyle name="Comma 2 147" xfId="461" xr:uid="{00000000-0005-0000-0000-00005B020000}"/>
    <cellStyle name="Comma 2 148" xfId="462" xr:uid="{00000000-0005-0000-0000-00005C020000}"/>
    <cellStyle name="Comma 2 149" xfId="463" xr:uid="{00000000-0005-0000-0000-00005D020000}"/>
    <cellStyle name="Comma 2 15" xfId="464" xr:uid="{00000000-0005-0000-0000-00005E020000}"/>
    <cellStyle name="Comma 2 15 2" xfId="465" xr:uid="{00000000-0005-0000-0000-00005F020000}"/>
    <cellStyle name="Comma 2 15 2 2" xfId="466" xr:uid="{00000000-0005-0000-0000-000060020000}"/>
    <cellStyle name="Comma 2 15 2 3" xfId="467" xr:uid="{00000000-0005-0000-0000-000061020000}"/>
    <cellStyle name="Comma 2 15 3" xfId="468" xr:uid="{00000000-0005-0000-0000-000062020000}"/>
    <cellStyle name="Comma 2 150" xfId="469" xr:uid="{00000000-0005-0000-0000-000063020000}"/>
    <cellStyle name="Comma 2 151" xfId="470" xr:uid="{00000000-0005-0000-0000-000064020000}"/>
    <cellStyle name="Comma 2 152" xfId="471" xr:uid="{00000000-0005-0000-0000-000065020000}"/>
    <cellStyle name="Comma 2 153" xfId="472" xr:uid="{00000000-0005-0000-0000-000066020000}"/>
    <cellStyle name="Comma 2 16" xfId="473" xr:uid="{00000000-0005-0000-0000-000067020000}"/>
    <cellStyle name="Comma 2 16 2" xfId="474" xr:uid="{00000000-0005-0000-0000-000068020000}"/>
    <cellStyle name="Comma 2 16 2 2" xfId="475" xr:uid="{00000000-0005-0000-0000-000069020000}"/>
    <cellStyle name="Comma 2 16 2 3" xfId="476" xr:uid="{00000000-0005-0000-0000-00006A020000}"/>
    <cellStyle name="Comma 2 16 3" xfId="477" xr:uid="{00000000-0005-0000-0000-00006B020000}"/>
    <cellStyle name="Comma 2 17" xfId="478" xr:uid="{00000000-0005-0000-0000-00006C020000}"/>
    <cellStyle name="Comma 2 17 2" xfId="479" xr:uid="{00000000-0005-0000-0000-00006D020000}"/>
    <cellStyle name="Comma 2 18" xfId="480" xr:uid="{00000000-0005-0000-0000-00006E020000}"/>
    <cellStyle name="Comma 2 18 2" xfId="481" xr:uid="{00000000-0005-0000-0000-00006F020000}"/>
    <cellStyle name="Comma 2 19" xfId="482" xr:uid="{00000000-0005-0000-0000-000070020000}"/>
    <cellStyle name="Comma 2 19 2" xfId="483" xr:uid="{00000000-0005-0000-0000-000071020000}"/>
    <cellStyle name="Comma 2 2" xfId="484" xr:uid="{00000000-0005-0000-0000-000072020000}"/>
    <cellStyle name="Comma 2 2 10" xfId="485" xr:uid="{00000000-0005-0000-0000-000073020000}"/>
    <cellStyle name="Comma 2 2 10 2" xfId="486" xr:uid="{00000000-0005-0000-0000-000074020000}"/>
    <cellStyle name="Comma 2 2 11" xfId="487" xr:uid="{00000000-0005-0000-0000-000075020000}"/>
    <cellStyle name="Comma 2 2 11 2" xfId="488" xr:uid="{00000000-0005-0000-0000-000076020000}"/>
    <cellStyle name="Comma 2 2 12" xfId="489" xr:uid="{00000000-0005-0000-0000-000077020000}"/>
    <cellStyle name="Comma 2 2 12 2" xfId="490" xr:uid="{00000000-0005-0000-0000-000078020000}"/>
    <cellStyle name="Comma 2 2 12 2 2" xfId="491" xr:uid="{00000000-0005-0000-0000-000079020000}"/>
    <cellStyle name="Comma 2 2 12 3" xfId="492" xr:uid="{00000000-0005-0000-0000-00007A020000}"/>
    <cellStyle name="Comma 2 2 13" xfId="493" xr:uid="{00000000-0005-0000-0000-00007B020000}"/>
    <cellStyle name="Comma 2 2 13 2" xfId="494" xr:uid="{00000000-0005-0000-0000-00007C020000}"/>
    <cellStyle name="Comma 2 2 14" xfId="495" xr:uid="{00000000-0005-0000-0000-00007D020000}"/>
    <cellStyle name="Comma 2 2 14 2" xfId="496" xr:uid="{00000000-0005-0000-0000-00007E020000}"/>
    <cellStyle name="Comma 2 2 14 2 2" xfId="497" xr:uid="{00000000-0005-0000-0000-00007F020000}"/>
    <cellStyle name="Comma 2 2 14 3" xfId="498" xr:uid="{00000000-0005-0000-0000-000080020000}"/>
    <cellStyle name="Comma 2 2 15" xfId="499" xr:uid="{00000000-0005-0000-0000-000081020000}"/>
    <cellStyle name="Comma 2 2 15 2" xfId="500" xr:uid="{00000000-0005-0000-0000-000082020000}"/>
    <cellStyle name="Comma 2 2 15 2 2" xfId="501" xr:uid="{00000000-0005-0000-0000-000083020000}"/>
    <cellStyle name="Comma 2 2 15 3" xfId="502" xr:uid="{00000000-0005-0000-0000-000084020000}"/>
    <cellStyle name="Comma 2 2 16" xfId="503" xr:uid="{00000000-0005-0000-0000-000085020000}"/>
    <cellStyle name="Comma 2 2 16 2" xfId="504" xr:uid="{00000000-0005-0000-0000-000086020000}"/>
    <cellStyle name="Comma 2 2 16 2 2" xfId="505" xr:uid="{00000000-0005-0000-0000-000087020000}"/>
    <cellStyle name="Comma 2 2 16 3" xfId="506" xr:uid="{00000000-0005-0000-0000-000088020000}"/>
    <cellStyle name="Comma 2 2 17" xfId="507" xr:uid="{00000000-0005-0000-0000-000089020000}"/>
    <cellStyle name="Comma 2 2 17 2" xfId="508" xr:uid="{00000000-0005-0000-0000-00008A020000}"/>
    <cellStyle name="Comma 2 2 17 2 2" xfId="509" xr:uid="{00000000-0005-0000-0000-00008B020000}"/>
    <cellStyle name="Comma 2 2 17 3" xfId="510" xr:uid="{00000000-0005-0000-0000-00008C020000}"/>
    <cellStyle name="Comma 2 2 18" xfId="511" xr:uid="{00000000-0005-0000-0000-00008D020000}"/>
    <cellStyle name="Comma 2 2 18 2" xfId="512" xr:uid="{00000000-0005-0000-0000-00008E020000}"/>
    <cellStyle name="Comma 2 2 19" xfId="513" xr:uid="{00000000-0005-0000-0000-00008F020000}"/>
    <cellStyle name="Comma 2 2 2" xfId="514" xr:uid="{00000000-0005-0000-0000-000090020000}"/>
    <cellStyle name="Comma 2 2 2 10" xfId="515" xr:uid="{00000000-0005-0000-0000-000091020000}"/>
    <cellStyle name="Comma 2 2 2 11" xfId="516" xr:uid="{00000000-0005-0000-0000-000092020000}"/>
    <cellStyle name="Comma 2 2 2 12" xfId="517" xr:uid="{00000000-0005-0000-0000-000093020000}"/>
    <cellStyle name="Comma 2 2 2 13" xfId="518" xr:uid="{00000000-0005-0000-0000-000094020000}"/>
    <cellStyle name="Comma 2 2 2 14" xfId="519" xr:uid="{00000000-0005-0000-0000-000095020000}"/>
    <cellStyle name="Comma 2 2 2 15" xfId="520" xr:uid="{00000000-0005-0000-0000-000096020000}"/>
    <cellStyle name="Comma 2 2 2 16" xfId="521" xr:uid="{00000000-0005-0000-0000-000097020000}"/>
    <cellStyle name="Comma 2 2 2 17" xfId="522" xr:uid="{00000000-0005-0000-0000-000098020000}"/>
    <cellStyle name="Comma 2 2 2 18" xfId="523" xr:uid="{00000000-0005-0000-0000-000099020000}"/>
    <cellStyle name="Comma 2 2 2 18 2" xfId="524" xr:uid="{00000000-0005-0000-0000-00009A020000}"/>
    <cellStyle name="Comma 2 2 2 19" xfId="525" xr:uid="{00000000-0005-0000-0000-00009B020000}"/>
    <cellStyle name="Comma 2 2 2 2" xfId="526" xr:uid="{00000000-0005-0000-0000-00009C020000}"/>
    <cellStyle name="Comma 2 2 2 2 10" xfId="527" xr:uid="{00000000-0005-0000-0000-00009D020000}"/>
    <cellStyle name="Comma 2 2 2 2 10 2" xfId="528" xr:uid="{00000000-0005-0000-0000-00009E020000}"/>
    <cellStyle name="Comma 2 2 2 2 10 2 2" xfId="529" xr:uid="{00000000-0005-0000-0000-00009F020000}"/>
    <cellStyle name="Comma 2 2 2 2 10 3" xfId="530" xr:uid="{00000000-0005-0000-0000-0000A0020000}"/>
    <cellStyle name="Comma 2 2 2 2 11" xfId="531" xr:uid="{00000000-0005-0000-0000-0000A1020000}"/>
    <cellStyle name="Comma 2 2 2 2 11 2" xfId="532" xr:uid="{00000000-0005-0000-0000-0000A2020000}"/>
    <cellStyle name="Comma 2 2 2 2 11 2 2" xfId="533" xr:uid="{00000000-0005-0000-0000-0000A3020000}"/>
    <cellStyle name="Comma 2 2 2 2 11 3" xfId="534" xr:uid="{00000000-0005-0000-0000-0000A4020000}"/>
    <cellStyle name="Comma 2 2 2 2 12" xfId="535" xr:uid="{00000000-0005-0000-0000-0000A5020000}"/>
    <cellStyle name="Comma 2 2 2 2 12 2" xfId="536" xr:uid="{00000000-0005-0000-0000-0000A6020000}"/>
    <cellStyle name="Comma 2 2 2 2 12 2 2" xfId="537" xr:uid="{00000000-0005-0000-0000-0000A7020000}"/>
    <cellStyle name="Comma 2 2 2 2 12 3" xfId="538" xr:uid="{00000000-0005-0000-0000-0000A8020000}"/>
    <cellStyle name="Comma 2 2 2 2 13" xfId="539" xr:uid="{00000000-0005-0000-0000-0000A9020000}"/>
    <cellStyle name="Comma 2 2 2 2 13 2" xfId="540" xr:uid="{00000000-0005-0000-0000-0000AA020000}"/>
    <cellStyle name="Comma 2 2 2 2 13 2 2" xfId="541" xr:uid="{00000000-0005-0000-0000-0000AB020000}"/>
    <cellStyle name="Comma 2 2 2 2 13 3" xfId="542" xr:uid="{00000000-0005-0000-0000-0000AC020000}"/>
    <cellStyle name="Comma 2 2 2 2 14" xfId="543" xr:uid="{00000000-0005-0000-0000-0000AD020000}"/>
    <cellStyle name="Comma 2 2 2 2 14 2" xfId="544" xr:uid="{00000000-0005-0000-0000-0000AE020000}"/>
    <cellStyle name="Comma 2 2 2 2 14 2 2" xfId="545" xr:uid="{00000000-0005-0000-0000-0000AF020000}"/>
    <cellStyle name="Comma 2 2 2 2 14 3" xfId="546" xr:uid="{00000000-0005-0000-0000-0000B0020000}"/>
    <cellStyle name="Comma 2 2 2 2 15" xfId="547" xr:uid="{00000000-0005-0000-0000-0000B1020000}"/>
    <cellStyle name="Comma 2 2 2 2 15 2" xfId="548" xr:uid="{00000000-0005-0000-0000-0000B2020000}"/>
    <cellStyle name="Comma 2 2 2 2 15 2 2" xfId="549" xr:uid="{00000000-0005-0000-0000-0000B3020000}"/>
    <cellStyle name="Comma 2 2 2 2 15 3" xfId="550" xr:uid="{00000000-0005-0000-0000-0000B4020000}"/>
    <cellStyle name="Comma 2 2 2 2 16" xfId="551" xr:uid="{00000000-0005-0000-0000-0000B5020000}"/>
    <cellStyle name="Comma 2 2 2 2 16 2" xfId="552" xr:uid="{00000000-0005-0000-0000-0000B6020000}"/>
    <cellStyle name="Comma 2 2 2 2 16 2 2" xfId="553" xr:uid="{00000000-0005-0000-0000-0000B7020000}"/>
    <cellStyle name="Comma 2 2 2 2 16 3" xfId="554" xr:uid="{00000000-0005-0000-0000-0000B8020000}"/>
    <cellStyle name="Comma 2 2 2 2 17" xfId="555" xr:uid="{00000000-0005-0000-0000-0000B9020000}"/>
    <cellStyle name="Comma 2 2 2 2 17 2" xfId="556" xr:uid="{00000000-0005-0000-0000-0000BA020000}"/>
    <cellStyle name="Comma 2 2 2 2 17 2 2" xfId="557" xr:uid="{00000000-0005-0000-0000-0000BB020000}"/>
    <cellStyle name="Comma 2 2 2 2 17 3" xfId="558" xr:uid="{00000000-0005-0000-0000-0000BC020000}"/>
    <cellStyle name="Comma 2 2 2 2 2" xfId="559" xr:uid="{00000000-0005-0000-0000-0000BD020000}"/>
    <cellStyle name="Comma 2 2 2 2 2 2" xfId="560" xr:uid="{00000000-0005-0000-0000-0000BE020000}"/>
    <cellStyle name="Comma 2 2 2 2 2 2 2" xfId="561" xr:uid="{00000000-0005-0000-0000-0000BF020000}"/>
    <cellStyle name="Comma 2 2 2 2 2 2 2 2" xfId="562" xr:uid="{00000000-0005-0000-0000-0000C0020000}"/>
    <cellStyle name="Comma 2 2 2 2 2 2 2 2 2" xfId="563" xr:uid="{00000000-0005-0000-0000-0000C1020000}"/>
    <cellStyle name="Comma 2 2 2 2 2 2 2 3" xfId="564" xr:uid="{00000000-0005-0000-0000-0000C2020000}"/>
    <cellStyle name="Comma 2 2 2 2 2 2 3" xfId="565" xr:uid="{00000000-0005-0000-0000-0000C3020000}"/>
    <cellStyle name="Comma 2 2 2 2 2 2 3 2" xfId="566" xr:uid="{00000000-0005-0000-0000-0000C4020000}"/>
    <cellStyle name="Comma 2 2 2 2 2 2 3 2 2" xfId="567" xr:uid="{00000000-0005-0000-0000-0000C5020000}"/>
    <cellStyle name="Comma 2 2 2 2 2 2 3 3" xfId="568" xr:uid="{00000000-0005-0000-0000-0000C6020000}"/>
    <cellStyle name="Comma 2 2 2 2 2 2 4" xfId="569" xr:uid="{00000000-0005-0000-0000-0000C7020000}"/>
    <cellStyle name="Comma 2 2 2 2 2 2 4 2" xfId="570" xr:uid="{00000000-0005-0000-0000-0000C8020000}"/>
    <cellStyle name="Comma 2 2 2 2 2 2 4 2 2" xfId="571" xr:uid="{00000000-0005-0000-0000-0000C9020000}"/>
    <cellStyle name="Comma 2 2 2 2 2 2 4 3" xfId="572" xr:uid="{00000000-0005-0000-0000-0000CA020000}"/>
    <cellStyle name="Comma 2 2 2 2 2 2 5" xfId="573" xr:uid="{00000000-0005-0000-0000-0000CB020000}"/>
    <cellStyle name="Comma 2 2 2 2 2 2 5 2" xfId="574" xr:uid="{00000000-0005-0000-0000-0000CC020000}"/>
    <cellStyle name="Comma 2 2 2 2 2 2 5 2 2" xfId="575" xr:uid="{00000000-0005-0000-0000-0000CD020000}"/>
    <cellStyle name="Comma 2 2 2 2 2 2 5 3" xfId="576" xr:uid="{00000000-0005-0000-0000-0000CE020000}"/>
    <cellStyle name="Comma 2 2 2 2 2 3" xfId="577" xr:uid="{00000000-0005-0000-0000-0000CF020000}"/>
    <cellStyle name="Comma 2 2 2 2 2 4" xfId="578" xr:uid="{00000000-0005-0000-0000-0000D0020000}"/>
    <cellStyle name="Comma 2 2 2 2 2 5" xfId="579" xr:uid="{00000000-0005-0000-0000-0000D1020000}"/>
    <cellStyle name="Comma 2 2 2 2 2 6" xfId="580" xr:uid="{00000000-0005-0000-0000-0000D2020000}"/>
    <cellStyle name="Comma 2 2 2 2 2 6 2" xfId="581" xr:uid="{00000000-0005-0000-0000-0000D3020000}"/>
    <cellStyle name="Comma 2 2 2 2 2 7" xfId="582" xr:uid="{00000000-0005-0000-0000-0000D4020000}"/>
    <cellStyle name="Comma 2 2 2 2 3" xfId="583" xr:uid="{00000000-0005-0000-0000-0000D5020000}"/>
    <cellStyle name="Comma 2 2 2 2 3 2" xfId="584" xr:uid="{00000000-0005-0000-0000-0000D6020000}"/>
    <cellStyle name="Comma 2 2 2 2 3 2 2" xfId="585" xr:uid="{00000000-0005-0000-0000-0000D7020000}"/>
    <cellStyle name="Comma 2 2 2 2 3 3" xfId="586" xr:uid="{00000000-0005-0000-0000-0000D8020000}"/>
    <cellStyle name="Comma 2 2 2 2 4" xfId="587" xr:uid="{00000000-0005-0000-0000-0000D9020000}"/>
    <cellStyle name="Comma 2 2 2 2 4 2" xfId="588" xr:uid="{00000000-0005-0000-0000-0000DA020000}"/>
    <cellStyle name="Comma 2 2 2 2 4 2 2" xfId="589" xr:uid="{00000000-0005-0000-0000-0000DB020000}"/>
    <cellStyle name="Comma 2 2 2 2 4 3" xfId="590" xr:uid="{00000000-0005-0000-0000-0000DC020000}"/>
    <cellStyle name="Comma 2 2 2 2 5" xfId="591" xr:uid="{00000000-0005-0000-0000-0000DD020000}"/>
    <cellStyle name="Comma 2 2 2 2 5 2" xfId="592" xr:uid="{00000000-0005-0000-0000-0000DE020000}"/>
    <cellStyle name="Comma 2 2 2 2 5 2 2" xfId="593" xr:uid="{00000000-0005-0000-0000-0000DF020000}"/>
    <cellStyle name="Comma 2 2 2 2 5 3" xfId="594" xr:uid="{00000000-0005-0000-0000-0000E0020000}"/>
    <cellStyle name="Comma 2 2 2 2 6" xfId="595" xr:uid="{00000000-0005-0000-0000-0000E1020000}"/>
    <cellStyle name="Comma 2 2 2 2 6 2" xfId="596" xr:uid="{00000000-0005-0000-0000-0000E2020000}"/>
    <cellStyle name="Comma 2 2 2 2 6 2 2" xfId="597" xr:uid="{00000000-0005-0000-0000-0000E3020000}"/>
    <cellStyle name="Comma 2 2 2 2 6 3" xfId="598" xr:uid="{00000000-0005-0000-0000-0000E4020000}"/>
    <cellStyle name="Comma 2 2 2 2 7" xfId="599" xr:uid="{00000000-0005-0000-0000-0000E5020000}"/>
    <cellStyle name="Comma 2 2 2 2 7 2" xfId="600" xr:uid="{00000000-0005-0000-0000-0000E6020000}"/>
    <cellStyle name="Comma 2 2 2 2 7 2 2" xfId="601" xr:uid="{00000000-0005-0000-0000-0000E7020000}"/>
    <cellStyle name="Comma 2 2 2 2 7 3" xfId="602" xr:uid="{00000000-0005-0000-0000-0000E8020000}"/>
    <cellStyle name="Comma 2 2 2 2 8" xfId="603" xr:uid="{00000000-0005-0000-0000-0000E9020000}"/>
    <cellStyle name="Comma 2 2 2 2 8 2" xfId="604" xr:uid="{00000000-0005-0000-0000-0000EA020000}"/>
    <cellStyle name="Comma 2 2 2 2 8 2 2" xfId="605" xr:uid="{00000000-0005-0000-0000-0000EB020000}"/>
    <cellStyle name="Comma 2 2 2 2 8 3" xfId="606" xr:uid="{00000000-0005-0000-0000-0000EC020000}"/>
    <cellStyle name="Comma 2 2 2 2 9" xfId="607" xr:uid="{00000000-0005-0000-0000-0000ED020000}"/>
    <cellStyle name="Comma 2 2 2 2 9 2" xfId="608" xr:uid="{00000000-0005-0000-0000-0000EE020000}"/>
    <cellStyle name="Comma 2 2 2 2 9 2 2" xfId="609" xr:uid="{00000000-0005-0000-0000-0000EF020000}"/>
    <cellStyle name="Comma 2 2 2 2 9 3" xfId="610" xr:uid="{00000000-0005-0000-0000-0000F0020000}"/>
    <cellStyle name="Comma 2 2 2 3" xfId="611" xr:uid="{00000000-0005-0000-0000-0000F1020000}"/>
    <cellStyle name="Comma 2 2 2 4" xfId="612" xr:uid="{00000000-0005-0000-0000-0000F2020000}"/>
    <cellStyle name="Comma 2 2 2 5" xfId="613" xr:uid="{00000000-0005-0000-0000-0000F3020000}"/>
    <cellStyle name="Comma 2 2 2 6" xfId="614" xr:uid="{00000000-0005-0000-0000-0000F4020000}"/>
    <cellStyle name="Comma 2 2 2 7" xfId="615" xr:uid="{00000000-0005-0000-0000-0000F5020000}"/>
    <cellStyle name="Comma 2 2 2 8" xfId="616" xr:uid="{00000000-0005-0000-0000-0000F6020000}"/>
    <cellStyle name="Comma 2 2 2 9" xfId="617" xr:uid="{00000000-0005-0000-0000-0000F7020000}"/>
    <cellStyle name="Comma 2 2 20" xfId="618" xr:uid="{00000000-0005-0000-0000-0000F8020000}"/>
    <cellStyle name="Comma 2 2 20 2" xfId="619" xr:uid="{00000000-0005-0000-0000-0000F9020000}"/>
    <cellStyle name="Comma 2 2 20 3" xfId="620" xr:uid="{00000000-0005-0000-0000-0000FA020000}"/>
    <cellStyle name="Comma 2 2 21" xfId="11120" xr:uid="{00000000-0005-0000-0000-0000FB020000}"/>
    <cellStyle name="Comma 2 2 3" xfId="621" xr:uid="{00000000-0005-0000-0000-0000FC020000}"/>
    <cellStyle name="Comma 2 2 3 2" xfId="622" xr:uid="{00000000-0005-0000-0000-0000FD020000}"/>
    <cellStyle name="Comma 2 2 3 2 2" xfId="623" xr:uid="{00000000-0005-0000-0000-0000FE020000}"/>
    <cellStyle name="Comma 2 2 3 2 3" xfId="624" xr:uid="{00000000-0005-0000-0000-0000FF020000}"/>
    <cellStyle name="Comma 2 2 3 3" xfId="625" xr:uid="{00000000-0005-0000-0000-000000030000}"/>
    <cellStyle name="Comma 2 2 4" xfId="626" xr:uid="{00000000-0005-0000-0000-000001030000}"/>
    <cellStyle name="Comma 2 2 4 2" xfId="627" xr:uid="{00000000-0005-0000-0000-000002030000}"/>
    <cellStyle name="Comma 2 2 4 2 2" xfId="628" xr:uid="{00000000-0005-0000-0000-000003030000}"/>
    <cellStyle name="Comma 2 2 4 2 3" xfId="629" xr:uid="{00000000-0005-0000-0000-000004030000}"/>
    <cellStyle name="Comma 2 2 4 3" xfId="630" xr:uid="{00000000-0005-0000-0000-000005030000}"/>
    <cellStyle name="Comma 2 2 5" xfId="631" xr:uid="{00000000-0005-0000-0000-000006030000}"/>
    <cellStyle name="Comma 2 2 5 2" xfId="632" xr:uid="{00000000-0005-0000-0000-000007030000}"/>
    <cellStyle name="Comma 2 2 5 2 2" xfId="633" xr:uid="{00000000-0005-0000-0000-000008030000}"/>
    <cellStyle name="Comma 2 2 5 2 3" xfId="634" xr:uid="{00000000-0005-0000-0000-000009030000}"/>
    <cellStyle name="Comma 2 2 5 3" xfId="635" xr:uid="{00000000-0005-0000-0000-00000A030000}"/>
    <cellStyle name="Comma 2 2 6" xfId="636" xr:uid="{00000000-0005-0000-0000-00000B030000}"/>
    <cellStyle name="Comma 2 2 6 2" xfId="637" xr:uid="{00000000-0005-0000-0000-00000C030000}"/>
    <cellStyle name="Comma 2 2 6 2 2" xfId="638" xr:uid="{00000000-0005-0000-0000-00000D030000}"/>
    <cellStyle name="Comma 2 2 6 2 3" xfId="639" xr:uid="{00000000-0005-0000-0000-00000E030000}"/>
    <cellStyle name="Comma 2 2 6 3" xfId="640" xr:uid="{00000000-0005-0000-0000-00000F030000}"/>
    <cellStyle name="Comma 2 2 7" xfId="641" xr:uid="{00000000-0005-0000-0000-000010030000}"/>
    <cellStyle name="Comma 2 2 7 2" xfId="642" xr:uid="{00000000-0005-0000-0000-000011030000}"/>
    <cellStyle name="Comma 2 2 7 2 2" xfId="643" xr:uid="{00000000-0005-0000-0000-000012030000}"/>
    <cellStyle name="Comma 2 2 7 2 3" xfId="644" xr:uid="{00000000-0005-0000-0000-000013030000}"/>
    <cellStyle name="Comma 2 2 7 3" xfId="645" xr:uid="{00000000-0005-0000-0000-000014030000}"/>
    <cellStyle name="Comma 2 2 8" xfId="646" xr:uid="{00000000-0005-0000-0000-000015030000}"/>
    <cellStyle name="Comma 2 2 8 2" xfId="647" xr:uid="{00000000-0005-0000-0000-000016030000}"/>
    <cellStyle name="Comma 2 2 8 2 2" xfId="648" xr:uid="{00000000-0005-0000-0000-000017030000}"/>
    <cellStyle name="Comma 2 2 8 2 3" xfId="649" xr:uid="{00000000-0005-0000-0000-000018030000}"/>
    <cellStyle name="Comma 2 2 8 3" xfId="650" xr:uid="{00000000-0005-0000-0000-000019030000}"/>
    <cellStyle name="Comma 2 2 9" xfId="651" xr:uid="{00000000-0005-0000-0000-00001A030000}"/>
    <cellStyle name="Comma 2 2 9 2" xfId="652" xr:uid="{00000000-0005-0000-0000-00001B030000}"/>
    <cellStyle name="Comma 2 20" xfId="653" xr:uid="{00000000-0005-0000-0000-00001C030000}"/>
    <cellStyle name="Comma 2 20 2" xfId="654" xr:uid="{00000000-0005-0000-0000-00001D030000}"/>
    <cellStyle name="Comma 2 21" xfId="655" xr:uid="{00000000-0005-0000-0000-00001E030000}"/>
    <cellStyle name="Comma 2 21 2" xfId="656" xr:uid="{00000000-0005-0000-0000-00001F030000}"/>
    <cellStyle name="Comma 2 22" xfId="657" xr:uid="{00000000-0005-0000-0000-000020030000}"/>
    <cellStyle name="Comma 2 22 2" xfId="658" xr:uid="{00000000-0005-0000-0000-000021030000}"/>
    <cellStyle name="Comma 2 23" xfId="659" xr:uid="{00000000-0005-0000-0000-000022030000}"/>
    <cellStyle name="Comma 2 23 2" xfId="660" xr:uid="{00000000-0005-0000-0000-000023030000}"/>
    <cellStyle name="Comma 2 24" xfId="661" xr:uid="{00000000-0005-0000-0000-000024030000}"/>
    <cellStyle name="Comma 2 24 2" xfId="662" xr:uid="{00000000-0005-0000-0000-000025030000}"/>
    <cellStyle name="Comma 2 25" xfId="663" xr:uid="{00000000-0005-0000-0000-000026030000}"/>
    <cellStyle name="Comma 2 25 2" xfId="664" xr:uid="{00000000-0005-0000-0000-000027030000}"/>
    <cellStyle name="Comma 2 26" xfId="665" xr:uid="{00000000-0005-0000-0000-000028030000}"/>
    <cellStyle name="Comma 2 26 2" xfId="666" xr:uid="{00000000-0005-0000-0000-000029030000}"/>
    <cellStyle name="Comma 2 27" xfId="667" xr:uid="{00000000-0005-0000-0000-00002A030000}"/>
    <cellStyle name="Comma 2 27 2" xfId="668" xr:uid="{00000000-0005-0000-0000-00002B030000}"/>
    <cellStyle name="Comma 2 28" xfId="669" xr:uid="{00000000-0005-0000-0000-00002C030000}"/>
    <cellStyle name="Comma 2 28 2" xfId="670" xr:uid="{00000000-0005-0000-0000-00002D030000}"/>
    <cellStyle name="Comma 2 29" xfId="671" xr:uid="{00000000-0005-0000-0000-00002E030000}"/>
    <cellStyle name="Comma 2 29 2" xfId="672" xr:uid="{00000000-0005-0000-0000-00002F030000}"/>
    <cellStyle name="Comma 2 3" xfId="673" xr:uid="{00000000-0005-0000-0000-000030030000}"/>
    <cellStyle name="Comma 2 3 2" xfId="674" xr:uid="{00000000-0005-0000-0000-000031030000}"/>
    <cellStyle name="Comma 2 3 2 2" xfId="675" xr:uid="{00000000-0005-0000-0000-000032030000}"/>
    <cellStyle name="Comma 2 3 2 3" xfId="676" xr:uid="{00000000-0005-0000-0000-000033030000}"/>
    <cellStyle name="Comma 2 3 3" xfId="677" xr:uid="{00000000-0005-0000-0000-000034030000}"/>
    <cellStyle name="Comma 2 30" xfId="678" xr:uid="{00000000-0005-0000-0000-000035030000}"/>
    <cellStyle name="Comma 2 30 2" xfId="679" xr:uid="{00000000-0005-0000-0000-000036030000}"/>
    <cellStyle name="Comma 2 31" xfId="680" xr:uid="{00000000-0005-0000-0000-000037030000}"/>
    <cellStyle name="Comma 2 31 2" xfId="681" xr:uid="{00000000-0005-0000-0000-000038030000}"/>
    <cellStyle name="Comma 2 32" xfId="682" xr:uid="{00000000-0005-0000-0000-000039030000}"/>
    <cellStyle name="Comma 2 32 2" xfId="683" xr:uid="{00000000-0005-0000-0000-00003A030000}"/>
    <cellStyle name="Comma 2 33" xfId="684" xr:uid="{00000000-0005-0000-0000-00003B030000}"/>
    <cellStyle name="Comma 2 33 2" xfId="685" xr:uid="{00000000-0005-0000-0000-00003C030000}"/>
    <cellStyle name="Comma 2 34" xfId="686" xr:uid="{00000000-0005-0000-0000-00003D030000}"/>
    <cellStyle name="Comma 2 34 2" xfId="687" xr:uid="{00000000-0005-0000-0000-00003E030000}"/>
    <cellStyle name="Comma 2 35" xfId="688" xr:uid="{00000000-0005-0000-0000-00003F030000}"/>
    <cellStyle name="Comma 2 35 2" xfId="689" xr:uid="{00000000-0005-0000-0000-000040030000}"/>
    <cellStyle name="Comma 2 36" xfId="690" xr:uid="{00000000-0005-0000-0000-000041030000}"/>
    <cellStyle name="Comma 2 36 2" xfId="691" xr:uid="{00000000-0005-0000-0000-000042030000}"/>
    <cellStyle name="Comma 2 37" xfId="692" xr:uid="{00000000-0005-0000-0000-000043030000}"/>
    <cellStyle name="Comma 2 37 2" xfId="693" xr:uid="{00000000-0005-0000-0000-000044030000}"/>
    <cellStyle name="Comma 2 38" xfId="694" xr:uid="{00000000-0005-0000-0000-000045030000}"/>
    <cellStyle name="Comma 2 38 2" xfId="695" xr:uid="{00000000-0005-0000-0000-000046030000}"/>
    <cellStyle name="Comma 2 39" xfId="696" xr:uid="{00000000-0005-0000-0000-000047030000}"/>
    <cellStyle name="Comma 2 39 2" xfId="697" xr:uid="{00000000-0005-0000-0000-000048030000}"/>
    <cellStyle name="Comma 2 4" xfId="698" xr:uid="{00000000-0005-0000-0000-000049030000}"/>
    <cellStyle name="Comma 2 4 2" xfId="699" xr:uid="{00000000-0005-0000-0000-00004A030000}"/>
    <cellStyle name="Comma 2 4 2 2" xfId="700" xr:uid="{00000000-0005-0000-0000-00004B030000}"/>
    <cellStyle name="Comma 2 4 2 3" xfId="701" xr:uid="{00000000-0005-0000-0000-00004C030000}"/>
    <cellStyle name="Comma 2 4 3" xfId="702" xr:uid="{00000000-0005-0000-0000-00004D030000}"/>
    <cellStyle name="Comma 2 40" xfId="703" xr:uid="{00000000-0005-0000-0000-00004E030000}"/>
    <cellStyle name="Comma 2 40 2" xfId="704" xr:uid="{00000000-0005-0000-0000-00004F030000}"/>
    <cellStyle name="Comma 2 41" xfId="705" xr:uid="{00000000-0005-0000-0000-000050030000}"/>
    <cellStyle name="Comma 2 41 2" xfId="706" xr:uid="{00000000-0005-0000-0000-000051030000}"/>
    <cellStyle name="Comma 2 42" xfId="707" xr:uid="{00000000-0005-0000-0000-000052030000}"/>
    <cellStyle name="Comma 2 42 2" xfId="708" xr:uid="{00000000-0005-0000-0000-000053030000}"/>
    <cellStyle name="Comma 2 43" xfId="709" xr:uid="{00000000-0005-0000-0000-000054030000}"/>
    <cellStyle name="Comma 2 43 2" xfId="710" xr:uid="{00000000-0005-0000-0000-000055030000}"/>
    <cellStyle name="Comma 2 44" xfId="711" xr:uid="{00000000-0005-0000-0000-000056030000}"/>
    <cellStyle name="Comma 2 44 2" xfId="712" xr:uid="{00000000-0005-0000-0000-000057030000}"/>
    <cellStyle name="Comma 2 45" xfId="713" xr:uid="{00000000-0005-0000-0000-000058030000}"/>
    <cellStyle name="Comma 2 45 2" xfId="714" xr:uid="{00000000-0005-0000-0000-000059030000}"/>
    <cellStyle name="Comma 2 46" xfId="715" xr:uid="{00000000-0005-0000-0000-00005A030000}"/>
    <cellStyle name="Comma 2 46 2" xfId="716" xr:uid="{00000000-0005-0000-0000-00005B030000}"/>
    <cellStyle name="Comma 2 47" xfId="717" xr:uid="{00000000-0005-0000-0000-00005C030000}"/>
    <cellStyle name="Comma 2 47 2" xfId="718" xr:uid="{00000000-0005-0000-0000-00005D030000}"/>
    <cellStyle name="Comma 2 48" xfId="719" xr:uid="{00000000-0005-0000-0000-00005E030000}"/>
    <cellStyle name="Comma 2 48 2" xfId="720" xr:uid="{00000000-0005-0000-0000-00005F030000}"/>
    <cellStyle name="Comma 2 49" xfId="721" xr:uid="{00000000-0005-0000-0000-000060030000}"/>
    <cellStyle name="Comma 2 49 2" xfId="722" xr:uid="{00000000-0005-0000-0000-000061030000}"/>
    <cellStyle name="Comma 2 5" xfId="723" xr:uid="{00000000-0005-0000-0000-000062030000}"/>
    <cellStyle name="Comma 2 5 2" xfId="724" xr:uid="{00000000-0005-0000-0000-000063030000}"/>
    <cellStyle name="Comma 2 5 2 2" xfId="725" xr:uid="{00000000-0005-0000-0000-000064030000}"/>
    <cellStyle name="Comma 2 5 2 3" xfId="726" xr:uid="{00000000-0005-0000-0000-000065030000}"/>
    <cellStyle name="Comma 2 5 3" xfId="727" xr:uid="{00000000-0005-0000-0000-000066030000}"/>
    <cellStyle name="Comma 2 50" xfId="728" xr:uid="{00000000-0005-0000-0000-000067030000}"/>
    <cellStyle name="Comma 2 50 2" xfId="729" xr:uid="{00000000-0005-0000-0000-000068030000}"/>
    <cellStyle name="Comma 2 51" xfId="730" xr:uid="{00000000-0005-0000-0000-000069030000}"/>
    <cellStyle name="Comma 2 51 2" xfId="731" xr:uid="{00000000-0005-0000-0000-00006A030000}"/>
    <cellStyle name="Comma 2 52" xfId="732" xr:uid="{00000000-0005-0000-0000-00006B030000}"/>
    <cellStyle name="Comma 2 52 2" xfId="733" xr:uid="{00000000-0005-0000-0000-00006C030000}"/>
    <cellStyle name="Comma 2 53" xfId="734" xr:uid="{00000000-0005-0000-0000-00006D030000}"/>
    <cellStyle name="Comma 2 53 2" xfId="735" xr:uid="{00000000-0005-0000-0000-00006E030000}"/>
    <cellStyle name="Comma 2 54" xfId="736" xr:uid="{00000000-0005-0000-0000-00006F030000}"/>
    <cellStyle name="Comma 2 54 2" xfId="737" xr:uid="{00000000-0005-0000-0000-000070030000}"/>
    <cellStyle name="Comma 2 55" xfId="738" xr:uid="{00000000-0005-0000-0000-000071030000}"/>
    <cellStyle name="Comma 2 55 2" xfId="739" xr:uid="{00000000-0005-0000-0000-000072030000}"/>
    <cellStyle name="Comma 2 56" xfId="740" xr:uid="{00000000-0005-0000-0000-000073030000}"/>
    <cellStyle name="Comma 2 56 2" xfId="741" xr:uid="{00000000-0005-0000-0000-000074030000}"/>
    <cellStyle name="Comma 2 57" xfId="742" xr:uid="{00000000-0005-0000-0000-000075030000}"/>
    <cellStyle name="Comma 2 57 2" xfId="743" xr:uid="{00000000-0005-0000-0000-000076030000}"/>
    <cellStyle name="Comma 2 58" xfId="744" xr:uid="{00000000-0005-0000-0000-000077030000}"/>
    <cellStyle name="Comma 2 58 2" xfId="745" xr:uid="{00000000-0005-0000-0000-000078030000}"/>
    <cellStyle name="Comma 2 59" xfId="746" xr:uid="{00000000-0005-0000-0000-000079030000}"/>
    <cellStyle name="Comma 2 59 2" xfId="747" xr:uid="{00000000-0005-0000-0000-00007A030000}"/>
    <cellStyle name="Comma 2 6" xfId="748" xr:uid="{00000000-0005-0000-0000-00007B030000}"/>
    <cellStyle name="Comma 2 6 2" xfId="749" xr:uid="{00000000-0005-0000-0000-00007C030000}"/>
    <cellStyle name="Comma 2 6 2 2" xfId="750" xr:uid="{00000000-0005-0000-0000-00007D030000}"/>
    <cellStyle name="Comma 2 6 2 3" xfId="751" xr:uid="{00000000-0005-0000-0000-00007E030000}"/>
    <cellStyle name="Comma 2 6 3" xfId="752" xr:uid="{00000000-0005-0000-0000-00007F030000}"/>
    <cellStyle name="Comma 2 60" xfId="753" xr:uid="{00000000-0005-0000-0000-000080030000}"/>
    <cellStyle name="Comma 2 60 2" xfId="754" xr:uid="{00000000-0005-0000-0000-000081030000}"/>
    <cellStyle name="Comma 2 61" xfId="755" xr:uid="{00000000-0005-0000-0000-000082030000}"/>
    <cellStyle name="Comma 2 61 2" xfId="756" xr:uid="{00000000-0005-0000-0000-000083030000}"/>
    <cellStyle name="Comma 2 62" xfId="757" xr:uid="{00000000-0005-0000-0000-000084030000}"/>
    <cellStyle name="Comma 2 63" xfId="758" xr:uid="{00000000-0005-0000-0000-000085030000}"/>
    <cellStyle name="Comma 2 64" xfId="759" xr:uid="{00000000-0005-0000-0000-000086030000}"/>
    <cellStyle name="Comma 2 65" xfId="760" xr:uid="{00000000-0005-0000-0000-000087030000}"/>
    <cellStyle name="Comma 2 66" xfId="761" xr:uid="{00000000-0005-0000-0000-000088030000}"/>
    <cellStyle name="Comma 2 67" xfId="762" xr:uid="{00000000-0005-0000-0000-000089030000}"/>
    <cellStyle name="Comma 2 68" xfId="763" xr:uid="{00000000-0005-0000-0000-00008A030000}"/>
    <cellStyle name="Comma 2 68 2" xfId="764" xr:uid="{00000000-0005-0000-0000-00008B030000}"/>
    <cellStyle name="Comma 2 68 3" xfId="765" xr:uid="{00000000-0005-0000-0000-00008C030000}"/>
    <cellStyle name="Comma 2 69" xfId="766" xr:uid="{00000000-0005-0000-0000-00008D030000}"/>
    <cellStyle name="Comma 2 7" xfId="767" xr:uid="{00000000-0005-0000-0000-00008E030000}"/>
    <cellStyle name="Comma 2 7 2" xfId="768" xr:uid="{00000000-0005-0000-0000-00008F030000}"/>
    <cellStyle name="Comma 2 7 2 2" xfId="769" xr:uid="{00000000-0005-0000-0000-000090030000}"/>
    <cellStyle name="Comma 2 7 2 3" xfId="770" xr:uid="{00000000-0005-0000-0000-000091030000}"/>
    <cellStyle name="Comma 2 7 3" xfId="771" xr:uid="{00000000-0005-0000-0000-000092030000}"/>
    <cellStyle name="Comma 2 70" xfId="772" xr:uid="{00000000-0005-0000-0000-000093030000}"/>
    <cellStyle name="Comma 2 71" xfId="773" xr:uid="{00000000-0005-0000-0000-000094030000}"/>
    <cellStyle name="Comma 2 72" xfId="774" xr:uid="{00000000-0005-0000-0000-000095030000}"/>
    <cellStyle name="Comma 2 73" xfId="775" xr:uid="{00000000-0005-0000-0000-000096030000}"/>
    <cellStyle name="Comma 2 74" xfId="776" xr:uid="{00000000-0005-0000-0000-000097030000}"/>
    <cellStyle name="Comma 2 75" xfId="777" xr:uid="{00000000-0005-0000-0000-000098030000}"/>
    <cellStyle name="Comma 2 76" xfId="778" xr:uid="{00000000-0005-0000-0000-000099030000}"/>
    <cellStyle name="Comma 2 77" xfId="779" xr:uid="{00000000-0005-0000-0000-00009A030000}"/>
    <cellStyle name="Comma 2 78" xfId="780" xr:uid="{00000000-0005-0000-0000-00009B030000}"/>
    <cellStyle name="Comma 2 79" xfId="781" xr:uid="{00000000-0005-0000-0000-00009C030000}"/>
    <cellStyle name="Comma 2 8" xfId="782" xr:uid="{00000000-0005-0000-0000-00009D030000}"/>
    <cellStyle name="Comma 2 8 2" xfId="783" xr:uid="{00000000-0005-0000-0000-00009E030000}"/>
    <cellStyle name="Comma 2 8 2 2" xfId="784" xr:uid="{00000000-0005-0000-0000-00009F030000}"/>
    <cellStyle name="Comma 2 8 2 3" xfId="785" xr:uid="{00000000-0005-0000-0000-0000A0030000}"/>
    <cellStyle name="Comma 2 8 3" xfId="786" xr:uid="{00000000-0005-0000-0000-0000A1030000}"/>
    <cellStyle name="Comma 2 80" xfId="787" xr:uid="{00000000-0005-0000-0000-0000A2030000}"/>
    <cellStyle name="Comma 2 81" xfId="788" xr:uid="{00000000-0005-0000-0000-0000A3030000}"/>
    <cellStyle name="Comma 2 82" xfId="789" xr:uid="{00000000-0005-0000-0000-0000A4030000}"/>
    <cellStyle name="Comma 2 83" xfId="790" xr:uid="{00000000-0005-0000-0000-0000A5030000}"/>
    <cellStyle name="Comma 2 84" xfId="791" xr:uid="{00000000-0005-0000-0000-0000A6030000}"/>
    <cellStyle name="Comma 2 85" xfId="792" xr:uid="{00000000-0005-0000-0000-0000A7030000}"/>
    <cellStyle name="Comma 2 86" xfId="793" xr:uid="{00000000-0005-0000-0000-0000A8030000}"/>
    <cellStyle name="Comma 2 87" xfId="794" xr:uid="{00000000-0005-0000-0000-0000A9030000}"/>
    <cellStyle name="Comma 2 88" xfId="795" xr:uid="{00000000-0005-0000-0000-0000AA030000}"/>
    <cellStyle name="Comma 2 89" xfId="796" xr:uid="{00000000-0005-0000-0000-0000AB030000}"/>
    <cellStyle name="Comma 2 9" xfId="797" xr:uid="{00000000-0005-0000-0000-0000AC030000}"/>
    <cellStyle name="Comma 2 9 2" xfId="798" xr:uid="{00000000-0005-0000-0000-0000AD030000}"/>
    <cellStyle name="Comma 2 9 2 2" xfId="799" xr:uid="{00000000-0005-0000-0000-0000AE030000}"/>
    <cellStyle name="Comma 2 9 2 3" xfId="800" xr:uid="{00000000-0005-0000-0000-0000AF030000}"/>
    <cellStyle name="Comma 2 9 3" xfId="801" xr:uid="{00000000-0005-0000-0000-0000B0030000}"/>
    <cellStyle name="Comma 2 90" xfId="802" xr:uid="{00000000-0005-0000-0000-0000B1030000}"/>
    <cellStyle name="Comma 2 91" xfId="803" xr:uid="{00000000-0005-0000-0000-0000B2030000}"/>
    <cellStyle name="Comma 2 92" xfId="804" xr:uid="{00000000-0005-0000-0000-0000B3030000}"/>
    <cellStyle name="Comma 2 93" xfId="805" xr:uid="{00000000-0005-0000-0000-0000B4030000}"/>
    <cellStyle name="Comma 2 94" xfId="806" xr:uid="{00000000-0005-0000-0000-0000B5030000}"/>
    <cellStyle name="Comma 2 95" xfId="807" xr:uid="{00000000-0005-0000-0000-0000B6030000}"/>
    <cellStyle name="Comma 2 96" xfId="808" xr:uid="{00000000-0005-0000-0000-0000B7030000}"/>
    <cellStyle name="Comma 2 97" xfId="809" xr:uid="{00000000-0005-0000-0000-0000B8030000}"/>
    <cellStyle name="Comma 2 98" xfId="810" xr:uid="{00000000-0005-0000-0000-0000B9030000}"/>
    <cellStyle name="Comma 2 99" xfId="811" xr:uid="{00000000-0005-0000-0000-0000BA030000}"/>
    <cellStyle name="Comma 20" xfId="812" xr:uid="{00000000-0005-0000-0000-0000BB030000}"/>
    <cellStyle name="Comma 21" xfId="813" xr:uid="{00000000-0005-0000-0000-0000BC030000}"/>
    <cellStyle name="Comma 22" xfId="814" xr:uid="{00000000-0005-0000-0000-0000BD030000}"/>
    <cellStyle name="Comma 23" xfId="815" xr:uid="{00000000-0005-0000-0000-0000BE030000}"/>
    <cellStyle name="Comma 24" xfId="816" xr:uid="{00000000-0005-0000-0000-0000BF030000}"/>
    <cellStyle name="Comma 25" xfId="817" xr:uid="{00000000-0005-0000-0000-0000C0030000}"/>
    <cellStyle name="Comma 26" xfId="818" xr:uid="{00000000-0005-0000-0000-0000C1030000}"/>
    <cellStyle name="Comma 27" xfId="819" xr:uid="{00000000-0005-0000-0000-0000C2030000}"/>
    <cellStyle name="Comma 28" xfId="820" xr:uid="{00000000-0005-0000-0000-0000C3030000}"/>
    <cellStyle name="Comma 29" xfId="821" xr:uid="{00000000-0005-0000-0000-0000C4030000}"/>
    <cellStyle name="Comma 3" xfId="822" xr:uid="{00000000-0005-0000-0000-0000C5030000}"/>
    <cellStyle name="Comma 3 10" xfId="823" xr:uid="{00000000-0005-0000-0000-0000C6030000}"/>
    <cellStyle name="Comma 3 10 2" xfId="824" xr:uid="{00000000-0005-0000-0000-0000C7030000}"/>
    <cellStyle name="Comma 3 10 2 2" xfId="825" xr:uid="{00000000-0005-0000-0000-0000C8030000}"/>
    <cellStyle name="Comma 3 10 2 3" xfId="826" xr:uid="{00000000-0005-0000-0000-0000C9030000}"/>
    <cellStyle name="Comma 3 10 3" xfId="827" xr:uid="{00000000-0005-0000-0000-0000CA030000}"/>
    <cellStyle name="Comma 3 100" xfId="828" xr:uid="{00000000-0005-0000-0000-0000CB030000}"/>
    <cellStyle name="Comma 3 101" xfId="829" xr:uid="{00000000-0005-0000-0000-0000CC030000}"/>
    <cellStyle name="Comma 3 102" xfId="830" xr:uid="{00000000-0005-0000-0000-0000CD030000}"/>
    <cellStyle name="Comma 3 103" xfId="831" xr:uid="{00000000-0005-0000-0000-0000CE030000}"/>
    <cellStyle name="Comma 3 104" xfId="832" xr:uid="{00000000-0005-0000-0000-0000CF030000}"/>
    <cellStyle name="Comma 3 105" xfId="833" xr:uid="{00000000-0005-0000-0000-0000D0030000}"/>
    <cellStyle name="Comma 3 106" xfId="834" xr:uid="{00000000-0005-0000-0000-0000D1030000}"/>
    <cellStyle name="Comma 3 107" xfId="835" xr:uid="{00000000-0005-0000-0000-0000D2030000}"/>
    <cellStyle name="Comma 3 108" xfId="836" xr:uid="{00000000-0005-0000-0000-0000D3030000}"/>
    <cellStyle name="Comma 3 109" xfId="837" xr:uid="{00000000-0005-0000-0000-0000D4030000}"/>
    <cellStyle name="Comma 3 11" xfId="838" xr:uid="{00000000-0005-0000-0000-0000D5030000}"/>
    <cellStyle name="Comma 3 11 2" xfId="839" xr:uid="{00000000-0005-0000-0000-0000D6030000}"/>
    <cellStyle name="Comma 3 11 2 2" xfId="840" xr:uid="{00000000-0005-0000-0000-0000D7030000}"/>
    <cellStyle name="Comma 3 11 2 3" xfId="841" xr:uid="{00000000-0005-0000-0000-0000D8030000}"/>
    <cellStyle name="Comma 3 11 3" xfId="842" xr:uid="{00000000-0005-0000-0000-0000D9030000}"/>
    <cellStyle name="Comma 3 110" xfId="843" xr:uid="{00000000-0005-0000-0000-0000DA030000}"/>
    <cellStyle name="Comma 3 111" xfId="844" xr:uid="{00000000-0005-0000-0000-0000DB030000}"/>
    <cellStyle name="Comma 3 112" xfId="845" xr:uid="{00000000-0005-0000-0000-0000DC030000}"/>
    <cellStyle name="Comma 3 113" xfId="846" xr:uid="{00000000-0005-0000-0000-0000DD030000}"/>
    <cellStyle name="Comma 3 114" xfId="847" xr:uid="{00000000-0005-0000-0000-0000DE030000}"/>
    <cellStyle name="Comma 3 115" xfId="848" xr:uid="{00000000-0005-0000-0000-0000DF030000}"/>
    <cellStyle name="Comma 3 116" xfId="849" xr:uid="{00000000-0005-0000-0000-0000E0030000}"/>
    <cellStyle name="Comma 3 117" xfId="850" xr:uid="{00000000-0005-0000-0000-0000E1030000}"/>
    <cellStyle name="Comma 3 118" xfId="851" xr:uid="{00000000-0005-0000-0000-0000E2030000}"/>
    <cellStyle name="Comma 3 119" xfId="852" xr:uid="{00000000-0005-0000-0000-0000E3030000}"/>
    <cellStyle name="Comma 3 12" xfId="853" xr:uid="{00000000-0005-0000-0000-0000E4030000}"/>
    <cellStyle name="Comma 3 12 2" xfId="854" xr:uid="{00000000-0005-0000-0000-0000E5030000}"/>
    <cellStyle name="Comma 3 12 2 2" xfId="855" xr:uid="{00000000-0005-0000-0000-0000E6030000}"/>
    <cellStyle name="Comma 3 12 2 3" xfId="856" xr:uid="{00000000-0005-0000-0000-0000E7030000}"/>
    <cellStyle name="Comma 3 12 3" xfId="857" xr:uid="{00000000-0005-0000-0000-0000E8030000}"/>
    <cellStyle name="Comma 3 120" xfId="858" xr:uid="{00000000-0005-0000-0000-0000E9030000}"/>
    <cellStyle name="Comma 3 121" xfId="859" xr:uid="{00000000-0005-0000-0000-0000EA030000}"/>
    <cellStyle name="Comma 3 122" xfId="860" xr:uid="{00000000-0005-0000-0000-0000EB030000}"/>
    <cellStyle name="Comma 3 123" xfId="861" xr:uid="{00000000-0005-0000-0000-0000EC030000}"/>
    <cellStyle name="Comma 3 124" xfId="862" xr:uid="{00000000-0005-0000-0000-0000ED030000}"/>
    <cellStyle name="Comma 3 125" xfId="863" xr:uid="{00000000-0005-0000-0000-0000EE030000}"/>
    <cellStyle name="Comma 3 126" xfId="864" xr:uid="{00000000-0005-0000-0000-0000EF030000}"/>
    <cellStyle name="Comma 3 127" xfId="865" xr:uid="{00000000-0005-0000-0000-0000F0030000}"/>
    <cellStyle name="Comma 3 128" xfId="866" xr:uid="{00000000-0005-0000-0000-0000F1030000}"/>
    <cellStyle name="Comma 3 129" xfId="867" xr:uid="{00000000-0005-0000-0000-0000F2030000}"/>
    <cellStyle name="Comma 3 13" xfId="868" xr:uid="{00000000-0005-0000-0000-0000F3030000}"/>
    <cellStyle name="Comma 3 13 2" xfId="869" xr:uid="{00000000-0005-0000-0000-0000F4030000}"/>
    <cellStyle name="Comma 3 13 2 2" xfId="870" xr:uid="{00000000-0005-0000-0000-0000F5030000}"/>
    <cellStyle name="Comma 3 13 2 3" xfId="871" xr:uid="{00000000-0005-0000-0000-0000F6030000}"/>
    <cellStyle name="Comma 3 13 3" xfId="872" xr:uid="{00000000-0005-0000-0000-0000F7030000}"/>
    <cellStyle name="Comma 3 130" xfId="873" xr:uid="{00000000-0005-0000-0000-0000F8030000}"/>
    <cellStyle name="Comma 3 131" xfId="874" xr:uid="{00000000-0005-0000-0000-0000F9030000}"/>
    <cellStyle name="Comma 3 132" xfId="875" xr:uid="{00000000-0005-0000-0000-0000FA030000}"/>
    <cellStyle name="Comma 3 133" xfId="876" xr:uid="{00000000-0005-0000-0000-0000FB030000}"/>
    <cellStyle name="Comma 3 134" xfId="877" xr:uid="{00000000-0005-0000-0000-0000FC030000}"/>
    <cellStyle name="Comma 3 135" xfId="878" xr:uid="{00000000-0005-0000-0000-0000FD030000}"/>
    <cellStyle name="Comma 3 136" xfId="879" xr:uid="{00000000-0005-0000-0000-0000FE030000}"/>
    <cellStyle name="Comma 3 137" xfId="880" xr:uid="{00000000-0005-0000-0000-0000FF030000}"/>
    <cellStyle name="Comma 3 138" xfId="881" xr:uid="{00000000-0005-0000-0000-000000040000}"/>
    <cellStyle name="Comma 3 139" xfId="882" xr:uid="{00000000-0005-0000-0000-000001040000}"/>
    <cellStyle name="Comma 3 14" xfId="883" xr:uid="{00000000-0005-0000-0000-000002040000}"/>
    <cellStyle name="Comma 3 14 2" xfId="884" xr:uid="{00000000-0005-0000-0000-000003040000}"/>
    <cellStyle name="Comma 3 14 2 2" xfId="885" xr:uid="{00000000-0005-0000-0000-000004040000}"/>
    <cellStyle name="Comma 3 14 2 3" xfId="886" xr:uid="{00000000-0005-0000-0000-000005040000}"/>
    <cellStyle name="Comma 3 14 3" xfId="887" xr:uid="{00000000-0005-0000-0000-000006040000}"/>
    <cellStyle name="Comma 3 140" xfId="888" xr:uid="{00000000-0005-0000-0000-000007040000}"/>
    <cellStyle name="Comma 3 141" xfId="889" xr:uid="{00000000-0005-0000-0000-000008040000}"/>
    <cellStyle name="Comma 3 142" xfId="890" xr:uid="{00000000-0005-0000-0000-000009040000}"/>
    <cellStyle name="Comma 3 143" xfId="891" xr:uid="{00000000-0005-0000-0000-00000A040000}"/>
    <cellStyle name="Comma 3 144" xfId="892" xr:uid="{00000000-0005-0000-0000-00000B040000}"/>
    <cellStyle name="Comma 3 145" xfId="893" xr:uid="{00000000-0005-0000-0000-00000C040000}"/>
    <cellStyle name="Comma 3 146" xfId="894" xr:uid="{00000000-0005-0000-0000-00000D040000}"/>
    <cellStyle name="Comma 3 147" xfId="895" xr:uid="{00000000-0005-0000-0000-00000E040000}"/>
    <cellStyle name="Comma 3 148" xfId="896" xr:uid="{00000000-0005-0000-0000-00000F040000}"/>
    <cellStyle name="Comma 3 149" xfId="897" xr:uid="{00000000-0005-0000-0000-000010040000}"/>
    <cellStyle name="Comma 3 15" xfId="898" xr:uid="{00000000-0005-0000-0000-000011040000}"/>
    <cellStyle name="Comma 3 15 2" xfId="899" xr:uid="{00000000-0005-0000-0000-000012040000}"/>
    <cellStyle name="Comma 3 15 2 2" xfId="900" xr:uid="{00000000-0005-0000-0000-000013040000}"/>
    <cellStyle name="Comma 3 15 2 3" xfId="901" xr:uid="{00000000-0005-0000-0000-000014040000}"/>
    <cellStyle name="Comma 3 15 3" xfId="902" xr:uid="{00000000-0005-0000-0000-000015040000}"/>
    <cellStyle name="Comma 3 150" xfId="903" xr:uid="{00000000-0005-0000-0000-000016040000}"/>
    <cellStyle name="Comma 3 151" xfId="904" xr:uid="{00000000-0005-0000-0000-000017040000}"/>
    <cellStyle name="Comma 3 152" xfId="905" xr:uid="{00000000-0005-0000-0000-000018040000}"/>
    <cellStyle name="Comma 3 16" xfId="906" xr:uid="{00000000-0005-0000-0000-000019040000}"/>
    <cellStyle name="Comma 3 16 2" xfId="907" xr:uid="{00000000-0005-0000-0000-00001A040000}"/>
    <cellStyle name="Comma 3 16 2 2" xfId="908" xr:uid="{00000000-0005-0000-0000-00001B040000}"/>
    <cellStyle name="Comma 3 16 2 3" xfId="909" xr:uid="{00000000-0005-0000-0000-00001C040000}"/>
    <cellStyle name="Comma 3 16 3" xfId="910" xr:uid="{00000000-0005-0000-0000-00001D040000}"/>
    <cellStyle name="Comma 3 17" xfId="911" xr:uid="{00000000-0005-0000-0000-00001E040000}"/>
    <cellStyle name="Comma 3 17 2" xfId="912" xr:uid="{00000000-0005-0000-0000-00001F040000}"/>
    <cellStyle name="Comma 3 17 2 2" xfId="913" xr:uid="{00000000-0005-0000-0000-000020040000}"/>
    <cellStyle name="Comma 3 17 2 3" xfId="914" xr:uid="{00000000-0005-0000-0000-000021040000}"/>
    <cellStyle name="Comma 3 17 3" xfId="915" xr:uid="{00000000-0005-0000-0000-000022040000}"/>
    <cellStyle name="Comma 3 18" xfId="916" xr:uid="{00000000-0005-0000-0000-000023040000}"/>
    <cellStyle name="Comma 3 18 2" xfId="917" xr:uid="{00000000-0005-0000-0000-000024040000}"/>
    <cellStyle name="Comma 3 18 2 2" xfId="918" xr:uid="{00000000-0005-0000-0000-000025040000}"/>
    <cellStyle name="Comma 3 18 2 3" xfId="919" xr:uid="{00000000-0005-0000-0000-000026040000}"/>
    <cellStyle name="Comma 3 18 3" xfId="920" xr:uid="{00000000-0005-0000-0000-000027040000}"/>
    <cellStyle name="Comma 3 19" xfId="921" xr:uid="{00000000-0005-0000-0000-000028040000}"/>
    <cellStyle name="Comma 3 19 2" xfId="922" xr:uid="{00000000-0005-0000-0000-000029040000}"/>
    <cellStyle name="Comma 3 19 3" xfId="923" xr:uid="{00000000-0005-0000-0000-00002A040000}"/>
    <cellStyle name="Comma 3 19 4" xfId="924" xr:uid="{00000000-0005-0000-0000-00002B040000}"/>
    <cellStyle name="Comma 3 2" xfId="925" xr:uid="{00000000-0005-0000-0000-00002C040000}"/>
    <cellStyle name="Comma 3 2 10" xfId="926" xr:uid="{00000000-0005-0000-0000-00002D040000}"/>
    <cellStyle name="Comma 3 2 10 2" xfId="927" xr:uid="{00000000-0005-0000-0000-00002E040000}"/>
    <cellStyle name="Comma 3 2 11" xfId="928" xr:uid="{00000000-0005-0000-0000-00002F040000}"/>
    <cellStyle name="Comma 3 2 11 2" xfId="929" xr:uid="{00000000-0005-0000-0000-000030040000}"/>
    <cellStyle name="Comma 3 2 12" xfId="930" xr:uid="{00000000-0005-0000-0000-000031040000}"/>
    <cellStyle name="Comma 3 2 12 2" xfId="931" xr:uid="{00000000-0005-0000-0000-000032040000}"/>
    <cellStyle name="Comma 3 2 12 2 2" xfId="932" xr:uid="{00000000-0005-0000-0000-000033040000}"/>
    <cellStyle name="Comma 3 2 12 3" xfId="933" xr:uid="{00000000-0005-0000-0000-000034040000}"/>
    <cellStyle name="Comma 3 2 13" xfId="934" xr:uid="{00000000-0005-0000-0000-000035040000}"/>
    <cellStyle name="Comma 3 2 13 2" xfId="935" xr:uid="{00000000-0005-0000-0000-000036040000}"/>
    <cellStyle name="Comma 3 2 14" xfId="936" xr:uid="{00000000-0005-0000-0000-000037040000}"/>
    <cellStyle name="Comma 3 2 14 2" xfId="937" xr:uid="{00000000-0005-0000-0000-000038040000}"/>
    <cellStyle name="Comma 3 2 14 2 2" xfId="938" xr:uid="{00000000-0005-0000-0000-000039040000}"/>
    <cellStyle name="Comma 3 2 14 3" xfId="939" xr:uid="{00000000-0005-0000-0000-00003A040000}"/>
    <cellStyle name="Comma 3 2 15" xfId="940" xr:uid="{00000000-0005-0000-0000-00003B040000}"/>
    <cellStyle name="Comma 3 2 15 2" xfId="941" xr:uid="{00000000-0005-0000-0000-00003C040000}"/>
    <cellStyle name="Comma 3 2 15 2 2" xfId="942" xr:uid="{00000000-0005-0000-0000-00003D040000}"/>
    <cellStyle name="Comma 3 2 15 3" xfId="943" xr:uid="{00000000-0005-0000-0000-00003E040000}"/>
    <cellStyle name="Comma 3 2 16" xfId="944" xr:uid="{00000000-0005-0000-0000-00003F040000}"/>
    <cellStyle name="Comma 3 2 16 2" xfId="945" xr:uid="{00000000-0005-0000-0000-000040040000}"/>
    <cellStyle name="Comma 3 2 16 2 2" xfId="946" xr:uid="{00000000-0005-0000-0000-000041040000}"/>
    <cellStyle name="Comma 3 2 16 3" xfId="947" xr:uid="{00000000-0005-0000-0000-000042040000}"/>
    <cellStyle name="Comma 3 2 17" xfId="948" xr:uid="{00000000-0005-0000-0000-000043040000}"/>
    <cellStyle name="Comma 3 2 17 2" xfId="949" xr:uid="{00000000-0005-0000-0000-000044040000}"/>
    <cellStyle name="Comma 3 2 17 2 2" xfId="950" xr:uid="{00000000-0005-0000-0000-000045040000}"/>
    <cellStyle name="Comma 3 2 17 3" xfId="951" xr:uid="{00000000-0005-0000-0000-000046040000}"/>
    <cellStyle name="Comma 3 2 18" xfId="952" xr:uid="{00000000-0005-0000-0000-000047040000}"/>
    <cellStyle name="Comma 3 2 19" xfId="953" xr:uid="{00000000-0005-0000-0000-000048040000}"/>
    <cellStyle name="Comma 3 2 2" xfId="954" xr:uid="{00000000-0005-0000-0000-000049040000}"/>
    <cellStyle name="Comma 3 2 2 10" xfId="955" xr:uid="{00000000-0005-0000-0000-00004A040000}"/>
    <cellStyle name="Comma 3 2 2 11" xfId="956" xr:uid="{00000000-0005-0000-0000-00004B040000}"/>
    <cellStyle name="Comma 3 2 2 12" xfId="957" xr:uid="{00000000-0005-0000-0000-00004C040000}"/>
    <cellStyle name="Comma 3 2 2 13" xfId="958" xr:uid="{00000000-0005-0000-0000-00004D040000}"/>
    <cellStyle name="Comma 3 2 2 14" xfId="959" xr:uid="{00000000-0005-0000-0000-00004E040000}"/>
    <cellStyle name="Comma 3 2 2 15" xfId="960" xr:uid="{00000000-0005-0000-0000-00004F040000}"/>
    <cellStyle name="Comma 3 2 2 16" xfId="961" xr:uid="{00000000-0005-0000-0000-000050040000}"/>
    <cellStyle name="Comma 3 2 2 17" xfId="962" xr:uid="{00000000-0005-0000-0000-000051040000}"/>
    <cellStyle name="Comma 3 2 2 18" xfId="963" xr:uid="{00000000-0005-0000-0000-000052040000}"/>
    <cellStyle name="Comma 3 2 2 18 2" xfId="964" xr:uid="{00000000-0005-0000-0000-000053040000}"/>
    <cellStyle name="Comma 3 2 2 19" xfId="965" xr:uid="{00000000-0005-0000-0000-000054040000}"/>
    <cellStyle name="Comma 3 2 2 2" xfId="966" xr:uid="{00000000-0005-0000-0000-000055040000}"/>
    <cellStyle name="Comma 3 2 2 2 10" xfId="967" xr:uid="{00000000-0005-0000-0000-000056040000}"/>
    <cellStyle name="Comma 3 2 2 2 10 2" xfId="968" xr:uid="{00000000-0005-0000-0000-000057040000}"/>
    <cellStyle name="Comma 3 2 2 2 10 2 2" xfId="969" xr:uid="{00000000-0005-0000-0000-000058040000}"/>
    <cellStyle name="Comma 3 2 2 2 10 3" xfId="970" xr:uid="{00000000-0005-0000-0000-000059040000}"/>
    <cellStyle name="Comma 3 2 2 2 11" xfId="971" xr:uid="{00000000-0005-0000-0000-00005A040000}"/>
    <cellStyle name="Comma 3 2 2 2 11 2" xfId="972" xr:uid="{00000000-0005-0000-0000-00005B040000}"/>
    <cellStyle name="Comma 3 2 2 2 11 2 2" xfId="973" xr:uid="{00000000-0005-0000-0000-00005C040000}"/>
    <cellStyle name="Comma 3 2 2 2 11 3" xfId="974" xr:uid="{00000000-0005-0000-0000-00005D040000}"/>
    <cellStyle name="Comma 3 2 2 2 12" xfId="975" xr:uid="{00000000-0005-0000-0000-00005E040000}"/>
    <cellStyle name="Comma 3 2 2 2 12 2" xfId="976" xr:uid="{00000000-0005-0000-0000-00005F040000}"/>
    <cellStyle name="Comma 3 2 2 2 12 2 2" xfId="977" xr:uid="{00000000-0005-0000-0000-000060040000}"/>
    <cellStyle name="Comma 3 2 2 2 12 3" xfId="978" xr:uid="{00000000-0005-0000-0000-000061040000}"/>
    <cellStyle name="Comma 3 2 2 2 13" xfId="979" xr:uid="{00000000-0005-0000-0000-000062040000}"/>
    <cellStyle name="Comma 3 2 2 2 13 2" xfId="980" xr:uid="{00000000-0005-0000-0000-000063040000}"/>
    <cellStyle name="Comma 3 2 2 2 13 2 2" xfId="981" xr:uid="{00000000-0005-0000-0000-000064040000}"/>
    <cellStyle name="Comma 3 2 2 2 13 3" xfId="982" xr:uid="{00000000-0005-0000-0000-000065040000}"/>
    <cellStyle name="Comma 3 2 2 2 14" xfId="983" xr:uid="{00000000-0005-0000-0000-000066040000}"/>
    <cellStyle name="Comma 3 2 2 2 14 2" xfId="984" xr:uid="{00000000-0005-0000-0000-000067040000}"/>
    <cellStyle name="Comma 3 2 2 2 14 2 2" xfId="985" xr:uid="{00000000-0005-0000-0000-000068040000}"/>
    <cellStyle name="Comma 3 2 2 2 14 3" xfId="986" xr:uid="{00000000-0005-0000-0000-000069040000}"/>
    <cellStyle name="Comma 3 2 2 2 15" xfId="987" xr:uid="{00000000-0005-0000-0000-00006A040000}"/>
    <cellStyle name="Comma 3 2 2 2 15 2" xfId="988" xr:uid="{00000000-0005-0000-0000-00006B040000}"/>
    <cellStyle name="Comma 3 2 2 2 15 2 2" xfId="989" xr:uid="{00000000-0005-0000-0000-00006C040000}"/>
    <cellStyle name="Comma 3 2 2 2 15 3" xfId="990" xr:uid="{00000000-0005-0000-0000-00006D040000}"/>
    <cellStyle name="Comma 3 2 2 2 16" xfId="991" xr:uid="{00000000-0005-0000-0000-00006E040000}"/>
    <cellStyle name="Comma 3 2 2 2 16 2" xfId="992" xr:uid="{00000000-0005-0000-0000-00006F040000}"/>
    <cellStyle name="Comma 3 2 2 2 16 2 2" xfId="993" xr:uid="{00000000-0005-0000-0000-000070040000}"/>
    <cellStyle name="Comma 3 2 2 2 16 3" xfId="994" xr:uid="{00000000-0005-0000-0000-000071040000}"/>
    <cellStyle name="Comma 3 2 2 2 17" xfId="995" xr:uid="{00000000-0005-0000-0000-000072040000}"/>
    <cellStyle name="Comma 3 2 2 2 17 2" xfId="996" xr:uid="{00000000-0005-0000-0000-000073040000}"/>
    <cellStyle name="Comma 3 2 2 2 17 2 2" xfId="997" xr:uid="{00000000-0005-0000-0000-000074040000}"/>
    <cellStyle name="Comma 3 2 2 2 17 3" xfId="998" xr:uid="{00000000-0005-0000-0000-000075040000}"/>
    <cellStyle name="Comma 3 2 2 2 2" xfId="999" xr:uid="{00000000-0005-0000-0000-000076040000}"/>
    <cellStyle name="Comma 3 2 2 2 2 2" xfId="1000" xr:uid="{00000000-0005-0000-0000-000077040000}"/>
    <cellStyle name="Comma 3 2 2 2 2 2 2" xfId="1001" xr:uid="{00000000-0005-0000-0000-000078040000}"/>
    <cellStyle name="Comma 3 2 2 2 2 2 2 2" xfId="1002" xr:uid="{00000000-0005-0000-0000-000079040000}"/>
    <cellStyle name="Comma 3 2 2 2 2 2 2 2 2" xfId="1003" xr:uid="{00000000-0005-0000-0000-00007A040000}"/>
    <cellStyle name="Comma 3 2 2 2 2 2 2 3" xfId="1004" xr:uid="{00000000-0005-0000-0000-00007B040000}"/>
    <cellStyle name="Comma 3 2 2 2 2 2 3" xfId="1005" xr:uid="{00000000-0005-0000-0000-00007C040000}"/>
    <cellStyle name="Comma 3 2 2 2 2 2 3 2" xfId="1006" xr:uid="{00000000-0005-0000-0000-00007D040000}"/>
    <cellStyle name="Comma 3 2 2 2 2 2 3 2 2" xfId="1007" xr:uid="{00000000-0005-0000-0000-00007E040000}"/>
    <cellStyle name="Comma 3 2 2 2 2 2 3 3" xfId="1008" xr:uid="{00000000-0005-0000-0000-00007F040000}"/>
    <cellStyle name="Comma 3 2 2 2 2 2 4" xfId="1009" xr:uid="{00000000-0005-0000-0000-000080040000}"/>
    <cellStyle name="Comma 3 2 2 2 2 2 4 2" xfId="1010" xr:uid="{00000000-0005-0000-0000-000081040000}"/>
    <cellStyle name="Comma 3 2 2 2 2 2 4 2 2" xfId="1011" xr:uid="{00000000-0005-0000-0000-000082040000}"/>
    <cellStyle name="Comma 3 2 2 2 2 2 4 3" xfId="1012" xr:uid="{00000000-0005-0000-0000-000083040000}"/>
    <cellStyle name="Comma 3 2 2 2 2 2 5" xfId="1013" xr:uid="{00000000-0005-0000-0000-000084040000}"/>
    <cellStyle name="Comma 3 2 2 2 2 2 5 2" xfId="1014" xr:uid="{00000000-0005-0000-0000-000085040000}"/>
    <cellStyle name="Comma 3 2 2 2 2 2 5 2 2" xfId="1015" xr:uid="{00000000-0005-0000-0000-000086040000}"/>
    <cellStyle name="Comma 3 2 2 2 2 2 5 3" xfId="1016" xr:uid="{00000000-0005-0000-0000-000087040000}"/>
    <cellStyle name="Comma 3 2 2 2 2 3" xfId="1017" xr:uid="{00000000-0005-0000-0000-000088040000}"/>
    <cellStyle name="Comma 3 2 2 2 2 4" xfId="1018" xr:uid="{00000000-0005-0000-0000-000089040000}"/>
    <cellStyle name="Comma 3 2 2 2 2 5" xfId="1019" xr:uid="{00000000-0005-0000-0000-00008A040000}"/>
    <cellStyle name="Comma 3 2 2 2 2 6" xfId="1020" xr:uid="{00000000-0005-0000-0000-00008B040000}"/>
    <cellStyle name="Comma 3 2 2 2 2 6 2" xfId="1021" xr:uid="{00000000-0005-0000-0000-00008C040000}"/>
    <cellStyle name="Comma 3 2 2 2 2 7" xfId="1022" xr:uid="{00000000-0005-0000-0000-00008D040000}"/>
    <cellStyle name="Comma 3 2 2 2 3" xfId="1023" xr:uid="{00000000-0005-0000-0000-00008E040000}"/>
    <cellStyle name="Comma 3 2 2 2 3 2" xfId="1024" xr:uid="{00000000-0005-0000-0000-00008F040000}"/>
    <cellStyle name="Comma 3 2 2 2 3 2 2" xfId="1025" xr:uid="{00000000-0005-0000-0000-000090040000}"/>
    <cellStyle name="Comma 3 2 2 2 3 3" xfId="1026" xr:uid="{00000000-0005-0000-0000-000091040000}"/>
    <cellStyle name="Comma 3 2 2 2 4" xfId="1027" xr:uid="{00000000-0005-0000-0000-000092040000}"/>
    <cellStyle name="Comma 3 2 2 2 4 2" xfId="1028" xr:uid="{00000000-0005-0000-0000-000093040000}"/>
    <cellStyle name="Comma 3 2 2 2 4 2 2" xfId="1029" xr:uid="{00000000-0005-0000-0000-000094040000}"/>
    <cellStyle name="Comma 3 2 2 2 4 3" xfId="1030" xr:uid="{00000000-0005-0000-0000-000095040000}"/>
    <cellStyle name="Comma 3 2 2 2 5" xfId="1031" xr:uid="{00000000-0005-0000-0000-000096040000}"/>
    <cellStyle name="Comma 3 2 2 2 5 2" xfId="1032" xr:uid="{00000000-0005-0000-0000-000097040000}"/>
    <cellStyle name="Comma 3 2 2 2 5 2 2" xfId="1033" xr:uid="{00000000-0005-0000-0000-000098040000}"/>
    <cellStyle name="Comma 3 2 2 2 5 3" xfId="1034" xr:uid="{00000000-0005-0000-0000-000099040000}"/>
    <cellStyle name="Comma 3 2 2 2 6" xfId="1035" xr:uid="{00000000-0005-0000-0000-00009A040000}"/>
    <cellStyle name="Comma 3 2 2 2 6 2" xfId="1036" xr:uid="{00000000-0005-0000-0000-00009B040000}"/>
    <cellStyle name="Comma 3 2 2 2 6 2 2" xfId="1037" xr:uid="{00000000-0005-0000-0000-00009C040000}"/>
    <cellStyle name="Comma 3 2 2 2 6 3" xfId="1038" xr:uid="{00000000-0005-0000-0000-00009D040000}"/>
    <cellStyle name="Comma 3 2 2 2 7" xfId="1039" xr:uid="{00000000-0005-0000-0000-00009E040000}"/>
    <cellStyle name="Comma 3 2 2 2 7 2" xfId="1040" xr:uid="{00000000-0005-0000-0000-00009F040000}"/>
    <cellStyle name="Comma 3 2 2 2 7 2 2" xfId="1041" xr:uid="{00000000-0005-0000-0000-0000A0040000}"/>
    <cellStyle name="Comma 3 2 2 2 7 3" xfId="1042" xr:uid="{00000000-0005-0000-0000-0000A1040000}"/>
    <cellStyle name="Comma 3 2 2 2 8" xfId="1043" xr:uid="{00000000-0005-0000-0000-0000A2040000}"/>
    <cellStyle name="Comma 3 2 2 2 8 2" xfId="1044" xr:uid="{00000000-0005-0000-0000-0000A3040000}"/>
    <cellStyle name="Comma 3 2 2 2 8 2 2" xfId="1045" xr:uid="{00000000-0005-0000-0000-0000A4040000}"/>
    <cellStyle name="Comma 3 2 2 2 8 3" xfId="1046" xr:uid="{00000000-0005-0000-0000-0000A5040000}"/>
    <cellStyle name="Comma 3 2 2 2 9" xfId="1047" xr:uid="{00000000-0005-0000-0000-0000A6040000}"/>
    <cellStyle name="Comma 3 2 2 2 9 2" xfId="1048" xr:uid="{00000000-0005-0000-0000-0000A7040000}"/>
    <cellStyle name="Comma 3 2 2 2 9 2 2" xfId="1049" xr:uid="{00000000-0005-0000-0000-0000A8040000}"/>
    <cellStyle name="Comma 3 2 2 2 9 3" xfId="1050" xr:uid="{00000000-0005-0000-0000-0000A9040000}"/>
    <cellStyle name="Comma 3 2 2 3" xfId="1051" xr:uid="{00000000-0005-0000-0000-0000AA040000}"/>
    <cellStyle name="Comma 3 2 2 4" xfId="1052" xr:uid="{00000000-0005-0000-0000-0000AB040000}"/>
    <cellStyle name="Comma 3 2 2 5" xfId="1053" xr:uid="{00000000-0005-0000-0000-0000AC040000}"/>
    <cellStyle name="Comma 3 2 2 6" xfId="1054" xr:uid="{00000000-0005-0000-0000-0000AD040000}"/>
    <cellStyle name="Comma 3 2 2 7" xfId="1055" xr:uid="{00000000-0005-0000-0000-0000AE040000}"/>
    <cellStyle name="Comma 3 2 2 8" xfId="1056" xr:uid="{00000000-0005-0000-0000-0000AF040000}"/>
    <cellStyle name="Comma 3 2 2 9" xfId="1057" xr:uid="{00000000-0005-0000-0000-0000B0040000}"/>
    <cellStyle name="Comma 3 2 20" xfId="1058" xr:uid="{00000000-0005-0000-0000-0000B1040000}"/>
    <cellStyle name="Comma 3 2 21" xfId="11121" xr:uid="{00000000-0005-0000-0000-0000B2040000}"/>
    <cellStyle name="Comma 3 2 3" xfId="1059" xr:uid="{00000000-0005-0000-0000-0000B3040000}"/>
    <cellStyle name="Comma 3 2 3 2" xfId="1060" xr:uid="{00000000-0005-0000-0000-0000B4040000}"/>
    <cellStyle name="Comma 3 2 4" xfId="1061" xr:uid="{00000000-0005-0000-0000-0000B5040000}"/>
    <cellStyle name="Comma 3 2 4 2" xfId="1062" xr:uid="{00000000-0005-0000-0000-0000B6040000}"/>
    <cellStyle name="Comma 3 2 5" xfId="1063" xr:uid="{00000000-0005-0000-0000-0000B7040000}"/>
    <cellStyle name="Comma 3 2 5 2" xfId="1064" xr:uid="{00000000-0005-0000-0000-0000B8040000}"/>
    <cellStyle name="Comma 3 2 6" xfId="1065" xr:uid="{00000000-0005-0000-0000-0000B9040000}"/>
    <cellStyle name="Comma 3 2 6 2" xfId="1066" xr:uid="{00000000-0005-0000-0000-0000BA040000}"/>
    <cellStyle name="Comma 3 2 7" xfId="1067" xr:uid="{00000000-0005-0000-0000-0000BB040000}"/>
    <cellStyle name="Comma 3 2 7 2" xfId="1068" xr:uid="{00000000-0005-0000-0000-0000BC040000}"/>
    <cellStyle name="Comma 3 2 8" xfId="1069" xr:uid="{00000000-0005-0000-0000-0000BD040000}"/>
    <cellStyle name="Comma 3 2 8 2" xfId="1070" xr:uid="{00000000-0005-0000-0000-0000BE040000}"/>
    <cellStyle name="Comma 3 2 9" xfId="1071" xr:uid="{00000000-0005-0000-0000-0000BF040000}"/>
    <cellStyle name="Comma 3 2 9 2" xfId="1072" xr:uid="{00000000-0005-0000-0000-0000C0040000}"/>
    <cellStyle name="Comma 3 20" xfId="1073" xr:uid="{00000000-0005-0000-0000-0000C1040000}"/>
    <cellStyle name="Comma 3 20 2" xfId="1074" xr:uid="{00000000-0005-0000-0000-0000C2040000}"/>
    <cellStyle name="Comma 3 21" xfId="1075" xr:uid="{00000000-0005-0000-0000-0000C3040000}"/>
    <cellStyle name="Comma 3 21 2" xfId="1076" xr:uid="{00000000-0005-0000-0000-0000C4040000}"/>
    <cellStyle name="Comma 3 22" xfId="1077" xr:uid="{00000000-0005-0000-0000-0000C5040000}"/>
    <cellStyle name="Comma 3 22 2" xfId="1078" xr:uid="{00000000-0005-0000-0000-0000C6040000}"/>
    <cellStyle name="Comma 3 23" xfId="1079" xr:uid="{00000000-0005-0000-0000-0000C7040000}"/>
    <cellStyle name="Comma 3 23 2" xfId="1080" xr:uid="{00000000-0005-0000-0000-0000C8040000}"/>
    <cellStyle name="Comma 3 24" xfId="1081" xr:uid="{00000000-0005-0000-0000-0000C9040000}"/>
    <cellStyle name="Comma 3 24 2" xfId="1082" xr:uid="{00000000-0005-0000-0000-0000CA040000}"/>
    <cellStyle name="Comma 3 25" xfId="1083" xr:uid="{00000000-0005-0000-0000-0000CB040000}"/>
    <cellStyle name="Comma 3 25 2" xfId="1084" xr:uid="{00000000-0005-0000-0000-0000CC040000}"/>
    <cellStyle name="Comma 3 26" xfId="1085" xr:uid="{00000000-0005-0000-0000-0000CD040000}"/>
    <cellStyle name="Comma 3 26 2" xfId="1086" xr:uid="{00000000-0005-0000-0000-0000CE040000}"/>
    <cellStyle name="Comma 3 27" xfId="1087" xr:uid="{00000000-0005-0000-0000-0000CF040000}"/>
    <cellStyle name="Comma 3 27 2" xfId="1088" xr:uid="{00000000-0005-0000-0000-0000D0040000}"/>
    <cellStyle name="Comma 3 28" xfId="1089" xr:uid="{00000000-0005-0000-0000-0000D1040000}"/>
    <cellStyle name="Comma 3 28 2" xfId="1090" xr:uid="{00000000-0005-0000-0000-0000D2040000}"/>
    <cellStyle name="Comma 3 29" xfId="1091" xr:uid="{00000000-0005-0000-0000-0000D3040000}"/>
    <cellStyle name="Comma 3 29 2" xfId="1092" xr:uid="{00000000-0005-0000-0000-0000D4040000}"/>
    <cellStyle name="Comma 3 3" xfId="1093" xr:uid="{00000000-0005-0000-0000-0000D5040000}"/>
    <cellStyle name="Comma 3 3 2" xfId="1094" xr:uid="{00000000-0005-0000-0000-0000D6040000}"/>
    <cellStyle name="Comma 3 3 2 2" xfId="1095" xr:uid="{00000000-0005-0000-0000-0000D7040000}"/>
    <cellStyle name="Comma 3 3 2 2 2" xfId="1096" xr:uid="{00000000-0005-0000-0000-0000D8040000}"/>
    <cellStyle name="Comma 3 3 2 3" xfId="1097" xr:uid="{00000000-0005-0000-0000-0000D9040000}"/>
    <cellStyle name="Comma 3 3 2 4" xfId="1098" xr:uid="{00000000-0005-0000-0000-0000DA040000}"/>
    <cellStyle name="Comma 3 3 2 5" xfId="1099" xr:uid="{00000000-0005-0000-0000-0000DB040000}"/>
    <cellStyle name="Comma 3 3 3" xfId="1100" xr:uid="{00000000-0005-0000-0000-0000DC040000}"/>
    <cellStyle name="Comma 3 3 4" xfId="1101" xr:uid="{00000000-0005-0000-0000-0000DD040000}"/>
    <cellStyle name="Comma 3 3 5" xfId="1102" xr:uid="{00000000-0005-0000-0000-0000DE040000}"/>
    <cellStyle name="Comma 3 3 6" xfId="1103" xr:uid="{00000000-0005-0000-0000-0000DF040000}"/>
    <cellStyle name="Comma 3 30" xfId="1104" xr:uid="{00000000-0005-0000-0000-0000E0040000}"/>
    <cellStyle name="Comma 3 30 2" xfId="1105" xr:uid="{00000000-0005-0000-0000-0000E1040000}"/>
    <cellStyle name="Comma 3 31" xfId="1106" xr:uid="{00000000-0005-0000-0000-0000E2040000}"/>
    <cellStyle name="Comma 3 31 2" xfId="1107" xr:uid="{00000000-0005-0000-0000-0000E3040000}"/>
    <cellStyle name="Comma 3 32" xfId="1108" xr:uid="{00000000-0005-0000-0000-0000E4040000}"/>
    <cellStyle name="Comma 3 32 2" xfId="1109" xr:uid="{00000000-0005-0000-0000-0000E5040000}"/>
    <cellStyle name="Comma 3 33" xfId="1110" xr:uid="{00000000-0005-0000-0000-0000E6040000}"/>
    <cellStyle name="Comma 3 33 2" xfId="1111" xr:uid="{00000000-0005-0000-0000-0000E7040000}"/>
    <cellStyle name="Comma 3 34" xfId="1112" xr:uid="{00000000-0005-0000-0000-0000E8040000}"/>
    <cellStyle name="Comma 3 34 2" xfId="1113" xr:uid="{00000000-0005-0000-0000-0000E9040000}"/>
    <cellStyle name="Comma 3 35" xfId="1114" xr:uid="{00000000-0005-0000-0000-0000EA040000}"/>
    <cellStyle name="Comma 3 35 2" xfId="1115" xr:uid="{00000000-0005-0000-0000-0000EB040000}"/>
    <cellStyle name="Comma 3 36" xfId="1116" xr:uid="{00000000-0005-0000-0000-0000EC040000}"/>
    <cellStyle name="Comma 3 36 2" xfId="1117" xr:uid="{00000000-0005-0000-0000-0000ED040000}"/>
    <cellStyle name="Comma 3 37" xfId="1118" xr:uid="{00000000-0005-0000-0000-0000EE040000}"/>
    <cellStyle name="Comma 3 37 2" xfId="1119" xr:uid="{00000000-0005-0000-0000-0000EF040000}"/>
    <cellStyle name="Comma 3 38" xfId="1120" xr:uid="{00000000-0005-0000-0000-0000F0040000}"/>
    <cellStyle name="Comma 3 38 2" xfId="1121" xr:uid="{00000000-0005-0000-0000-0000F1040000}"/>
    <cellStyle name="Comma 3 39" xfId="1122" xr:uid="{00000000-0005-0000-0000-0000F2040000}"/>
    <cellStyle name="Comma 3 39 2" xfId="1123" xr:uid="{00000000-0005-0000-0000-0000F3040000}"/>
    <cellStyle name="Comma 3 4" xfId="1124" xr:uid="{00000000-0005-0000-0000-0000F4040000}"/>
    <cellStyle name="Comma 3 4 2" xfId="1125" xr:uid="{00000000-0005-0000-0000-0000F5040000}"/>
    <cellStyle name="Comma 3 4 2 2" xfId="1126" xr:uid="{00000000-0005-0000-0000-0000F6040000}"/>
    <cellStyle name="Comma 3 4 2 3" xfId="1127" xr:uid="{00000000-0005-0000-0000-0000F7040000}"/>
    <cellStyle name="Comma 3 4 3" xfId="1128" xr:uid="{00000000-0005-0000-0000-0000F8040000}"/>
    <cellStyle name="Comma 3 40" xfId="1129" xr:uid="{00000000-0005-0000-0000-0000F9040000}"/>
    <cellStyle name="Comma 3 40 2" xfId="1130" xr:uid="{00000000-0005-0000-0000-0000FA040000}"/>
    <cellStyle name="Comma 3 41" xfId="1131" xr:uid="{00000000-0005-0000-0000-0000FB040000}"/>
    <cellStyle name="Comma 3 41 2" xfId="1132" xr:uid="{00000000-0005-0000-0000-0000FC040000}"/>
    <cellStyle name="Comma 3 42" xfId="1133" xr:uid="{00000000-0005-0000-0000-0000FD040000}"/>
    <cellStyle name="Comma 3 42 2" xfId="1134" xr:uid="{00000000-0005-0000-0000-0000FE040000}"/>
    <cellStyle name="Comma 3 43" xfId="1135" xr:uid="{00000000-0005-0000-0000-0000FF040000}"/>
    <cellStyle name="Comma 3 43 2" xfId="1136" xr:uid="{00000000-0005-0000-0000-000000050000}"/>
    <cellStyle name="Comma 3 44" xfId="1137" xr:uid="{00000000-0005-0000-0000-000001050000}"/>
    <cellStyle name="Comma 3 44 2" xfId="1138" xr:uid="{00000000-0005-0000-0000-000002050000}"/>
    <cellStyle name="Comma 3 45" xfId="1139" xr:uid="{00000000-0005-0000-0000-000003050000}"/>
    <cellStyle name="Comma 3 45 2" xfId="1140" xr:uid="{00000000-0005-0000-0000-000004050000}"/>
    <cellStyle name="Comma 3 46" xfId="1141" xr:uid="{00000000-0005-0000-0000-000005050000}"/>
    <cellStyle name="Comma 3 46 2" xfId="1142" xr:uid="{00000000-0005-0000-0000-000006050000}"/>
    <cellStyle name="Comma 3 47" xfId="1143" xr:uid="{00000000-0005-0000-0000-000007050000}"/>
    <cellStyle name="Comma 3 47 2" xfId="1144" xr:uid="{00000000-0005-0000-0000-000008050000}"/>
    <cellStyle name="Comma 3 48" xfId="1145" xr:uid="{00000000-0005-0000-0000-000009050000}"/>
    <cellStyle name="Comma 3 48 2" xfId="1146" xr:uid="{00000000-0005-0000-0000-00000A050000}"/>
    <cellStyle name="Comma 3 49" xfId="1147" xr:uid="{00000000-0005-0000-0000-00000B050000}"/>
    <cellStyle name="Comma 3 49 2" xfId="1148" xr:uid="{00000000-0005-0000-0000-00000C050000}"/>
    <cellStyle name="Comma 3 5" xfId="1149" xr:uid="{00000000-0005-0000-0000-00000D050000}"/>
    <cellStyle name="Comma 3 5 2" xfId="1150" xr:uid="{00000000-0005-0000-0000-00000E050000}"/>
    <cellStyle name="Comma 3 5 2 2" xfId="1151" xr:uid="{00000000-0005-0000-0000-00000F050000}"/>
    <cellStyle name="Comma 3 5 2 3" xfId="1152" xr:uid="{00000000-0005-0000-0000-000010050000}"/>
    <cellStyle name="Comma 3 5 3" xfId="1153" xr:uid="{00000000-0005-0000-0000-000011050000}"/>
    <cellStyle name="Comma 3 50" xfId="1154" xr:uid="{00000000-0005-0000-0000-000012050000}"/>
    <cellStyle name="Comma 3 50 2" xfId="1155" xr:uid="{00000000-0005-0000-0000-000013050000}"/>
    <cellStyle name="Comma 3 51" xfId="1156" xr:uid="{00000000-0005-0000-0000-000014050000}"/>
    <cellStyle name="Comma 3 51 2" xfId="1157" xr:uid="{00000000-0005-0000-0000-000015050000}"/>
    <cellStyle name="Comma 3 52" xfId="1158" xr:uid="{00000000-0005-0000-0000-000016050000}"/>
    <cellStyle name="Comma 3 52 2" xfId="1159" xr:uid="{00000000-0005-0000-0000-000017050000}"/>
    <cellStyle name="Comma 3 53" xfId="1160" xr:uid="{00000000-0005-0000-0000-000018050000}"/>
    <cellStyle name="Comma 3 53 2" xfId="1161" xr:uid="{00000000-0005-0000-0000-000019050000}"/>
    <cellStyle name="Comma 3 54" xfId="1162" xr:uid="{00000000-0005-0000-0000-00001A050000}"/>
    <cellStyle name="Comma 3 54 2" xfId="1163" xr:uid="{00000000-0005-0000-0000-00001B050000}"/>
    <cellStyle name="Comma 3 55" xfId="1164" xr:uid="{00000000-0005-0000-0000-00001C050000}"/>
    <cellStyle name="Comma 3 55 2" xfId="1165" xr:uid="{00000000-0005-0000-0000-00001D050000}"/>
    <cellStyle name="Comma 3 56" xfId="1166" xr:uid="{00000000-0005-0000-0000-00001E050000}"/>
    <cellStyle name="Comma 3 56 2" xfId="1167" xr:uid="{00000000-0005-0000-0000-00001F050000}"/>
    <cellStyle name="Comma 3 57" xfId="1168" xr:uid="{00000000-0005-0000-0000-000020050000}"/>
    <cellStyle name="Comma 3 57 2" xfId="1169" xr:uid="{00000000-0005-0000-0000-000021050000}"/>
    <cellStyle name="Comma 3 58" xfId="1170" xr:uid="{00000000-0005-0000-0000-000022050000}"/>
    <cellStyle name="Comma 3 58 2" xfId="1171" xr:uid="{00000000-0005-0000-0000-000023050000}"/>
    <cellStyle name="Comma 3 59" xfId="1172" xr:uid="{00000000-0005-0000-0000-000024050000}"/>
    <cellStyle name="Comma 3 59 2" xfId="1173" xr:uid="{00000000-0005-0000-0000-000025050000}"/>
    <cellStyle name="Comma 3 6" xfId="1174" xr:uid="{00000000-0005-0000-0000-000026050000}"/>
    <cellStyle name="Comma 3 6 2" xfId="1175" xr:uid="{00000000-0005-0000-0000-000027050000}"/>
    <cellStyle name="Comma 3 6 2 2" xfId="1176" xr:uid="{00000000-0005-0000-0000-000028050000}"/>
    <cellStyle name="Comma 3 6 2 3" xfId="1177" xr:uid="{00000000-0005-0000-0000-000029050000}"/>
    <cellStyle name="Comma 3 6 3" xfId="1178" xr:uid="{00000000-0005-0000-0000-00002A050000}"/>
    <cellStyle name="Comma 3 60" xfId="1179" xr:uid="{00000000-0005-0000-0000-00002B050000}"/>
    <cellStyle name="Comma 3 60 2" xfId="1180" xr:uid="{00000000-0005-0000-0000-00002C050000}"/>
    <cellStyle name="Comma 3 61" xfId="1181" xr:uid="{00000000-0005-0000-0000-00002D050000}"/>
    <cellStyle name="Comma 3 61 2" xfId="1182" xr:uid="{00000000-0005-0000-0000-00002E050000}"/>
    <cellStyle name="Comma 3 62" xfId="1183" xr:uid="{00000000-0005-0000-0000-00002F050000}"/>
    <cellStyle name="Comma 3 63" xfId="1184" xr:uid="{00000000-0005-0000-0000-000030050000}"/>
    <cellStyle name="Comma 3 64" xfId="1185" xr:uid="{00000000-0005-0000-0000-000031050000}"/>
    <cellStyle name="Comma 3 65" xfId="1186" xr:uid="{00000000-0005-0000-0000-000032050000}"/>
    <cellStyle name="Comma 3 66" xfId="1187" xr:uid="{00000000-0005-0000-0000-000033050000}"/>
    <cellStyle name="Comma 3 67" xfId="1188" xr:uid="{00000000-0005-0000-0000-000034050000}"/>
    <cellStyle name="Comma 3 68" xfId="1189" xr:uid="{00000000-0005-0000-0000-000035050000}"/>
    <cellStyle name="Comma 3 69" xfId="1190" xr:uid="{00000000-0005-0000-0000-000036050000}"/>
    <cellStyle name="Comma 3 7" xfId="1191" xr:uid="{00000000-0005-0000-0000-000037050000}"/>
    <cellStyle name="Comma 3 7 2" xfId="1192" xr:uid="{00000000-0005-0000-0000-000038050000}"/>
    <cellStyle name="Comma 3 7 2 2" xfId="1193" xr:uid="{00000000-0005-0000-0000-000039050000}"/>
    <cellStyle name="Comma 3 7 2 3" xfId="1194" xr:uid="{00000000-0005-0000-0000-00003A050000}"/>
    <cellStyle name="Comma 3 7 3" xfId="1195" xr:uid="{00000000-0005-0000-0000-00003B050000}"/>
    <cellStyle name="Comma 3 70" xfId="1196" xr:uid="{00000000-0005-0000-0000-00003C050000}"/>
    <cellStyle name="Comma 3 71" xfId="1197" xr:uid="{00000000-0005-0000-0000-00003D050000}"/>
    <cellStyle name="Comma 3 72" xfId="1198" xr:uid="{00000000-0005-0000-0000-00003E050000}"/>
    <cellStyle name="Comma 3 73" xfId="1199" xr:uid="{00000000-0005-0000-0000-00003F050000}"/>
    <cellStyle name="Comma 3 74" xfId="1200" xr:uid="{00000000-0005-0000-0000-000040050000}"/>
    <cellStyle name="Comma 3 75" xfId="1201" xr:uid="{00000000-0005-0000-0000-000041050000}"/>
    <cellStyle name="Comma 3 76" xfId="1202" xr:uid="{00000000-0005-0000-0000-000042050000}"/>
    <cellStyle name="Comma 3 77" xfId="1203" xr:uid="{00000000-0005-0000-0000-000043050000}"/>
    <cellStyle name="Comma 3 78" xfId="1204" xr:uid="{00000000-0005-0000-0000-000044050000}"/>
    <cellStyle name="Comma 3 79" xfId="1205" xr:uid="{00000000-0005-0000-0000-000045050000}"/>
    <cellStyle name="Comma 3 8" xfId="1206" xr:uid="{00000000-0005-0000-0000-000046050000}"/>
    <cellStyle name="Comma 3 8 2" xfId="1207" xr:uid="{00000000-0005-0000-0000-000047050000}"/>
    <cellStyle name="Comma 3 8 2 2" xfId="1208" xr:uid="{00000000-0005-0000-0000-000048050000}"/>
    <cellStyle name="Comma 3 8 2 3" xfId="1209" xr:uid="{00000000-0005-0000-0000-000049050000}"/>
    <cellStyle name="Comma 3 8 3" xfId="1210" xr:uid="{00000000-0005-0000-0000-00004A050000}"/>
    <cellStyle name="Comma 3 80" xfId="1211" xr:uid="{00000000-0005-0000-0000-00004B050000}"/>
    <cellStyle name="Comma 3 81" xfId="1212" xr:uid="{00000000-0005-0000-0000-00004C050000}"/>
    <cellStyle name="Comma 3 82" xfId="1213" xr:uid="{00000000-0005-0000-0000-00004D050000}"/>
    <cellStyle name="Comma 3 83" xfId="1214" xr:uid="{00000000-0005-0000-0000-00004E050000}"/>
    <cellStyle name="Comma 3 84" xfId="1215" xr:uid="{00000000-0005-0000-0000-00004F050000}"/>
    <cellStyle name="Comma 3 85" xfId="1216" xr:uid="{00000000-0005-0000-0000-000050050000}"/>
    <cellStyle name="Comma 3 86" xfId="1217" xr:uid="{00000000-0005-0000-0000-000051050000}"/>
    <cellStyle name="Comma 3 87" xfId="1218" xr:uid="{00000000-0005-0000-0000-000052050000}"/>
    <cellStyle name="Comma 3 88" xfId="1219" xr:uid="{00000000-0005-0000-0000-000053050000}"/>
    <cellStyle name="Comma 3 89" xfId="1220" xr:uid="{00000000-0005-0000-0000-000054050000}"/>
    <cellStyle name="Comma 3 9" xfId="1221" xr:uid="{00000000-0005-0000-0000-000055050000}"/>
    <cellStyle name="Comma 3 9 2" xfId="1222" xr:uid="{00000000-0005-0000-0000-000056050000}"/>
    <cellStyle name="Comma 3 9 2 2" xfId="1223" xr:uid="{00000000-0005-0000-0000-000057050000}"/>
    <cellStyle name="Comma 3 9 2 3" xfId="1224" xr:uid="{00000000-0005-0000-0000-000058050000}"/>
    <cellStyle name="Comma 3 9 3" xfId="1225" xr:uid="{00000000-0005-0000-0000-000059050000}"/>
    <cellStyle name="Comma 3 90" xfId="1226" xr:uid="{00000000-0005-0000-0000-00005A050000}"/>
    <cellStyle name="Comma 3 91" xfId="1227" xr:uid="{00000000-0005-0000-0000-00005B050000}"/>
    <cellStyle name="Comma 3 92" xfId="1228" xr:uid="{00000000-0005-0000-0000-00005C050000}"/>
    <cellStyle name="Comma 3 93" xfId="1229" xr:uid="{00000000-0005-0000-0000-00005D050000}"/>
    <cellStyle name="Comma 3 94" xfId="1230" xr:uid="{00000000-0005-0000-0000-00005E050000}"/>
    <cellStyle name="Comma 3 95" xfId="1231" xr:uid="{00000000-0005-0000-0000-00005F050000}"/>
    <cellStyle name="Comma 3 96" xfId="1232" xr:uid="{00000000-0005-0000-0000-000060050000}"/>
    <cellStyle name="Comma 3 97" xfId="1233" xr:uid="{00000000-0005-0000-0000-000061050000}"/>
    <cellStyle name="Comma 3 98" xfId="1234" xr:uid="{00000000-0005-0000-0000-000062050000}"/>
    <cellStyle name="Comma 3 99" xfId="1235" xr:uid="{00000000-0005-0000-0000-000063050000}"/>
    <cellStyle name="Comma 30" xfId="1236" xr:uid="{00000000-0005-0000-0000-000064050000}"/>
    <cellStyle name="Comma 30 2" xfId="1237" xr:uid="{00000000-0005-0000-0000-000065050000}"/>
    <cellStyle name="Comma 30 3" xfId="9529" xr:uid="{00000000-0005-0000-0000-000066050000}"/>
    <cellStyle name="Comma 31" xfId="1238" xr:uid="{00000000-0005-0000-0000-000067050000}"/>
    <cellStyle name="Comma 32" xfId="1239" xr:uid="{00000000-0005-0000-0000-000068050000}"/>
    <cellStyle name="Comma 33" xfId="1240" xr:uid="{00000000-0005-0000-0000-000069050000}"/>
    <cellStyle name="Comma 34" xfId="1241" xr:uid="{00000000-0005-0000-0000-00006A050000}"/>
    <cellStyle name="Comma 35" xfId="1242" xr:uid="{00000000-0005-0000-0000-00006B050000}"/>
    <cellStyle name="Comma 36" xfId="1243" xr:uid="{00000000-0005-0000-0000-00006C050000}"/>
    <cellStyle name="Comma 37" xfId="1244" xr:uid="{00000000-0005-0000-0000-00006D050000}"/>
    <cellStyle name="Comma 38" xfId="1245" xr:uid="{00000000-0005-0000-0000-00006E050000}"/>
    <cellStyle name="Comma 39" xfId="1246" xr:uid="{00000000-0005-0000-0000-00006F050000}"/>
    <cellStyle name="Comma 39 2" xfId="1247" xr:uid="{00000000-0005-0000-0000-000070050000}"/>
    <cellStyle name="Comma 39 3" xfId="9530" xr:uid="{00000000-0005-0000-0000-000071050000}"/>
    <cellStyle name="Comma 4" xfId="1248" xr:uid="{00000000-0005-0000-0000-000072050000}"/>
    <cellStyle name="Comma 4 10" xfId="1249" xr:uid="{00000000-0005-0000-0000-000073050000}"/>
    <cellStyle name="Comma 4 11" xfId="1250" xr:uid="{00000000-0005-0000-0000-000074050000}"/>
    <cellStyle name="Comma 4 12" xfId="1251" xr:uid="{00000000-0005-0000-0000-000075050000}"/>
    <cellStyle name="Comma 4 13" xfId="1252" xr:uid="{00000000-0005-0000-0000-000076050000}"/>
    <cellStyle name="Comma 4 13 2" xfId="1253" xr:uid="{00000000-0005-0000-0000-000077050000}"/>
    <cellStyle name="Comma 4 13 2 2" xfId="1254" xr:uid="{00000000-0005-0000-0000-000078050000}"/>
    <cellStyle name="Comma 4 13 2 3" xfId="9532" xr:uid="{00000000-0005-0000-0000-000079050000}"/>
    <cellStyle name="Comma 4 13 3" xfId="1255" xr:uid="{00000000-0005-0000-0000-00007A050000}"/>
    <cellStyle name="Comma 4 13 4" xfId="1256" xr:uid="{00000000-0005-0000-0000-00007B050000}"/>
    <cellStyle name="Comma 4 14" xfId="1257" xr:uid="{00000000-0005-0000-0000-00007C050000}"/>
    <cellStyle name="Comma 4 15" xfId="1258" xr:uid="{00000000-0005-0000-0000-00007D050000}"/>
    <cellStyle name="Comma 4 16" xfId="1259" xr:uid="{00000000-0005-0000-0000-00007E050000}"/>
    <cellStyle name="Comma 4 16 2" xfId="11122" xr:uid="{00000000-0005-0000-0000-00007F050000}"/>
    <cellStyle name="Comma 4 17" xfId="1260" xr:uid="{00000000-0005-0000-0000-000080050000}"/>
    <cellStyle name="Comma 4 17 2" xfId="11176" xr:uid="{00000000-0005-0000-0000-000081050000}"/>
    <cellStyle name="Comma 4 17 3" xfId="11202" xr:uid="{00000000-0005-0000-0000-000082050000}"/>
    <cellStyle name="Comma 4 18" xfId="9531" xr:uid="{00000000-0005-0000-0000-000083050000}"/>
    <cellStyle name="Comma 4 2" xfId="1261" xr:uid="{00000000-0005-0000-0000-000084050000}"/>
    <cellStyle name="Comma 4 2 10" xfId="1262" xr:uid="{00000000-0005-0000-0000-000085050000}"/>
    <cellStyle name="Comma 4 2 10 2" xfId="1263" xr:uid="{00000000-0005-0000-0000-000086050000}"/>
    <cellStyle name="Comma 4 2 10 2 2" xfId="1264" xr:uid="{00000000-0005-0000-0000-000087050000}"/>
    <cellStyle name="Comma 4 2 10 2 3" xfId="9534" xr:uid="{00000000-0005-0000-0000-000088050000}"/>
    <cellStyle name="Comma 4 2 10 3" xfId="1265" xr:uid="{00000000-0005-0000-0000-000089050000}"/>
    <cellStyle name="Comma 4 2 10 4" xfId="9533" xr:uid="{00000000-0005-0000-0000-00008A050000}"/>
    <cellStyle name="Comma 4 2 11" xfId="1266" xr:uid="{00000000-0005-0000-0000-00008B050000}"/>
    <cellStyle name="Comma 4 2 11 2" xfId="1267" xr:uid="{00000000-0005-0000-0000-00008C050000}"/>
    <cellStyle name="Comma 4 2 11 2 2" xfId="1268" xr:uid="{00000000-0005-0000-0000-00008D050000}"/>
    <cellStyle name="Comma 4 2 11 2 3" xfId="9536" xr:uid="{00000000-0005-0000-0000-00008E050000}"/>
    <cellStyle name="Comma 4 2 11 3" xfId="1269" xr:uid="{00000000-0005-0000-0000-00008F050000}"/>
    <cellStyle name="Comma 4 2 11 4" xfId="9535" xr:uid="{00000000-0005-0000-0000-000090050000}"/>
    <cellStyle name="Comma 4 2 12" xfId="1270" xr:uid="{00000000-0005-0000-0000-000091050000}"/>
    <cellStyle name="Comma 4 2 12 2" xfId="1271" xr:uid="{00000000-0005-0000-0000-000092050000}"/>
    <cellStyle name="Comma 4 2 12 3" xfId="9537" xr:uid="{00000000-0005-0000-0000-000093050000}"/>
    <cellStyle name="Comma 4 2 13" xfId="1272" xr:uid="{00000000-0005-0000-0000-000094050000}"/>
    <cellStyle name="Comma 4 2 13 2" xfId="1273" xr:uid="{00000000-0005-0000-0000-000095050000}"/>
    <cellStyle name="Comma 4 2 13 3" xfId="9538" xr:uid="{00000000-0005-0000-0000-000096050000}"/>
    <cellStyle name="Comma 4 2 14" xfId="1274" xr:uid="{00000000-0005-0000-0000-000097050000}"/>
    <cellStyle name="Comma 4 2 2" xfId="1275" xr:uid="{00000000-0005-0000-0000-000098050000}"/>
    <cellStyle name="Comma 4 2 2 2" xfId="1276" xr:uid="{00000000-0005-0000-0000-000099050000}"/>
    <cellStyle name="Comma 4 2 2 2 2" xfId="1277" xr:uid="{00000000-0005-0000-0000-00009A050000}"/>
    <cellStyle name="Comma 4 2 2 2 3" xfId="9540" xr:uid="{00000000-0005-0000-0000-00009B050000}"/>
    <cellStyle name="Comma 4 2 2 3" xfId="1278" xr:uid="{00000000-0005-0000-0000-00009C050000}"/>
    <cellStyle name="Comma 4 2 2 4" xfId="9539" xr:uid="{00000000-0005-0000-0000-00009D050000}"/>
    <cellStyle name="Comma 4 2 3" xfId="1279" xr:uid="{00000000-0005-0000-0000-00009E050000}"/>
    <cellStyle name="Comma 4 2 3 2" xfId="1280" xr:uid="{00000000-0005-0000-0000-00009F050000}"/>
    <cellStyle name="Comma 4 2 3 2 2" xfId="1281" xr:uid="{00000000-0005-0000-0000-0000A0050000}"/>
    <cellStyle name="Comma 4 2 3 2 3" xfId="9542" xr:uid="{00000000-0005-0000-0000-0000A1050000}"/>
    <cellStyle name="Comma 4 2 3 3" xfId="1282" xr:uid="{00000000-0005-0000-0000-0000A2050000}"/>
    <cellStyle name="Comma 4 2 3 4" xfId="9541" xr:uid="{00000000-0005-0000-0000-0000A3050000}"/>
    <cellStyle name="Comma 4 2 4" xfId="1283" xr:uid="{00000000-0005-0000-0000-0000A4050000}"/>
    <cellStyle name="Comma 4 2 4 2" xfId="1284" xr:uid="{00000000-0005-0000-0000-0000A5050000}"/>
    <cellStyle name="Comma 4 2 4 2 2" xfId="1285" xr:uid="{00000000-0005-0000-0000-0000A6050000}"/>
    <cellStyle name="Comma 4 2 4 2 3" xfId="9544" xr:uid="{00000000-0005-0000-0000-0000A7050000}"/>
    <cellStyle name="Comma 4 2 4 3" xfId="1286" xr:uid="{00000000-0005-0000-0000-0000A8050000}"/>
    <cellStyle name="Comma 4 2 4 4" xfId="9543" xr:uid="{00000000-0005-0000-0000-0000A9050000}"/>
    <cellStyle name="Comma 4 2 5" xfId="1287" xr:uid="{00000000-0005-0000-0000-0000AA050000}"/>
    <cellStyle name="Comma 4 2 5 2" xfId="1288" xr:uid="{00000000-0005-0000-0000-0000AB050000}"/>
    <cellStyle name="Comma 4 2 5 2 2" xfId="1289" xr:uid="{00000000-0005-0000-0000-0000AC050000}"/>
    <cellStyle name="Comma 4 2 5 2 3" xfId="9546" xr:uid="{00000000-0005-0000-0000-0000AD050000}"/>
    <cellStyle name="Comma 4 2 5 3" xfId="1290" xr:uid="{00000000-0005-0000-0000-0000AE050000}"/>
    <cellStyle name="Comma 4 2 5 4" xfId="9545" xr:uid="{00000000-0005-0000-0000-0000AF050000}"/>
    <cellStyle name="Comma 4 2 6" xfId="1291" xr:uid="{00000000-0005-0000-0000-0000B0050000}"/>
    <cellStyle name="Comma 4 2 6 2" xfId="1292" xr:uid="{00000000-0005-0000-0000-0000B1050000}"/>
    <cellStyle name="Comma 4 2 6 2 2" xfId="1293" xr:uid="{00000000-0005-0000-0000-0000B2050000}"/>
    <cellStyle name="Comma 4 2 6 2 3" xfId="9548" xr:uid="{00000000-0005-0000-0000-0000B3050000}"/>
    <cellStyle name="Comma 4 2 6 3" xfId="1294" xr:uid="{00000000-0005-0000-0000-0000B4050000}"/>
    <cellStyle name="Comma 4 2 6 4" xfId="9547" xr:uid="{00000000-0005-0000-0000-0000B5050000}"/>
    <cellStyle name="Comma 4 2 7" xfId="1295" xr:uid="{00000000-0005-0000-0000-0000B6050000}"/>
    <cellStyle name="Comma 4 2 7 2" xfId="1296" xr:uid="{00000000-0005-0000-0000-0000B7050000}"/>
    <cellStyle name="Comma 4 2 7 2 2" xfId="1297" xr:uid="{00000000-0005-0000-0000-0000B8050000}"/>
    <cellStyle name="Comma 4 2 7 2 3" xfId="9550" xr:uid="{00000000-0005-0000-0000-0000B9050000}"/>
    <cellStyle name="Comma 4 2 7 3" xfId="1298" xr:uid="{00000000-0005-0000-0000-0000BA050000}"/>
    <cellStyle name="Comma 4 2 7 4" xfId="9549" xr:uid="{00000000-0005-0000-0000-0000BB050000}"/>
    <cellStyle name="Comma 4 2 8" xfId="1299" xr:uid="{00000000-0005-0000-0000-0000BC050000}"/>
    <cellStyle name="Comma 4 2 8 2" xfId="1300" xr:uid="{00000000-0005-0000-0000-0000BD050000}"/>
    <cellStyle name="Comma 4 2 8 2 2" xfId="1301" xr:uid="{00000000-0005-0000-0000-0000BE050000}"/>
    <cellStyle name="Comma 4 2 8 2 3" xfId="9552" xr:uid="{00000000-0005-0000-0000-0000BF050000}"/>
    <cellStyle name="Comma 4 2 8 3" xfId="1302" xr:uid="{00000000-0005-0000-0000-0000C0050000}"/>
    <cellStyle name="Comma 4 2 8 4" xfId="9551" xr:uid="{00000000-0005-0000-0000-0000C1050000}"/>
    <cellStyle name="Comma 4 2 9" xfId="1303" xr:uid="{00000000-0005-0000-0000-0000C2050000}"/>
    <cellStyle name="Comma 4 2 9 2" xfId="1304" xr:uid="{00000000-0005-0000-0000-0000C3050000}"/>
    <cellStyle name="Comma 4 2 9 2 2" xfId="1305" xr:uid="{00000000-0005-0000-0000-0000C4050000}"/>
    <cellStyle name="Comma 4 2 9 2 3" xfId="9554" xr:uid="{00000000-0005-0000-0000-0000C5050000}"/>
    <cellStyle name="Comma 4 2 9 3" xfId="1306" xr:uid="{00000000-0005-0000-0000-0000C6050000}"/>
    <cellStyle name="Comma 4 2 9 4" xfId="9553" xr:uid="{00000000-0005-0000-0000-0000C7050000}"/>
    <cellStyle name="Comma 4 3" xfId="1307" xr:uid="{00000000-0005-0000-0000-0000C8050000}"/>
    <cellStyle name="Comma 4 3 2" xfId="1308" xr:uid="{00000000-0005-0000-0000-0000C9050000}"/>
    <cellStyle name="Comma 4 3 2 2" xfId="1309" xr:uid="{00000000-0005-0000-0000-0000CA050000}"/>
    <cellStyle name="Comma 4 3 2 3" xfId="9556" xr:uid="{00000000-0005-0000-0000-0000CB050000}"/>
    <cellStyle name="Comma 4 3 3" xfId="1310" xr:uid="{00000000-0005-0000-0000-0000CC050000}"/>
    <cellStyle name="Comma 4 3 4" xfId="1311" xr:uid="{00000000-0005-0000-0000-0000CD050000}"/>
    <cellStyle name="Comma 4 3 5" xfId="9555" xr:uid="{00000000-0005-0000-0000-0000CE050000}"/>
    <cellStyle name="Comma 4 4" xfId="1312" xr:uid="{00000000-0005-0000-0000-0000CF050000}"/>
    <cellStyle name="Comma 4 5" xfId="1313" xr:uid="{00000000-0005-0000-0000-0000D0050000}"/>
    <cellStyle name="Comma 4 6" xfId="1314" xr:uid="{00000000-0005-0000-0000-0000D1050000}"/>
    <cellStyle name="Comma 4 7" xfId="1315" xr:uid="{00000000-0005-0000-0000-0000D2050000}"/>
    <cellStyle name="Comma 4 8" xfId="1316" xr:uid="{00000000-0005-0000-0000-0000D3050000}"/>
    <cellStyle name="Comma 4 9" xfId="1317" xr:uid="{00000000-0005-0000-0000-0000D4050000}"/>
    <cellStyle name="Comma 40" xfId="1318" xr:uid="{00000000-0005-0000-0000-0000D5050000}"/>
    <cellStyle name="Comma 41" xfId="1319" xr:uid="{00000000-0005-0000-0000-0000D6050000}"/>
    <cellStyle name="Comma 42" xfId="1320" xr:uid="{00000000-0005-0000-0000-0000D7050000}"/>
    <cellStyle name="Comma 43" xfId="1321" xr:uid="{00000000-0005-0000-0000-0000D8050000}"/>
    <cellStyle name="Comma 44" xfId="1322" xr:uid="{00000000-0005-0000-0000-0000D9050000}"/>
    <cellStyle name="Comma 45" xfId="1323" xr:uid="{00000000-0005-0000-0000-0000DA050000}"/>
    <cellStyle name="Comma 46" xfId="1324" xr:uid="{00000000-0005-0000-0000-0000DB050000}"/>
    <cellStyle name="Comma 47" xfId="1325" xr:uid="{00000000-0005-0000-0000-0000DC050000}"/>
    <cellStyle name="Comma 48" xfId="1326" xr:uid="{00000000-0005-0000-0000-0000DD050000}"/>
    <cellStyle name="Comma 49" xfId="1327" xr:uid="{00000000-0005-0000-0000-0000DE050000}"/>
    <cellStyle name="Comma 5" xfId="1328" xr:uid="{00000000-0005-0000-0000-0000DF050000}"/>
    <cellStyle name="Comma 5 10" xfId="1329" xr:uid="{00000000-0005-0000-0000-0000E0050000}"/>
    <cellStyle name="Comma 5 10 2" xfId="1330" xr:uid="{00000000-0005-0000-0000-0000E1050000}"/>
    <cellStyle name="Comma 5 10 2 2" xfId="1331" xr:uid="{00000000-0005-0000-0000-0000E2050000}"/>
    <cellStyle name="Comma 5 10 2 3" xfId="1332" xr:uid="{00000000-0005-0000-0000-0000E3050000}"/>
    <cellStyle name="Comma 5 10 3" xfId="1333" xr:uid="{00000000-0005-0000-0000-0000E4050000}"/>
    <cellStyle name="Comma 5 100" xfId="1334" xr:uid="{00000000-0005-0000-0000-0000E5050000}"/>
    <cellStyle name="Comma 5 101" xfId="1335" xr:uid="{00000000-0005-0000-0000-0000E6050000}"/>
    <cellStyle name="Comma 5 102" xfId="1336" xr:uid="{00000000-0005-0000-0000-0000E7050000}"/>
    <cellStyle name="Comma 5 103" xfId="1337" xr:uid="{00000000-0005-0000-0000-0000E8050000}"/>
    <cellStyle name="Comma 5 104" xfId="1338" xr:uid="{00000000-0005-0000-0000-0000E9050000}"/>
    <cellStyle name="Comma 5 105" xfId="1339" xr:uid="{00000000-0005-0000-0000-0000EA050000}"/>
    <cellStyle name="Comma 5 106" xfId="1340" xr:uid="{00000000-0005-0000-0000-0000EB050000}"/>
    <cellStyle name="Comma 5 107" xfId="1341" xr:uid="{00000000-0005-0000-0000-0000EC050000}"/>
    <cellStyle name="Comma 5 108" xfId="1342" xr:uid="{00000000-0005-0000-0000-0000ED050000}"/>
    <cellStyle name="Comma 5 109" xfId="1343" xr:uid="{00000000-0005-0000-0000-0000EE050000}"/>
    <cellStyle name="Comma 5 11" xfId="1344" xr:uid="{00000000-0005-0000-0000-0000EF050000}"/>
    <cellStyle name="Comma 5 11 2" xfId="1345" xr:uid="{00000000-0005-0000-0000-0000F0050000}"/>
    <cellStyle name="Comma 5 11 2 2" xfId="1346" xr:uid="{00000000-0005-0000-0000-0000F1050000}"/>
    <cellStyle name="Comma 5 11 2 3" xfId="1347" xr:uid="{00000000-0005-0000-0000-0000F2050000}"/>
    <cellStyle name="Comma 5 11 3" xfId="1348" xr:uid="{00000000-0005-0000-0000-0000F3050000}"/>
    <cellStyle name="Comma 5 110" xfId="1349" xr:uid="{00000000-0005-0000-0000-0000F4050000}"/>
    <cellStyle name="Comma 5 111" xfId="1350" xr:uid="{00000000-0005-0000-0000-0000F5050000}"/>
    <cellStyle name="Comma 5 112" xfId="1351" xr:uid="{00000000-0005-0000-0000-0000F6050000}"/>
    <cellStyle name="Comma 5 113" xfId="1352" xr:uid="{00000000-0005-0000-0000-0000F7050000}"/>
    <cellStyle name="Comma 5 114" xfId="1353" xr:uid="{00000000-0005-0000-0000-0000F8050000}"/>
    <cellStyle name="Comma 5 115" xfId="1354" xr:uid="{00000000-0005-0000-0000-0000F9050000}"/>
    <cellStyle name="Comma 5 116" xfId="1355" xr:uid="{00000000-0005-0000-0000-0000FA050000}"/>
    <cellStyle name="Comma 5 117" xfId="1356" xr:uid="{00000000-0005-0000-0000-0000FB050000}"/>
    <cellStyle name="Comma 5 118" xfId="1357" xr:uid="{00000000-0005-0000-0000-0000FC050000}"/>
    <cellStyle name="Comma 5 119" xfId="1358" xr:uid="{00000000-0005-0000-0000-0000FD050000}"/>
    <cellStyle name="Comma 5 12" xfId="1359" xr:uid="{00000000-0005-0000-0000-0000FE050000}"/>
    <cellStyle name="Comma 5 12 2" xfId="1360" xr:uid="{00000000-0005-0000-0000-0000FF050000}"/>
    <cellStyle name="Comma 5 12 2 2" xfId="1361" xr:uid="{00000000-0005-0000-0000-000000060000}"/>
    <cellStyle name="Comma 5 12 2 3" xfId="1362" xr:uid="{00000000-0005-0000-0000-000001060000}"/>
    <cellStyle name="Comma 5 12 3" xfId="1363" xr:uid="{00000000-0005-0000-0000-000002060000}"/>
    <cellStyle name="Comma 5 120" xfId="1364" xr:uid="{00000000-0005-0000-0000-000003060000}"/>
    <cellStyle name="Comma 5 121" xfId="1365" xr:uid="{00000000-0005-0000-0000-000004060000}"/>
    <cellStyle name="Comma 5 122" xfId="1366" xr:uid="{00000000-0005-0000-0000-000005060000}"/>
    <cellStyle name="Comma 5 123" xfId="1367" xr:uid="{00000000-0005-0000-0000-000006060000}"/>
    <cellStyle name="Comma 5 124" xfId="1368" xr:uid="{00000000-0005-0000-0000-000007060000}"/>
    <cellStyle name="Comma 5 125" xfId="1369" xr:uid="{00000000-0005-0000-0000-000008060000}"/>
    <cellStyle name="Comma 5 126" xfId="1370" xr:uid="{00000000-0005-0000-0000-000009060000}"/>
    <cellStyle name="Comma 5 127" xfId="1371" xr:uid="{00000000-0005-0000-0000-00000A060000}"/>
    <cellStyle name="Comma 5 128" xfId="1372" xr:uid="{00000000-0005-0000-0000-00000B060000}"/>
    <cellStyle name="Comma 5 129" xfId="1373" xr:uid="{00000000-0005-0000-0000-00000C060000}"/>
    <cellStyle name="Comma 5 13" xfId="1374" xr:uid="{00000000-0005-0000-0000-00000D060000}"/>
    <cellStyle name="Comma 5 13 2" xfId="1375" xr:uid="{00000000-0005-0000-0000-00000E060000}"/>
    <cellStyle name="Comma 5 13 2 2" xfId="1376" xr:uid="{00000000-0005-0000-0000-00000F060000}"/>
    <cellStyle name="Comma 5 13 2 3" xfId="1377" xr:uid="{00000000-0005-0000-0000-000010060000}"/>
    <cellStyle name="Comma 5 13 3" xfId="1378" xr:uid="{00000000-0005-0000-0000-000011060000}"/>
    <cellStyle name="Comma 5 13 3 2" xfId="1379" xr:uid="{00000000-0005-0000-0000-000012060000}"/>
    <cellStyle name="Comma 5 13 3 3" xfId="9558" xr:uid="{00000000-0005-0000-0000-000013060000}"/>
    <cellStyle name="Comma 5 130" xfId="1380" xr:uid="{00000000-0005-0000-0000-000014060000}"/>
    <cellStyle name="Comma 5 131" xfId="1381" xr:uid="{00000000-0005-0000-0000-000015060000}"/>
    <cellStyle name="Comma 5 132" xfId="1382" xr:uid="{00000000-0005-0000-0000-000016060000}"/>
    <cellStyle name="Comma 5 133" xfId="1383" xr:uid="{00000000-0005-0000-0000-000017060000}"/>
    <cellStyle name="Comma 5 134" xfId="1384" xr:uid="{00000000-0005-0000-0000-000018060000}"/>
    <cellStyle name="Comma 5 135" xfId="1385" xr:uid="{00000000-0005-0000-0000-000019060000}"/>
    <cellStyle name="Comma 5 136" xfId="1386" xr:uid="{00000000-0005-0000-0000-00001A060000}"/>
    <cellStyle name="Comma 5 137" xfId="1387" xr:uid="{00000000-0005-0000-0000-00001B060000}"/>
    <cellStyle name="Comma 5 137 2" xfId="11123" xr:uid="{00000000-0005-0000-0000-00001C060000}"/>
    <cellStyle name="Comma 5 138" xfId="9557" xr:uid="{00000000-0005-0000-0000-00001D060000}"/>
    <cellStyle name="Comma 5 14" xfId="1388" xr:uid="{00000000-0005-0000-0000-00001E060000}"/>
    <cellStyle name="Comma 5 14 2" xfId="1389" xr:uid="{00000000-0005-0000-0000-00001F060000}"/>
    <cellStyle name="Comma 5 14 3" xfId="1390" xr:uid="{00000000-0005-0000-0000-000020060000}"/>
    <cellStyle name="Comma 5 14 4" xfId="1391" xr:uid="{00000000-0005-0000-0000-000021060000}"/>
    <cellStyle name="Comma 5 15" xfId="1392" xr:uid="{00000000-0005-0000-0000-000022060000}"/>
    <cellStyle name="Comma 5 15 2" xfId="1393" xr:uid="{00000000-0005-0000-0000-000023060000}"/>
    <cellStyle name="Comma 5 16" xfId="1394" xr:uid="{00000000-0005-0000-0000-000024060000}"/>
    <cellStyle name="Comma 5 16 2" xfId="1395" xr:uid="{00000000-0005-0000-0000-000025060000}"/>
    <cellStyle name="Comma 5 17" xfId="1396" xr:uid="{00000000-0005-0000-0000-000026060000}"/>
    <cellStyle name="Comma 5 17 2" xfId="1397" xr:uid="{00000000-0005-0000-0000-000027060000}"/>
    <cellStyle name="Comma 5 18" xfId="1398" xr:uid="{00000000-0005-0000-0000-000028060000}"/>
    <cellStyle name="Comma 5 18 2" xfId="1399" xr:uid="{00000000-0005-0000-0000-000029060000}"/>
    <cellStyle name="Comma 5 19" xfId="1400" xr:uid="{00000000-0005-0000-0000-00002A060000}"/>
    <cellStyle name="Comma 5 19 2" xfId="1401" xr:uid="{00000000-0005-0000-0000-00002B060000}"/>
    <cellStyle name="Comma 5 2" xfId="1402" xr:uid="{00000000-0005-0000-0000-00002C060000}"/>
    <cellStyle name="Comma 5 2 10" xfId="1403" xr:uid="{00000000-0005-0000-0000-00002D060000}"/>
    <cellStyle name="Comma 5 2 10 2" xfId="1404" xr:uid="{00000000-0005-0000-0000-00002E060000}"/>
    <cellStyle name="Comma 5 2 11" xfId="1405" xr:uid="{00000000-0005-0000-0000-00002F060000}"/>
    <cellStyle name="Comma 5 2 11 2" xfId="1406" xr:uid="{00000000-0005-0000-0000-000030060000}"/>
    <cellStyle name="Comma 5 2 12" xfId="1407" xr:uid="{00000000-0005-0000-0000-000031060000}"/>
    <cellStyle name="Comma 5 2 13" xfId="1408" xr:uid="{00000000-0005-0000-0000-000032060000}"/>
    <cellStyle name="Comma 5 2 14" xfId="1409" xr:uid="{00000000-0005-0000-0000-000033060000}"/>
    <cellStyle name="Comma 5 2 14 2" xfId="1410" xr:uid="{00000000-0005-0000-0000-000034060000}"/>
    <cellStyle name="Comma 5 2 15" xfId="1411" xr:uid="{00000000-0005-0000-0000-000035060000}"/>
    <cellStyle name="Comma 5 2 16" xfId="11124" xr:uid="{00000000-0005-0000-0000-000036060000}"/>
    <cellStyle name="Comma 5 2 2" xfId="1412" xr:uid="{00000000-0005-0000-0000-000037060000}"/>
    <cellStyle name="Comma 5 2 2 10" xfId="1413" xr:uid="{00000000-0005-0000-0000-000038060000}"/>
    <cellStyle name="Comma 5 2 2 10 2" xfId="1414" xr:uid="{00000000-0005-0000-0000-000039060000}"/>
    <cellStyle name="Comma 5 2 2 10 2 2" xfId="1415" xr:uid="{00000000-0005-0000-0000-00003A060000}"/>
    <cellStyle name="Comma 5 2 2 10 3" xfId="1416" xr:uid="{00000000-0005-0000-0000-00003B060000}"/>
    <cellStyle name="Comma 5 2 2 11" xfId="1417" xr:uid="{00000000-0005-0000-0000-00003C060000}"/>
    <cellStyle name="Comma 5 2 2 11 2" xfId="1418" xr:uid="{00000000-0005-0000-0000-00003D060000}"/>
    <cellStyle name="Comma 5 2 2 11 2 2" xfId="1419" xr:uid="{00000000-0005-0000-0000-00003E060000}"/>
    <cellStyle name="Comma 5 2 2 11 3" xfId="1420" xr:uid="{00000000-0005-0000-0000-00003F060000}"/>
    <cellStyle name="Comma 5 2 2 12" xfId="1421" xr:uid="{00000000-0005-0000-0000-000040060000}"/>
    <cellStyle name="Comma 5 2 2 12 2" xfId="1422" xr:uid="{00000000-0005-0000-0000-000041060000}"/>
    <cellStyle name="Comma 5 2 2 12 2 2" xfId="1423" xr:uid="{00000000-0005-0000-0000-000042060000}"/>
    <cellStyle name="Comma 5 2 2 12 3" xfId="1424" xr:uid="{00000000-0005-0000-0000-000043060000}"/>
    <cellStyle name="Comma 5 2 2 12 4" xfId="1425" xr:uid="{00000000-0005-0000-0000-000044060000}"/>
    <cellStyle name="Comma 5 2 2 13" xfId="1426" xr:uid="{00000000-0005-0000-0000-000045060000}"/>
    <cellStyle name="Comma 5 2 2 13 2" xfId="1427" xr:uid="{00000000-0005-0000-0000-000046060000}"/>
    <cellStyle name="Comma 5 2 2 13 2 2" xfId="1428" xr:uid="{00000000-0005-0000-0000-000047060000}"/>
    <cellStyle name="Comma 5 2 2 13 3" xfId="1429" xr:uid="{00000000-0005-0000-0000-000048060000}"/>
    <cellStyle name="Comma 5 2 2 14" xfId="1430" xr:uid="{00000000-0005-0000-0000-000049060000}"/>
    <cellStyle name="Comma 5 2 2 15" xfId="1431" xr:uid="{00000000-0005-0000-0000-00004A060000}"/>
    <cellStyle name="Comma 5 2 2 2" xfId="1432" xr:uid="{00000000-0005-0000-0000-00004B060000}"/>
    <cellStyle name="Comma 5 2 2 2 2" xfId="1433" xr:uid="{00000000-0005-0000-0000-00004C060000}"/>
    <cellStyle name="Comma 5 2 2 2 2 2" xfId="1434" xr:uid="{00000000-0005-0000-0000-00004D060000}"/>
    <cellStyle name="Comma 5 2 2 2 3" xfId="1435" xr:uid="{00000000-0005-0000-0000-00004E060000}"/>
    <cellStyle name="Comma 5 2 2 3" xfId="1436" xr:uid="{00000000-0005-0000-0000-00004F060000}"/>
    <cellStyle name="Comma 5 2 2 3 2" xfId="1437" xr:uid="{00000000-0005-0000-0000-000050060000}"/>
    <cellStyle name="Comma 5 2 2 3 2 2" xfId="1438" xr:uid="{00000000-0005-0000-0000-000051060000}"/>
    <cellStyle name="Comma 5 2 2 3 3" xfId="1439" xr:uid="{00000000-0005-0000-0000-000052060000}"/>
    <cellStyle name="Comma 5 2 2 4" xfId="1440" xr:uid="{00000000-0005-0000-0000-000053060000}"/>
    <cellStyle name="Comma 5 2 2 4 2" xfId="1441" xr:uid="{00000000-0005-0000-0000-000054060000}"/>
    <cellStyle name="Comma 5 2 2 4 2 2" xfId="1442" xr:uid="{00000000-0005-0000-0000-000055060000}"/>
    <cellStyle name="Comma 5 2 2 4 3" xfId="1443" xr:uid="{00000000-0005-0000-0000-000056060000}"/>
    <cellStyle name="Comma 5 2 2 5" xfId="1444" xr:uid="{00000000-0005-0000-0000-000057060000}"/>
    <cellStyle name="Comma 5 2 2 5 2" xfId="1445" xr:uid="{00000000-0005-0000-0000-000058060000}"/>
    <cellStyle name="Comma 5 2 2 5 2 2" xfId="1446" xr:uid="{00000000-0005-0000-0000-000059060000}"/>
    <cellStyle name="Comma 5 2 2 5 3" xfId="1447" xr:uid="{00000000-0005-0000-0000-00005A060000}"/>
    <cellStyle name="Comma 5 2 2 6" xfId="1448" xr:uid="{00000000-0005-0000-0000-00005B060000}"/>
    <cellStyle name="Comma 5 2 2 6 2" xfId="1449" xr:uid="{00000000-0005-0000-0000-00005C060000}"/>
    <cellStyle name="Comma 5 2 2 6 2 2" xfId="1450" xr:uid="{00000000-0005-0000-0000-00005D060000}"/>
    <cellStyle name="Comma 5 2 2 6 3" xfId="1451" xr:uid="{00000000-0005-0000-0000-00005E060000}"/>
    <cellStyle name="Comma 5 2 2 7" xfId="1452" xr:uid="{00000000-0005-0000-0000-00005F060000}"/>
    <cellStyle name="Comma 5 2 2 7 2" xfId="1453" xr:uid="{00000000-0005-0000-0000-000060060000}"/>
    <cellStyle name="Comma 5 2 2 7 2 2" xfId="1454" xr:uid="{00000000-0005-0000-0000-000061060000}"/>
    <cellStyle name="Comma 5 2 2 7 3" xfId="1455" xr:uid="{00000000-0005-0000-0000-000062060000}"/>
    <cellStyle name="Comma 5 2 2 8" xfId="1456" xr:uid="{00000000-0005-0000-0000-000063060000}"/>
    <cellStyle name="Comma 5 2 2 8 2" xfId="1457" xr:uid="{00000000-0005-0000-0000-000064060000}"/>
    <cellStyle name="Comma 5 2 2 8 2 2" xfId="1458" xr:uid="{00000000-0005-0000-0000-000065060000}"/>
    <cellStyle name="Comma 5 2 2 8 3" xfId="1459" xr:uid="{00000000-0005-0000-0000-000066060000}"/>
    <cellStyle name="Comma 5 2 2 9" xfId="1460" xr:uid="{00000000-0005-0000-0000-000067060000}"/>
    <cellStyle name="Comma 5 2 2 9 2" xfId="1461" xr:uid="{00000000-0005-0000-0000-000068060000}"/>
    <cellStyle name="Comma 5 2 2 9 2 2" xfId="1462" xr:uid="{00000000-0005-0000-0000-000069060000}"/>
    <cellStyle name="Comma 5 2 2 9 3" xfId="1463" xr:uid="{00000000-0005-0000-0000-00006A060000}"/>
    <cellStyle name="Comma 5 2 3" xfId="1464" xr:uid="{00000000-0005-0000-0000-00006B060000}"/>
    <cellStyle name="Comma 5 2 3 2" xfId="1465" xr:uid="{00000000-0005-0000-0000-00006C060000}"/>
    <cellStyle name="Comma 5 2 4" xfId="1466" xr:uid="{00000000-0005-0000-0000-00006D060000}"/>
    <cellStyle name="Comma 5 2 4 2" xfId="1467" xr:uid="{00000000-0005-0000-0000-00006E060000}"/>
    <cellStyle name="Comma 5 2 5" xfId="1468" xr:uid="{00000000-0005-0000-0000-00006F060000}"/>
    <cellStyle name="Comma 5 2 5 2" xfId="1469" xr:uid="{00000000-0005-0000-0000-000070060000}"/>
    <cellStyle name="Comma 5 2 6" xfId="1470" xr:uid="{00000000-0005-0000-0000-000071060000}"/>
    <cellStyle name="Comma 5 2 6 2" xfId="1471" xr:uid="{00000000-0005-0000-0000-000072060000}"/>
    <cellStyle name="Comma 5 2 7" xfId="1472" xr:uid="{00000000-0005-0000-0000-000073060000}"/>
    <cellStyle name="Comma 5 2 7 2" xfId="1473" xr:uid="{00000000-0005-0000-0000-000074060000}"/>
    <cellStyle name="Comma 5 2 8" xfId="1474" xr:uid="{00000000-0005-0000-0000-000075060000}"/>
    <cellStyle name="Comma 5 2 8 2" xfId="1475" xr:uid="{00000000-0005-0000-0000-000076060000}"/>
    <cellStyle name="Comma 5 2 9" xfId="1476" xr:uid="{00000000-0005-0000-0000-000077060000}"/>
    <cellStyle name="Comma 5 2 9 2" xfId="1477" xr:uid="{00000000-0005-0000-0000-000078060000}"/>
    <cellStyle name="Comma 5 20" xfId="1478" xr:uid="{00000000-0005-0000-0000-000079060000}"/>
    <cellStyle name="Comma 5 20 2" xfId="1479" xr:uid="{00000000-0005-0000-0000-00007A060000}"/>
    <cellStyle name="Comma 5 21" xfId="1480" xr:uid="{00000000-0005-0000-0000-00007B060000}"/>
    <cellStyle name="Comma 5 21 2" xfId="1481" xr:uid="{00000000-0005-0000-0000-00007C060000}"/>
    <cellStyle name="Comma 5 22" xfId="1482" xr:uid="{00000000-0005-0000-0000-00007D060000}"/>
    <cellStyle name="Comma 5 22 2" xfId="1483" xr:uid="{00000000-0005-0000-0000-00007E060000}"/>
    <cellStyle name="Comma 5 23" xfId="1484" xr:uid="{00000000-0005-0000-0000-00007F060000}"/>
    <cellStyle name="Comma 5 23 2" xfId="1485" xr:uid="{00000000-0005-0000-0000-000080060000}"/>
    <cellStyle name="Comma 5 24" xfId="1486" xr:uid="{00000000-0005-0000-0000-000081060000}"/>
    <cellStyle name="Comma 5 24 2" xfId="1487" xr:uid="{00000000-0005-0000-0000-000082060000}"/>
    <cellStyle name="Comma 5 25" xfId="1488" xr:uid="{00000000-0005-0000-0000-000083060000}"/>
    <cellStyle name="Comma 5 25 2" xfId="1489" xr:uid="{00000000-0005-0000-0000-000084060000}"/>
    <cellStyle name="Comma 5 26" xfId="1490" xr:uid="{00000000-0005-0000-0000-000085060000}"/>
    <cellStyle name="Comma 5 26 2" xfId="1491" xr:uid="{00000000-0005-0000-0000-000086060000}"/>
    <cellStyle name="Comma 5 27" xfId="1492" xr:uid="{00000000-0005-0000-0000-000087060000}"/>
    <cellStyle name="Comma 5 27 2" xfId="1493" xr:uid="{00000000-0005-0000-0000-000088060000}"/>
    <cellStyle name="Comma 5 28" xfId="1494" xr:uid="{00000000-0005-0000-0000-000089060000}"/>
    <cellStyle name="Comma 5 28 2" xfId="1495" xr:uid="{00000000-0005-0000-0000-00008A060000}"/>
    <cellStyle name="Comma 5 29" xfId="1496" xr:uid="{00000000-0005-0000-0000-00008B060000}"/>
    <cellStyle name="Comma 5 29 2" xfId="1497" xr:uid="{00000000-0005-0000-0000-00008C060000}"/>
    <cellStyle name="Comma 5 3" xfId="1498" xr:uid="{00000000-0005-0000-0000-00008D060000}"/>
    <cellStyle name="Comma 5 3 10" xfId="1499" xr:uid="{00000000-0005-0000-0000-00008E060000}"/>
    <cellStyle name="Comma 5 3 10 2" xfId="1500" xr:uid="{00000000-0005-0000-0000-00008F060000}"/>
    <cellStyle name="Comma 5 3 10 2 2" xfId="1501" xr:uid="{00000000-0005-0000-0000-000090060000}"/>
    <cellStyle name="Comma 5 3 10 2 3" xfId="9560" xr:uid="{00000000-0005-0000-0000-000091060000}"/>
    <cellStyle name="Comma 5 3 10 3" xfId="1502" xr:uid="{00000000-0005-0000-0000-000092060000}"/>
    <cellStyle name="Comma 5 3 10 4" xfId="9559" xr:uid="{00000000-0005-0000-0000-000093060000}"/>
    <cellStyle name="Comma 5 3 11" xfId="1503" xr:uid="{00000000-0005-0000-0000-000094060000}"/>
    <cellStyle name="Comma 5 3 11 2" xfId="1504" xr:uid="{00000000-0005-0000-0000-000095060000}"/>
    <cellStyle name="Comma 5 3 11 2 2" xfId="1505" xr:uid="{00000000-0005-0000-0000-000096060000}"/>
    <cellStyle name="Comma 5 3 11 2 3" xfId="9562" xr:uid="{00000000-0005-0000-0000-000097060000}"/>
    <cellStyle name="Comma 5 3 11 3" xfId="1506" xr:uid="{00000000-0005-0000-0000-000098060000}"/>
    <cellStyle name="Comma 5 3 11 4" xfId="9561" xr:uid="{00000000-0005-0000-0000-000099060000}"/>
    <cellStyle name="Comma 5 3 12" xfId="1507" xr:uid="{00000000-0005-0000-0000-00009A060000}"/>
    <cellStyle name="Comma 5 3 12 2" xfId="1508" xr:uid="{00000000-0005-0000-0000-00009B060000}"/>
    <cellStyle name="Comma 5 3 12 3" xfId="1509" xr:uid="{00000000-0005-0000-0000-00009C060000}"/>
    <cellStyle name="Comma 5 3 12 4" xfId="9563" xr:uid="{00000000-0005-0000-0000-00009D060000}"/>
    <cellStyle name="Comma 5 3 13" xfId="1510" xr:uid="{00000000-0005-0000-0000-00009E060000}"/>
    <cellStyle name="Comma 5 3 13 2" xfId="1511" xr:uid="{00000000-0005-0000-0000-00009F060000}"/>
    <cellStyle name="Comma 5 3 13 3" xfId="1512" xr:uid="{00000000-0005-0000-0000-0000A0060000}"/>
    <cellStyle name="Comma 5 3 13 4" xfId="9564" xr:uid="{00000000-0005-0000-0000-0000A1060000}"/>
    <cellStyle name="Comma 5 3 14" xfId="1513" xr:uid="{00000000-0005-0000-0000-0000A2060000}"/>
    <cellStyle name="Comma 5 3 15" xfId="1514" xr:uid="{00000000-0005-0000-0000-0000A3060000}"/>
    <cellStyle name="Comma 5 3 2" xfId="1515" xr:uid="{00000000-0005-0000-0000-0000A4060000}"/>
    <cellStyle name="Comma 5 3 2 2" xfId="1516" xr:uid="{00000000-0005-0000-0000-0000A5060000}"/>
    <cellStyle name="Comma 5 3 2 2 2" xfId="1517" xr:uid="{00000000-0005-0000-0000-0000A6060000}"/>
    <cellStyle name="Comma 5 3 2 2 3" xfId="9566" xr:uid="{00000000-0005-0000-0000-0000A7060000}"/>
    <cellStyle name="Comma 5 3 2 3" xfId="1518" xr:uid="{00000000-0005-0000-0000-0000A8060000}"/>
    <cellStyle name="Comma 5 3 2 4" xfId="9565" xr:uid="{00000000-0005-0000-0000-0000A9060000}"/>
    <cellStyle name="Comma 5 3 3" xfId="1519" xr:uid="{00000000-0005-0000-0000-0000AA060000}"/>
    <cellStyle name="Comma 5 3 3 2" xfId="1520" xr:uid="{00000000-0005-0000-0000-0000AB060000}"/>
    <cellStyle name="Comma 5 3 3 2 2" xfId="1521" xr:uid="{00000000-0005-0000-0000-0000AC060000}"/>
    <cellStyle name="Comma 5 3 3 2 3" xfId="9568" xr:uid="{00000000-0005-0000-0000-0000AD060000}"/>
    <cellStyle name="Comma 5 3 3 3" xfId="1522" xr:uid="{00000000-0005-0000-0000-0000AE060000}"/>
    <cellStyle name="Comma 5 3 3 4" xfId="9567" xr:uid="{00000000-0005-0000-0000-0000AF060000}"/>
    <cellStyle name="Comma 5 3 4" xfId="1523" xr:uid="{00000000-0005-0000-0000-0000B0060000}"/>
    <cellStyle name="Comma 5 3 4 2" xfId="1524" xr:uid="{00000000-0005-0000-0000-0000B1060000}"/>
    <cellStyle name="Comma 5 3 4 2 2" xfId="1525" xr:uid="{00000000-0005-0000-0000-0000B2060000}"/>
    <cellStyle name="Comma 5 3 4 2 3" xfId="9570" xr:uid="{00000000-0005-0000-0000-0000B3060000}"/>
    <cellStyle name="Comma 5 3 4 3" xfId="1526" xr:uid="{00000000-0005-0000-0000-0000B4060000}"/>
    <cellStyle name="Comma 5 3 4 4" xfId="9569" xr:uid="{00000000-0005-0000-0000-0000B5060000}"/>
    <cellStyle name="Comma 5 3 5" xfId="1527" xr:uid="{00000000-0005-0000-0000-0000B6060000}"/>
    <cellStyle name="Comma 5 3 5 2" xfId="1528" xr:uid="{00000000-0005-0000-0000-0000B7060000}"/>
    <cellStyle name="Comma 5 3 5 2 2" xfId="1529" xr:uid="{00000000-0005-0000-0000-0000B8060000}"/>
    <cellStyle name="Comma 5 3 5 2 3" xfId="9572" xr:uid="{00000000-0005-0000-0000-0000B9060000}"/>
    <cellStyle name="Comma 5 3 5 3" xfId="1530" xr:uid="{00000000-0005-0000-0000-0000BA060000}"/>
    <cellStyle name="Comma 5 3 5 4" xfId="9571" xr:uid="{00000000-0005-0000-0000-0000BB060000}"/>
    <cellStyle name="Comma 5 3 6" xfId="1531" xr:uid="{00000000-0005-0000-0000-0000BC060000}"/>
    <cellStyle name="Comma 5 3 6 2" xfId="1532" xr:uid="{00000000-0005-0000-0000-0000BD060000}"/>
    <cellStyle name="Comma 5 3 6 2 2" xfId="1533" xr:uid="{00000000-0005-0000-0000-0000BE060000}"/>
    <cellStyle name="Comma 5 3 6 2 3" xfId="9574" xr:uid="{00000000-0005-0000-0000-0000BF060000}"/>
    <cellStyle name="Comma 5 3 6 3" xfId="1534" xr:uid="{00000000-0005-0000-0000-0000C0060000}"/>
    <cellStyle name="Comma 5 3 6 4" xfId="9573" xr:uid="{00000000-0005-0000-0000-0000C1060000}"/>
    <cellStyle name="Comma 5 3 7" xfId="1535" xr:uid="{00000000-0005-0000-0000-0000C2060000}"/>
    <cellStyle name="Comma 5 3 7 2" xfId="1536" xr:uid="{00000000-0005-0000-0000-0000C3060000}"/>
    <cellStyle name="Comma 5 3 7 2 2" xfId="1537" xr:uid="{00000000-0005-0000-0000-0000C4060000}"/>
    <cellStyle name="Comma 5 3 7 2 3" xfId="9576" xr:uid="{00000000-0005-0000-0000-0000C5060000}"/>
    <cellStyle name="Comma 5 3 7 3" xfId="1538" xr:uid="{00000000-0005-0000-0000-0000C6060000}"/>
    <cellStyle name="Comma 5 3 7 4" xfId="9575" xr:uid="{00000000-0005-0000-0000-0000C7060000}"/>
    <cellStyle name="Comma 5 3 8" xfId="1539" xr:uid="{00000000-0005-0000-0000-0000C8060000}"/>
    <cellStyle name="Comma 5 3 8 2" xfId="1540" xr:uid="{00000000-0005-0000-0000-0000C9060000}"/>
    <cellStyle name="Comma 5 3 8 2 2" xfId="1541" xr:uid="{00000000-0005-0000-0000-0000CA060000}"/>
    <cellStyle name="Comma 5 3 8 2 3" xfId="9578" xr:uid="{00000000-0005-0000-0000-0000CB060000}"/>
    <cellStyle name="Comma 5 3 8 3" xfId="1542" xr:uid="{00000000-0005-0000-0000-0000CC060000}"/>
    <cellStyle name="Comma 5 3 8 4" xfId="9577" xr:uid="{00000000-0005-0000-0000-0000CD060000}"/>
    <cellStyle name="Comma 5 3 9" xfId="1543" xr:uid="{00000000-0005-0000-0000-0000CE060000}"/>
    <cellStyle name="Comma 5 3 9 2" xfId="1544" xr:uid="{00000000-0005-0000-0000-0000CF060000}"/>
    <cellStyle name="Comma 5 3 9 2 2" xfId="1545" xr:uid="{00000000-0005-0000-0000-0000D0060000}"/>
    <cellStyle name="Comma 5 3 9 2 3" xfId="9580" xr:uid="{00000000-0005-0000-0000-0000D1060000}"/>
    <cellStyle name="Comma 5 3 9 3" xfId="1546" xr:uid="{00000000-0005-0000-0000-0000D2060000}"/>
    <cellStyle name="Comma 5 3 9 4" xfId="9579" xr:uid="{00000000-0005-0000-0000-0000D3060000}"/>
    <cellStyle name="Comma 5 30" xfId="1547" xr:uid="{00000000-0005-0000-0000-0000D4060000}"/>
    <cellStyle name="Comma 5 30 2" xfId="1548" xr:uid="{00000000-0005-0000-0000-0000D5060000}"/>
    <cellStyle name="Comma 5 31" xfId="1549" xr:uid="{00000000-0005-0000-0000-0000D6060000}"/>
    <cellStyle name="Comma 5 31 2" xfId="1550" xr:uid="{00000000-0005-0000-0000-0000D7060000}"/>
    <cellStyle name="Comma 5 32" xfId="1551" xr:uid="{00000000-0005-0000-0000-0000D8060000}"/>
    <cellStyle name="Comma 5 32 2" xfId="1552" xr:uid="{00000000-0005-0000-0000-0000D9060000}"/>
    <cellStyle name="Comma 5 33" xfId="1553" xr:uid="{00000000-0005-0000-0000-0000DA060000}"/>
    <cellStyle name="Comma 5 33 2" xfId="1554" xr:uid="{00000000-0005-0000-0000-0000DB060000}"/>
    <cellStyle name="Comma 5 34" xfId="1555" xr:uid="{00000000-0005-0000-0000-0000DC060000}"/>
    <cellStyle name="Comma 5 34 2" xfId="1556" xr:uid="{00000000-0005-0000-0000-0000DD060000}"/>
    <cellStyle name="Comma 5 35" xfId="1557" xr:uid="{00000000-0005-0000-0000-0000DE060000}"/>
    <cellStyle name="Comma 5 35 2" xfId="1558" xr:uid="{00000000-0005-0000-0000-0000DF060000}"/>
    <cellStyle name="Comma 5 36" xfId="1559" xr:uid="{00000000-0005-0000-0000-0000E0060000}"/>
    <cellStyle name="Comma 5 36 2" xfId="1560" xr:uid="{00000000-0005-0000-0000-0000E1060000}"/>
    <cellStyle name="Comma 5 37" xfId="1561" xr:uid="{00000000-0005-0000-0000-0000E2060000}"/>
    <cellStyle name="Comma 5 37 2" xfId="1562" xr:uid="{00000000-0005-0000-0000-0000E3060000}"/>
    <cellStyle name="Comma 5 38" xfId="1563" xr:uid="{00000000-0005-0000-0000-0000E4060000}"/>
    <cellStyle name="Comma 5 38 2" xfId="1564" xr:uid="{00000000-0005-0000-0000-0000E5060000}"/>
    <cellStyle name="Comma 5 39" xfId="1565" xr:uid="{00000000-0005-0000-0000-0000E6060000}"/>
    <cellStyle name="Comma 5 39 2" xfId="1566" xr:uid="{00000000-0005-0000-0000-0000E7060000}"/>
    <cellStyle name="Comma 5 4" xfId="1567" xr:uid="{00000000-0005-0000-0000-0000E8060000}"/>
    <cellStyle name="Comma 5 4 2" xfId="1568" xr:uid="{00000000-0005-0000-0000-0000E9060000}"/>
    <cellStyle name="Comma 5 4 2 2" xfId="1569" xr:uid="{00000000-0005-0000-0000-0000EA060000}"/>
    <cellStyle name="Comma 5 4 2 3" xfId="1570" xr:uid="{00000000-0005-0000-0000-0000EB060000}"/>
    <cellStyle name="Comma 5 4 3" xfId="1571" xr:uid="{00000000-0005-0000-0000-0000EC060000}"/>
    <cellStyle name="Comma 5 40" xfId="1572" xr:uid="{00000000-0005-0000-0000-0000ED060000}"/>
    <cellStyle name="Comma 5 40 2" xfId="1573" xr:uid="{00000000-0005-0000-0000-0000EE060000}"/>
    <cellStyle name="Comma 5 41" xfId="1574" xr:uid="{00000000-0005-0000-0000-0000EF060000}"/>
    <cellStyle name="Comma 5 41 2" xfId="1575" xr:uid="{00000000-0005-0000-0000-0000F0060000}"/>
    <cellStyle name="Comma 5 42" xfId="1576" xr:uid="{00000000-0005-0000-0000-0000F1060000}"/>
    <cellStyle name="Comma 5 42 2" xfId="1577" xr:uid="{00000000-0005-0000-0000-0000F2060000}"/>
    <cellStyle name="Comma 5 43" xfId="1578" xr:uid="{00000000-0005-0000-0000-0000F3060000}"/>
    <cellStyle name="Comma 5 43 2" xfId="1579" xr:uid="{00000000-0005-0000-0000-0000F4060000}"/>
    <cellStyle name="Comma 5 44" xfId="1580" xr:uid="{00000000-0005-0000-0000-0000F5060000}"/>
    <cellStyle name="Comma 5 44 2" xfId="1581" xr:uid="{00000000-0005-0000-0000-0000F6060000}"/>
    <cellStyle name="Comma 5 45" xfId="1582" xr:uid="{00000000-0005-0000-0000-0000F7060000}"/>
    <cellStyle name="Comma 5 45 2" xfId="1583" xr:uid="{00000000-0005-0000-0000-0000F8060000}"/>
    <cellStyle name="Comma 5 46" xfId="1584" xr:uid="{00000000-0005-0000-0000-0000F9060000}"/>
    <cellStyle name="Comma 5 46 2" xfId="1585" xr:uid="{00000000-0005-0000-0000-0000FA060000}"/>
    <cellStyle name="Comma 5 47" xfId="1586" xr:uid="{00000000-0005-0000-0000-0000FB060000}"/>
    <cellStyle name="Comma 5 47 2" xfId="1587" xr:uid="{00000000-0005-0000-0000-0000FC060000}"/>
    <cellStyle name="Comma 5 48" xfId="1588" xr:uid="{00000000-0005-0000-0000-0000FD060000}"/>
    <cellStyle name="Comma 5 48 2" xfId="1589" xr:uid="{00000000-0005-0000-0000-0000FE060000}"/>
    <cellStyle name="Comma 5 49" xfId="1590" xr:uid="{00000000-0005-0000-0000-0000FF060000}"/>
    <cellStyle name="Comma 5 49 2" xfId="1591" xr:uid="{00000000-0005-0000-0000-000000070000}"/>
    <cellStyle name="Comma 5 5" xfId="1592" xr:uid="{00000000-0005-0000-0000-000001070000}"/>
    <cellStyle name="Comma 5 5 2" xfId="1593" xr:uid="{00000000-0005-0000-0000-000002070000}"/>
    <cellStyle name="Comma 5 5 2 2" xfId="1594" xr:uid="{00000000-0005-0000-0000-000003070000}"/>
    <cellStyle name="Comma 5 5 2 3" xfId="1595" xr:uid="{00000000-0005-0000-0000-000004070000}"/>
    <cellStyle name="Comma 5 5 3" xfId="1596" xr:uid="{00000000-0005-0000-0000-000005070000}"/>
    <cellStyle name="Comma 5 50" xfId="1597" xr:uid="{00000000-0005-0000-0000-000006070000}"/>
    <cellStyle name="Comma 5 50 2" xfId="1598" xr:uid="{00000000-0005-0000-0000-000007070000}"/>
    <cellStyle name="Comma 5 51" xfId="1599" xr:uid="{00000000-0005-0000-0000-000008070000}"/>
    <cellStyle name="Comma 5 51 2" xfId="1600" xr:uid="{00000000-0005-0000-0000-000009070000}"/>
    <cellStyle name="Comma 5 52" xfId="1601" xr:uid="{00000000-0005-0000-0000-00000A070000}"/>
    <cellStyle name="Comma 5 52 2" xfId="1602" xr:uid="{00000000-0005-0000-0000-00000B070000}"/>
    <cellStyle name="Comma 5 53" xfId="1603" xr:uid="{00000000-0005-0000-0000-00000C070000}"/>
    <cellStyle name="Comma 5 53 2" xfId="1604" xr:uid="{00000000-0005-0000-0000-00000D070000}"/>
    <cellStyle name="Comma 5 54" xfId="1605" xr:uid="{00000000-0005-0000-0000-00000E070000}"/>
    <cellStyle name="Comma 5 54 2" xfId="1606" xr:uid="{00000000-0005-0000-0000-00000F070000}"/>
    <cellStyle name="Comma 5 55" xfId="1607" xr:uid="{00000000-0005-0000-0000-000010070000}"/>
    <cellStyle name="Comma 5 55 2" xfId="1608" xr:uid="{00000000-0005-0000-0000-000011070000}"/>
    <cellStyle name="Comma 5 56" xfId="1609" xr:uid="{00000000-0005-0000-0000-000012070000}"/>
    <cellStyle name="Comma 5 56 2" xfId="1610" xr:uid="{00000000-0005-0000-0000-000013070000}"/>
    <cellStyle name="Comma 5 57" xfId="1611" xr:uid="{00000000-0005-0000-0000-000014070000}"/>
    <cellStyle name="Comma 5 57 2" xfId="1612" xr:uid="{00000000-0005-0000-0000-000015070000}"/>
    <cellStyle name="Comma 5 58" xfId="1613" xr:uid="{00000000-0005-0000-0000-000016070000}"/>
    <cellStyle name="Comma 5 58 2" xfId="1614" xr:uid="{00000000-0005-0000-0000-000017070000}"/>
    <cellStyle name="Comma 5 59" xfId="1615" xr:uid="{00000000-0005-0000-0000-000018070000}"/>
    <cellStyle name="Comma 5 59 2" xfId="1616" xr:uid="{00000000-0005-0000-0000-000019070000}"/>
    <cellStyle name="Comma 5 6" xfId="1617" xr:uid="{00000000-0005-0000-0000-00001A070000}"/>
    <cellStyle name="Comma 5 6 2" xfId="1618" xr:uid="{00000000-0005-0000-0000-00001B070000}"/>
    <cellStyle name="Comma 5 6 2 2" xfId="1619" xr:uid="{00000000-0005-0000-0000-00001C070000}"/>
    <cellStyle name="Comma 5 6 2 3" xfId="1620" xr:uid="{00000000-0005-0000-0000-00001D070000}"/>
    <cellStyle name="Comma 5 6 3" xfId="1621" xr:uid="{00000000-0005-0000-0000-00001E070000}"/>
    <cellStyle name="Comma 5 60" xfId="1622" xr:uid="{00000000-0005-0000-0000-00001F070000}"/>
    <cellStyle name="Comma 5 60 2" xfId="1623" xr:uid="{00000000-0005-0000-0000-000020070000}"/>
    <cellStyle name="Comma 5 61" xfId="1624" xr:uid="{00000000-0005-0000-0000-000021070000}"/>
    <cellStyle name="Comma 5 61 2" xfId="1625" xr:uid="{00000000-0005-0000-0000-000022070000}"/>
    <cellStyle name="Comma 5 62" xfId="1626" xr:uid="{00000000-0005-0000-0000-000023070000}"/>
    <cellStyle name="Comma 5 63" xfId="1627" xr:uid="{00000000-0005-0000-0000-000024070000}"/>
    <cellStyle name="Comma 5 64" xfId="1628" xr:uid="{00000000-0005-0000-0000-000025070000}"/>
    <cellStyle name="Comma 5 65" xfId="1629" xr:uid="{00000000-0005-0000-0000-000026070000}"/>
    <cellStyle name="Comma 5 66" xfId="1630" xr:uid="{00000000-0005-0000-0000-000027070000}"/>
    <cellStyle name="Comma 5 67" xfId="1631" xr:uid="{00000000-0005-0000-0000-000028070000}"/>
    <cellStyle name="Comma 5 68" xfId="1632" xr:uid="{00000000-0005-0000-0000-000029070000}"/>
    <cellStyle name="Comma 5 69" xfId="1633" xr:uid="{00000000-0005-0000-0000-00002A070000}"/>
    <cellStyle name="Comma 5 7" xfId="1634" xr:uid="{00000000-0005-0000-0000-00002B070000}"/>
    <cellStyle name="Comma 5 7 2" xfId="1635" xr:uid="{00000000-0005-0000-0000-00002C070000}"/>
    <cellStyle name="Comma 5 7 2 2" xfId="1636" xr:uid="{00000000-0005-0000-0000-00002D070000}"/>
    <cellStyle name="Comma 5 7 2 3" xfId="1637" xr:uid="{00000000-0005-0000-0000-00002E070000}"/>
    <cellStyle name="Comma 5 7 3" xfId="1638" xr:uid="{00000000-0005-0000-0000-00002F070000}"/>
    <cellStyle name="Comma 5 70" xfId="1639" xr:uid="{00000000-0005-0000-0000-000030070000}"/>
    <cellStyle name="Comma 5 71" xfId="1640" xr:uid="{00000000-0005-0000-0000-000031070000}"/>
    <cellStyle name="Comma 5 72" xfId="1641" xr:uid="{00000000-0005-0000-0000-000032070000}"/>
    <cellStyle name="Comma 5 73" xfId="1642" xr:uid="{00000000-0005-0000-0000-000033070000}"/>
    <cellStyle name="Comma 5 74" xfId="1643" xr:uid="{00000000-0005-0000-0000-000034070000}"/>
    <cellStyle name="Comma 5 75" xfId="1644" xr:uid="{00000000-0005-0000-0000-000035070000}"/>
    <cellStyle name="Comma 5 76" xfId="1645" xr:uid="{00000000-0005-0000-0000-000036070000}"/>
    <cellStyle name="Comma 5 77" xfId="1646" xr:uid="{00000000-0005-0000-0000-000037070000}"/>
    <cellStyle name="Comma 5 78" xfId="1647" xr:uid="{00000000-0005-0000-0000-000038070000}"/>
    <cellStyle name="Comma 5 79" xfId="1648" xr:uid="{00000000-0005-0000-0000-000039070000}"/>
    <cellStyle name="Comma 5 8" xfId="1649" xr:uid="{00000000-0005-0000-0000-00003A070000}"/>
    <cellStyle name="Comma 5 8 2" xfId="1650" xr:uid="{00000000-0005-0000-0000-00003B070000}"/>
    <cellStyle name="Comma 5 8 2 2" xfId="1651" xr:uid="{00000000-0005-0000-0000-00003C070000}"/>
    <cellStyle name="Comma 5 8 2 3" xfId="1652" xr:uid="{00000000-0005-0000-0000-00003D070000}"/>
    <cellStyle name="Comma 5 8 3" xfId="1653" xr:uid="{00000000-0005-0000-0000-00003E070000}"/>
    <cellStyle name="Comma 5 80" xfId="1654" xr:uid="{00000000-0005-0000-0000-00003F070000}"/>
    <cellStyle name="Comma 5 81" xfId="1655" xr:uid="{00000000-0005-0000-0000-000040070000}"/>
    <cellStyle name="Comma 5 82" xfId="1656" xr:uid="{00000000-0005-0000-0000-000041070000}"/>
    <cellStyle name="Comma 5 83" xfId="1657" xr:uid="{00000000-0005-0000-0000-000042070000}"/>
    <cellStyle name="Comma 5 84" xfId="1658" xr:uid="{00000000-0005-0000-0000-000043070000}"/>
    <cellStyle name="Comma 5 85" xfId="1659" xr:uid="{00000000-0005-0000-0000-000044070000}"/>
    <cellStyle name="Comma 5 86" xfId="1660" xr:uid="{00000000-0005-0000-0000-000045070000}"/>
    <cellStyle name="Comma 5 87" xfId="1661" xr:uid="{00000000-0005-0000-0000-000046070000}"/>
    <cellStyle name="Comma 5 88" xfId="1662" xr:uid="{00000000-0005-0000-0000-000047070000}"/>
    <cellStyle name="Comma 5 89" xfId="1663" xr:uid="{00000000-0005-0000-0000-000048070000}"/>
    <cellStyle name="Comma 5 9" xfId="1664" xr:uid="{00000000-0005-0000-0000-000049070000}"/>
    <cellStyle name="Comma 5 9 2" xfId="1665" xr:uid="{00000000-0005-0000-0000-00004A070000}"/>
    <cellStyle name="Comma 5 9 2 2" xfId="1666" xr:uid="{00000000-0005-0000-0000-00004B070000}"/>
    <cellStyle name="Comma 5 9 2 3" xfId="1667" xr:uid="{00000000-0005-0000-0000-00004C070000}"/>
    <cellStyle name="Comma 5 9 3" xfId="1668" xr:uid="{00000000-0005-0000-0000-00004D070000}"/>
    <cellStyle name="Comma 5 90" xfId="1669" xr:uid="{00000000-0005-0000-0000-00004E070000}"/>
    <cellStyle name="Comma 5 91" xfId="1670" xr:uid="{00000000-0005-0000-0000-00004F070000}"/>
    <cellStyle name="Comma 5 92" xfId="1671" xr:uid="{00000000-0005-0000-0000-000050070000}"/>
    <cellStyle name="Comma 5 92 2" xfId="1672" xr:uid="{00000000-0005-0000-0000-000051070000}"/>
    <cellStyle name="Comma 5 92 2 2" xfId="9581" xr:uid="{00000000-0005-0000-0000-000052070000}"/>
    <cellStyle name="Comma 5 93" xfId="1673" xr:uid="{00000000-0005-0000-0000-000053070000}"/>
    <cellStyle name="Comma 5 94" xfId="1674" xr:uid="{00000000-0005-0000-0000-000054070000}"/>
    <cellStyle name="Comma 5 95" xfId="1675" xr:uid="{00000000-0005-0000-0000-000055070000}"/>
    <cellStyle name="Comma 5 96" xfId="1676" xr:uid="{00000000-0005-0000-0000-000056070000}"/>
    <cellStyle name="Comma 5 97" xfId="1677" xr:uid="{00000000-0005-0000-0000-000057070000}"/>
    <cellStyle name="Comma 5 98" xfId="1678" xr:uid="{00000000-0005-0000-0000-000058070000}"/>
    <cellStyle name="Comma 5 99" xfId="1679" xr:uid="{00000000-0005-0000-0000-000059070000}"/>
    <cellStyle name="Comma 50" xfId="1680" xr:uid="{00000000-0005-0000-0000-00005A070000}"/>
    <cellStyle name="Comma 51" xfId="1681" xr:uid="{00000000-0005-0000-0000-00005B070000}"/>
    <cellStyle name="Comma 52" xfId="1682" xr:uid="{00000000-0005-0000-0000-00005C070000}"/>
    <cellStyle name="Comma 53" xfId="1683" xr:uid="{00000000-0005-0000-0000-00005D070000}"/>
    <cellStyle name="Comma 54" xfId="1684" xr:uid="{00000000-0005-0000-0000-00005E070000}"/>
    <cellStyle name="Comma 55" xfId="1685" xr:uid="{00000000-0005-0000-0000-00005F070000}"/>
    <cellStyle name="Comma 56" xfId="1686" xr:uid="{00000000-0005-0000-0000-000060070000}"/>
    <cellStyle name="Comma 57" xfId="1687" xr:uid="{00000000-0005-0000-0000-000061070000}"/>
    <cellStyle name="Comma 58" xfId="1688" xr:uid="{00000000-0005-0000-0000-000062070000}"/>
    <cellStyle name="Comma 59" xfId="1689" xr:uid="{00000000-0005-0000-0000-000063070000}"/>
    <cellStyle name="Comma 6" xfId="1690" xr:uid="{00000000-0005-0000-0000-000064070000}"/>
    <cellStyle name="Comma 6 2" xfId="1691" xr:uid="{00000000-0005-0000-0000-000065070000}"/>
    <cellStyle name="Comma 60" xfId="1692" xr:uid="{00000000-0005-0000-0000-000066070000}"/>
    <cellStyle name="Comma 61" xfId="1693" xr:uid="{00000000-0005-0000-0000-000067070000}"/>
    <cellStyle name="Comma 62" xfId="1694" xr:uid="{00000000-0005-0000-0000-000068070000}"/>
    <cellStyle name="Comma 63" xfId="1695" xr:uid="{00000000-0005-0000-0000-000069070000}"/>
    <cellStyle name="Comma 64" xfId="1696" xr:uid="{00000000-0005-0000-0000-00006A070000}"/>
    <cellStyle name="Comma 65" xfId="1697" xr:uid="{00000000-0005-0000-0000-00006B070000}"/>
    <cellStyle name="Comma 66" xfId="1698" xr:uid="{00000000-0005-0000-0000-00006C070000}"/>
    <cellStyle name="Comma 67" xfId="1699" xr:uid="{00000000-0005-0000-0000-00006D070000}"/>
    <cellStyle name="Comma 68" xfId="1700" xr:uid="{00000000-0005-0000-0000-00006E070000}"/>
    <cellStyle name="Comma 69" xfId="1701" xr:uid="{00000000-0005-0000-0000-00006F070000}"/>
    <cellStyle name="Comma 7" xfId="1702" xr:uid="{00000000-0005-0000-0000-000070070000}"/>
    <cellStyle name="Comma 7 10" xfId="1703" xr:uid="{00000000-0005-0000-0000-000071070000}"/>
    <cellStyle name="Comma 7 11" xfId="1704" xr:uid="{00000000-0005-0000-0000-000072070000}"/>
    <cellStyle name="Comma 7 12" xfId="1705" xr:uid="{00000000-0005-0000-0000-000073070000}"/>
    <cellStyle name="Comma 7 12 2" xfId="1706" xr:uid="{00000000-0005-0000-0000-000074070000}"/>
    <cellStyle name="Comma 7 12 2 2" xfId="9583" xr:uid="{00000000-0005-0000-0000-000075070000}"/>
    <cellStyle name="Comma 7 13" xfId="1707" xr:uid="{00000000-0005-0000-0000-000076070000}"/>
    <cellStyle name="Comma 7 14" xfId="1708" xr:uid="{00000000-0005-0000-0000-000077070000}"/>
    <cellStyle name="Comma 7 14 2" xfId="11125" xr:uid="{00000000-0005-0000-0000-000078070000}"/>
    <cellStyle name="Comma 7 15" xfId="9582" xr:uid="{00000000-0005-0000-0000-000079070000}"/>
    <cellStyle name="Comma 7 2" xfId="1709" xr:uid="{00000000-0005-0000-0000-00007A070000}"/>
    <cellStyle name="Comma 7 2 10" xfId="1710" xr:uid="{00000000-0005-0000-0000-00007B070000}"/>
    <cellStyle name="Comma 7 2 10 2" xfId="1711" xr:uid="{00000000-0005-0000-0000-00007C070000}"/>
    <cellStyle name="Comma 7 2 10 2 2" xfId="1712" xr:uid="{00000000-0005-0000-0000-00007D070000}"/>
    <cellStyle name="Comma 7 2 10 2 3" xfId="9585" xr:uid="{00000000-0005-0000-0000-00007E070000}"/>
    <cellStyle name="Comma 7 2 10 3" xfId="1713" xr:uid="{00000000-0005-0000-0000-00007F070000}"/>
    <cellStyle name="Comma 7 2 10 4" xfId="9584" xr:uid="{00000000-0005-0000-0000-000080070000}"/>
    <cellStyle name="Comma 7 2 11" xfId="1714" xr:uid="{00000000-0005-0000-0000-000081070000}"/>
    <cellStyle name="Comma 7 2 11 2" xfId="1715" xr:uid="{00000000-0005-0000-0000-000082070000}"/>
    <cellStyle name="Comma 7 2 11 2 2" xfId="1716" xr:uid="{00000000-0005-0000-0000-000083070000}"/>
    <cellStyle name="Comma 7 2 11 2 3" xfId="9587" xr:uid="{00000000-0005-0000-0000-000084070000}"/>
    <cellStyle name="Comma 7 2 11 3" xfId="1717" xr:uid="{00000000-0005-0000-0000-000085070000}"/>
    <cellStyle name="Comma 7 2 11 4" xfId="9586" xr:uid="{00000000-0005-0000-0000-000086070000}"/>
    <cellStyle name="Comma 7 2 12" xfId="1718" xr:uid="{00000000-0005-0000-0000-000087070000}"/>
    <cellStyle name="Comma 7 2 12 2" xfId="1719" xr:uid="{00000000-0005-0000-0000-000088070000}"/>
    <cellStyle name="Comma 7 2 12 3" xfId="1720" xr:uid="{00000000-0005-0000-0000-000089070000}"/>
    <cellStyle name="Comma 7 2 12 4" xfId="9588" xr:uid="{00000000-0005-0000-0000-00008A070000}"/>
    <cellStyle name="Comma 7 2 13" xfId="1721" xr:uid="{00000000-0005-0000-0000-00008B070000}"/>
    <cellStyle name="Comma 7 2 13 2" xfId="1722" xr:uid="{00000000-0005-0000-0000-00008C070000}"/>
    <cellStyle name="Comma 7 2 13 3" xfId="1723" xr:uid="{00000000-0005-0000-0000-00008D070000}"/>
    <cellStyle name="Comma 7 2 13 4" xfId="9589" xr:uid="{00000000-0005-0000-0000-00008E070000}"/>
    <cellStyle name="Comma 7 2 14" xfId="1724" xr:uid="{00000000-0005-0000-0000-00008F070000}"/>
    <cellStyle name="Comma 7 2 14 2" xfId="9590" xr:uid="{00000000-0005-0000-0000-000090070000}"/>
    <cellStyle name="Comma 7 2 2" xfId="1725" xr:uid="{00000000-0005-0000-0000-000091070000}"/>
    <cellStyle name="Comma 7 2 2 2" xfId="1726" xr:uid="{00000000-0005-0000-0000-000092070000}"/>
    <cellStyle name="Comma 7 2 2 2 2" xfId="1727" xr:uid="{00000000-0005-0000-0000-000093070000}"/>
    <cellStyle name="Comma 7 2 2 2 3" xfId="9592" xr:uid="{00000000-0005-0000-0000-000094070000}"/>
    <cellStyle name="Comma 7 2 2 3" xfId="1728" xr:uid="{00000000-0005-0000-0000-000095070000}"/>
    <cellStyle name="Comma 7 2 2 4" xfId="9591" xr:uid="{00000000-0005-0000-0000-000096070000}"/>
    <cellStyle name="Comma 7 2 3" xfId="1729" xr:uid="{00000000-0005-0000-0000-000097070000}"/>
    <cellStyle name="Comma 7 2 3 2" xfId="1730" xr:uid="{00000000-0005-0000-0000-000098070000}"/>
    <cellStyle name="Comma 7 2 3 2 2" xfId="1731" xr:uid="{00000000-0005-0000-0000-000099070000}"/>
    <cellStyle name="Comma 7 2 3 2 3" xfId="9594" xr:uid="{00000000-0005-0000-0000-00009A070000}"/>
    <cellStyle name="Comma 7 2 3 3" xfId="1732" xr:uid="{00000000-0005-0000-0000-00009B070000}"/>
    <cellStyle name="Comma 7 2 3 4" xfId="9593" xr:uid="{00000000-0005-0000-0000-00009C070000}"/>
    <cellStyle name="Comma 7 2 4" xfId="1733" xr:uid="{00000000-0005-0000-0000-00009D070000}"/>
    <cellStyle name="Comma 7 2 4 2" xfId="1734" xr:uid="{00000000-0005-0000-0000-00009E070000}"/>
    <cellStyle name="Comma 7 2 4 2 2" xfId="1735" xr:uid="{00000000-0005-0000-0000-00009F070000}"/>
    <cellStyle name="Comma 7 2 4 2 3" xfId="9596" xr:uid="{00000000-0005-0000-0000-0000A0070000}"/>
    <cellStyle name="Comma 7 2 4 3" xfId="1736" xr:uid="{00000000-0005-0000-0000-0000A1070000}"/>
    <cellStyle name="Comma 7 2 4 4" xfId="9595" xr:uid="{00000000-0005-0000-0000-0000A2070000}"/>
    <cellStyle name="Comma 7 2 5" xfId="1737" xr:uid="{00000000-0005-0000-0000-0000A3070000}"/>
    <cellStyle name="Comma 7 2 5 2" xfId="1738" xr:uid="{00000000-0005-0000-0000-0000A4070000}"/>
    <cellStyle name="Comma 7 2 5 2 2" xfId="1739" xr:uid="{00000000-0005-0000-0000-0000A5070000}"/>
    <cellStyle name="Comma 7 2 5 2 3" xfId="9598" xr:uid="{00000000-0005-0000-0000-0000A6070000}"/>
    <cellStyle name="Comma 7 2 5 3" xfId="1740" xr:uid="{00000000-0005-0000-0000-0000A7070000}"/>
    <cellStyle name="Comma 7 2 5 4" xfId="9597" xr:uid="{00000000-0005-0000-0000-0000A8070000}"/>
    <cellStyle name="Comma 7 2 6" xfId="1741" xr:uid="{00000000-0005-0000-0000-0000A9070000}"/>
    <cellStyle name="Comma 7 2 6 2" xfId="1742" xr:uid="{00000000-0005-0000-0000-0000AA070000}"/>
    <cellStyle name="Comma 7 2 6 2 2" xfId="1743" xr:uid="{00000000-0005-0000-0000-0000AB070000}"/>
    <cellStyle name="Comma 7 2 6 2 3" xfId="9600" xr:uid="{00000000-0005-0000-0000-0000AC070000}"/>
    <cellStyle name="Comma 7 2 6 3" xfId="1744" xr:uid="{00000000-0005-0000-0000-0000AD070000}"/>
    <cellStyle name="Comma 7 2 6 4" xfId="9599" xr:uid="{00000000-0005-0000-0000-0000AE070000}"/>
    <cellStyle name="Comma 7 2 7" xfId="1745" xr:uid="{00000000-0005-0000-0000-0000AF070000}"/>
    <cellStyle name="Comma 7 2 7 2" xfId="1746" xr:uid="{00000000-0005-0000-0000-0000B0070000}"/>
    <cellStyle name="Comma 7 2 7 2 2" xfId="1747" xr:uid="{00000000-0005-0000-0000-0000B1070000}"/>
    <cellStyle name="Comma 7 2 7 2 3" xfId="9602" xr:uid="{00000000-0005-0000-0000-0000B2070000}"/>
    <cellStyle name="Comma 7 2 7 3" xfId="1748" xr:uid="{00000000-0005-0000-0000-0000B3070000}"/>
    <cellStyle name="Comma 7 2 7 4" xfId="9601" xr:uid="{00000000-0005-0000-0000-0000B4070000}"/>
    <cellStyle name="Comma 7 2 8" xfId="1749" xr:uid="{00000000-0005-0000-0000-0000B5070000}"/>
    <cellStyle name="Comma 7 2 8 2" xfId="1750" xr:uid="{00000000-0005-0000-0000-0000B6070000}"/>
    <cellStyle name="Comma 7 2 8 2 2" xfId="1751" xr:uid="{00000000-0005-0000-0000-0000B7070000}"/>
    <cellStyle name="Comma 7 2 8 2 3" xfId="9604" xr:uid="{00000000-0005-0000-0000-0000B8070000}"/>
    <cellStyle name="Comma 7 2 8 3" xfId="1752" xr:uid="{00000000-0005-0000-0000-0000B9070000}"/>
    <cellStyle name="Comma 7 2 8 4" xfId="9603" xr:uid="{00000000-0005-0000-0000-0000BA070000}"/>
    <cellStyle name="Comma 7 2 9" xfId="1753" xr:uid="{00000000-0005-0000-0000-0000BB070000}"/>
    <cellStyle name="Comma 7 2 9 2" xfId="1754" xr:uid="{00000000-0005-0000-0000-0000BC070000}"/>
    <cellStyle name="Comma 7 2 9 2 2" xfId="1755" xr:uid="{00000000-0005-0000-0000-0000BD070000}"/>
    <cellStyle name="Comma 7 2 9 2 3" xfId="9606" xr:uid="{00000000-0005-0000-0000-0000BE070000}"/>
    <cellStyle name="Comma 7 2 9 3" xfId="1756" xr:uid="{00000000-0005-0000-0000-0000BF070000}"/>
    <cellStyle name="Comma 7 2 9 4" xfId="9605" xr:uid="{00000000-0005-0000-0000-0000C0070000}"/>
    <cellStyle name="Comma 7 3" xfId="1757" xr:uid="{00000000-0005-0000-0000-0000C1070000}"/>
    <cellStyle name="Comma 7 4" xfId="1758" xr:uid="{00000000-0005-0000-0000-0000C2070000}"/>
    <cellStyle name="Comma 7 5" xfId="1759" xr:uid="{00000000-0005-0000-0000-0000C3070000}"/>
    <cellStyle name="Comma 7 6" xfId="1760" xr:uid="{00000000-0005-0000-0000-0000C4070000}"/>
    <cellStyle name="Comma 7 7" xfId="1761" xr:uid="{00000000-0005-0000-0000-0000C5070000}"/>
    <cellStyle name="Comma 7 8" xfId="1762" xr:uid="{00000000-0005-0000-0000-0000C6070000}"/>
    <cellStyle name="Comma 7 9" xfId="1763" xr:uid="{00000000-0005-0000-0000-0000C7070000}"/>
    <cellStyle name="Comma 70" xfId="1764" xr:uid="{00000000-0005-0000-0000-0000C8070000}"/>
    <cellStyle name="Comma 71" xfId="1765" xr:uid="{00000000-0005-0000-0000-0000C9070000}"/>
    <cellStyle name="Comma 72" xfId="1766" xr:uid="{00000000-0005-0000-0000-0000CA070000}"/>
    <cellStyle name="Comma 73" xfId="1767" xr:uid="{00000000-0005-0000-0000-0000CB070000}"/>
    <cellStyle name="Comma 74" xfId="1768" xr:uid="{00000000-0005-0000-0000-0000CC070000}"/>
    <cellStyle name="Comma 75" xfId="1769" xr:uid="{00000000-0005-0000-0000-0000CD070000}"/>
    <cellStyle name="Comma 76" xfId="1770" xr:uid="{00000000-0005-0000-0000-0000CE070000}"/>
    <cellStyle name="Comma 77" xfId="1771" xr:uid="{00000000-0005-0000-0000-0000CF070000}"/>
    <cellStyle name="Comma 78" xfId="1772" xr:uid="{00000000-0005-0000-0000-0000D0070000}"/>
    <cellStyle name="Comma 79" xfId="1773" xr:uid="{00000000-0005-0000-0000-0000D1070000}"/>
    <cellStyle name="Comma 8" xfId="1774" xr:uid="{00000000-0005-0000-0000-0000D2070000}"/>
    <cellStyle name="Comma 8 2" xfId="1775" xr:uid="{00000000-0005-0000-0000-0000D3070000}"/>
    <cellStyle name="Comma 8 2 2" xfId="1776" xr:uid="{00000000-0005-0000-0000-0000D4070000}"/>
    <cellStyle name="Comma 8 2 3" xfId="1777" xr:uid="{00000000-0005-0000-0000-0000D5070000}"/>
    <cellStyle name="Comma 8 2 3 2" xfId="9607" xr:uid="{00000000-0005-0000-0000-0000D6070000}"/>
    <cellStyle name="Comma 8 3" xfId="1778" xr:uid="{00000000-0005-0000-0000-0000D7070000}"/>
    <cellStyle name="Comma 8 3 2" xfId="9608" xr:uid="{00000000-0005-0000-0000-0000D8070000}"/>
    <cellStyle name="Comma 80" xfId="1779" xr:uid="{00000000-0005-0000-0000-0000D9070000}"/>
    <cellStyle name="Comma 81" xfId="1780" xr:uid="{00000000-0005-0000-0000-0000DA070000}"/>
    <cellStyle name="Comma 82" xfId="1781" xr:uid="{00000000-0005-0000-0000-0000DB070000}"/>
    <cellStyle name="Comma 83" xfId="1782" xr:uid="{00000000-0005-0000-0000-0000DC070000}"/>
    <cellStyle name="Comma 84" xfId="1783" xr:uid="{00000000-0005-0000-0000-0000DD070000}"/>
    <cellStyle name="Comma 85" xfId="1784" xr:uid="{00000000-0005-0000-0000-0000DE070000}"/>
    <cellStyle name="Comma 86" xfId="1785" xr:uid="{00000000-0005-0000-0000-0000DF070000}"/>
    <cellStyle name="Comma 87" xfId="1786" xr:uid="{00000000-0005-0000-0000-0000E0070000}"/>
    <cellStyle name="Comma 87 2" xfId="11164" xr:uid="{00000000-0005-0000-0000-0000E1070000}"/>
    <cellStyle name="Comma 88" xfId="1787" xr:uid="{00000000-0005-0000-0000-0000E2070000}"/>
    <cellStyle name="Comma 88 2" xfId="11183" xr:uid="{00000000-0005-0000-0000-0000E3070000}"/>
    <cellStyle name="Comma 89" xfId="1788" xr:uid="{00000000-0005-0000-0000-0000E4070000}"/>
    <cellStyle name="Comma 9" xfId="1789" xr:uid="{00000000-0005-0000-0000-0000E5070000}"/>
    <cellStyle name="Comma 9 2" xfId="1790" xr:uid="{00000000-0005-0000-0000-0000E6070000}"/>
    <cellStyle name="Comma 9 3" xfId="1791" xr:uid="{00000000-0005-0000-0000-0000E7070000}"/>
    <cellStyle name="Comma 9 4" xfId="1792" xr:uid="{00000000-0005-0000-0000-0000E8070000}"/>
    <cellStyle name="Comma 90" xfId="1793" xr:uid="{00000000-0005-0000-0000-0000E9070000}"/>
    <cellStyle name="Comma 91" xfId="1794" xr:uid="{00000000-0005-0000-0000-0000EA070000}"/>
    <cellStyle name="Comma 92" xfId="1795" xr:uid="{00000000-0005-0000-0000-0000EB070000}"/>
    <cellStyle name="Comma 93" xfId="1796" xr:uid="{00000000-0005-0000-0000-0000EC070000}"/>
    <cellStyle name="Comma 94" xfId="1797" xr:uid="{00000000-0005-0000-0000-0000ED070000}"/>
    <cellStyle name="Comma 94 2" xfId="1798" xr:uid="{00000000-0005-0000-0000-0000EE070000}"/>
    <cellStyle name="Comma 95" xfId="1799" xr:uid="{00000000-0005-0000-0000-0000EF070000}"/>
    <cellStyle name="Comma 96" xfId="1800" xr:uid="{00000000-0005-0000-0000-0000F0070000}"/>
    <cellStyle name="Comma 97" xfId="1801" xr:uid="{00000000-0005-0000-0000-0000F1070000}"/>
    <cellStyle name="Comma0" xfId="1802" xr:uid="{00000000-0005-0000-0000-0000F2070000}"/>
    <cellStyle name="corpload" xfId="1803" xr:uid="{00000000-0005-0000-0000-0000F3070000}"/>
    <cellStyle name="Currency [0] 2" xfId="1804" xr:uid="{00000000-0005-0000-0000-0000F4070000}"/>
    <cellStyle name="Currency [0] 2 2" xfId="1805" xr:uid="{00000000-0005-0000-0000-0000F5070000}"/>
    <cellStyle name="Currency [0] 2 2 2" xfId="9609" xr:uid="{00000000-0005-0000-0000-0000F6070000}"/>
    <cellStyle name="Currency [0] 3" xfId="1806" xr:uid="{00000000-0005-0000-0000-0000F7070000}"/>
    <cellStyle name="Currency 10" xfId="1807" xr:uid="{00000000-0005-0000-0000-0000F8070000}"/>
    <cellStyle name="Currency 11" xfId="1808" xr:uid="{00000000-0005-0000-0000-0000F9070000}"/>
    <cellStyle name="Currency 12" xfId="1809" xr:uid="{00000000-0005-0000-0000-0000FA070000}"/>
    <cellStyle name="Currency 12 2" xfId="1810" xr:uid="{00000000-0005-0000-0000-0000FB070000}"/>
    <cellStyle name="Currency 13" xfId="1811" xr:uid="{00000000-0005-0000-0000-0000FC070000}"/>
    <cellStyle name="Currency 14" xfId="1812" xr:uid="{00000000-0005-0000-0000-0000FD070000}"/>
    <cellStyle name="Currency 15" xfId="1813" xr:uid="{00000000-0005-0000-0000-0000FE070000}"/>
    <cellStyle name="Currency 16" xfId="1814" xr:uid="{00000000-0005-0000-0000-0000FF070000}"/>
    <cellStyle name="Currency 17" xfId="1815" xr:uid="{00000000-0005-0000-0000-000000080000}"/>
    <cellStyle name="Currency 18" xfId="1816" xr:uid="{00000000-0005-0000-0000-000001080000}"/>
    <cellStyle name="Currency 19" xfId="1817" xr:uid="{00000000-0005-0000-0000-000002080000}"/>
    <cellStyle name="Currency 2" xfId="1818" xr:uid="{00000000-0005-0000-0000-000003080000}"/>
    <cellStyle name="Currency 2 10" xfId="1819" xr:uid="{00000000-0005-0000-0000-000004080000}"/>
    <cellStyle name="Currency 2 10 2" xfId="1820" xr:uid="{00000000-0005-0000-0000-000005080000}"/>
    <cellStyle name="Currency 2 10 2 2" xfId="1821" xr:uid="{00000000-0005-0000-0000-000006080000}"/>
    <cellStyle name="Currency 2 10 2 3" xfId="1822" xr:uid="{00000000-0005-0000-0000-000007080000}"/>
    <cellStyle name="Currency 2 10 3" xfId="1823" xr:uid="{00000000-0005-0000-0000-000008080000}"/>
    <cellStyle name="Currency 2 100" xfId="1824" xr:uid="{00000000-0005-0000-0000-000009080000}"/>
    <cellStyle name="Currency 2 101" xfId="1825" xr:uid="{00000000-0005-0000-0000-00000A080000}"/>
    <cellStyle name="Currency 2 102" xfId="1826" xr:uid="{00000000-0005-0000-0000-00000B080000}"/>
    <cellStyle name="Currency 2 103" xfId="1827" xr:uid="{00000000-0005-0000-0000-00000C080000}"/>
    <cellStyle name="Currency 2 104" xfId="1828" xr:uid="{00000000-0005-0000-0000-00000D080000}"/>
    <cellStyle name="Currency 2 105" xfId="1829" xr:uid="{00000000-0005-0000-0000-00000E080000}"/>
    <cellStyle name="Currency 2 106" xfId="1830" xr:uid="{00000000-0005-0000-0000-00000F080000}"/>
    <cellStyle name="Currency 2 107" xfId="1831" xr:uid="{00000000-0005-0000-0000-000010080000}"/>
    <cellStyle name="Currency 2 108" xfId="1832" xr:uid="{00000000-0005-0000-0000-000011080000}"/>
    <cellStyle name="Currency 2 109" xfId="1833" xr:uid="{00000000-0005-0000-0000-000012080000}"/>
    <cellStyle name="Currency 2 11" xfId="1834" xr:uid="{00000000-0005-0000-0000-000013080000}"/>
    <cellStyle name="Currency 2 11 2" xfId="1835" xr:uid="{00000000-0005-0000-0000-000014080000}"/>
    <cellStyle name="Currency 2 11 2 2" xfId="1836" xr:uid="{00000000-0005-0000-0000-000015080000}"/>
    <cellStyle name="Currency 2 11 2 3" xfId="1837" xr:uid="{00000000-0005-0000-0000-000016080000}"/>
    <cellStyle name="Currency 2 11 3" xfId="1838" xr:uid="{00000000-0005-0000-0000-000017080000}"/>
    <cellStyle name="Currency 2 110" xfId="1839" xr:uid="{00000000-0005-0000-0000-000018080000}"/>
    <cellStyle name="Currency 2 111" xfId="1840" xr:uid="{00000000-0005-0000-0000-000019080000}"/>
    <cellStyle name="Currency 2 112" xfId="1841" xr:uid="{00000000-0005-0000-0000-00001A080000}"/>
    <cellStyle name="Currency 2 113" xfId="1842" xr:uid="{00000000-0005-0000-0000-00001B080000}"/>
    <cellStyle name="Currency 2 114" xfId="1843" xr:uid="{00000000-0005-0000-0000-00001C080000}"/>
    <cellStyle name="Currency 2 115" xfId="1844" xr:uid="{00000000-0005-0000-0000-00001D080000}"/>
    <cellStyle name="Currency 2 116" xfId="1845" xr:uid="{00000000-0005-0000-0000-00001E080000}"/>
    <cellStyle name="Currency 2 117" xfId="1846" xr:uid="{00000000-0005-0000-0000-00001F080000}"/>
    <cellStyle name="Currency 2 118" xfId="1847" xr:uid="{00000000-0005-0000-0000-000020080000}"/>
    <cellStyle name="Currency 2 119" xfId="1848" xr:uid="{00000000-0005-0000-0000-000021080000}"/>
    <cellStyle name="Currency 2 12" xfId="1849" xr:uid="{00000000-0005-0000-0000-000022080000}"/>
    <cellStyle name="Currency 2 12 2" xfId="1850" xr:uid="{00000000-0005-0000-0000-000023080000}"/>
    <cellStyle name="Currency 2 12 2 2" xfId="1851" xr:uid="{00000000-0005-0000-0000-000024080000}"/>
    <cellStyle name="Currency 2 12 2 3" xfId="1852" xr:uid="{00000000-0005-0000-0000-000025080000}"/>
    <cellStyle name="Currency 2 12 3" xfId="1853" xr:uid="{00000000-0005-0000-0000-000026080000}"/>
    <cellStyle name="Currency 2 120" xfId="1854" xr:uid="{00000000-0005-0000-0000-000027080000}"/>
    <cellStyle name="Currency 2 121" xfId="1855" xr:uid="{00000000-0005-0000-0000-000028080000}"/>
    <cellStyle name="Currency 2 122" xfId="1856" xr:uid="{00000000-0005-0000-0000-000029080000}"/>
    <cellStyle name="Currency 2 123" xfId="1857" xr:uid="{00000000-0005-0000-0000-00002A080000}"/>
    <cellStyle name="Currency 2 124" xfId="1858" xr:uid="{00000000-0005-0000-0000-00002B080000}"/>
    <cellStyle name="Currency 2 125" xfId="1859" xr:uid="{00000000-0005-0000-0000-00002C080000}"/>
    <cellStyle name="Currency 2 126" xfId="1860" xr:uid="{00000000-0005-0000-0000-00002D080000}"/>
    <cellStyle name="Currency 2 127" xfId="1861" xr:uid="{00000000-0005-0000-0000-00002E080000}"/>
    <cellStyle name="Currency 2 128" xfId="1862" xr:uid="{00000000-0005-0000-0000-00002F080000}"/>
    <cellStyle name="Currency 2 129" xfId="1863" xr:uid="{00000000-0005-0000-0000-000030080000}"/>
    <cellStyle name="Currency 2 13" xfId="1864" xr:uid="{00000000-0005-0000-0000-000031080000}"/>
    <cellStyle name="Currency 2 13 2" xfId="1865" xr:uid="{00000000-0005-0000-0000-000032080000}"/>
    <cellStyle name="Currency 2 13 2 2" xfId="1866" xr:uid="{00000000-0005-0000-0000-000033080000}"/>
    <cellStyle name="Currency 2 13 2 3" xfId="1867" xr:uid="{00000000-0005-0000-0000-000034080000}"/>
    <cellStyle name="Currency 2 13 3" xfId="1868" xr:uid="{00000000-0005-0000-0000-000035080000}"/>
    <cellStyle name="Currency 2 130" xfId="1869" xr:uid="{00000000-0005-0000-0000-000036080000}"/>
    <cellStyle name="Currency 2 131" xfId="1870" xr:uid="{00000000-0005-0000-0000-000037080000}"/>
    <cellStyle name="Currency 2 132" xfId="1871" xr:uid="{00000000-0005-0000-0000-000038080000}"/>
    <cellStyle name="Currency 2 133" xfId="1872" xr:uid="{00000000-0005-0000-0000-000039080000}"/>
    <cellStyle name="Currency 2 134" xfId="1873" xr:uid="{00000000-0005-0000-0000-00003A080000}"/>
    <cellStyle name="Currency 2 135" xfId="1874" xr:uid="{00000000-0005-0000-0000-00003B080000}"/>
    <cellStyle name="Currency 2 136" xfId="1875" xr:uid="{00000000-0005-0000-0000-00003C080000}"/>
    <cellStyle name="Currency 2 137" xfId="1876" xr:uid="{00000000-0005-0000-0000-00003D080000}"/>
    <cellStyle name="Currency 2 138" xfId="1877" xr:uid="{00000000-0005-0000-0000-00003E080000}"/>
    <cellStyle name="Currency 2 14" xfId="1878" xr:uid="{00000000-0005-0000-0000-00003F080000}"/>
    <cellStyle name="Currency 2 14 2" xfId="1879" xr:uid="{00000000-0005-0000-0000-000040080000}"/>
    <cellStyle name="Currency 2 14 2 2" xfId="1880" xr:uid="{00000000-0005-0000-0000-000041080000}"/>
    <cellStyle name="Currency 2 14 2 3" xfId="1881" xr:uid="{00000000-0005-0000-0000-000042080000}"/>
    <cellStyle name="Currency 2 14 3" xfId="1882" xr:uid="{00000000-0005-0000-0000-000043080000}"/>
    <cellStyle name="Currency 2 15" xfId="1883" xr:uid="{00000000-0005-0000-0000-000044080000}"/>
    <cellStyle name="Currency 2 15 2" xfId="1884" xr:uid="{00000000-0005-0000-0000-000045080000}"/>
    <cellStyle name="Currency 2 15 2 2" xfId="1885" xr:uid="{00000000-0005-0000-0000-000046080000}"/>
    <cellStyle name="Currency 2 15 2 3" xfId="1886" xr:uid="{00000000-0005-0000-0000-000047080000}"/>
    <cellStyle name="Currency 2 15 3" xfId="1887" xr:uid="{00000000-0005-0000-0000-000048080000}"/>
    <cellStyle name="Currency 2 16" xfId="1888" xr:uid="{00000000-0005-0000-0000-000049080000}"/>
    <cellStyle name="Currency 2 16 2" xfId="1889" xr:uid="{00000000-0005-0000-0000-00004A080000}"/>
    <cellStyle name="Currency 2 16 2 2" xfId="1890" xr:uid="{00000000-0005-0000-0000-00004B080000}"/>
    <cellStyle name="Currency 2 16 2 3" xfId="1891" xr:uid="{00000000-0005-0000-0000-00004C080000}"/>
    <cellStyle name="Currency 2 16 3" xfId="1892" xr:uid="{00000000-0005-0000-0000-00004D080000}"/>
    <cellStyle name="Currency 2 17" xfId="1893" xr:uid="{00000000-0005-0000-0000-00004E080000}"/>
    <cellStyle name="Currency 2 17 2" xfId="1894" xr:uid="{00000000-0005-0000-0000-00004F080000}"/>
    <cellStyle name="Currency 2 18" xfId="1895" xr:uid="{00000000-0005-0000-0000-000050080000}"/>
    <cellStyle name="Currency 2 18 2" xfId="1896" xr:uid="{00000000-0005-0000-0000-000051080000}"/>
    <cellStyle name="Currency 2 19" xfId="1897" xr:uid="{00000000-0005-0000-0000-000052080000}"/>
    <cellStyle name="Currency 2 19 2" xfId="1898" xr:uid="{00000000-0005-0000-0000-000053080000}"/>
    <cellStyle name="Currency 2 2" xfId="1899" xr:uid="{00000000-0005-0000-0000-000054080000}"/>
    <cellStyle name="Currency 2 2 10" xfId="1900" xr:uid="{00000000-0005-0000-0000-000055080000}"/>
    <cellStyle name="Currency 2 2 10 2" xfId="1901" xr:uid="{00000000-0005-0000-0000-000056080000}"/>
    <cellStyle name="Currency 2 2 11" xfId="1902" xr:uid="{00000000-0005-0000-0000-000057080000}"/>
    <cellStyle name="Currency 2 2 11 2" xfId="1903" xr:uid="{00000000-0005-0000-0000-000058080000}"/>
    <cellStyle name="Currency 2 2 12" xfId="1904" xr:uid="{00000000-0005-0000-0000-000059080000}"/>
    <cellStyle name="Currency 2 2 12 2" xfId="1905" xr:uid="{00000000-0005-0000-0000-00005A080000}"/>
    <cellStyle name="Currency 2 2 12 2 2" xfId="1906" xr:uid="{00000000-0005-0000-0000-00005B080000}"/>
    <cellStyle name="Currency 2 2 12 3" xfId="1907" xr:uid="{00000000-0005-0000-0000-00005C080000}"/>
    <cellStyle name="Currency 2 2 13" xfId="1908" xr:uid="{00000000-0005-0000-0000-00005D080000}"/>
    <cellStyle name="Currency 2 2 13 2" xfId="1909" xr:uid="{00000000-0005-0000-0000-00005E080000}"/>
    <cellStyle name="Currency 2 2 14" xfId="1910" xr:uid="{00000000-0005-0000-0000-00005F080000}"/>
    <cellStyle name="Currency 2 2 14 2" xfId="1911" xr:uid="{00000000-0005-0000-0000-000060080000}"/>
    <cellStyle name="Currency 2 2 14 2 2" xfId="1912" xr:uid="{00000000-0005-0000-0000-000061080000}"/>
    <cellStyle name="Currency 2 2 14 3" xfId="1913" xr:uid="{00000000-0005-0000-0000-000062080000}"/>
    <cellStyle name="Currency 2 2 15" xfId="1914" xr:uid="{00000000-0005-0000-0000-000063080000}"/>
    <cellStyle name="Currency 2 2 15 2" xfId="1915" xr:uid="{00000000-0005-0000-0000-000064080000}"/>
    <cellStyle name="Currency 2 2 15 2 2" xfId="1916" xr:uid="{00000000-0005-0000-0000-000065080000}"/>
    <cellStyle name="Currency 2 2 15 3" xfId="1917" xr:uid="{00000000-0005-0000-0000-000066080000}"/>
    <cellStyle name="Currency 2 2 16" xfId="1918" xr:uid="{00000000-0005-0000-0000-000067080000}"/>
    <cellStyle name="Currency 2 2 16 2" xfId="1919" xr:uid="{00000000-0005-0000-0000-000068080000}"/>
    <cellStyle name="Currency 2 2 16 2 2" xfId="1920" xr:uid="{00000000-0005-0000-0000-000069080000}"/>
    <cellStyle name="Currency 2 2 16 3" xfId="1921" xr:uid="{00000000-0005-0000-0000-00006A080000}"/>
    <cellStyle name="Currency 2 2 17" xfId="1922" xr:uid="{00000000-0005-0000-0000-00006B080000}"/>
    <cellStyle name="Currency 2 2 17 2" xfId="1923" xr:uid="{00000000-0005-0000-0000-00006C080000}"/>
    <cellStyle name="Currency 2 2 17 2 2" xfId="1924" xr:uid="{00000000-0005-0000-0000-00006D080000}"/>
    <cellStyle name="Currency 2 2 17 3" xfId="1925" xr:uid="{00000000-0005-0000-0000-00006E080000}"/>
    <cellStyle name="Currency 2 2 18" xfId="1926" xr:uid="{00000000-0005-0000-0000-00006F080000}"/>
    <cellStyle name="Currency 2 2 19" xfId="1927" xr:uid="{00000000-0005-0000-0000-000070080000}"/>
    <cellStyle name="Currency 2 2 2" xfId="1928" xr:uid="{00000000-0005-0000-0000-000071080000}"/>
    <cellStyle name="Currency 2 2 2 10" xfId="1929" xr:uid="{00000000-0005-0000-0000-000072080000}"/>
    <cellStyle name="Currency 2 2 2 11" xfId="1930" xr:uid="{00000000-0005-0000-0000-000073080000}"/>
    <cellStyle name="Currency 2 2 2 12" xfId="1931" xr:uid="{00000000-0005-0000-0000-000074080000}"/>
    <cellStyle name="Currency 2 2 2 13" xfId="1932" xr:uid="{00000000-0005-0000-0000-000075080000}"/>
    <cellStyle name="Currency 2 2 2 14" xfId="1933" xr:uid="{00000000-0005-0000-0000-000076080000}"/>
    <cellStyle name="Currency 2 2 2 15" xfId="1934" xr:uid="{00000000-0005-0000-0000-000077080000}"/>
    <cellStyle name="Currency 2 2 2 16" xfId="1935" xr:uid="{00000000-0005-0000-0000-000078080000}"/>
    <cellStyle name="Currency 2 2 2 17" xfId="1936" xr:uid="{00000000-0005-0000-0000-000079080000}"/>
    <cellStyle name="Currency 2 2 2 18" xfId="1937" xr:uid="{00000000-0005-0000-0000-00007A080000}"/>
    <cellStyle name="Currency 2 2 2 18 2" xfId="1938" xr:uid="{00000000-0005-0000-0000-00007B080000}"/>
    <cellStyle name="Currency 2 2 2 19" xfId="1939" xr:uid="{00000000-0005-0000-0000-00007C080000}"/>
    <cellStyle name="Currency 2 2 2 2" xfId="1940" xr:uid="{00000000-0005-0000-0000-00007D080000}"/>
    <cellStyle name="Currency 2 2 2 2 10" xfId="1941" xr:uid="{00000000-0005-0000-0000-00007E080000}"/>
    <cellStyle name="Currency 2 2 2 2 10 2" xfId="1942" xr:uid="{00000000-0005-0000-0000-00007F080000}"/>
    <cellStyle name="Currency 2 2 2 2 10 2 2" xfId="1943" xr:uid="{00000000-0005-0000-0000-000080080000}"/>
    <cellStyle name="Currency 2 2 2 2 10 3" xfId="1944" xr:uid="{00000000-0005-0000-0000-000081080000}"/>
    <cellStyle name="Currency 2 2 2 2 11" xfId="1945" xr:uid="{00000000-0005-0000-0000-000082080000}"/>
    <cellStyle name="Currency 2 2 2 2 11 2" xfId="1946" xr:uid="{00000000-0005-0000-0000-000083080000}"/>
    <cellStyle name="Currency 2 2 2 2 11 2 2" xfId="1947" xr:uid="{00000000-0005-0000-0000-000084080000}"/>
    <cellStyle name="Currency 2 2 2 2 11 3" xfId="1948" xr:uid="{00000000-0005-0000-0000-000085080000}"/>
    <cellStyle name="Currency 2 2 2 2 12" xfId="1949" xr:uid="{00000000-0005-0000-0000-000086080000}"/>
    <cellStyle name="Currency 2 2 2 2 12 2" xfId="1950" xr:uid="{00000000-0005-0000-0000-000087080000}"/>
    <cellStyle name="Currency 2 2 2 2 12 2 2" xfId="1951" xr:uid="{00000000-0005-0000-0000-000088080000}"/>
    <cellStyle name="Currency 2 2 2 2 12 3" xfId="1952" xr:uid="{00000000-0005-0000-0000-000089080000}"/>
    <cellStyle name="Currency 2 2 2 2 13" xfId="1953" xr:uid="{00000000-0005-0000-0000-00008A080000}"/>
    <cellStyle name="Currency 2 2 2 2 13 2" xfId="1954" xr:uid="{00000000-0005-0000-0000-00008B080000}"/>
    <cellStyle name="Currency 2 2 2 2 13 2 2" xfId="1955" xr:uid="{00000000-0005-0000-0000-00008C080000}"/>
    <cellStyle name="Currency 2 2 2 2 13 3" xfId="1956" xr:uid="{00000000-0005-0000-0000-00008D080000}"/>
    <cellStyle name="Currency 2 2 2 2 14" xfId="1957" xr:uid="{00000000-0005-0000-0000-00008E080000}"/>
    <cellStyle name="Currency 2 2 2 2 14 2" xfId="1958" xr:uid="{00000000-0005-0000-0000-00008F080000}"/>
    <cellStyle name="Currency 2 2 2 2 14 2 2" xfId="1959" xr:uid="{00000000-0005-0000-0000-000090080000}"/>
    <cellStyle name="Currency 2 2 2 2 14 3" xfId="1960" xr:uid="{00000000-0005-0000-0000-000091080000}"/>
    <cellStyle name="Currency 2 2 2 2 15" xfId="1961" xr:uid="{00000000-0005-0000-0000-000092080000}"/>
    <cellStyle name="Currency 2 2 2 2 15 2" xfId="1962" xr:uid="{00000000-0005-0000-0000-000093080000}"/>
    <cellStyle name="Currency 2 2 2 2 15 2 2" xfId="1963" xr:uid="{00000000-0005-0000-0000-000094080000}"/>
    <cellStyle name="Currency 2 2 2 2 15 3" xfId="1964" xr:uid="{00000000-0005-0000-0000-000095080000}"/>
    <cellStyle name="Currency 2 2 2 2 16" xfId="1965" xr:uid="{00000000-0005-0000-0000-000096080000}"/>
    <cellStyle name="Currency 2 2 2 2 16 2" xfId="1966" xr:uid="{00000000-0005-0000-0000-000097080000}"/>
    <cellStyle name="Currency 2 2 2 2 16 2 2" xfId="1967" xr:uid="{00000000-0005-0000-0000-000098080000}"/>
    <cellStyle name="Currency 2 2 2 2 16 3" xfId="1968" xr:uid="{00000000-0005-0000-0000-000099080000}"/>
    <cellStyle name="Currency 2 2 2 2 17" xfId="1969" xr:uid="{00000000-0005-0000-0000-00009A080000}"/>
    <cellStyle name="Currency 2 2 2 2 17 2" xfId="1970" xr:uid="{00000000-0005-0000-0000-00009B080000}"/>
    <cellStyle name="Currency 2 2 2 2 17 2 2" xfId="1971" xr:uid="{00000000-0005-0000-0000-00009C080000}"/>
    <cellStyle name="Currency 2 2 2 2 17 3" xfId="1972" xr:uid="{00000000-0005-0000-0000-00009D080000}"/>
    <cellStyle name="Currency 2 2 2 2 2" xfId="1973" xr:uid="{00000000-0005-0000-0000-00009E080000}"/>
    <cellStyle name="Currency 2 2 2 2 2 2" xfId="1974" xr:uid="{00000000-0005-0000-0000-00009F080000}"/>
    <cellStyle name="Currency 2 2 2 2 2 2 2" xfId="1975" xr:uid="{00000000-0005-0000-0000-0000A0080000}"/>
    <cellStyle name="Currency 2 2 2 2 2 2 2 2" xfId="1976" xr:uid="{00000000-0005-0000-0000-0000A1080000}"/>
    <cellStyle name="Currency 2 2 2 2 2 2 2 2 2" xfId="1977" xr:uid="{00000000-0005-0000-0000-0000A2080000}"/>
    <cellStyle name="Currency 2 2 2 2 2 2 2 3" xfId="1978" xr:uid="{00000000-0005-0000-0000-0000A3080000}"/>
    <cellStyle name="Currency 2 2 2 2 2 2 3" xfId="1979" xr:uid="{00000000-0005-0000-0000-0000A4080000}"/>
    <cellStyle name="Currency 2 2 2 2 2 2 3 2" xfId="1980" xr:uid="{00000000-0005-0000-0000-0000A5080000}"/>
    <cellStyle name="Currency 2 2 2 2 2 2 3 2 2" xfId="1981" xr:uid="{00000000-0005-0000-0000-0000A6080000}"/>
    <cellStyle name="Currency 2 2 2 2 2 2 3 3" xfId="1982" xr:uid="{00000000-0005-0000-0000-0000A7080000}"/>
    <cellStyle name="Currency 2 2 2 2 2 2 4" xfId="1983" xr:uid="{00000000-0005-0000-0000-0000A8080000}"/>
    <cellStyle name="Currency 2 2 2 2 2 2 4 2" xfId="1984" xr:uid="{00000000-0005-0000-0000-0000A9080000}"/>
    <cellStyle name="Currency 2 2 2 2 2 2 4 2 2" xfId="1985" xr:uid="{00000000-0005-0000-0000-0000AA080000}"/>
    <cellStyle name="Currency 2 2 2 2 2 2 4 3" xfId="1986" xr:uid="{00000000-0005-0000-0000-0000AB080000}"/>
    <cellStyle name="Currency 2 2 2 2 2 2 5" xfId="1987" xr:uid="{00000000-0005-0000-0000-0000AC080000}"/>
    <cellStyle name="Currency 2 2 2 2 2 2 5 2" xfId="1988" xr:uid="{00000000-0005-0000-0000-0000AD080000}"/>
    <cellStyle name="Currency 2 2 2 2 2 2 5 2 2" xfId="1989" xr:uid="{00000000-0005-0000-0000-0000AE080000}"/>
    <cellStyle name="Currency 2 2 2 2 2 2 5 3" xfId="1990" xr:uid="{00000000-0005-0000-0000-0000AF080000}"/>
    <cellStyle name="Currency 2 2 2 2 2 3" xfId="1991" xr:uid="{00000000-0005-0000-0000-0000B0080000}"/>
    <cellStyle name="Currency 2 2 2 2 2 4" xfId="1992" xr:uid="{00000000-0005-0000-0000-0000B1080000}"/>
    <cellStyle name="Currency 2 2 2 2 2 5" xfId="1993" xr:uid="{00000000-0005-0000-0000-0000B2080000}"/>
    <cellStyle name="Currency 2 2 2 2 2 6" xfId="1994" xr:uid="{00000000-0005-0000-0000-0000B3080000}"/>
    <cellStyle name="Currency 2 2 2 2 2 6 2" xfId="1995" xr:uid="{00000000-0005-0000-0000-0000B4080000}"/>
    <cellStyle name="Currency 2 2 2 2 2 7" xfId="1996" xr:uid="{00000000-0005-0000-0000-0000B5080000}"/>
    <cellStyle name="Currency 2 2 2 2 3" xfId="1997" xr:uid="{00000000-0005-0000-0000-0000B6080000}"/>
    <cellStyle name="Currency 2 2 2 2 3 2" xfId="1998" xr:uid="{00000000-0005-0000-0000-0000B7080000}"/>
    <cellStyle name="Currency 2 2 2 2 3 2 2" xfId="1999" xr:uid="{00000000-0005-0000-0000-0000B8080000}"/>
    <cellStyle name="Currency 2 2 2 2 3 3" xfId="2000" xr:uid="{00000000-0005-0000-0000-0000B9080000}"/>
    <cellStyle name="Currency 2 2 2 2 4" xfId="2001" xr:uid="{00000000-0005-0000-0000-0000BA080000}"/>
    <cellStyle name="Currency 2 2 2 2 4 2" xfId="2002" xr:uid="{00000000-0005-0000-0000-0000BB080000}"/>
    <cellStyle name="Currency 2 2 2 2 4 2 2" xfId="2003" xr:uid="{00000000-0005-0000-0000-0000BC080000}"/>
    <cellStyle name="Currency 2 2 2 2 4 3" xfId="2004" xr:uid="{00000000-0005-0000-0000-0000BD080000}"/>
    <cellStyle name="Currency 2 2 2 2 5" xfId="2005" xr:uid="{00000000-0005-0000-0000-0000BE080000}"/>
    <cellStyle name="Currency 2 2 2 2 5 2" xfId="2006" xr:uid="{00000000-0005-0000-0000-0000BF080000}"/>
    <cellStyle name="Currency 2 2 2 2 5 2 2" xfId="2007" xr:uid="{00000000-0005-0000-0000-0000C0080000}"/>
    <cellStyle name="Currency 2 2 2 2 5 3" xfId="2008" xr:uid="{00000000-0005-0000-0000-0000C1080000}"/>
    <cellStyle name="Currency 2 2 2 2 6" xfId="2009" xr:uid="{00000000-0005-0000-0000-0000C2080000}"/>
    <cellStyle name="Currency 2 2 2 2 6 2" xfId="2010" xr:uid="{00000000-0005-0000-0000-0000C3080000}"/>
    <cellStyle name="Currency 2 2 2 2 6 2 2" xfId="2011" xr:uid="{00000000-0005-0000-0000-0000C4080000}"/>
    <cellStyle name="Currency 2 2 2 2 6 3" xfId="2012" xr:uid="{00000000-0005-0000-0000-0000C5080000}"/>
    <cellStyle name="Currency 2 2 2 2 7" xfId="2013" xr:uid="{00000000-0005-0000-0000-0000C6080000}"/>
    <cellStyle name="Currency 2 2 2 2 7 2" xfId="2014" xr:uid="{00000000-0005-0000-0000-0000C7080000}"/>
    <cellStyle name="Currency 2 2 2 2 7 2 2" xfId="2015" xr:uid="{00000000-0005-0000-0000-0000C8080000}"/>
    <cellStyle name="Currency 2 2 2 2 7 3" xfId="2016" xr:uid="{00000000-0005-0000-0000-0000C9080000}"/>
    <cellStyle name="Currency 2 2 2 2 8" xfId="2017" xr:uid="{00000000-0005-0000-0000-0000CA080000}"/>
    <cellStyle name="Currency 2 2 2 2 8 2" xfId="2018" xr:uid="{00000000-0005-0000-0000-0000CB080000}"/>
    <cellStyle name="Currency 2 2 2 2 8 2 2" xfId="2019" xr:uid="{00000000-0005-0000-0000-0000CC080000}"/>
    <cellStyle name="Currency 2 2 2 2 8 3" xfId="2020" xr:uid="{00000000-0005-0000-0000-0000CD080000}"/>
    <cellStyle name="Currency 2 2 2 2 9" xfId="2021" xr:uid="{00000000-0005-0000-0000-0000CE080000}"/>
    <cellStyle name="Currency 2 2 2 2 9 2" xfId="2022" xr:uid="{00000000-0005-0000-0000-0000CF080000}"/>
    <cellStyle name="Currency 2 2 2 2 9 2 2" xfId="2023" xr:uid="{00000000-0005-0000-0000-0000D0080000}"/>
    <cellStyle name="Currency 2 2 2 2 9 3" xfId="2024" xr:uid="{00000000-0005-0000-0000-0000D1080000}"/>
    <cellStyle name="Currency 2 2 2 3" xfId="2025" xr:uid="{00000000-0005-0000-0000-0000D2080000}"/>
    <cellStyle name="Currency 2 2 2 4" xfId="2026" xr:uid="{00000000-0005-0000-0000-0000D3080000}"/>
    <cellStyle name="Currency 2 2 2 5" xfId="2027" xr:uid="{00000000-0005-0000-0000-0000D4080000}"/>
    <cellStyle name="Currency 2 2 2 6" xfId="2028" xr:uid="{00000000-0005-0000-0000-0000D5080000}"/>
    <cellStyle name="Currency 2 2 2 7" xfId="2029" xr:uid="{00000000-0005-0000-0000-0000D6080000}"/>
    <cellStyle name="Currency 2 2 2 8" xfId="2030" xr:uid="{00000000-0005-0000-0000-0000D7080000}"/>
    <cellStyle name="Currency 2 2 2 9" xfId="2031" xr:uid="{00000000-0005-0000-0000-0000D8080000}"/>
    <cellStyle name="Currency 2 2 20" xfId="2032" xr:uid="{00000000-0005-0000-0000-0000D9080000}"/>
    <cellStyle name="Currency 2 2 21" xfId="11126" xr:uid="{00000000-0005-0000-0000-0000DA080000}"/>
    <cellStyle name="Currency 2 2 3" xfId="2033" xr:uid="{00000000-0005-0000-0000-0000DB080000}"/>
    <cellStyle name="Currency 2 2 3 2" xfId="2034" xr:uid="{00000000-0005-0000-0000-0000DC080000}"/>
    <cellStyle name="Currency 2 2 4" xfId="2035" xr:uid="{00000000-0005-0000-0000-0000DD080000}"/>
    <cellStyle name="Currency 2 2 4 2" xfId="2036" xr:uid="{00000000-0005-0000-0000-0000DE080000}"/>
    <cellStyle name="Currency 2 2 5" xfId="2037" xr:uid="{00000000-0005-0000-0000-0000DF080000}"/>
    <cellStyle name="Currency 2 2 5 2" xfId="2038" xr:uid="{00000000-0005-0000-0000-0000E0080000}"/>
    <cellStyle name="Currency 2 2 6" xfId="2039" xr:uid="{00000000-0005-0000-0000-0000E1080000}"/>
    <cellStyle name="Currency 2 2 6 2" xfId="2040" xr:uid="{00000000-0005-0000-0000-0000E2080000}"/>
    <cellStyle name="Currency 2 2 7" xfId="2041" xr:uid="{00000000-0005-0000-0000-0000E3080000}"/>
    <cellStyle name="Currency 2 2 7 2" xfId="2042" xr:uid="{00000000-0005-0000-0000-0000E4080000}"/>
    <cellStyle name="Currency 2 2 8" xfId="2043" xr:uid="{00000000-0005-0000-0000-0000E5080000}"/>
    <cellStyle name="Currency 2 2 8 2" xfId="2044" xr:uid="{00000000-0005-0000-0000-0000E6080000}"/>
    <cellStyle name="Currency 2 2 9" xfId="2045" xr:uid="{00000000-0005-0000-0000-0000E7080000}"/>
    <cellStyle name="Currency 2 2 9 2" xfId="2046" xr:uid="{00000000-0005-0000-0000-0000E8080000}"/>
    <cellStyle name="Currency 2 20" xfId="2047" xr:uid="{00000000-0005-0000-0000-0000E9080000}"/>
    <cellStyle name="Currency 2 20 2" xfId="2048" xr:uid="{00000000-0005-0000-0000-0000EA080000}"/>
    <cellStyle name="Currency 2 21" xfId="2049" xr:uid="{00000000-0005-0000-0000-0000EB080000}"/>
    <cellStyle name="Currency 2 21 2" xfId="2050" xr:uid="{00000000-0005-0000-0000-0000EC080000}"/>
    <cellStyle name="Currency 2 22" xfId="2051" xr:uid="{00000000-0005-0000-0000-0000ED080000}"/>
    <cellStyle name="Currency 2 22 2" xfId="2052" xr:uid="{00000000-0005-0000-0000-0000EE080000}"/>
    <cellStyle name="Currency 2 23" xfId="2053" xr:uid="{00000000-0005-0000-0000-0000EF080000}"/>
    <cellStyle name="Currency 2 23 2" xfId="2054" xr:uid="{00000000-0005-0000-0000-0000F0080000}"/>
    <cellStyle name="Currency 2 24" xfId="2055" xr:uid="{00000000-0005-0000-0000-0000F1080000}"/>
    <cellStyle name="Currency 2 24 2" xfId="2056" xr:uid="{00000000-0005-0000-0000-0000F2080000}"/>
    <cellStyle name="Currency 2 25" xfId="2057" xr:uid="{00000000-0005-0000-0000-0000F3080000}"/>
    <cellStyle name="Currency 2 25 2" xfId="2058" xr:uid="{00000000-0005-0000-0000-0000F4080000}"/>
    <cellStyle name="Currency 2 26" xfId="2059" xr:uid="{00000000-0005-0000-0000-0000F5080000}"/>
    <cellStyle name="Currency 2 26 2" xfId="2060" xr:uid="{00000000-0005-0000-0000-0000F6080000}"/>
    <cellStyle name="Currency 2 27" xfId="2061" xr:uid="{00000000-0005-0000-0000-0000F7080000}"/>
    <cellStyle name="Currency 2 27 2" xfId="2062" xr:uid="{00000000-0005-0000-0000-0000F8080000}"/>
    <cellStyle name="Currency 2 28" xfId="2063" xr:uid="{00000000-0005-0000-0000-0000F9080000}"/>
    <cellStyle name="Currency 2 28 2" xfId="2064" xr:uid="{00000000-0005-0000-0000-0000FA080000}"/>
    <cellStyle name="Currency 2 29" xfId="2065" xr:uid="{00000000-0005-0000-0000-0000FB080000}"/>
    <cellStyle name="Currency 2 29 2" xfId="2066" xr:uid="{00000000-0005-0000-0000-0000FC080000}"/>
    <cellStyle name="Currency 2 3" xfId="2067" xr:uid="{00000000-0005-0000-0000-0000FD080000}"/>
    <cellStyle name="Currency 2 3 2" xfId="2068" xr:uid="{00000000-0005-0000-0000-0000FE080000}"/>
    <cellStyle name="Currency 2 3 2 2" xfId="2069" xr:uid="{00000000-0005-0000-0000-0000FF080000}"/>
    <cellStyle name="Currency 2 3 2 3" xfId="2070" xr:uid="{00000000-0005-0000-0000-000000090000}"/>
    <cellStyle name="Currency 2 3 3" xfId="2071" xr:uid="{00000000-0005-0000-0000-000001090000}"/>
    <cellStyle name="Currency 2 30" xfId="2072" xr:uid="{00000000-0005-0000-0000-000002090000}"/>
    <cellStyle name="Currency 2 30 2" xfId="2073" xr:uid="{00000000-0005-0000-0000-000003090000}"/>
    <cellStyle name="Currency 2 31" xfId="2074" xr:uid="{00000000-0005-0000-0000-000004090000}"/>
    <cellStyle name="Currency 2 31 2" xfId="2075" xr:uid="{00000000-0005-0000-0000-000005090000}"/>
    <cellStyle name="Currency 2 32" xfId="2076" xr:uid="{00000000-0005-0000-0000-000006090000}"/>
    <cellStyle name="Currency 2 32 2" xfId="2077" xr:uid="{00000000-0005-0000-0000-000007090000}"/>
    <cellStyle name="Currency 2 33" xfId="2078" xr:uid="{00000000-0005-0000-0000-000008090000}"/>
    <cellStyle name="Currency 2 33 2" xfId="2079" xr:uid="{00000000-0005-0000-0000-000009090000}"/>
    <cellStyle name="Currency 2 34" xfId="2080" xr:uid="{00000000-0005-0000-0000-00000A090000}"/>
    <cellStyle name="Currency 2 34 2" xfId="2081" xr:uid="{00000000-0005-0000-0000-00000B090000}"/>
    <cellStyle name="Currency 2 35" xfId="2082" xr:uid="{00000000-0005-0000-0000-00000C090000}"/>
    <cellStyle name="Currency 2 35 2" xfId="2083" xr:uid="{00000000-0005-0000-0000-00000D090000}"/>
    <cellStyle name="Currency 2 36" xfId="2084" xr:uid="{00000000-0005-0000-0000-00000E090000}"/>
    <cellStyle name="Currency 2 36 2" xfId="2085" xr:uid="{00000000-0005-0000-0000-00000F090000}"/>
    <cellStyle name="Currency 2 37" xfId="2086" xr:uid="{00000000-0005-0000-0000-000010090000}"/>
    <cellStyle name="Currency 2 37 2" xfId="2087" xr:uid="{00000000-0005-0000-0000-000011090000}"/>
    <cellStyle name="Currency 2 38" xfId="2088" xr:uid="{00000000-0005-0000-0000-000012090000}"/>
    <cellStyle name="Currency 2 38 2" xfId="2089" xr:uid="{00000000-0005-0000-0000-000013090000}"/>
    <cellStyle name="Currency 2 39" xfId="2090" xr:uid="{00000000-0005-0000-0000-000014090000}"/>
    <cellStyle name="Currency 2 39 2" xfId="2091" xr:uid="{00000000-0005-0000-0000-000015090000}"/>
    <cellStyle name="Currency 2 4" xfId="2092" xr:uid="{00000000-0005-0000-0000-000016090000}"/>
    <cellStyle name="Currency 2 4 2" xfId="2093" xr:uid="{00000000-0005-0000-0000-000017090000}"/>
    <cellStyle name="Currency 2 4 2 2" xfId="2094" xr:uid="{00000000-0005-0000-0000-000018090000}"/>
    <cellStyle name="Currency 2 4 2 3" xfId="2095" xr:uid="{00000000-0005-0000-0000-000019090000}"/>
    <cellStyle name="Currency 2 4 3" xfId="2096" xr:uid="{00000000-0005-0000-0000-00001A090000}"/>
    <cellStyle name="Currency 2 40" xfId="2097" xr:uid="{00000000-0005-0000-0000-00001B090000}"/>
    <cellStyle name="Currency 2 40 2" xfId="2098" xr:uid="{00000000-0005-0000-0000-00001C090000}"/>
    <cellStyle name="Currency 2 41" xfId="2099" xr:uid="{00000000-0005-0000-0000-00001D090000}"/>
    <cellStyle name="Currency 2 41 2" xfId="2100" xr:uid="{00000000-0005-0000-0000-00001E090000}"/>
    <cellStyle name="Currency 2 42" xfId="2101" xr:uid="{00000000-0005-0000-0000-00001F090000}"/>
    <cellStyle name="Currency 2 42 2" xfId="2102" xr:uid="{00000000-0005-0000-0000-000020090000}"/>
    <cellStyle name="Currency 2 43" xfId="2103" xr:uid="{00000000-0005-0000-0000-000021090000}"/>
    <cellStyle name="Currency 2 43 2" xfId="2104" xr:uid="{00000000-0005-0000-0000-000022090000}"/>
    <cellStyle name="Currency 2 44" xfId="2105" xr:uid="{00000000-0005-0000-0000-000023090000}"/>
    <cellStyle name="Currency 2 44 2" xfId="2106" xr:uid="{00000000-0005-0000-0000-000024090000}"/>
    <cellStyle name="Currency 2 45" xfId="2107" xr:uid="{00000000-0005-0000-0000-000025090000}"/>
    <cellStyle name="Currency 2 45 2" xfId="2108" xr:uid="{00000000-0005-0000-0000-000026090000}"/>
    <cellStyle name="Currency 2 46" xfId="2109" xr:uid="{00000000-0005-0000-0000-000027090000}"/>
    <cellStyle name="Currency 2 46 2" xfId="2110" xr:uid="{00000000-0005-0000-0000-000028090000}"/>
    <cellStyle name="Currency 2 47" xfId="2111" xr:uid="{00000000-0005-0000-0000-000029090000}"/>
    <cellStyle name="Currency 2 47 2" xfId="2112" xr:uid="{00000000-0005-0000-0000-00002A090000}"/>
    <cellStyle name="Currency 2 48" xfId="2113" xr:uid="{00000000-0005-0000-0000-00002B090000}"/>
    <cellStyle name="Currency 2 48 2" xfId="2114" xr:uid="{00000000-0005-0000-0000-00002C090000}"/>
    <cellStyle name="Currency 2 49" xfId="2115" xr:uid="{00000000-0005-0000-0000-00002D090000}"/>
    <cellStyle name="Currency 2 49 2" xfId="2116" xr:uid="{00000000-0005-0000-0000-00002E090000}"/>
    <cellStyle name="Currency 2 5" xfId="2117" xr:uid="{00000000-0005-0000-0000-00002F090000}"/>
    <cellStyle name="Currency 2 5 2" xfId="2118" xr:uid="{00000000-0005-0000-0000-000030090000}"/>
    <cellStyle name="Currency 2 5 2 2" xfId="2119" xr:uid="{00000000-0005-0000-0000-000031090000}"/>
    <cellStyle name="Currency 2 5 2 3" xfId="2120" xr:uid="{00000000-0005-0000-0000-000032090000}"/>
    <cellStyle name="Currency 2 5 3" xfId="2121" xr:uid="{00000000-0005-0000-0000-000033090000}"/>
    <cellStyle name="Currency 2 50" xfId="2122" xr:uid="{00000000-0005-0000-0000-000034090000}"/>
    <cellStyle name="Currency 2 50 2" xfId="2123" xr:uid="{00000000-0005-0000-0000-000035090000}"/>
    <cellStyle name="Currency 2 51" xfId="2124" xr:uid="{00000000-0005-0000-0000-000036090000}"/>
    <cellStyle name="Currency 2 51 2" xfId="2125" xr:uid="{00000000-0005-0000-0000-000037090000}"/>
    <cellStyle name="Currency 2 52" xfId="2126" xr:uid="{00000000-0005-0000-0000-000038090000}"/>
    <cellStyle name="Currency 2 52 2" xfId="2127" xr:uid="{00000000-0005-0000-0000-000039090000}"/>
    <cellStyle name="Currency 2 53" xfId="2128" xr:uid="{00000000-0005-0000-0000-00003A090000}"/>
    <cellStyle name="Currency 2 53 2" xfId="2129" xr:uid="{00000000-0005-0000-0000-00003B090000}"/>
    <cellStyle name="Currency 2 54" xfId="2130" xr:uid="{00000000-0005-0000-0000-00003C090000}"/>
    <cellStyle name="Currency 2 54 2" xfId="2131" xr:uid="{00000000-0005-0000-0000-00003D090000}"/>
    <cellStyle name="Currency 2 55" xfId="2132" xr:uid="{00000000-0005-0000-0000-00003E090000}"/>
    <cellStyle name="Currency 2 55 2" xfId="2133" xr:uid="{00000000-0005-0000-0000-00003F090000}"/>
    <cellStyle name="Currency 2 56" xfId="2134" xr:uid="{00000000-0005-0000-0000-000040090000}"/>
    <cellStyle name="Currency 2 56 2" xfId="2135" xr:uid="{00000000-0005-0000-0000-000041090000}"/>
    <cellStyle name="Currency 2 57" xfId="2136" xr:uid="{00000000-0005-0000-0000-000042090000}"/>
    <cellStyle name="Currency 2 57 2" xfId="2137" xr:uid="{00000000-0005-0000-0000-000043090000}"/>
    <cellStyle name="Currency 2 58" xfId="2138" xr:uid="{00000000-0005-0000-0000-000044090000}"/>
    <cellStyle name="Currency 2 58 2" xfId="2139" xr:uid="{00000000-0005-0000-0000-000045090000}"/>
    <cellStyle name="Currency 2 59" xfId="2140" xr:uid="{00000000-0005-0000-0000-000046090000}"/>
    <cellStyle name="Currency 2 59 2" xfId="2141" xr:uid="{00000000-0005-0000-0000-000047090000}"/>
    <cellStyle name="Currency 2 6" xfId="2142" xr:uid="{00000000-0005-0000-0000-000048090000}"/>
    <cellStyle name="Currency 2 6 2" xfId="2143" xr:uid="{00000000-0005-0000-0000-000049090000}"/>
    <cellStyle name="Currency 2 6 2 2" xfId="2144" xr:uid="{00000000-0005-0000-0000-00004A090000}"/>
    <cellStyle name="Currency 2 6 2 3" xfId="2145" xr:uid="{00000000-0005-0000-0000-00004B090000}"/>
    <cellStyle name="Currency 2 6 3" xfId="2146" xr:uid="{00000000-0005-0000-0000-00004C090000}"/>
    <cellStyle name="Currency 2 60" xfId="2147" xr:uid="{00000000-0005-0000-0000-00004D090000}"/>
    <cellStyle name="Currency 2 60 2" xfId="2148" xr:uid="{00000000-0005-0000-0000-00004E090000}"/>
    <cellStyle name="Currency 2 61" xfId="2149" xr:uid="{00000000-0005-0000-0000-00004F090000}"/>
    <cellStyle name="Currency 2 61 2" xfId="2150" xr:uid="{00000000-0005-0000-0000-000050090000}"/>
    <cellStyle name="Currency 2 62" xfId="2151" xr:uid="{00000000-0005-0000-0000-000051090000}"/>
    <cellStyle name="Currency 2 63" xfId="2152" xr:uid="{00000000-0005-0000-0000-000052090000}"/>
    <cellStyle name="Currency 2 64" xfId="2153" xr:uid="{00000000-0005-0000-0000-000053090000}"/>
    <cellStyle name="Currency 2 65" xfId="2154" xr:uid="{00000000-0005-0000-0000-000054090000}"/>
    <cellStyle name="Currency 2 66" xfId="2155" xr:uid="{00000000-0005-0000-0000-000055090000}"/>
    <cellStyle name="Currency 2 67" xfId="2156" xr:uid="{00000000-0005-0000-0000-000056090000}"/>
    <cellStyle name="Currency 2 68" xfId="2157" xr:uid="{00000000-0005-0000-0000-000057090000}"/>
    <cellStyle name="Currency 2 69" xfId="2158" xr:uid="{00000000-0005-0000-0000-000058090000}"/>
    <cellStyle name="Currency 2 7" xfId="2159" xr:uid="{00000000-0005-0000-0000-000059090000}"/>
    <cellStyle name="Currency 2 7 2" xfId="2160" xr:uid="{00000000-0005-0000-0000-00005A090000}"/>
    <cellStyle name="Currency 2 7 2 2" xfId="2161" xr:uid="{00000000-0005-0000-0000-00005B090000}"/>
    <cellStyle name="Currency 2 7 2 3" xfId="2162" xr:uid="{00000000-0005-0000-0000-00005C090000}"/>
    <cellStyle name="Currency 2 7 3" xfId="2163" xr:uid="{00000000-0005-0000-0000-00005D090000}"/>
    <cellStyle name="Currency 2 70" xfId="2164" xr:uid="{00000000-0005-0000-0000-00005E090000}"/>
    <cellStyle name="Currency 2 71" xfId="2165" xr:uid="{00000000-0005-0000-0000-00005F090000}"/>
    <cellStyle name="Currency 2 72" xfId="2166" xr:uid="{00000000-0005-0000-0000-000060090000}"/>
    <cellStyle name="Currency 2 73" xfId="2167" xr:uid="{00000000-0005-0000-0000-000061090000}"/>
    <cellStyle name="Currency 2 74" xfId="2168" xr:uid="{00000000-0005-0000-0000-000062090000}"/>
    <cellStyle name="Currency 2 75" xfId="2169" xr:uid="{00000000-0005-0000-0000-000063090000}"/>
    <cellStyle name="Currency 2 76" xfId="2170" xr:uid="{00000000-0005-0000-0000-000064090000}"/>
    <cellStyle name="Currency 2 77" xfId="2171" xr:uid="{00000000-0005-0000-0000-000065090000}"/>
    <cellStyle name="Currency 2 78" xfId="2172" xr:uid="{00000000-0005-0000-0000-000066090000}"/>
    <cellStyle name="Currency 2 79" xfId="2173" xr:uid="{00000000-0005-0000-0000-000067090000}"/>
    <cellStyle name="Currency 2 8" xfId="2174" xr:uid="{00000000-0005-0000-0000-000068090000}"/>
    <cellStyle name="Currency 2 8 2" xfId="2175" xr:uid="{00000000-0005-0000-0000-000069090000}"/>
    <cellStyle name="Currency 2 8 2 2" xfId="2176" xr:uid="{00000000-0005-0000-0000-00006A090000}"/>
    <cellStyle name="Currency 2 8 2 3" xfId="2177" xr:uid="{00000000-0005-0000-0000-00006B090000}"/>
    <cellStyle name="Currency 2 8 3" xfId="2178" xr:uid="{00000000-0005-0000-0000-00006C090000}"/>
    <cellStyle name="Currency 2 80" xfId="2179" xr:uid="{00000000-0005-0000-0000-00006D090000}"/>
    <cellStyle name="Currency 2 81" xfId="2180" xr:uid="{00000000-0005-0000-0000-00006E090000}"/>
    <cellStyle name="Currency 2 82" xfId="2181" xr:uid="{00000000-0005-0000-0000-00006F090000}"/>
    <cellStyle name="Currency 2 83" xfId="2182" xr:uid="{00000000-0005-0000-0000-000070090000}"/>
    <cellStyle name="Currency 2 84" xfId="2183" xr:uid="{00000000-0005-0000-0000-000071090000}"/>
    <cellStyle name="Currency 2 85" xfId="2184" xr:uid="{00000000-0005-0000-0000-000072090000}"/>
    <cellStyle name="Currency 2 86" xfId="2185" xr:uid="{00000000-0005-0000-0000-000073090000}"/>
    <cellStyle name="Currency 2 87" xfId="2186" xr:uid="{00000000-0005-0000-0000-000074090000}"/>
    <cellStyle name="Currency 2 88" xfId="2187" xr:uid="{00000000-0005-0000-0000-000075090000}"/>
    <cellStyle name="Currency 2 89" xfId="2188" xr:uid="{00000000-0005-0000-0000-000076090000}"/>
    <cellStyle name="Currency 2 9" xfId="2189" xr:uid="{00000000-0005-0000-0000-000077090000}"/>
    <cellStyle name="Currency 2 9 2" xfId="2190" xr:uid="{00000000-0005-0000-0000-000078090000}"/>
    <cellStyle name="Currency 2 9 2 2" xfId="2191" xr:uid="{00000000-0005-0000-0000-000079090000}"/>
    <cellStyle name="Currency 2 9 2 3" xfId="2192" xr:uid="{00000000-0005-0000-0000-00007A090000}"/>
    <cellStyle name="Currency 2 9 3" xfId="2193" xr:uid="{00000000-0005-0000-0000-00007B090000}"/>
    <cellStyle name="Currency 2 90" xfId="2194" xr:uid="{00000000-0005-0000-0000-00007C090000}"/>
    <cellStyle name="Currency 2 91" xfId="2195" xr:uid="{00000000-0005-0000-0000-00007D090000}"/>
    <cellStyle name="Currency 2 92" xfId="2196" xr:uid="{00000000-0005-0000-0000-00007E090000}"/>
    <cellStyle name="Currency 2 93" xfId="2197" xr:uid="{00000000-0005-0000-0000-00007F090000}"/>
    <cellStyle name="Currency 2 94" xfId="2198" xr:uid="{00000000-0005-0000-0000-000080090000}"/>
    <cellStyle name="Currency 2 95" xfId="2199" xr:uid="{00000000-0005-0000-0000-000081090000}"/>
    <cellStyle name="Currency 2 96" xfId="2200" xr:uid="{00000000-0005-0000-0000-000082090000}"/>
    <cellStyle name="Currency 2 97" xfId="2201" xr:uid="{00000000-0005-0000-0000-000083090000}"/>
    <cellStyle name="Currency 2 98" xfId="2202" xr:uid="{00000000-0005-0000-0000-000084090000}"/>
    <cellStyle name="Currency 2 99" xfId="2203" xr:uid="{00000000-0005-0000-0000-000085090000}"/>
    <cellStyle name="Currency 20" xfId="2204" xr:uid="{00000000-0005-0000-0000-000086090000}"/>
    <cellStyle name="Currency 21" xfId="2205" xr:uid="{00000000-0005-0000-0000-000087090000}"/>
    <cellStyle name="Currency 22" xfId="2206" xr:uid="{00000000-0005-0000-0000-000088090000}"/>
    <cellStyle name="Currency 23" xfId="2207" xr:uid="{00000000-0005-0000-0000-000089090000}"/>
    <cellStyle name="Currency 24" xfId="2208" xr:uid="{00000000-0005-0000-0000-00008A090000}"/>
    <cellStyle name="Currency 25" xfId="2209" xr:uid="{00000000-0005-0000-0000-00008B090000}"/>
    <cellStyle name="Currency 25 2" xfId="2210" xr:uid="{00000000-0005-0000-0000-00008C090000}"/>
    <cellStyle name="Currency 25 3" xfId="2211" xr:uid="{00000000-0005-0000-0000-00008D090000}"/>
    <cellStyle name="Currency 25 4" xfId="9610" xr:uid="{00000000-0005-0000-0000-00008E090000}"/>
    <cellStyle name="Currency 26" xfId="2212" xr:uid="{00000000-0005-0000-0000-00008F090000}"/>
    <cellStyle name="Currency 27" xfId="2213" xr:uid="{00000000-0005-0000-0000-000090090000}"/>
    <cellStyle name="Currency 28" xfId="2214" xr:uid="{00000000-0005-0000-0000-000091090000}"/>
    <cellStyle name="Currency 29" xfId="2215" xr:uid="{00000000-0005-0000-0000-000092090000}"/>
    <cellStyle name="Currency 3" xfId="2216" xr:uid="{00000000-0005-0000-0000-000093090000}"/>
    <cellStyle name="Currency 3 10" xfId="2217" xr:uid="{00000000-0005-0000-0000-000094090000}"/>
    <cellStyle name="Currency 3 10 2" xfId="2218" xr:uid="{00000000-0005-0000-0000-000095090000}"/>
    <cellStyle name="Currency 3 10 2 2" xfId="2219" xr:uid="{00000000-0005-0000-0000-000096090000}"/>
    <cellStyle name="Currency 3 10 2 3" xfId="2220" xr:uid="{00000000-0005-0000-0000-000097090000}"/>
    <cellStyle name="Currency 3 10 3" xfId="2221" xr:uid="{00000000-0005-0000-0000-000098090000}"/>
    <cellStyle name="Currency 3 100" xfId="2222" xr:uid="{00000000-0005-0000-0000-000099090000}"/>
    <cellStyle name="Currency 3 101" xfId="2223" xr:uid="{00000000-0005-0000-0000-00009A090000}"/>
    <cellStyle name="Currency 3 102" xfId="2224" xr:uid="{00000000-0005-0000-0000-00009B090000}"/>
    <cellStyle name="Currency 3 103" xfId="2225" xr:uid="{00000000-0005-0000-0000-00009C090000}"/>
    <cellStyle name="Currency 3 104" xfId="2226" xr:uid="{00000000-0005-0000-0000-00009D090000}"/>
    <cellStyle name="Currency 3 105" xfId="2227" xr:uid="{00000000-0005-0000-0000-00009E090000}"/>
    <cellStyle name="Currency 3 106" xfId="2228" xr:uid="{00000000-0005-0000-0000-00009F090000}"/>
    <cellStyle name="Currency 3 107" xfId="2229" xr:uid="{00000000-0005-0000-0000-0000A0090000}"/>
    <cellStyle name="Currency 3 108" xfId="2230" xr:uid="{00000000-0005-0000-0000-0000A1090000}"/>
    <cellStyle name="Currency 3 109" xfId="2231" xr:uid="{00000000-0005-0000-0000-0000A2090000}"/>
    <cellStyle name="Currency 3 11" xfId="2232" xr:uid="{00000000-0005-0000-0000-0000A3090000}"/>
    <cellStyle name="Currency 3 11 2" xfId="2233" xr:uid="{00000000-0005-0000-0000-0000A4090000}"/>
    <cellStyle name="Currency 3 11 2 2" xfId="2234" xr:uid="{00000000-0005-0000-0000-0000A5090000}"/>
    <cellStyle name="Currency 3 11 2 3" xfId="2235" xr:uid="{00000000-0005-0000-0000-0000A6090000}"/>
    <cellStyle name="Currency 3 11 3" xfId="2236" xr:uid="{00000000-0005-0000-0000-0000A7090000}"/>
    <cellStyle name="Currency 3 110" xfId="2237" xr:uid="{00000000-0005-0000-0000-0000A8090000}"/>
    <cellStyle name="Currency 3 111" xfId="2238" xr:uid="{00000000-0005-0000-0000-0000A9090000}"/>
    <cellStyle name="Currency 3 112" xfId="2239" xr:uid="{00000000-0005-0000-0000-0000AA090000}"/>
    <cellStyle name="Currency 3 113" xfId="2240" xr:uid="{00000000-0005-0000-0000-0000AB090000}"/>
    <cellStyle name="Currency 3 114" xfId="2241" xr:uid="{00000000-0005-0000-0000-0000AC090000}"/>
    <cellStyle name="Currency 3 115" xfId="2242" xr:uid="{00000000-0005-0000-0000-0000AD090000}"/>
    <cellStyle name="Currency 3 116" xfId="2243" xr:uid="{00000000-0005-0000-0000-0000AE090000}"/>
    <cellStyle name="Currency 3 117" xfId="2244" xr:uid="{00000000-0005-0000-0000-0000AF090000}"/>
    <cellStyle name="Currency 3 118" xfId="2245" xr:uid="{00000000-0005-0000-0000-0000B0090000}"/>
    <cellStyle name="Currency 3 119" xfId="2246" xr:uid="{00000000-0005-0000-0000-0000B1090000}"/>
    <cellStyle name="Currency 3 12" xfId="2247" xr:uid="{00000000-0005-0000-0000-0000B2090000}"/>
    <cellStyle name="Currency 3 12 2" xfId="2248" xr:uid="{00000000-0005-0000-0000-0000B3090000}"/>
    <cellStyle name="Currency 3 12 2 2" xfId="2249" xr:uid="{00000000-0005-0000-0000-0000B4090000}"/>
    <cellStyle name="Currency 3 12 2 3" xfId="2250" xr:uid="{00000000-0005-0000-0000-0000B5090000}"/>
    <cellStyle name="Currency 3 12 3" xfId="2251" xr:uid="{00000000-0005-0000-0000-0000B6090000}"/>
    <cellStyle name="Currency 3 120" xfId="2252" xr:uid="{00000000-0005-0000-0000-0000B7090000}"/>
    <cellStyle name="Currency 3 121" xfId="2253" xr:uid="{00000000-0005-0000-0000-0000B8090000}"/>
    <cellStyle name="Currency 3 122" xfId="2254" xr:uid="{00000000-0005-0000-0000-0000B9090000}"/>
    <cellStyle name="Currency 3 123" xfId="2255" xr:uid="{00000000-0005-0000-0000-0000BA090000}"/>
    <cellStyle name="Currency 3 124" xfId="2256" xr:uid="{00000000-0005-0000-0000-0000BB090000}"/>
    <cellStyle name="Currency 3 125" xfId="2257" xr:uid="{00000000-0005-0000-0000-0000BC090000}"/>
    <cellStyle name="Currency 3 126" xfId="2258" xr:uid="{00000000-0005-0000-0000-0000BD090000}"/>
    <cellStyle name="Currency 3 127" xfId="2259" xr:uid="{00000000-0005-0000-0000-0000BE090000}"/>
    <cellStyle name="Currency 3 128" xfId="2260" xr:uid="{00000000-0005-0000-0000-0000BF090000}"/>
    <cellStyle name="Currency 3 129" xfId="2261" xr:uid="{00000000-0005-0000-0000-0000C0090000}"/>
    <cellStyle name="Currency 3 13" xfId="2262" xr:uid="{00000000-0005-0000-0000-0000C1090000}"/>
    <cellStyle name="Currency 3 13 2" xfId="2263" xr:uid="{00000000-0005-0000-0000-0000C2090000}"/>
    <cellStyle name="Currency 3 13 2 2" xfId="2264" xr:uid="{00000000-0005-0000-0000-0000C3090000}"/>
    <cellStyle name="Currency 3 13 2 3" xfId="2265" xr:uid="{00000000-0005-0000-0000-0000C4090000}"/>
    <cellStyle name="Currency 3 13 3" xfId="2266" xr:uid="{00000000-0005-0000-0000-0000C5090000}"/>
    <cellStyle name="Currency 3 130" xfId="2267" xr:uid="{00000000-0005-0000-0000-0000C6090000}"/>
    <cellStyle name="Currency 3 131" xfId="2268" xr:uid="{00000000-0005-0000-0000-0000C7090000}"/>
    <cellStyle name="Currency 3 132" xfId="2269" xr:uid="{00000000-0005-0000-0000-0000C8090000}"/>
    <cellStyle name="Currency 3 133" xfId="2270" xr:uid="{00000000-0005-0000-0000-0000C9090000}"/>
    <cellStyle name="Currency 3 134" xfId="2271" xr:uid="{00000000-0005-0000-0000-0000CA090000}"/>
    <cellStyle name="Currency 3 135" xfId="2272" xr:uid="{00000000-0005-0000-0000-0000CB090000}"/>
    <cellStyle name="Currency 3 136" xfId="2273" xr:uid="{00000000-0005-0000-0000-0000CC090000}"/>
    <cellStyle name="Currency 3 137" xfId="2274" xr:uid="{00000000-0005-0000-0000-0000CD090000}"/>
    <cellStyle name="Currency 3 138" xfId="2275" xr:uid="{00000000-0005-0000-0000-0000CE090000}"/>
    <cellStyle name="Currency 3 139" xfId="2276" xr:uid="{00000000-0005-0000-0000-0000CF090000}"/>
    <cellStyle name="Currency 3 14" xfId="2277" xr:uid="{00000000-0005-0000-0000-0000D0090000}"/>
    <cellStyle name="Currency 3 14 2" xfId="2278" xr:uid="{00000000-0005-0000-0000-0000D1090000}"/>
    <cellStyle name="Currency 3 14 2 2" xfId="2279" xr:uid="{00000000-0005-0000-0000-0000D2090000}"/>
    <cellStyle name="Currency 3 14 2 3" xfId="2280" xr:uid="{00000000-0005-0000-0000-0000D3090000}"/>
    <cellStyle name="Currency 3 14 3" xfId="2281" xr:uid="{00000000-0005-0000-0000-0000D4090000}"/>
    <cellStyle name="Currency 3 15" xfId="2282" xr:uid="{00000000-0005-0000-0000-0000D5090000}"/>
    <cellStyle name="Currency 3 15 2" xfId="2283" xr:uid="{00000000-0005-0000-0000-0000D6090000}"/>
    <cellStyle name="Currency 3 15 2 2" xfId="2284" xr:uid="{00000000-0005-0000-0000-0000D7090000}"/>
    <cellStyle name="Currency 3 15 2 3" xfId="2285" xr:uid="{00000000-0005-0000-0000-0000D8090000}"/>
    <cellStyle name="Currency 3 15 3" xfId="2286" xr:uid="{00000000-0005-0000-0000-0000D9090000}"/>
    <cellStyle name="Currency 3 16" xfId="2287" xr:uid="{00000000-0005-0000-0000-0000DA090000}"/>
    <cellStyle name="Currency 3 16 2" xfId="2288" xr:uid="{00000000-0005-0000-0000-0000DB090000}"/>
    <cellStyle name="Currency 3 16 2 2" xfId="2289" xr:uid="{00000000-0005-0000-0000-0000DC090000}"/>
    <cellStyle name="Currency 3 16 2 3" xfId="2290" xr:uid="{00000000-0005-0000-0000-0000DD090000}"/>
    <cellStyle name="Currency 3 16 3" xfId="2291" xr:uid="{00000000-0005-0000-0000-0000DE090000}"/>
    <cellStyle name="Currency 3 17" xfId="2292" xr:uid="{00000000-0005-0000-0000-0000DF090000}"/>
    <cellStyle name="Currency 3 17 2" xfId="2293" xr:uid="{00000000-0005-0000-0000-0000E0090000}"/>
    <cellStyle name="Currency 3 17 2 2" xfId="2294" xr:uid="{00000000-0005-0000-0000-0000E1090000}"/>
    <cellStyle name="Currency 3 17 2 3" xfId="2295" xr:uid="{00000000-0005-0000-0000-0000E2090000}"/>
    <cellStyle name="Currency 3 17 3" xfId="2296" xr:uid="{00000000-0005-0000-0000-0000E3090000}"/>
    <cellStyle name="Currency 3 18" xfId="2297" xr:uid="{00000000-0005-0000-0000-0000E4090000}"/>
    <cellStyle name="Currency 3 18 2" xfId="2298" xr:uid="{00000000-0005-0000-0000-0000E5090000}"/>
    <cellStyle name="Currency 3 18 2 2" xfId="2299" xr:uid="{00000000-0005-0000-0000-0000E6090000}"/>
    <cellStyle name="Currency 3 18 2 3" xfId="2300" xr:uid="{00000000-0005-0000-0000-0000E7090000}"/>
    <cellStyle name="Currency 3 18 3" xfId="2301" xr:uid="{00000000-0005-0000-0000-0000E8090000}"/>
    <cellStyle name="Currency 3 19" xfId="2302" xr:uid="{00000000-0005-0000-0000-0000E9090000}"/>
    <cellStyle name="Currency 3 19 2" xfId="2303" xr:uid="{00000000-0005-0000-0000-0000EA090000}"/>
    <cellStyle name="Currency 3 19 2 2" xfId="2304" xr:uid="{00000000-0005-0000-0000-0000EB090000}"/>
    <cellStyle name="Currency 3 19 2 3" xfId="2305" xr:uid="{00000000-0005-0000-0000-0000EC090000}"/>
    <cellStyle name="Currency 3 19 3" xfId="2306" xr:uid="{00000000-0005-0000-0000-0000ED090000}"/>
    <cellStyle name="Currency 3 2" xfId="2307" xr:uid="{00000000-0005-0000-0000-0000EE090000}"/>
    <cellStyle name="Currency 3 2 10" xfId="2308" xr:uid="{00000000-0005-0000-0000-0000EF090000}"/>
    <cellStyle name="Currency 3 2 11" xfId="2309" xr:uid="{00000000-0005-0000-0000-0000F0090000}"/>
    <cellStyle name="Currency 3 2 12" xfId="2310" xr:uid="{00000000-0005-0000-0000-0000F1090000}"/>
    <cellStyle name="Currency 3 2 13" xfId="2311" xr:uid="{00000000-0005-0000-0000-0000F2090000}"/>
    <cellStyle name="Currency 3 2 14" xfId="2312" xr:uid="{00000000-0005-0000-0000-0000F3090000}"/>
    <cellStyle name="Currency 3 2 15" xfId="2313" xr:uid="{00000000-0005-0000-0000-0000F4090000}"/>
    <cellStyle name="Currency 3 2 15 2" xfId="2314" xr:uid="{00000000-0005-0000-0000-0000F5090000}"/>
    <cellStyle name="Currency 3 2 16" xfId="2315" xr:uid="{00000000-0005-0000-0000-0000F6090000}"/>
    <cellStyle name="Currency 3 2 17" xfId="2316" xr:uid="{00000000-0005-0000-0000-0000F7090000}"/>
    <cellStyle name="Currency 3 2 18" xfId="2317" xr:uid="{00000000-0005-0000-0000-0000F8090000}"/>
    <cellStyle name="Currency 3 2 18 2" xfId="2318" xr:uid="{00000000-0005-0000-0000-0000F9090000}"/>
    <cellStyle name="Currency 3 2 19" xfId="2319" xr:uid="{00000000-0005-0000-0000-0000FA090000}"/>
    <cellStyle name="Currency 3 2 2" xfId="2320" xr:uid="{00000000-0005-0000-0000-0000FB090000}"/>
    <cellStyle name="Currency 3 2 2 10" xfId="2321" xr:uid="{00000000-0005-0000-0000-0000FC090000}"/>
    <cellStyle name="Currency 3 2 2 11" xfId="2322" xr:uid="{00000000-0005-0000-0000-0000FD090000}"/>
    <cellStyle name="Currency 3 2 2 12" xfId="2323" xr:uid="{00000000-0005-0000-0000-0000FE090000}"/>
    <cellStyle name="Currency 3 2 2 13" xfId="2324" xr:uid="{00000000-0005-0000-0000-0000FF090000}"/>
    <cellStyle name="Currency 3 2 2 14" xfId="2325" xr:uid="{00000000-0005-0000-0000-0000000A0000}"/>
    <cellStyle name="Currency 3 2 2 15" xfId="2326" xr:uid="{00000000-0005-0000-0000-0000010A0000}"/>
    <cellStyle name="Currency 3 2 2 16" xfId="2327" xr:uid="{00000000-0005-0000-0000-0000020A0000}"/>
    <cellStyle name="Currency 3 2 2 17" xfId="2328" xr:uid="{00000000-0005-0000-0000-0000030A0000}"/>
    <cellStyle name="Currency 3 2 2 18" xfId="2329" xr:uid="{00000000-0005-0000-0000-0000040A0000}"/>
    <cellStyle name="Currency 3 2 2 2" xfId="2330" xr:uid="{00000000-0005-0000-0000-0000050A0000}"/>
    <cellStyle name="Currency 3 2 2 2 10" xfId="2331" xr:uid="{00000000-0005-0000-0000-0000060A0000}"/>
    <cellStyle name="Currency 3 2 2 2 11" xfId="2332" xr:uid="{00000000-0005-0000-0000-0000070A0000}"/>
    <cellStyle name="Currency 3 2 2 2 12" xfId="2333" xr:uid="{00000000-0005-0000-0000-0000080A0000}"/>
    <cellStyle name="Currency 3 2 2 2 13" xfId="2334" xr:uid="{00000000-0005-0000-0000-0000090A0000}"/>
    <cellStyle name="Currency 3 2 2 2 14" xfId="2335" xr:uid="{00000000-0005-0000-0000-00000A0A0000}"/>
    <cellStyle name="Currency 3 2 2 2 15" xfId="2336" xr:uid="{00000000-0005-0000-0000-00000B0A0000}"/>
    <cellStyle name="Currency 3 2 2 2 16" xfId="2337" xr:uid="{00000000-0005-0000-0000-00000C0A0000}"/>
    <cellStyle name="Currency 3 2 2 2 17" xfId="2338" xr:uid="{00000000-0005-0000-0000-00000D0A0000}"/>
    <cellStyle name="Currency 3 2 2 2 2" xfId="2339" xr:uid="{00000000-0005-0000-0000-00000E0A0000}"/>
    <cellStyle name="Currency 3 2 2 2 2 2" xfId="2340" xr:uid="{00000000-0005-0000-0000-00000F0A0000}"/>
    <cellStyle name="Currency 3 2 2 2 2 2 2" xfId="2341" xr:uid="{00000000-0005-0000-0000-0000100A0000}"/>
    <cellStyle name="Currency 3 2 2 2 2 2 3" xfId="2342" xr:uid="{00000000-0005-0000-0000-0000110A0000}"/>
    <cellStyle name="Currency 3 2 2 2 2 2 4" xfId="2343" xr:uid="{00000000-0005-0000-0000-0000120A0000}"/>
    <cellStyle name="Currency 3 2 2 2 2 2 5" xfId="2344" xr:uid="{00000000-0005-0000-0000-0000130A0000}"/>
    <cellStyle name="Currency 3 2 2 2 2 3" xfId="2345" xr:uid="{00000000-0005-0000-0000-0000140A0000}"/>
    <cellStyle name="Currency 3 2 2 2 2 4" xfId="2346" xr:uid="{00000000-0005-0000-0000-0000150A0000}"/>
    <cellStyle name="Currency 3 2 2 2 2 5" xfId="2347" xr:uid="{00000000-0005-0000-0000-0000160A0000}"/>
    <cellStyle name="Currency 3 2 2 2 3" xfId="2348" xr:uid="{00000000-0005-0000-0000-0000170A0000}"/>
    <cellStyle name="Currency 3 2 2 2 4" xfId="2349" xr:uid="{00000000-0005-0000-0000-0000180A0000}"/>
    <cellStyle name="Currency 3 2 2 2 5" xfId="2350" xr:uid="{00000000-0005-0000-0000-0000190A0000}"/>
    <cellStyle name="Currency 3 2 2 2 6" xfId="2351" xr:uid="{00000000-0005-0000-0000-00001A0A0000}"/>
    <cellStyle name="Currency 3 2 2 2 7" xfId="2352" xr:uid="{00000000-0005-0000-0000-00001B0A0000}"/>
    <cellStyle name="Currency 3 2 2 2 8" xfId="2353" xr:uid="{00000000-0005-0000-0000-00001C0A0000}"/>
    <cellStyle name="Currency 3 2 2 2 9" xfId="2354" xr:uid="{00000000-0005-0000-0000-00001D0A0000}"/>
    <cellStyle name="Currency 3 2 2 3" xfId="2355" xr:uid="{00000000-0005-0000-0000-00001E0A0000}"/>
    <cellStyle name="Currency 3 2 2 4" xfId="2356" xr:uid="{00000000-0005-0000-0000-00001F0A0000}"/>
    <cellStyle name="Currency 3 2 2 5" xfId="2357" xr:uid="{00000000-0005-0000-0000-0000200A0000}"/>
    <cellStyle name="Currency 3 2 2 6" xfId="2358" xr:uid="{00000000-0005-0000-0000-0000210A0000}"/>
    <cellStyle name="Currency 3 2 2 7" xfId="2359" xr:uid="{00000000-0005-0000-0000-0000220A0000}"/>
    <cellStyle name="Currency 3 2 2 8" xfId="2360" xr:uid="{00000000-0005-0000-0000-0000230A0000}"/>
    <cellStyle name="Currency 3 2 2 9" xfId="2361" xr:uid="{00000000-0005-0000-0000-0000240A0000}"/>
    <cellStyle name="Currency 3 2 20" xfId="2362" xr:uid="{00000000-0005-0000-0000-0000250A0000}"/>
    <cellStyle name="Currency 3 2 21" xfId="2363" xr:uid="{00000000-0005-0000-0000-0000260A0000}"/>
    <cellStyle name="Currency 3 2 3" xfId="2364" xr:uid="{00000000-0005-0000-0000-0000270A0000}"/>
    <cellStyle name="Currency 3 2 4" xfId="2365" xr:uid="{00000000-0005-0000-0000-0000280A0000}"/>
    <cellStyle name="Currency 3 2 5" xfId="2366" xr:uid="{00000000-0005-0000-0000-0000290A0000}"/>
    <cellStyle name="Currency 3 2 6" xfId="2367" xr:uid="{00000000-0005-0000-0000-00002A0A0000}"/>
    <cellStyle name="Currency 3 2 7" xfId="2368" xr:uid="{00000000-0005-0000-0000-00002B0A0000}"/>
    <cellStyle name="Currency 3 2 8" xfId="2369" xr:uid="{00000000-0005-0000-0000-00002C0A0000}"/>
    <cellStyle name="Currency 3 2 9" xfId="2370" xr:uid="{00000000-0005-0000-0000-00002D0A0000}"/>
    <cellStyle name="Currency 3 20" xfId="2371" xr:uid="{00000000-0005-0000-0000-00002E0A0000}"/>
    <cellStyle name="Currency 3 20 2" xfId="2372" xr:uid="{00000000-0005-0000-0000-00002F0A0000}"/>
    <cellStyle name="Currency 3 20 3" xfId="2373" xr:uid="{00000000-0005-0000-0000-0000300A0000}"/>
    <cellStyle name="Currency 3 20 4" xfId="2374" xr:uid="{00000000-0005-0000-0000-0000310A0000}"/>
    <cellStyle name="Currency 3 21" xfId="2375" xr:uid="{00000000-0005-0000-0000-0000320A0000}"/>
    <cellStyle name="Currency 3 21 2" xfId="2376" xr:uid="{00000000-0005-0000-0000-0000330A0000}"/>
    <cellStyle name="Currency 3 22" xfId="2377" xr:uid="{00000000-0005-0000-0000-0000340A0000}"/>
    <cellStyle name="Currency 3 22 2" xfId="2378" xr:uid="{00000000-0005-0000-0000-0000350A0000}"/>
    <cellStyle name="Currency 3 23" xfId="2379" xr:uid="{00000000-0005-0000-0000-0000360A0000}"/>
    <cellStyle name="Currency 3 23 2" xfId="2380" xr:uid="{00000000-0005-0000-0000-0000370A0000}"/>
    <cellStyle name="Currency 3 24" xfId="2381" xr:uid="{00000000-0005-0000-0000-0000380A0000}"/>
    <cellStyle name="Currency 3 24 2" xfId="2382" xr:uid="{00000000-0005-0000-0000-0000390A0000}"/>
    <cellStyle name="Currency 3 25" xfId="2383" xr:uid="{00000000-0005-0000-0000-00003A0A0000}"/>
    <cellStyle name="Currency 3 25 2" xfId="2384" xr:uid="{00000000-0005-0000-0000-00003B0A0000}"/>
    <cellStyle name="Currency 3 26" xfId="2385" xr:uid="{00000000-0005-0000-0000-00003C0A0000}"/>
    <cellStyle name="Currency 3 26 2" xfId="2386" xr:uid="{00000000-0005-0000-0000-00003D0A0000}"/>
    <cellStyle name="Currency 3 27" xfId="2387" xr:uid="{00000000-0005-0000-0000-00003E0A0000}"/>
    <cellStyle name="Currency 3 27 2" xfId="2388" xr:uid="{00000000-0005-0000-0000-00003F0A0000}"/>
    <cellStyle name="Currency 3 28" xfId="2389" xr:uid="{00000000-0005-0000-0000-0000400A0000}"/>
    <cellStyle name="Currency 3 28 2" xfId="2390" xr:uid="{00000000-0005-0000-0000-0000410A0000}"/>
    <cellStyle name="Currency 3 29" xfId="2391" xr:uid="{00000000-0005-0000-0000-0000420A0000}"/>
    <cellStyle name="Currency 3 29 2" xfId="2392" xr:uid="{00000000-0005-0000-0000-0000430A0000}"/>
    <cellStyle name="Currency 3 3" xfId="2393" xr:uid="{00000000-0005-0000-0000-0000440A0000}"/>
    <cellStyle name="Currency 3 3 10" xfId="2394" xr:uid="{00000000-0005-0000-0000-0000450A0000}"/>
    <cellStyle name="Currency 3 3 10 2" xfId="2395" xr:uid="{00000000-0005-0000-0000-0000460A0000}"/>
    <cellStyle name="Currency 3 3 11" xfId="2396" xr:uid="{00000000-0005-0000-0000-0000470A0000}"/>
    <cellStyle name="Currency 3 3 11 2" xfId="2397" xr:uid="{00000000-0005-0000-0000-0000480A0000}"/>
    <cellStyle name="Currency 3 3 12" xfId="2398" xr:uid="{00000000-0005-0000-0000-0000490A0000}"/>
    <cellStyle name="Currency 3 3 13" xfId="2399" xr:uid="{00000000-0005-0000-0000-00004A0A0000}"/>
    <cellStyle name="Currency 3 3 14" xfId="2400" xr:uid="{00000000-0005-0000-0000-00004B0A0000}"/>
    <cellStyle name="Currency 3 3 14 2" xfId="2401" xr:uid="{00000000-0005-0000-0000-00004C0A0000}"/>
    <cellStyle name="Currency 3 3 15" xfId="2402" xr:uid="{00000000-0005-0000-0000-00004D0A0000}"/>
    <cellStyle name="Currency 3 3 16" xfId="11127" xr:uid="{00000000-0005-0000-0000-00004E0A0000}"/>
    <cellStyle name="Currency 3 3 2" xfId="2403" xr:uid="{00000000-0005-0000-0000-00004F0A0000}"/>
    <cellStyle name="Currency 3 3 2 10" xfId="2404" xr:uid="{00000000-0005-0000-0000-0000500A0000}"/>
    <cellStyle name="Currency 3 3 2 10 2" xfId="2405" xr:uid="{00000000-0005-0000-0000-0000510A0000}"/>
    <cellStyle name="Currency 3 3 2 10 2 2" xfId="2406" xr:uid="{00000000-0005-0000-0000-0000520A0000}"/>
    <cellStyle name="Currency 3 3 2 10 3" xfId="2407" xr:uid="{00000000-0005-0000-0000-0000530A0000}"/>
    <cellStyle name="Currency 3 3 2 11" xfId="2408" xr:uid="{00000000-0005-0000-0000-0000540A0000}"/>
    <cellStyle name="Currency 3 3 2 11 2" xfId="2409" xr:uid="{00000000-0005-0000-0000-0000550A0000}"/>
    <cellStyle name="Currency 3 3 2 11 2 2" xfId="2410" xr:uid="{00000000-0005-0000-0000-0000560A0000}"/>
    <cellStyle name="Currency 3 3 2 11 3" xfId="2411" xr:uid="{00000000-0005-0000-0000-0000570A0000}"/>
    <cellStyle name="Currency 3 3 2 12" xfId="2412" xr:uid="{00000000-0005-0000-0000-0000580A0000}"/>
    <cellStyle name="Currency 3 3 2 12 2" xfId="2413" xr:uid="{00000000-0005-0000-0000-0000590A0000}"/>
    <cellStyle name="Currency 3 3 2 12 2 2" xfId="2414" xr:uid="{00000000-0005-0000-0000-00005A0A0000}"/>
    <cellStyle name="Currency 3 3 2 12 3" xfId="2415" xr:uid="{00000000-0005-0000-0000-00005B0A0000}"/>
    <cellStyle name="Currency 3 3 2 12 4" xfId="2416" xr:uid="{00000000-0005-0000-0000-00005C0A0000}"/>
    <cellStyle name="Currency 3 3 2 13" xfId="2417" xr:uid="{00000000-0005-0000-0000-00005D0A0000}"/>
    <cellStyle name="Currency 3 3 2 13 2" xfId="2418" xr:uid="{00000000-0005-0000-0000-00005E0A0000}"/>
    <cellStyle name="Currency 3 3 2 13 2 2" xfId="2419" xr:uid="{00000000-0005-0000-0000-00005F0A0000}"/>
    <cellStyle name="Currency 3 3 2 13 3" xfId="2420" xr:uid="{00000000-0005-0000-0000-0000600A0000}"/>
    <cellStyle name="Currency 3 3 2 14" xfId="2421" xr:uid="{00000000-0005-0000-0000-0000610A0000}"/>
    <cellStyle name="Currency 3 3 2 15" xfId="2422" xr:uid="{00000000-0005-0000-0000-0000620A0000}"/>
    <cellStyle name="Currency 3 3 2 2" xfId="2423" xr:uid="{00000000-0005-0000-0000-0000630A0000}"/>
    <cellStyle name="Currency 3 3 2 2 2" xfId="2424" xr:uid="{00000000-0005-0000-0000-0000640A0000}"/>
    <cellStyle name="Currency 3 3 2 2 2 2" xfId="2425" xr:uid="{00000000-0005-0000-0000-0000650A0000}"/>
    <cellStyle name="Currency 3 3 2 2 3" xfId="2426" xr:uid="{00000000-0005-0000-0000-0000660A0000}"/>
    <cellStyle name="Currency 3 3 2 3" xfId="2427" xr:uid="{00000000-0005-0000-0000-0000670A0000}"/>
    <cellStyle name="Currency 3 3 2 3 2" xfId="2428" xr:uid="{00000000-0005-0000-0000-0000680A0000}"/>
    <cellStyle name="Currency 3 3 2 3 2 2" xfId="2429" xr:uid="{00000000-0005-0000-0000-0000690A0000}"/>
    <cellStyle name="Currency 3 3 2 3 3" xfId="2430" xr:uid="{00000000-0005-0000-0000-00006A0A0000}"/>
    <cellStyle name="Currency 3 3 2 4" xfId="2431" xr:uid="{00000000-0005-0000-0000-00006B0A0000}"/>
    <cellStyle name="Currency 3 3 2 4 2" xfId="2432" xr:uid="{00000000-0005-0000-0000-00006C0A0000}"/>
    <cellStyle name="Currency 3 3 2 4 2 2" xfId="2433" xr:uid="{00000000-0005-0000-0000-00006D0A0000}"/>
    <cellStyle name="Currency 3 3 2 4 3" xfId="2434" xr:uid="{00000000-0005-0000-0000-00006E0A0000}"/>
    <cellStyle name="Currency 3 3 2 5" xfId="2435" xr:uid="{00000000-0005-0000-0000-00006F0A0000}"/>
    <cellStyle name="Currency 3 3 2 5 2" xfId="2436" xr:uid="{00000000-0005-0000-0000-0000700A0000}"/>
    <cellStyle name="Currency 3 3 2 5 2 2" xfId="2437" xr:uid="{00000000-0005-0000-0000-0000710A0000}"/>
    <cellStyle name="Currency 3 3 2 5 3" xfId="2438" xr:uid="{00000000-0005-0000-0000-0000720A0000}"/>
    <cellStyle name="Currency 3 3 2 6" xfId="2439" xr:uid="{00000000-0005-0000-0000-0000730A0000}"/>
    <cellStyle name="Currency 3 3 2 6 2" xfId="2440" xr:uid="{00000000-0005-0000-0000-0000740A0000}"/>
    <cellStyle name="Currency 3 3 2 6 2 2" xfId="2441" xr:uid="{00000000-0005-0000-0000-0000750A0000}"/>
    <cellStyle name="Currency 3 3 2 6 3" xfId="2442" xr:uid="{00000000-0005-0000-0000-0000760A0000}"/>
    <cellStyle name="Currency 3 3 2 7" xfId="2443" xr:uid="{00000000-0005-0000-0000-0000770A0000}"/>
    <cellStyle name="Currency 3 3 2 7 2" xfId="2444" xr:uid="{00000000-0005-0000-0000-0000780A0000}"/>
    <cellStyle name="Currency 3 3 2 7 2 2" xfId="2445" xr:uid="{00000000-0005-0000-0000-0000790A0000}"/>
    <cellStyle name="Currency 3 3 2 7 3" xfId="2446" xr:uid="{00000000-0005-0000-0000-00007A0A0000}"/>
    <cellStyle name="Currency 3 3 2 8" xfId="2447" xr:uid="{00000000-0005-0000-0000-00007B0A0000}"/>
    <cellStyle name="Currency 3 3 2 8 2" xfId="2448" xr:uid="{00000000-0005-0000-0000-00007C0A0000}"/>
    <cellStyle name="Currency 3 3 2 8 2 2" xfId="2449" xr:uid="{00000000-0005-0000-0000-00007D0A0000}"/>
    <cellStyle name="Currency 3 3 2 8 3" xfId="2450" xr:uid="{00000000-0005-0000-0000-00007E0A0000}"/>
    <cellStyle name="Currency 3 3 2 9" xfId="2451" xr:uid="{00000000-0005-0000-0000-00007F0A0000}"/>
    <cellStyle name="Currency 3 3 2 9 2" xfId="2452" xr:uid="{00000000-0005-0000-0000-0000800A0000}"/>
    <cellStyle name="Currency 3 3 2 9 2 2" xfId="2453" xr:uid="{00000000-0005-0000-0000-0000810A0000}"/>
    <cellStyle name="Currency 3 3 2 9 3" xfId="2454" xr:uid="{00000000-0005-0000-0000-0000820A0000}"/>
    <cellStyle name="Currency 3 3 3" xfId="2455" xr:uid="{00000000-0005-0000-0000-0000830A0000}"/>
    <cellStyle name="Currency 3 3 3 2" xfId="2456" xr:uid="{00000000-0005-0000-0000-0000840A0000}"/>
    <cellStyle name="Currency 3 3 4" xfId="2457" xr:uid="{00000000-0005-0000-0000-0000850A0000}"/>
    <cellStyle name="Currency 3 3 4 2" xfId="2458" xr:uid="{00000000-0005-0000-0000-0000860A0000}"/>
    <cellStyle name="Currency 3 3 5" xfId="2459" xr:uid="{00000000-0005-0000-0000-0000870A0000}"/>
    <cellStyle name="Currency 3 3 5 2" xfId="2460" xr:uid="{00000000-0005-0000-0000-0000880A0000}"/>
    <cellStyle name="Currency 3 3 6" xfId="2461" xr:uid="{00000000-0005-0000-0000-0000890A0000}"/>
    <cellStyle name="Currency 3 3 6 2" xfId="2462" xr:uid="{00000000-0005-0000-0000-00008A0A0000}"/>
    <cellStyle name="Currency 3 3 7" xfId="2463" xr:uid="{00000000-0005-0000-0000-00008B0A0000}"/>
    <cellStyle name="Currency 3 3 7 2" xfId="2464" xr:uid="{00000000-0005-0000-0000-00008C0A0000}"/>
    <cellStyle name="Currency 3 3 8" xfId="2465" xr:uid="{00000000-0005-0000-0000-00008D0A0000}"/>
    <cellStyle name="Currency 3 3 8 2" xfId="2466" xr:uid="{00000000-0005-0000-0000-00008E0A0000}"/>
    <cellStyle name="Currency 3 3 9" xfId="2467" xr:uid="{00000000-0005-0000-0000-00008F0A0000}"/>
    <cellStyle name="Currency 3 3 9 2" xfId="2468" xr:uid="{00000000-0005-0000-0000-0000900A0000}"/>
    <cellStyle name="Currency 3 30" xfId="2469" xr:uid="{00000000-0005-0000-0000-0000910A0000}"/>
    <cellStyle name="Currency 3 30 2" xfId="2470" xr:uid="{00000000-0005-0000-0000-0000920A0000}"/>
    <cellStyle name="Currency 3 31" xfId="2471" xr:uid="{00000000-0005-0000-0000-0000930A0000}"/>
    <cellStyle name="Currency 3 31 2" xfId="2472" xr:uid="{00000000-0005-0000-0000-0000940A0000}"/>
    <cellStyle name="Currency 3 32" xfId="2473" xr:uid="{00000000-0005-0000-0000-0000950A0000}"/>
    <cellStyle name="Currency 3 32 2" xfId="2474" xr:uid="{00000000-0005-0000-0000-0000960A0000}"/>
    <cellStyle name="Currency 3 33" xfId="2475" xr:uid="{00000000-0005-0000-0000-0000970A0000}"/>
    <cellStyle name="Currency 3 33 2" xfId="2476" xr:uid="{00000000-0005-0000-0000-0000980A0000}"/>
    <cellStyle name="Currency 3 34" xfId="2477" xr:uid="{00000000-0005-0000-0000-0000990A0000}"/>
    <cellStyle name="Currency 3 34 2" xfId="2478" xr:uid="{00000000-0005-0000-0000-00009A0A0000}"/>
    <cellStyle name="Currency 3 35" xfId="2479" xr:uid="{00000000-0005-0000-0000-00009B0A0000}"/>
    <cellStyle name="Currency 3 35 2" xfId="2480" xr:uid="{00000000-0005-0000-0000-00009C0A0000}"/>
    <cellStyle name="Currency 3 36" xfId="2481" xr:uid="{00000000-0005-0000-0000-00009D0A0000}"/>
    <cellStyle name="Currency 3 36 2" xfId="2482" xr:uid="{00000000-0005-0000-0000-00009E0A0000}"/>
    <cellStyle name="Currency 3 37" xfId="2483" xr:uid="{00000000-0005-0000-0000-00009F0A0000}"/>
    <cellStyle name="Currency 3 37 2" xfId="2484" xr:uid="{00000000-0005-0000-0000-0000A00A0000}"/>
    <cellStyle name="Currency 3 38" xfId="2485" xr:uid="{00000000-0005-0000-0000-0000A10A0000}"/>
    <cellStyle name="Currency 3 38 2" xfId="2486" xr:uid="{00000000-0005-0000-0000-0000A20A0000}"/>
    <cellStyle name="Currency 3 39" xfId="2487" xr:uid="{00000000-0005-0000-0000-0000A30A0000}"/>
    <cellStyle name="Currency 3 39 2" xfId="2488" xr:uid="{00000000-0005-0000-0000-0000A40A0000}"/>
    <cellStyle name="Currency 3 4" xfId="2489" xr:uid="{00000000-0005-0000-0000-0000A50A0000}"/>
    <cellStyle name="Currency 3 4 2" xfId="2490" xr:uid="{00000000-0005-0000-0000-0000A60A0000}"/>
    <cellStyle name="Currency 3 4 2 2" xfId="2491" xr:uid="{00000000-0005-0000-0000-0000A70A0000}"/>
    <cellStyle name="Currency 3 4 2 2 2" xfId="2492" xr:uid="{00000000-0005-0000-0000-0000A80A0000}"/>
    <cellStyle name="Currency 3 4 2 3" xfId="2493" xr:uid="{00000000-0005-0000-0000-0000A90A0000}"/>
    <cellStyle name="Currency 3 4 2 4" xfId="2494" xr:uid="{00000000-0005-0000-0000-0000AA0A0000}"/>
    <cellStyle name="Currency 3 4 2 5" xfId="2495" xr:uid="{00000000-0005-0000-0000-0000AB0A0000}"/>
    <cellStyle name="Currency 3 4 3" xfId="2496" xr:uid="{00000000-0005-0000-0000-0000AC0A0000}"/>
    <cellStyle name="Currency 3 4 4" xfId="2497" xr:uid="{00000000-0005-0000-0000-0000AD0A0000}"/>
    <cellStyle name="Currency 3 4 5" xfId="2498" xr:uid="{00000000-0005-0000-0000-0000AE0A0000}"/>
    <cellStyle name="Currency 3 4 6" xfId="2499" xr:uid="{00000000-0005-0000-0000-0000AF0A0000}"/>
    <cellStyle name="Currency 3 40" xfId="2500" xr:uid="{00000000-0005-0000-0000-0000B00A0000}"/>
    <cellStyle name="Currency 3 40 2" xfId="2501" xr:uid="{00000000-0005-0000-0000-0000B10A0000}"/>
    <cellStyle name="Currency 3 41" xfId="2502" xr:uid="{00000000-0005-0000-0000-0000B20A0000}"/>
    <cellStyle name="Currency 3 41 2" xfId="2503" xr:uid="{00000000-0005-0000-0000-0000B30A0000}"/>
    <cellStyle name="Currency 3 42" xfId="2504" xr:uid="{00000000-0005-0000-0000-0000B40A0000}"/>
    <cellStyle name="Currency 3 42 2" xfId="2505" xr:uid="{00000000-0005-0000-0000-0000B50A0000}"/>
    <cellStyle name="Currency 3 43" xfId="2506" xr:uid="{00000000-0005-0000-0000-0000B60A0000}"/>
    <cellStyle name="Currency 3 43 2" xfId="2507" xr:uid="{00000000-0005-0000-0000-0000B70A0000}"/>
    <cellStyle name="Currency 3 44" xfId="2508" xr:uid="{00000000-0005-0000-0000-0000B80A0000}"/>
    <cellStyle name="Currency 3 44 2" xfId="2509" xr:uid="{00000000-0005-0000-0000-0000B90A0000}"/>
    <cellStyle name="Currency 3 45" xfId="2510" xr:uid="{00000000-0005-0000-0000-0000BA0A0000}"/>
    <cellStyle name="Currency 3 45 2" xfId="2511" xr:uid="{00000000-0005-0000-0000-0000BB0A0000}"/>
    <cellStyle name="Currency 3 46" xfId="2512" xr:uid="{00000000-0005-0000-0000-0000BC0A0000}"/>
    <cellStyle name="Currency 3 46 2" xfId="2513" xr:uid="{00000000-0005-0000-0000-0000BD0A0000}"/>
    <cellStyle name="Currency 3 47" xfId="2514" xr:uid="{00000000-0005-0000-0000-0000BE0A0000}"/>
    <cellStyle name="Currency 3 47 2" xfId="2515" xr:uid="{00000000-0005-0000-0000-0000BF0A0000}"/>
    <cellStyle name="Currency 3 48" xfId="2516" xr:uid="{00000000-0005-0000-0000-0000C00A0000}"/>
    <cellStyle name="Currency 3 48 2" xfId="2517" xr:uid="{00000000-0005-0000-0000-0000C10A0000}"/>
    <cellStyle name="Currency 3 49" xfId="2518" xr:uid="{00000000-0005-0000-0000-0000C20A0000}"/>
    <cellStyle name="Currency 3 49 2" xfId="2519" xr:uid="{00000000-0005-0000-0000-0000C30A0000}"/>
    <cellStyle name="Currency 3 5" xfId="2520" xr:uid="{00000000-0005-0000-0000-0000C40A0000}"/>
    <cellStyle name="Currency 3 5 2" xfId="2521" xr:uid="{00000000-0005-0000-0000-0000C50A0000}"/>
    <cellStyle name="Currency 3 5 2 2" xfId="2522" xr:uid="{00000000-0005-0000-0000-0000C60A0000}"/>
    <cellStyle name="Currency 3 5 2 3" xfId="2523" xr:uid="{00000000-0005-0000-0000-0000C70A0000}"/>
    <cellStyle name="Currency 3 5 3" xfId="2524" xr:uid="{00000000-0005-0000-0000-0000C80A0000}"/>
    <cellStyle name="Currency 3 50" xfId="2525" xr:uid="{00000000-0005-0000-0000-0000C90A0000}"/>
    <cellStyle name="Currency 3 50 2" xfId="2526" xr:uid="{00000000-0005-0000-0000-0000CA0A0000}"/>
    <cellStyle name="Currency 3 51" xfId="2527" xr:uid="{00000000-0005-0000-0000-0000CB0A0000}"/>
    <cellStyle name="Currency 3 51 2" xfId="2528" xr:uid="{00000000-0005-0000-0000-0000CC0A0000}"/>
    <cellStyle name="Currency 3 52" xfId="2529" xr:uid="{00000000-0005-0000-0000-0000CD0A0000}"/>
    <cellStyle name="Currency 3 52 2" xfId="2530" xr:uid="{00000000-0005-0000-0000-0000CE0A0000}"/>
    <cellStyle name="Currency 3 53" xfId="2531" xr:uid="{00000000-0005-0000-0000-0000CF0A0000}"/>
    <cellStyle name="Currency 3 53 2" xfId="2532" xr:uid="{00000000-0005-0000-0000-0000D00A0000}"/>
    <cellStyle name="Currency 3 54" xfId="2533" xr:uid="{00000000-0005-0000-0000-0000D10A0000}"/>
    <cellStyle name="Currency 3 54 2" xfId="2534" xr:uid="{00000000-0005-0000-0000-0000D20A0000}"/>
    <cellStyle name="Currency 3 55" xfId="2535" xr:uid="{00000000-0005-0000-0000-0000D30A0000}"/>
    <cellStyle name="Currency 3 55 2" xfId="2536" xr:uid="{00000000-0005-0000-0000-0000D40A0000}"/>
    <cellStyle name="Currency 3 56" xfId="2537" xr:uid="{00000000-0005-0000-0000-0000D50A0000}"/>
    <cellStyle name="Currency 3 56 2" xfId="2538" xr:uid="{00000000-0005-0000-0000-0000D60A0000}"/>
    <cellStyle name="Currency 3 57" xfId="2539" xr:uid="{00000000-0005-0000-0000-0000D70A0000}"/>
    <cellStyle name="Currency 3 57 2" xfId="2540" xr:uid="{00000000-0005-0000-0000-0000D80A0000}"/>
    <cellStyle name="Currency 3 58" xfId="2541" xr:uid="{00000000-0005-0000-0000-0000D90A0000}"/>
    <cellStyle name="Currency 3 58 2" xfId="2542" xr:uid="{00000000-0005-0000-0000-0000DA0A0000}"/>
    <cellStyle name="Currency 3 59" xfId="2543" xr:uid="{00000000-0005-0000-0000-0000DB0A0000}"/>
    <cellStyle name="Currency 3 59 2" xfId="2544" xr:uid="{00000000-0005-0000-0000-0000DC0A0000}"/>
    <cellStyle name="Currency 3 6" xfId="2545" xr:uid="{00000000-0005-0000-0000-0000DD0A0000}"/>
    <cellStyle name="Currency 3 6 2" xfId="2546" xr:uid="{00000000-0005-0000-0000-0000DE0A0000}"/>
    <cellStyle name="Currency 3 6 2 2" xfId="2547" xr:uid="{00000000-0005-0000-0000-0000DF0A0000}"/>
    <cellStyle name="Currency 3 6 2 3" xfId="2548" xr:uid="{00000000-0005-0000-0000-0000E00A0000}"/>
    <cellStyle name="Currency 3 6 3" xfId="2549" xr:uid="{00000000-0005-0000-0000-0000E10A0000}"/>
    <cellStyle name="Currency 3 60" xfId="2550" xr:uid="{00000000-0005-0000-0000-0000E20A0000}"/>
    <cellStyle name="Currency 3 60 2" xfId="2551" xr:uid="{00000000-0005-0000-0000-0000E30A0000}"/>
    <cellStyle name="Currency 3 61" xfId="2552" xr:uid="{00000000-0005-0000-0000-0000E40A0000}"/>
    <cellStyle name="Currency 3 61 2" xfId="2553" xr:uid="{00000000-0005-0000-0000-0000E50A0000}"/>
    <cellStyle name="Currency 3 62" xfId="2554" xr:uid="{00000000-0005-0000-0000-0000E60A0000}"/>
    <cellStyle name="Currency 3 63" xfId="2555" xr:uid="{00000000-0005-0000-0000-0000E70A0000}"/>
    <cellStyle name="Currency 3 64" xfId="2556" xr:uid="{00000000-0005-0000-0000-0000E80A0000}"/>
    <cellStyle name="Currency 3 65" xfId="2557" xr:uid="{00000000-0005-0000-0000-0000E90A0000}"/>
    <cellStyle name="Currency 3 66" xfId="2558" xr:uid="{00000000-0005-0000-0000-0000EA0A0000}"/>
    <cellStyle name="Currency 3 67" xfId="2559" xr:uid="{00000000-0005-0000-0000-0000EB0A0000}"/>
    <cellStyle name="Currency 3 68" xfId="2560" xr:uid="{00000000-0005-0000-0000-0000EC0A0000}"/>
    <cellStyle name="Currency 3 69" xfId="2561" xr:uid="{00000000-0005-0000-0000-0000ED0A0000}"/>
    <cellStyle name="Currency 3 7" xfId="2562" xr:uid="{00000000-0005-0000-0000-0000EE0A0000}"/>
    <cellStyle name="Currency 3 7 2" xfId="2563" xr:uid="{00000000-0005-0000-0000-0000EF0A0000}"/>
    <cellStyle name="Currency 3 7 2 2" xfId="2564" xr:uid="{00000000-0005-0000-0000-0000F00A0000}"/>
    <cellStyle name="Currency 3 7 2 3" xfId="2565" xr:uid="{00000000-0005-0000-0000-0000F10A0000}"/>
    <cellStyle name="Currency 3 7 3" xfId="2566" xr:uid="{00000000-0005-0000-0000-0000F20A0000}"/>
    <cellStyle name="Currency 3 70" xfId="2567" xr:uid="{00000000-0005-0000-0000-0000F30A0000}"/>
    <cellStyle name="Currency 3 71" xfId="2568" xr:uid="{00000000-0005-0000-0000-0000F40A0000}"/>
    <cellStyle name="Currency 3 72" xfId="2569" xr:uid="{00000000-0005-0000-0000-0000F50A0000}"/>
    <cellStyle name="Currency 3 73" xfId="2570" xr:uid="{00000000-0005-0000-0000-0000F60A0000}"/>
    <cellStyle name="Currency 3 74" xfId="2571" xr:uid="{00000000-0005-0000-0000-0000F70A0000}"/>
    <cellStyle name="Currency 3 75" xfId="2572" xr:uid="{00000000-0005-0000-0000-0000F80A0000}"/>
    <cellStyle name="Currency 3 76" xfId="2573" xr:uid="{00000000-0005-0000-0000-0000F90A0000}"/>
    <cellStyle name="Currency 3 77" xfId="2574" xr:uid="{00000000-0005-0000-0000-0000FA0A0000}"/>
    <cellStyle name="Currency 3 78" xfId="2575" xr:uid="{00000000-0005-0000-0000-0000FB0A0000}"/>
    <cellStyle name="Currency 3 79" xfId="2576" xr:uid="{00000000-0005-0000-0000-0000FC0A0000}"/>
    <cellStyle name="Currency 3 8" xfId="2577" xr:uid="{00000000-0005-0000-0000-0000FD0A0000}"/>
    <cellStyle name="Currency 3 8 2" xfId="2578" xr:uid="{00000000-0005-0000-0000-0000FE0A0000}"/>
    <cellStyle name="Currency 3 8 2 2" xfId="2579" xr:uid="{00000000-0005-0000-0000-0000FF0A0000}"/>
    <cellStyle name="Currency 3 8 2 3" xfId="2580" xr:uid="{00000000-0005-0000-0000-0000000B0000}"/>
    <cellStyle name="Currency 3 8 3" xfId="2581" xr:uid="{00000000-0005-0000-0000-0000010B0000}"/>
    <cellStyle name="Currency 3 80" xfId="2582" xr:uid="{00000000-0005-0000-0000-0000020B0000}"/>
    <cellStyle name="Currency 3 81" xfId="2583" xr:uid="{00000000-0005-0000-0000-0000030B0000}"/>
    <cellStyle name="Currency 3 82" xfId="2584" xr:uid="{00000000-0005-0000-0000-0000040B0000}"/>
    <cellStyle name="Currency 3 83" xfId="2585" xr:uid="{00000000-0005-0000-0000-0000050B0000}"/>
    <cellStyle name="Currency 3 84" xfId="2586" xr:uid="{00000000-0005-0000-0000-0000060B0000}"/>
    <cellStyle name="Currency 3 85" xfId="2587" xr:uid="{00000000-0005-0000-0000-0000070B0000}"/>
    <cellStyle name="Currency 3 86" xfId="2588" xr:uid="{00000000-0005-0000-0000-0000080B0000}"/>
    <cellStyle name="Currency 3 87" xfId="2589" xr:uid="{00000000-0005-0000-0000-0000090B0000}"/>
    <cellStyle name="Currency 3 88" xfId="2590" xr:uid="{00000000-0005-0000-0000-00000A0B0000}"/>
    <cellStyle name="Currency 3 89" xfId="2591" xr:uid="{00000000-0005-0000-0000-00000B0B0000}"/>
    <cellStyle name="Currency 3 9" xfId="2592" xr:uid="{00000000-0005-0000-0000-00000C0B0000}"/>
    <cellStyle name="Currency 3 9 2" xfId="2593" xr:uid="{00000000-0005-0000-0000-00000D0B0000}"/>
    <cellStyle name="Currency 3 9 2 2" xfId="2594" xr:uid="{00000000-0005-0000-0000-00000E0B0000}"/>
    <cellStyle name="Currency 3 9 2 3" xfId="2595" xr:uid="{00000000-0005-0000-0000-00000F0B0000}"/>
    <cellStyle name="Currency 3 9 3" xfId="2596" xr:uid="{00000000-0005-0000-0000-0000100B0000}"/>
    <cellStyle name="Currency 3 90" xfId="2597" xr:uid="{00000000-0005-0000-0000-0000110B0000}"/>
    <cellStyle name="Currency 3 91" xfId="2598" xr:uid="{00000000-0005-0000-0000-0000120B0000}"/>
    <cellStyle name="Currency 3 92" xfId="2599" xr:uid="{00000000-0005-0000-0000-0000130B0000}"/>
    <cellStyle name="Currency 3 92 2" xfId="2600" xr:uid="{00000000-0005-0000-0000-0000140B0000}"/>
    <cellStyle name="Currency 3 92 3" xfId="9611" xr:uid="{00000000-0005-0000-0000-0000150B0000}"/>
    <cellStyle name="Currency 3 93" xfId="2601" xr:uid="{00000000-0005-0000-0000-0000160B0000}"/>
    <cellStyle name="Currency 3 94" xfId="2602" xr:uid="{00000000-0005-0000-0000-0000170B0000}"/>
    <cellStyle name="Currency 3 95" xfId="2603" xr:uid="{00000000-0005-0000-0000-0000180B0000}"/>
    <cellStyle name="Currency 3 96" xfId="2604" xr:uid="{00000000-0005-0000-0000-0000190B0000}"/>
    <cellStyle name="Currency 3 97" xfId="2605" xr:uid="{00000000-0005-0000-0000-00001A0B0000}"/>
    <cellStyle name="Currency 3 98" xfId="2606" xr:uid="{00000000-0005-0000-0000-00001B0B0000}"/>
    <cellStyle name="Currency 3 99" xfId="2607" xr:uid="{00000000-0005-0000-0000-00001C0B0000}"/>
    <cellStyle name="Currency 30" xfId="2608" xr:uid="{00000000-0005-0000-0000-00001D0B0000}"/>
    <cellStyle name="Currency 31" xfId="2609" xr:uid="{00000000-0005-0000-0000-00001E0B0000}"/>
    <cellStyle name="Currency 32" xfId="2610" xr:uid="{00000000-0005-0000-0000-00001F0B0000}"/>
    <cellStyle name="Currency 33" xfId="2611" xr:uid="{00000000-0005-0000-0000-0000200B0000}"/>
    <cellStyle name="Currency 34" xfId="2612" xr:uid="{00000000-0005-0000-0000-0000210B0000}"/>
    <cellStyle name="Currency 34 2" xfId="11184" xr:uid="{00000000-0005-0000-0000-0000220B0000}"/>
    <cellStyle name="Currency 35" xfId="2613" xr:uid="{00000000-0005-0000-0000-0000230B0000}"/>
    <cellStyle name="Currency 36" xfId="2614" xr:uid="{00000000-0005-0000-0000-0000240B0000}"/>
    <cellStyle name="Currency 37" xfId="9408" xr:uid="{00000000-0005-0000-0000-0000250B0000}"/>
    <cellStyle name="Currency 4" xfId="2615" xr:uid="{00000000-0005-0000-0000-0000260B0000}"/>
    <cellStyle name="Currency 4 10" xfId="2616" xr:uid="{00000000-0005-0000-0000-0000270B0000}"/>
    <cellStyle name="Currency 4 11" xfId="2617" xr:uid="{00000000-0005-0000-0000-0000280B0000}"/>
    <cellStyle name="Currency 4 12" xfId="2618" xr:uid="{00000000-0005-0000-0000-0000290B0000}"/>
    <cellStyle name="Currency 4 13" xfId="2619" xr:uid="{00000000-0005-0000-0000-00002A0B0000}"/>
    <cellStyle name="Currency 4 14" xfId="2620" xr:uid="{00000000-0005-0000-0000-00002B0B0000}"/>
    <cellStyle name="Currency 4 15" xfId="2621" xr:uid="{00000000-0005-0000-0000-00002C0B0000}"/>
    <cellStyle name="Currency 4 16" xfId="2622" xr:uid="{00000000-0005-0000-0000-00002D0B0000}"/>
    <cellStyle name="Currency 4 17" xfId="2623" xr:uid="{00000000-0005-0000-0000-00002E0B0000}"/>
    <cellStyle name="Currency 4 18" xfId="2624" xr:uid="{00000000-0005-0000-0000-00002F0B0000}"/>
    <cellStyle name="Currency 4 19" xfId="2625" xr:uid="{00000000-0005-0000-0000-0000300B0000}"/>
    <cellStyle name="Currency 4 2" xfId="2626" xr:uid="{00000000-0005-0000-0000-0000310B0000}"/>
    <cellStyle name="Currency 4 2 2" xfId="2627" xr:uid="{00000000-0005-0000-0000-0000320B0000}"/>
    <cellStyle name="Currency 4 2 2 2" xfId="2628" xr:uid="{00000000-0005-0000-0000-0000330B0000}"/>
    <cellStyle name="Currency 4 2 2 3" xfId="2629" xr:uid="{00000000-0005-0000-0000-0000340B0000}"/>
    <cellStyle name="Currency 4 2 2 4" xfId="2630" xr:uid="{00000000-0005-0000-0000-0000350B0000}"/>
    <cellStyle name="Currency 4 2 2 5" xfId="2631" xr:uid="{00000000-0005-0000-0000-0000360B0000}"/>
    <cellStyle name="Currency 4 2 2 6" xfId="2632" xr:uid="{00000000-0005-0000-0000-0000370B0000}"/>
    <cellStyle name="Currency 4 2 2 7" xfId="2633" xr:uid="{00000000-0005-0000-0000-0000380B0000}"/>
    <cellStyle name="Currency 4 2 2 8" xfId="2634" xr:uid="{00000000-0005-0000-0000-0000390B0000}"/>
    <cellStyle name="Currency 4 2 2 9" xfId="2635" xr:uid="{00000000-0005-0000-0000-00003A0B0000}"/>
    <cellStyle name="Currency 4 2 3" xfId="2636" xr:uid="{00000000-0005-0000-0000-00003B0B0000}"/>
    <cellStyle name="Currency 4 2 4" xfId="2637" xr:uid="{00000000-0005-0000-0000-00003C0B0000}"/>
    <cellStyle name="Currency 4 2 5" xfId="2638" xr:uid="{00000000-0005-0000-0000-00003D0B0000}"/>
    <cellStyle name="Currency 4 2 6" xfId="2639" xr:uid="{00000000-0005-0000-0000-00003E0B0000}"/>
    <cellStyle name="Currency 4 2 7" xfId="2640" xr:uid="{00000000-0005-0000-0000-00003F0B0000}"/>
    <cellStyle name="Currency 4 2 8" xfId="2641" xr:uid="{00000000-0005-0000-0000-0000400B0000}"/>
    <cellStyle name="Currency 4 2 9" xfId="2642" xr:uid="{00000000-0005-0000-0000-0000410B0000}"/>
    <cellStyle name="Currency 4 20" xfId="2643" xr:uid="{00000000-0005-0000-0000-0000420B0000}"/>
    <cellStyle name="Currency 4 21" xfId="2644" xr:uid="{00000000-0005-0000-0000-0000430B0000}"/>
    <cellStyle name="Currency 4 22" xfId="2645" xr:uid="{00000000-0005-0000-0000-0000440B0000}"/>
    <cellStyle name="Currency 4 23" xfId="2646" xr:uid="{00000000-0005-0000-0000-0000450B0000}"/>
    <cellStyle name="Currency 4 24" xfId="2647" xr:uid="{00000000-0005-0000-0000-0000460B0000}"/>
    <cellStyle name="Currency 4 25" xfId="2648" xr:uid="{00000000-0005-0000-0000-0000470B0000}"/>
    <cellStyle name="Currency 4 26" xfId="2649" xr:uid="{00000000-0005-0000-0000-0000480B0000}"/>
    <cellStyle name="Currency 4 27" xfId="2650" xr:uid="{00000000-0005-0000-0000-0000490B0000}"/>
    <cellStyle name="Currency 4 28" xfId="2651" xr:uid="{00000000-0005-0000-0000-00004A0B0000}"/>
    <cellStyle name="Currency 4 29" xfId="2652" xr:uid="{00000000-0005-0000-0000-00004B0B0000}"/>
    <cellStyle name="Currency 4 3" xfId="2653" xr:uid="{00000000-0005-0000-0000-00004C0B0000}"/>
    <cellStyle name="Currency 4 30" xfId="2654" xr:uid="{00000000-0005-0000-0000-00004D0B0000}"/>
    <cellStyle name="Currency 4 31" xfId="2655" xr:uid="{00000000-0005-0000-0000-00004E0B0000}"/>
    <cellStyle name="Currency 4 32" xfId="2656" xr:uid="{00000000-0005-0000-0000-00004F0B0000}"/>
    <cellStyle name="Currency 4 33" xfId="2657" xr:uid="{00000000-0005-0000-0000-0000500B0000}"/>
    <cellStyle name="Currency 4 34" xfId="2658" xr:uid="{00000000-0005-0000-0000-0000510B0000}"/>
    <cellStyle name="Currency 4 35" xfId="2659" xr:uid="{00000000-0005-0000-0000-0000520B0000}"/>
    <cellStyle name="Currency 4 36" xfId="2660" xr:uid="{00000000-0005-0000-0000-0000530B0000}"/>
    <cellStyle name="Currency 4 37" xfId="2661" xr:uid="{00000000-0005-0000-0000-0000540B0000}"/>
    <cellStyle name="Currency 4 38" xfId="2662" xr:uid="{00000000-0005-0000-0000-0000550B0000}"/>
    <cellStyle name="Currency 4 39" xfId="2663" xr:uid="{00000000-0005-0000-0000-0000560B0000}"/>
    <cellStyle name="Currency 4 4" xfId="2664" xr:uid="{00000000-0005-0000-0000-0000570B0000}"/>
    <cellStyle name="Currency 4 40" xfId="2665" xr:uid="{00000000-0005-0000-0000-0000580B0000}"/>
    <cellStyle name="Currency 4 41" xfId="2666" xr:uid="{00000000-0005-0000-0000-0000590B0000}"/>
    <cellStyle name="Currency 4 42" xfId="2667" xr:uid="{00000000-0005-0000-0000-00005A0B0000}"/>
    <cellStyle name="Currency 4 43" xfId="2668" xr:uid="{00000000-0005-0000-0000-00005B0B0000}"/>
    <cellStyle name="Currency 4 44" xfId="2669" xr:uid="{00000000-0005-0000-0000-00005C0B0000}"/>
    <cellStyle name="Currency 4 45" xfId="2670" xr:uid="{00000000-0005-0000-0000-00005D0B0000}"/>
    <cellStyle name="Currency 4 46" xfId="2671" xr:uid="{00000000-0005-0000-0000-00005E0B0000}"/>
    <cellStyle name="Currency 4 5" xfId="2672" xr:uid="{00000000-0005-0000-0000-00005F0B0000}"/>
    <cellStyle name="Currency 4 6" xfId="2673" xr:uid="{00000000-0005-0000-0000-0000600B0000}"/>
    <cellStyle name="Currency 4 7" xfId="2674" xr:uid="{00000000-0005-0000-0000-0000610B0000}"/>
    <cellStyle name="Currency 4 8" xfId="2675" xr:uid="{00000000-0005-0000-0000-0000620B0000}"/>
    <cellStyle name="Currency 4 9" xfId="2676" xr:uid="{00000000-0005-0000-0000-0000630B0000}"/>
    <cellStyle name="Currency 5" xfId="2677" xr:uid="{00000000-0005-0000-0000-0000640B0000}"/>
    <cellStyle name="Currency 5 10" xfId="2678" xr:uid="{00000000-0005-0000-0000-0000650B0000}"/>
    <cellStyle name="Currency 5 100" xfId="2679" xr:uid="{00000000-0005-0000-0000-0000660B0000}"/>
    <cellStyle name="Currency 5 11" xfId="2680" xr:uid="{00000000-0005-0000-0000-0000670B0000}"/>
    <cellStyle name="Currency 5 12" xfId="2681" xr:uid="{00000000-0005-0000-0000-0000680B0000}"/>
    <cellStyle name="Currency 5 13" xfId="2682" xr:uid="{00000000-0005-0000-0000-0000690B0000}"/>
    <cellStyle name="Currency 5 14" xfId="2683" xr:uid="{00000000-0005-0000-0000-00006A0B0000}"/>
    <cellStyle name="Currency 5 15" xfId="2684" xr:uid="{00000000-0005-0000-0000-00006B0B0000}"/>
    <cellStyle name="Currency 5 16" xfId="2685" xr:uid="{00000000-0005-0000-0000-00006C0B0000}"/>
    <cellStyle name="Currency 5 17" xfId="2686" xr:uid="{00000000-0005-0000-0000-00006D0B0000}"/>
    <cellStyle name="Currency 5 18" xfId="2687" xr:uid="{00000000-0005-0000-0000-00006E0B0000}"/>
    <cellStyle name="Currency 5 19" xfId="2688" xr:uid="{00000000-0005-0000-0000-00006F0B0000}"/>
    <cellStyle name="Currency 5 2" xfId="2689" xr:uid="{00000000-0005-0000-0000-0000700B0000}"/>
    <cellStyle name="Currency 5 2 10" xfId="2690" xr:uid="{00000000-0005-0000-0000-0000710B0000}"/>
    <cellStyle name="Currency 5 2 10 2" xfId="2691" xr:uid="{00000000-0005-0000-0000-0000720B0000}"/>
    <cellStyle name="Currency 5 2 11" xfId="2692" xr:uid="{00000000-0005-0000-0000-0000730B0000}"/>
    <cellStyle name="Currency 5 2 11 2" xfId="2693" xr:uid="{00000000-0005-0000-0000-0000740B0000}"/>
    <cellStyle name="Currency 5 2 12" xfId="2694" xr:uid="{00000000-0005-0000-0000-0000750B0000}"/>
    <cellStyle name="Currency 5 2 13" xfId="2695" xr:uid="{00000000-0005-0000-0000-0000760B0000}"/>
    <cellStyle name="Currency 5 2 14" xfId="2696" xr:uid="{00000000-0005-0000-0000-0000770B0000}"/>
    <cellStyle name="Currency 5 2 14 2" xfId="2697" xr:uid="{00000000-0005-0000-0000-0000780B0000}"/>
    <cellStyle name="Currency 5 2 15" xfId="2698" xr:uid="{00000000-0005-0000-0000-0000790B0000}"/>
    <cellStyle name="Currency 5 2 16" xfId="11128" xr:uid="{00000000-0005-0000-0000-00007A0B0000}"/>
    <cellStyle name="Currency 5 2 2" xfId="2699" xr:uid="{00000000-0005-0000-0000-00007B0B0000}"/>
    <cellStyle name="Currency 5 2 2 10" xfId="2700" xr:uid="{00000000-0005-0000-0000-00007C0B0000}"/>
    <cellStyle name="Currency 5 2 2 10 2" xfId="2701" xr:uid="{00000000-0005-0000-0000-00007D0B0000}"/>
    <cellStyle name="Currency 5 2 2 10 2 2" xfId="2702" xr:uid="{00000000-0005-0000-0000-00007E0B0000}"/>
    <cellStyle name="Currency 5 2 2 10 3" xfId="2703" xr:uid="{00000000-0005-0000-0000-00007F0B0000}"/>
    <cellStyle name="Currency 5 2 2 11" xfId="2704" xr:uid="{00000000-0005-0000-0000-0000800B0000}"/>
    <cellStyle name="Currency 5 2 2 11 2" xfId="2705" xr:uid="{00000000-0005-0000-0000-0000810B0000}"/>
    <cellStyle name="Currency 5 2 2 11 2 2" xfId="2706" xr:uid="{00000000-0005-0000-0000-0000820B0000}"/>
    <cellStyle name="Currency 5 2 2 11 3" xfId="2707" xr:uid="{00000000-0005-0000-0000-0000830B0000}"/>
    <cellStyle name="Currency 5 2 2 12" xfId="2708" xr:uid="{00000000-0005-0000-0000-0000840B0000}"/>
    <cellStyle name="Currency 5 2 2 12 2" xfId="2709" xr:uid="{00000000-0005-0000-0000-0000850B0000}"/>
    <cellStyle name="Currency 5 2 2 12 2 2" xfId="2710" xr:uid="{00000000-0005-0000-0000-0000860B0000}"/>
    <cellStyle name="Currency 5 2 2 12 3" xfId="2711" xr:uid="{00000000-0005-0000-0000-0000870B0000}"/>
    <cellStyle name="Currency 5 2 2 12 4" xfId="2712" xr:uid="{00000000-0005-0000-0000-0000880B0000}"/>
    <cellStyle name="Currency 5 2 2 13" xfId="2713" xr:uid="{00000000-0005-0000-0000-0000890B0000}"/>
    <cellStyle name="Currency 5 2 2 13 2" xfId="2714" xr:uid="{00000000-0005-0000-0000-00008A0B0000}"/>
    <cellStyle name="Currency 5 2 2 13 2 2" xfId="2715" xr:uid="{00000000-0005-0000-0000-00008B0B0000}"/>
    <cellStyle name="Currency 5 2 2 13 3" xfId="2716" xr:uid="{00000000-0005-0000-0000-00008C0B0000}"/>
    <cellStyle name="Currency 5 2 2 14" xfId="2717" xr:uid="{00000000-0005-0000-0000-00008D0B0000}"/>
    <cellStyle name="Currency 5 2 2 15" xfId="2718" xr:uid="{00000000-0005-0000-0000-00008E0B0000}"/>
    <cellStyle name="Currency 5 2 2 2" xfId="2719" xr:uid="{00000000-0005-0000-0000-00008F0B0000}"/>
    <cellStyle name="Currency 5 2 2 2 2" xfId="2720" xr:uid="{00000000-0005-0000-0000-0000900B0000}"/>
    <cellStyle name="Currency 5 2 2 2 2 2" xfId="2721" xr:uid="{00000000-0005-0000-0000-0000910B0000}"/>
    <cellStyle name="Currency 5 2 2 2 3" xfId="2722" xr:uid="{00000000-0005-0000-0000-0000920B0000}"/>
    <cellStyle name="Currency 5 2 2 3" xfId="2723" xr:uid="{00000000-0005-0000-0000-0000930B0000}"/>
    <cellStyle name="Currency 5 2 2 3 2" xfId="2724" xr:uid="{00000000-0005-0000-0000-0000940B0000}"/>
    <cellStyle name="Currency 5 2 2 3 2 2" xfId="2725" xr:uid="{00000000-0005-0000-0000-0000950B0000}"/>
    <cellStyle name="Currency 5 2 2 3 3" xfId="2726" xr:uid="{00000000-0005-0000-0000-0000960B0000}"/>
    <cellStyle name="Currency 5 2 2 4" xfId="2727" xr:uid="{00000000-0005-0000-0000-0000970B0000}"/>
    <cellStyle name="Currency 5 2 2 4 2" xfId="2728" xr:uid="{00000000-0005-0000-0000-0000980B0000}"/>
    <cellStyle name="Currency 5 2 2 4 2 2" xfId="2729" xr:uid="{00000000-0005-0000-0000-0000990B0000}"/>
    <cellStyle name="Currency 5 2 2 4 3" xfId="2730" xr:uid="{00000000-0005-0000-0000-00009A0B0000}"/>
    <cellStyle name="Currency 5 2 2 5" xfId="2731" xr:uid="{00000000-0005-0000-0000-00009B0B0000}"/>
    <cellStyle name="Currency 5 2 2 5 2" xfId="2732" xr:uid="{00000000-0005-0000-0000-00009C0B0000}"/>
    <cellStyle name="Currency 5 2 2 5 2 2" xfId="2733" xr:uid="{00000000-0005-0000-0000-00009D0B0000}"/>
    <cellStyle name="Currency 5 2 2 5 3" xfId="2734" xr:uid="{00000000-0005-0000-0000-00009E0B0000}"/>
    <cellStyle name="Currency 5 2 2 6" xfId="2735" xr:uid="{00000000-0005-0000-0000-00009F0B0000}"/>
    <cellStyle name="Currency 5 2 2 6 2" xfId="2736" xr:uid="{00000000-0005-0000-0000-0000A00B0000}"/>
    <cellStyle name="Currency 5 2 2 6 2 2" xfId="2737" xr:uid="{00000000-0005-0000-0000-0000A10B0000}"/>
    <cellStyle name="Currency 5 2 2 6 3" xfId="2738" xr:uid="{00000000-0005-0000-0000-0000A20B0000}"/>
    <cellStyle name="Currency 5 2 2 7" xfId="2739" xr:uid="{00000000-0005-0000-0000-0000A30B0000}"/>
    <cellStyle name="Currency 5 2 2 7 2" xfId="2740" xr:uid="{00000000-0005-0000-0000-0000A40B0000}"/>
    <cellStyle name="Currency 5 2 2 7 2 2" xfId="2741" xr:uid="{00000000-0005-0000-0000-0000A50B0000}"/>
    <cellStyle name="Currency 5 2 2 7 3" xfId="2742" xr:uid="{00000000-0005-0000-0000-0000A60B0000}"/>
    <cellStyle name="Currency 5 2 2 8" xfId="2743" xr:uid="{00000000-0005-0000-0000-0000A70B0000}"/>
    <cellStyle name="Currency 5 2 2 8 2" xfId="2744" xr:uid="{00000000-0005-0000-0000-0000A80B0000}"/>
    <cellStyle name="Currency 5 2 2 8 2 2" xfId="2745" xr:uid="{00000000-0005-0000-0000-0000A90B0000}"/>
    <cellStyle name="Currency 5 2 2 8 3" xfId="2746" xr:uid="{00000000-0005-0000-0000-0000AA0B0000}"/>
    <cellStyle name="Currency 5 2 2 9" xfId="2747" xr:uid="{00000000-0005-0000-0000-0000AB0B0000}"/>
    <cellStyle name="Currency 5 2 2 9 2" xfId="2748" xr:uid="{00000000-0005-0000-0000-0000AC0B0000}"/>
    <cellStyle name="Currency 5 2 2 9 2 2" xfId="2749" xr:uid="{00000000-0005-0000-0000-0000AD0B0000}"/>
    <cellStyle name="Currency 5 2 2 9 3" xfId="2750" xr:uid="{00000000-0005-0000-0000-0000AE0B0000}"/>
    <cellStyle name="Currency 5 2 3" xfId="2751" xr:uid="{00000000-0005-0000-0000-0000AF0B0000}"/>
    <cellStyle name="Currency 5 2 3 2" xfId="2752" xr:uid="{00000000-0005-0000-0000-0000B00B0000}"/>
    <cellStyle name="Currency 5 2 4" xfId="2753" xr:uid="{00000000-0005-0000-0000-0000B10B0000}"/>
    <cellStyle name="Currency 5 2 4 2" xfId="2754" xr:uid="{00000000-0005-0000-0000-0000B20B0000}"/>
    <cellStyle name="Currency 5 2 5" xfId="2755" xr:uid="{00000000-0005-0000-0000-0000B30B0000}"/>
    <cellStyle name="Currency 5 2 5 2" xfId="2756" xr:uid="{00000000-0005-0000-0000-0000B40B0000}"/>
    <cellStyle name="Currency 5 2 6" xfId="2757" xr:uid="{00000000-0005-0000-0000-0000B50B0000}"/>
    <cellStyle name="Currency 5 2 6 2" xfId="2758" xr:uid="{00000000-0005-0000-0000-0000B60B0000}"/>
    <cellStyle name="Currency 5 2 7" xfId="2759" xr:uid="{00000000-0005-0000-0000-0000B70B0000}"/>
    <cellStyle name="Currency 5 2 7 2" xfId="2760" xr:uid="{00000000-0005-0000-0000-0000B80B0000}"/>
    <cellStyle name="Currency 5 2 8" xfId="2761" xr:uid="{00000000-0005-0000-0000-0000B90B0000}"/>
    <cellStyle name="Currency 5 2 8 2" xfId="2762" xr:uid="{00000000-0005-0000-0000-0000BA0B0000}"/>
    <cellStyle name="Currency 5 2 9" xfId="2763" xr:uid="{00000000-0005-0000-0000-0000BB0B0000}"/>
    <cellStyle name="Currency 5 2 9 2" xfId="2764" xr:uid="{00000000-0005-0000-0000-0000BC0B0000}"/>
    <cellStyle name="Currency 5 20" xfId="2765" xr:uid="{00000000-0005-0000-0000-0000BD0B0000}"/>
    <cellStyle name="Currency 5 21" xfId="2766" xr:uid="{00000000-0005-0000-0000-0000BE0B0000}"/>
    <cellStyle name="Currency 5 22" xfId="2767" xr:uid="{00000000-0005-0000-0000-0000BF0B0000}"/>
    <cellStyle name="Currency 5 23" xfId="2768" xr:uid="{00000000-0005-0000-0000-0000C00B0000}"/>
    <cellStyle name="Currency 5 24" xfId="2769" xr:uid="{00000000-0005-0000-0000-0000C10B0000}"/>
    <cellStyle name="Currency 5 25" xfId="2770" xr:uid="{00000000-0005-0000-0000-0000C20B0000}"/>
    <cellStyle name="Currency 5 26" xfId="2771" xr:uid="{00000000-0005-0000-0000-0000C30B0000}"/>
    <cellStyle name="Currency 5 27" xfId="2772" xr:uid="{00000000-0005-0000-0000-0000C40B0000}"/>
    <cellStyle name="Currency 5 28" xfId="2773" xr:uid="{00000000-0005-0000-0000-0000C50B0000}"/>
    <cellStyle name="Currency 5 29" xfId="2774" xr:uid="{00000000-0005-0000-0000-0000C60B0000}"/>
    <cellStyle name="Currency 5 3" xfId="2775" xr:uid="{00000000-0005-0000-0000-0000C70B0000}"/>
    <cellStyle name="Currency 5 3 2" xfId="2776" xr:uid="{00000000-0005-0000-0000-0000C80B0000}"/>
    <cellStyle name="Currency 5 3 3" xfId="2777" xr:uid="{00000000-0005-0000-0000-0000C90B0000}"/>
    <cellStyle name="Currency 5 30" xfId="2778" xr:uid="{00000000-0005-0000-0000-0000CA0B0000}"/>
    <cellStyle name="Currency 5 31" xfId="2779" xr:uid="{00000000-0005-0000-0000-0000CB0B0000}"/>
    <cellStyle name="Currency 5 32" xfId="2780" xr:uid="{00000000-0005-0000-0000-0000CC0B0000}"/>
    <cellStyle name="Currency 5 33" xfId="2781" xr:uid="{00000000-0005-0000-0000-0000CD0B0000}"/>
    <cellStyle name="Currency 5 34" xfId="2782" xr:uid="{00000000-0005-0000-0000-0000CE0B0000}"/>
    <cellStyle name="Currency 5 35" xfId="2783" xr:uid="{00000000-0005-0000-0000-0000CF0B0000}"/>
    <cellStyle name="Currency 5 36" xfId="2784" xr:uid="{00000000-0005-0000-0000-0000D00B0000}"/>
    <cellStyle name="Currency 5 37" xfId="2785" xr:uid="{00000000-0005-0000-0000-0000D10B0000}"/>
    <cellStyle name="Currency 5 38" xfId="2786" xr:uid="{00000000-0005-0000-0000-0000D20B0000}"/>
    <cellStyle name="Currency 5 39" xfId="2787" xr:uid="{00000000-0005-0000-0000-0000D30B0000}"/>
    <cellStyle name="Currency 5 4" xfId="2788" xr:uid="{00000000-0005-0000-0000-0000D40B0000}"/>
    <cellStyle name="Currency 5 40" xfId="2789" xr:uid="{00000000-0005-0000-0000-0000D50B0000}"/>
    <cellStyle name="Currency 5 41" xfId="2790" xr:uid="{00000000-0005-0000-0000-0000D60B0000}"/>
    <cellStyle name="Currency 5 42" xfId="2791" xr:uid="{00000000-0005-0000-0000-0000D70B0000}"/>
    <cellStyle name="Currency 5 43" xfId="2792" xr:uid="{00000000-0005-0000-0000-0000D80B0000}"/>
    <cellStyle name="Currency 5 44" xfId="2793" xr:uid="{00000000-0005-0000-0000-0000D90B0000}"/>
    <cellStyle name="Currency 5 45" xfId="2794" xr:uid="{00000000-0005-0000-0000-0000DA0B0000}"/>
    <cellStyle name="Currency 5 46" xfId="2795" xr:uid="{00000000-0005-0000-0000-0000DB0B0000}"/>
    <cellStyle name="Currency 5 47" xfId="2796" xr:uid="{00000000-0005-0000-0000-0000DC0B0000}"/>
    <cellStyle name="Currency 5 48" xfId="2797" xr:uid="{00000000-0005-0000-0000-0000DD0B0000}"/>
    <cellStyle name="Currency 5 49" xfId="2798" xr:uid="{00000000-0005-0000-0000-0000DE0B0000}"/>
    <cellStyle name="Currency 5 5" xfId="2799" xr:uid="{00000000-0005-0000-0000-0000DF0B0000}"/>
    <cellStyle name="Currency 5 50" xfId="2800" xr:uid="{00000000-0005-0000-0000-0000E00B0000}"/>
    <cellStyle name="Currency 5 51" xfId="2801" xr:uid="{00000000-0005-0000-0000-0000E10B0000}"/>
    <cellStyle name="Currency 5 52" xfId="2802" xr:uid="{00000000-0005-0000-0000-0000E20B0000}"/>
    <cellStyle name="Currency 5 53" xfId="2803" xr:uid="{00000000-0005-0000-0000-0000E30B0000}"/>
    <cellStyle name="Currency 5 54" xfId="2804" xr:uid="{00000000-0005-0000-0000-0000E40B0000}"/>
    <cellStyle name="Currency 5 55" xfId="2805" xr:uid="{00000000-0005-0000-0000-0000E50B0000}"/>
    <cellStyle name="Currency 5 56" xfId="2806" xr:uid="{00000000-0005-0000-0000-0000E60B0000}"/>
    <cellStyle name="Currency 5 57" xfId="2807" xr:uid="{00000000-0005-0000-0000-0000E70B0000}"/>
    <cellStyle name="Currency 5 58" xfId="2808" xr:uid="{00000000-0005-0000-0000-0000E80B0000}"/>
    <cellStyle name="Currency 5 59" xfId="2809" xr:uid="{00000000-0005-0000-0000-0000E90B0000}"/>
    <cellStyle name="Currency 5 6" xfId="2810" xr:uid="{00000000-0005-0000-0000-0000EA0B0000}"/>
    <cellStyle name="Currency 5 60" xfId="2811" xr:uid="{00000000-0005-0000-0000-0000EB0B0000}"/>
    <cellStyle name="Currency 5 61" xfId="2812" xr:uid="{00000000-0005-0000-0000-0000EC0B0000}"/>
    <cellStyle name="Currency 5 62" xfId="2813" xr:uid="{00000000-0005-0000-0000-0000ED0B0000}"/>
    <cellStyle name="Currency 5 63" xfId="2814" xr:uid="{00000000-0005-0000-0000-0000EE0B0000}"/>
    <cellStyle name="Currency 5 64" xfId="2815" xr:uid="{00000000-0005-0000-0000-0000EF0B0000}"/>
    <cellStyle name="Currency 5 65" xfId="2816" xr:uid="{00000000-0005-0000-0000-0000F00B0000}"/>
    <cellStyle name="Currency 5 66" xfId="2817" xr:uid="{00000000-0005-0000-0000-0000F10B0000}"/>
    <cellStyle name="Currency 5 67" xfId="2818" xr:uid="{00000000-0005-0000-0000-0000F20B0000}"/>
    <cellStyle name="Currency 5 68" xfId="2819" xr:uid="{00000000-0005-0000-0000-0000F30B0000}"/>
    <cellStyle name="Currency 5 69" xfId="2820" xr:uid="{00000000-0005-0000-0000-0000F40B0000}"/>
    <cellStyle name="Currency 5 7" xfId="2821" xr:uid="{00000000-0005-0000-0000-0000F50B0000}"/>
    <cellStyle name="Currency 5 70" xfId="2822" xr:uid="{00000000-0005-0000-0000-0000F60B0000}"/>
    <cellStyle name="Currency 5 71" xfId="2823" xr:uid="{00000000-0005-0000-0000-0000F70B0000}"/>
    <cellStyle name="Currency 5 72" xfId="2824" xr:uid="{00000000-0005-0000-0000-0000F80B0000}"/>
    <cellStyle name="Currency 5 73" xfId="2825" xr:uid="{00000000-0005-0000-0000-0000F90B0000}"/>
    <cellStyle name="Currency 5 74" xfId="2826" xr:uid="{00000000-0005-0000-0000-0000FA0B0000}"/>
    <cellStyle name="Currency 5 75" xfId="2827" xr:uid="{00000000-0005-0000-0000-0000FB0B0000}"/>
    <cellStyle name="Currency 5 76" xfId="2828" xr:uid="{00000000-0005-0000-0000-0000FC0B0000}"/>
    <cellStyle name="Currency 5 77" xfId="2829" xr:uid="{00000000-0005-0000-0000-0000FD0B0000}"/>
    <cellStyle name="Currency 5 78" xfId="2830" xr:uid="{00000000-0005-0000-0000-0000FE0B0000}"/>
    <cellStyle name="Currency 5 79" xfId="2831" xr:uid="{00000000-0005-0000-0000-0000FF0B0000}"/>
    <cellStyle name="Currency 5 8" xfId="2832" xr:uid="{00000000-0005-0000-0000-0000000C0000}"/>
    <cellStyle name="Currency 5 80" xfId="2833" xr:uid="{00000000-0005-0000-0000-0000010C0000}"/>
    <cellStyle name="Currency 5 81" xfId="2834" xr:uid="{00000000-0005-0000-0000-0000020C0000}"/>
    <cellStyle name="Currency 5 82" xfId="2835" xr:uid="{00000000-0005-0000-0000-0000030C0000}"/>
    <cellStyle name="Currency 5 83" xfId="2836" xr:uid="{00000000-0005-0000-0000-0000040C0000}"/>
    <cellStyle name="Currency 5 84" xfId="2837" xr:uid="{00000000-0005-0000-0000-0000050C0000}"/>
    <cellStyle name="Currency 5 85" xfId="2838" xr:uid="{00000000-0005-0000-0000-0000060C0000}"/>
    <cellStyle name="Currency 5 86" xfId="2839" xr:uid="{00000000-0005-0000-0000-0000070C0000}"/>
    <cellStyle name="Currency 5 87" xfId="2840" xr:uid="{00000000-0005-0000-0000-0000080C0000}"/>
    <cellStyle name="Currency 5 88" xfId="2841" xr:uid="{00000000-0005-0000-0000-0000090C0000}"/>
    <cellStyle name="Currency 5 89" xfId="2842" xr:uid="{00000000-0005-0000-0000-00000A0C0000}"/>
    <cellStyle name="Currency 5 9" xfId="2843" xr:uid="{00000000-0005-0000-0000-00000B0C0000}"/>
    <cellStyle name="Currency 5 90" xfId="2844" xr:uid="{00000000-0005-0000-0000-00000C0C0000}"/>
    <cellStyle name="Currency 5 91" xfId="2845" xr:uid="{00000000-0005-0000-0000-00000D0C0000}"/>
    <cellStyle name="Currency 5 92" xfId="2846" xr:uid="{00000000-0005-0000-0000-00000E0C0000}"/>
    <cellStyle name="Currency 5 93" xfId="2847" xr:uid="{00000000-0005-0000-0000-00000F0C0000}"/>
    <cellStyle name="Currency 5 94" xfId="2848" xr:uid="{00000000-0005-0000-0000-0000100C0000}"/>
    <cellStyle name="Currency 5 95" xfId="2849" xr:uid="{00000000-0005-0000-0000-0000110C0000}"/>
    <cellStyle name="Currency 5 96" xfId="2850" xr:uid="{00000000-0005-0000-0000-0000120C0000}"/>
    <cellStyle name="Currency 5 97" xfId="2851" xr:uid="{00000000-0005-0000-0000-0000130C0000}"/>
    <cellStyle name="Currency 5 98" xfId="2852" xr:uid="{00000000-0005-0000-0000-0000140C0000}"/>
    <cellStyle name="Currency 5 99" xfId="2853" xr:uid="{00000000-0005-0000-0000-0000150C0000}"/>
    <cellStyle name="Currency 6" xfId="2854" xr:uid="{00000000-0005-0000-0000-0000160C0000}"/>
    <cellStyle name="Currency 6 10" xfId="2855" xr:uid="{00000000-0005-0000-0000-0000170C0000}"/>
    <cellStyle name="Currency 6 11" xfId="2856" xr:uid="{00000000-0005-0000-0000-0000180C0000}"/>
    <cellStyle name="Currency 6 12" xfId="2857" xr:uid="{00000000-0005-0000-0000-0000190C0000}"/>
    <cellStyle name="Currency 6 13" xfId="2858" xr:uid="{00000000-0005-0000-0000-00001A0C0000}"/>
    <cellStyle name="Currency 6 14" xfId="2859" xr:uid="{00000000-0005-0000-0000-00001B0C0000}"/>
    <cellStyle name="Currency 6 15" xfId="2860" xr:uid="{00000000-0005-0000-0000-00001C0C0000}"/>
    <cellStyle name="Currency 6 16" xfId="2861" xr:uid="{00000000-0005-0000-0000-00001D0C0000}"/>
    <cellStyle name="Currency 6 17" xfId="2862" xr:uid="{00000000-0005-0000-0000-00001E0C0000}"/>
    <cellStyle name="Currency 6 18" xfId="2863" xr:uid="{00000000-0005-0000-0000-00001F0C0000}"/>
    <cellStyle name="Currency 6 2" xfId="2864" xr:uid="{00000000-0005-0000-0000-0000200C0000}"/>
    <cellStyle name="Currency 6 2 2" xfId="2865" xr:uid="{00000000-0005-0000-0000-0000210C0000}"/>
    <cellStyle name="Currency 6 2 2 2" xfId="2866" xr:uid="{00000000-0005-0000-0000-0000220C0000}"/>
    <cellStyle name="Currency 6 2 3" xfId="2867" xr:uid="{00000000-0005-0000-0000-0000230C0000}"/>
    <cellStyle name="Currency 6 3" xfId="2868" xr:uid="{00000000-0005-0000-0000-0000240C0000}"/>
    <cellStyle name="Currency 6 4" xfId="2869" xr:uid="{00000000-0005-0000-0000-0000250C0000}"/>
    <cellStyle name="Currency 6 5" xfId="2870" xr:uid="{00000000-0005-0000-0000-0000260C0000}"/>
    <cellStyle name="Currency 6 6" xfId="2871" xr:uid="{00000000-0005-0000-0000-0000270C0000}"/>
    <cellStyle name="Currency 6 7" xfId="2872" xr:uid="{00000000-0005-0000-0000-0000280C0000}"/>
    <cellStyle name="Currency 6 8" xfId="2873" xr:uid="{00000000-0005-0000-0000-0000290C0000}"/>
    <cellStyle name="Currency 6 9" xfId="2874" xr:uid="{00000000-0005-0000-0000-00002A0C0000}"/>
    <cellStyle name="Currency 7" xfId="2875" xr:uid="{00000000-0005-0000-0000-00002B0C0000}"/>
    <cellStyle name="Currency 7 10" xfId="2876" xr:uid="{00000000-0005-0000-0000-00002C0C0000}"/>
    <cellStyle name="Currency 7 11" xfId="2877" xr:uid="{00000000-0005-0000-0000-00002D0C0000}"/>
    <cellStyle name="Currency 7 12" xfId="2878" xr:uid="{00000000-0005-0000-0000-00002E0C0000}"/>
    <cellStyle name="Currency 7 13" xfId="2879" xr:uid="{00000000-0005-0000-0000-00002F0C0000}"/>
    <cellStyle name="Currency 7 13 2" xfId="2880" xr:uid="{00000000-0005-0000-0000-0000300C0000}"/>
    <cellStyle name="Currency 7 13 2 2" xfId="2881" xr:uid="{00000000-0005-0000-0000-0000310C0000}"/>
    <cellStyle name="Currency 7 13 2 3" xfId="9613" xr:uid="{00000000-0005-0000-0000-0000320C0000}"/>
    <cellStyle name="Currency 7 13 3" xfId="2882" xr:uid="{00000000-0005-0000-0000-0000330C0000}"/>
    <cellStyle name="Currency 7 13 4" xfId="2883" xr:uid="{00000000-0005-0000-0000-0000340C0000}"/>
    <cellStyle name="Currency 7 14" xfId="2884" xr:uid="{00000000-0005-0000-0000-0000350C0000}"/>
    <cellStyle name="Currency 7 15" xfId="2885" xr:uid="{00000000-0005-0000-0000-0000360C0000}"/>
    <cellStyle name="Currency 7 16" xfId="2886" xr:uid="{00000000-0005-0000-0000-0000370C0000}"/>
    <cellStyle name="Currency 7 16 2" xfId="11129" xr:uid="{00000000-0005-0000-0000-0000380C0000}"/>
    <cellStyle name="Currency 7 17" xfId="2887" xr:uid="{00000000-0005-0000-0000-0000390C0000}"/>
    <cellStyle name="Currency 7 18" xfId="9612" xr:uid="{00000000-0005-0000-0000-00003A0C0000}"/>
    <cellStyle name="Currency 7 2" xfId="2888" xr:uid="{00000000-0005-0000-0000-00003B0C0000}"/>
    <cellStyle name="Currency 7 2 10" xfId="2889" xr:uid="{00000000-0005-0000-0000-00003C0C0000}"/>
    <cellStyle name="Currency 7 2 10 2" xfId="2890" xr:uid="{00000000-0005-0000-0000-00003D0C0000}"/>
    <cellStyle name="Currency 7 2 10 2 2" xfId="2891" xr:uid="{00000000-0005-0000-0000-00003E0C0000}"/>
    <cellStyle name="Currency 7 2 10 2 3" xfId="9615" xr:uid="{00000000-0005-0000-0000-00003F0C0000}"/>
    <cellStyle name="Currency 7 2 10 3" xfId="2892" xr:uid="{00000000-0005-0000-0000-0000400C0000}"/>
    <cellStyle name="Currency 7 2 10 4" xfId="9614" xr:uid="{00000000-0005-0000-0000-0000410C0000}"/>
    <cellStyle name="Currency 7 2 11" xfId="2893" xr:uid="{00000000-0005-0000-0000-0000420C0000}"/>
    <cellStyle name="Currency 7 2 11 2" xfId="2894" xr:uid="{00000000-0005-0000-0000-0000430C0000}"/>
    <cellStyle name="Currency 7 2 11 2 2" xfId="2895" xr:uid="{00000000-0005-0000-0000-0000440C0000}"/>
    <cellStyle name="Currency 7 2 11 2 3" xfId="9617" xr:uid="{00000000-0005-0000-0000-0000450C0000}"/>
    <cellStyle name="Currency 7 2 11 3" xfId="2896" xr:uid="{00000000-0005-0000-0000-0000460C0000}"/>
    <cellStyle name="Currency 7 2 11 4" xfId="9616" xr:uid="{00000000-0005-0000-0000-0000470C0000}"/>
    <cellStyle name="Currency 7 2 12" xfId="2897" xr:uid="{00000000-0005-0000-0000-0000480C0000}"/>
    <cellStyle name="Currency 7 2 12 2" xfId="2898" xr:uid="{00000000-0005-0000-0000-0000490C0000}"/>
    <cellStyle name="Currency 7 2 12 3" xfId="9618" xr:uid="{00000000-0005-0000-0000-00004A0C0000}"/>
    <cellStyle name="Currency 7 2 13" xfId="2899" xr:uid="{00000000-0005-0000-0000-00004B0C0000}"/>
    <cellStyle name="Currency 7 2 13 2" xfId="2900" xr:uid="{00000000-0005-0000-0000-00004C0C0000}"/>
    <cellStyle name="Currency 7 2 13 3" xfId="9619" xr:uid="{00000000-0005-0000-0000-00004D0C0000}"/>
    <cellStyle name="Currency 7 2 14" xfId="2901" xr:uid="{00000000-0005-0000-0000-00004E0C0000}"/>
    <cellStyle name="Currency 7 2 2" xfId="2902" xr:uid="{00000000-0005-0000-0000-00004F0C0000}"/>
    <cellStyle name="Currency 7 2 2 2" xfId="2903" xr:uid="{00000000-0005-0000-0000-0000500C0000}"/>
    <cellStyle name="Currency 7 2 2 2 2" xfId="2904" xr:uid="{00000000-0005-0000-0000-0000510C0000}"/>
    <cellStyle name="Currency 7 2 2 2 3" xfId="9621" xr:uid="{00000000-0005-0000-0000-0000520C0000}"/>
    <cellStyle name="Currency 7 2 2 3" xfId="2905" xr:uid="{00000000-0005-0000-0000-0000530C0000}"/>
    <cellStyle name="Currency 7 2 2 4" xfId="9620" xr:uid="{00000000-0005-0000-0000-0000540C0000}"/>
    <cellStyle name="Currency 7 2 3" xfId="2906" xr:uid="{00000000-0005-0000-0000-0000550C0000}"/>
    <cellStyle name="Currency 7 2 3 2" xfId="2907" xr:uid="{00000000-0005-0000-0000-0000560C0000}"/>
    <cellStyle name="Currency 7 2 3 2 2" xfId="2908" xr:uid="{00000000-0005-0000-0000-0000570C0000}"/>
    <cellStyle name="Currency 7 2 3 2 3" xfId="9623" xr:uid="{00000000-0005-0000-0000-0000580C0000}"/>
    <cellStyle name="Currency 7 2 3 3" xfId="2909" xr:uid="{00000000-0005-0000-0000-0000590C0000}"/>
    <cellStyle name="Currency 7 2 3 4" xfId="9622" xr:uid="{00000000-0005-0000-0000-00005A0C0000}"/>
    <cellStyle name="Currency 7 2 4" xfId="2910" xr:uid="{00000000-0005-0000-0000-00005B0C0000}"/>
    <cellStyle name="Currency 7 2 4 2" xfId="2911" xr:uid="{00000000-0005-0000-0000-00005C0C0000}"/>
    <cellStyle name="Currency 7 2 4 2 2" xfId="2912" xr:uid="{00000000-0005-0000-0000-00005D0C0000}"/>
    <cellStyle name="Currency 7 2 4 2 3" xfId="9625" xr:uid="{00000000-0005-0000-0000-00005E0C0000}"/>
    <cellStyle name="Currency 7 2 4 3" xfId="2913" xr:uid="{00000000-0005-0000-0000-00005F0C0000}"/>
    <cellStyle name="Currency 7 2 4 4" xfId="9624" xr:uid="{00000000-0005-0000-0000-0000600C0000}"/>
    <cellStyle name="Currency 7 2 5" xfId="2914" xr:uid="{00000000-0005-0000-0000-0000610C0000}"/>
    <cellStyle name="Currency 7 2 5 2" xfId="2915" xr:uid="{00000000-0005-0000-0000-0000620C0000}"/>
    <cellStyle name="Currency 7 2 5 2 2" xfId="2916" xr:uid="{00000000-0005-0000-0000-0000630C0000}"/>
    <cellStyle name="Currency 7 2 5 2 3" xfId="9627" xr:uid="{00000000-0005-0000-0000-0000640C0000}"/>
    <cellStyle name="Currency 7 2 5 3" xfId="2917" xr:uid="{00000000-0005-0000-0000-0000650C0000}"/>
    <cellStyle name="Currency 7 2 5 4" xfId="9626" xr:uid="{00000000-0005-0000-0000-0000660C0000}"/>
    <cellStyle name="Currency 7 2 6" xfId="2918" xr:uid="{00000000-0005-0000-0000-0000670C0000}"/>
    <cellStyle name="Currency 7 2 6 2" xfId="2919" xr:uid="{00000000-0005-0000-0000-0000680C0000}"/>
    <cellStyle name="Currency 7 2 6 2 2" xfId="2920" xr:uid="{00000000-0005-0000-0000-0000690C0000}"/>
    <cellStyle name="Currency 7 2 6 2 3" xfId="9629" xr:uid="{00000000-0005-0000-0000-00006A0C0000}"/>
    <cellStyle name="Currency 7 2 6 3" xfId="2921" xr:uid="{00000000-0005-0000-0000-00006B0C0000}"/>
    <cellStyle name="Currency 7 2 6 4" xfId="9628" xr:uid="{00000000-0005-0000-0000-00006C0C0000}"/>
    <cellStyle name="Currency 7 2 7" xfId="2922" xr:uid="{00000000-0005-0000-0000-00006D0C0000}"/>
    <cellStyle name="Currency 7 2 7 2" xfId="2923" xr:uid="{00000000-0005-0000-0000-00006E0C0000}"/>
    <cellStyle name="Currency 7 2 7 2 2" xfId="2924" xr:uid="{00000000-0005-0000-0000-00006F0C0000}"/>
    <cellStyle name="Currency 7 2 7 2 3" xfId="9631" xr:uid="{00000000-0005-0000-0000-0000700C0000}"/>
    <cellStyle name="Currency 7 2 7 3" xfId="2925" xr:uid="{00000000-0005-0000-0000-0000710C0000}"/>
    <cellStyle name="Currency 7 2 7 4" xfId="9630" xr:uid="{00000000-0005-0000-0000-0000720C0000}"/>
    <cellStyle name="Currency 7 2 8" xfId="2926" xr:uid="{00000000-0005-0000-0000-0000730C0000}"/>
    <cellStyle name="Currency 7 2 8 2" xfId="2927" xr:uid="{00000000-0005-0000-0000-0000740C0000}"/>
    <cellStyle name="Currency 7 2 8 2 2" xfId="2928" xr:uid="{00000000-0005-0000-0000-0000750C0000}"/>
    <cellStyle name="Currency 7 2 8 2 3" xfId="9633" xr:uid="{00000000-0005-0000-0000-0000760C0000}"/>
    <cellStyle name="Currency 7 2 8 3" xfId="2929" xr:uid="{00000000-0005-0000-0000-0000770C0000}"/>
    <cellStyle name="Currency 7 2 8 4" xfId="9632" xr:uid="{00000000-0005-0000-0000-0000780C0000}"/>
    <cellStyle name="Currency 7 2 9" xfId="2930" xr:uid="{00000000-0005-0000-0000-0000790C0000}"/>
    <cellStyle name="Currency 7 2 9 2" xfId="2931" xr:uid="{00000000-0005-0000-0000-00007A0C0000}"/>
    <cellStyle name="Currency 7 2 9 2 2" xfId="2932" xr:uid="{00000000-0005-0000-0000-00007B0C0000}"/>
    <cellStyle name="Currency 7 2 9 2 3" xfId="9635" xr:uid="{00000000-0005-0000-0000-00007C0C0000}"/>
    <cellStyle name="Currency 7 2 9 3" xfId="2933" xr:uid="{00000000-0005-0000-0000-00007D0C0000}"/>
    <cellStyle name="Currency 7 2 9 4" xfId="9634" xr:uid="{00000000-0005-0000-0000-00007E0C0000}"/>
    <cellStyle name="Currency 7 3" xfId="2934" xr:uid="{00000000-0005-0000-0000-00007F0C0000}"/>
    <cellStyle name="Currency 7 3 2" xfId="2935" xr:uid="{00000000-0005-0000-0000-0000800C0000}"/>
    <cellStyle name="Currency 7 3 2 2" xfId="2936" xr:uid="{00000000-0005-0000-0000-0000810C0000}"/>
    <cellStyle name="Currency 7 3 2 3" xfId="9637" xr:uid="{00000000-0005-0000-0000-0000820C0000}"/>
    <cellStyle name="Currency 7 3 3" xfId="2937" xr:uid="{00000000-0005-0000-0000-0000830C0000}"/>
    <cellStyle name="Currency 7 3 4" xfId="9636" xr:uid="{00000000-0005-0000-0000-0000840C0000}"/>
    <cellStyle name="Currency 7 4" xfId="2938" xr:uid="{00000000-0005-0000-0000-0000850C0000}"/>
    <cellStyle name="Currency 7 5" xfId="2939" xr:uid="{00000000-0005-0000-0000-0000860C0000}"/>
    <cellStyle name="Currency 7 6" xfId="2940" xr:uid="{00000000-0005-0000-0000-0000870C0000}"/>
    <cellStyle name="Currency 7 7" xfId="2941" xr:uid="{00000000-0005-0000-0000-0000880C0000}"/>
    <cellStyle name="Currency 7 8" xfId="2942" xr:uid="{00000000-0005-0000-0000-0000890C0000}"/>
    <cellStyle name="Currency 7 9" xfId="2943" xr:uid="{00000000-0005-0000-0000-00008A0C0000}"/>
    <cellStyle name="Currency 8" xfId="2944" xr:uid="{00000000-0005-0000-0000-00008B0C0000}"/>
    <cellStyle name="Currency 9" xfId="2945" xr:uid="{00000000-0005-0000-0000-00008C0C0000}"/>
    <cellStyle name="Currency No$" xfId="2946" xr:uid="{00000000-0005-0000-0000-00008D0C0000}"/>
    <cellStyle name="Currency Total" xfId="2947" xr:uid="{00000000-0005-0000-0000-00008E0C0000}"/>
    <cellStyle name="Currency Total 2" xfId="2948" xr:uid="{00000000-0005-0000-0000-00008F0C0000}"/>
    <cellStyle name="Currency Total 2 2" xfId="9639" xr:uid="{00000000-0005-0000-0000-0000900C0000}"/>
    <cellStyle name="Currency Total 3" xfId="9638" xr:uid="{00000000-0005-0000-0000-0000910C0000}"/>
    <cellStyle name="Currency x2 No$" xfId="2949" xr:uid="{00000000-0005-0000-0000-0000920C0000}"/>
    <cellStyle name="Currency0" xfId="2950" xr:uid="{00000000-0005-0000-0000-0000930C0000}"/>
    <cellStyle name="Custom - Style1" xfId="2951" xr:uid="{00000000-0005-0000-0000-0000940C0000}"/>
    <cellStyle name="Custom - Style8" xfId="2952" xr:uid="{00000000-0005-0000-0000-0000950C0000}"/>
    <cellStyle name="Data   - Style2" xfId="2953" xr:uid="{00000000-0005-0000-0000-0000960C0000}"/>
    <cellStyle name="Date" xfId="2954" xr:uid="{00000000-0005-0000-0000-0000970C0000}"/>
    <cellStyle name="Dollarsign" xfId="2955" xr:uid="{00000000-0005-0000-0000-0000980C0000}"/>
    <cellStyle name="DOUBLEL" xfId="2956" xr:uid="{00000000-0005-0000-0000-0000990C0000}"/>
    <cellStyle name="DOUBLEL 2" xfId="2957" xr:uid="{00000000-0005-0000-0000-00009A0C0000}"/>
    <cellStyle name="DOUBLEL 3" xfId="2958" xr:uid="{00000000-0005-0000-0000-00009B0C0000}"/>
    <cellStyle name="DOUBLEL 4" xfId="2959" xr:uid="{00000000-0005-0000-0000-00009C0C0000}"/>
    <cellStyle name="eatme" xfId="2960" xr:uid="{00000000-0005-0000-0000-00009D0C0000}"/>
    <cellStyle name="Explanatory Text 2" xfId="2961" xr:uid="{00000000-0005-0000-0000-00009E0C0000}"/>
    <cellStyle name="Explanatory Text 3" xfId="2962" xr:uid="{00000000-0005-0000-0000-00009F0C0000}"/>
    <cellStyle name="Explanatory Text 4" xfId="2963" xr:uid="{00000000-0005-0000-0000-0000A00C0000}"/>
    <cellStyle name="Explanatory Text 5" xfId="2964" xr:uid="{00000000-0005-0000-0000-0000A10C0000}"/>
    <cellStyle name="Explanatory Text 6" xfId="2965" xr:uid="{00000000-0005-0000-0000-0000A20C0000}"/>
    <cellStyle name="Fixed" xfId="2966" xr:uid="{00000000-0005-0000-0000-0000A30C0000}"/>
    <cellStyle name="Formula" xfId="2967" xr:uid="{00000000-0005-0000-0000-0000A40C0000}"/>
    <cellStyle name="Gas Cost x5" xfId="2968" xr:uid="{00000000-0005-0000-0000-0000A50C0000}"/>
    <cellStyle name="Good 2" xfId="2969" xr:uid="{00000000-0005-0000-0000-0000A60C0000}"/>
    <cellStyle name="Good 3" xfId="2970" xr:uid="{00000000-0005-0000-0000-0000A70C0000}"/>
    <cellStyle name="Good 4" xfId="2971" xr:uid="{00000000-0005-0000-0000-0000A80C0000}"/>
    <cellStyle name="Good 5" xfId="2972" xr:uid="{00000000-0005-0000-0000-0000A90C0000}"/>
    <cellStyle name="Good 6" xfId="2973" xr:uid="{00000000-0005-0000-0000-0000AA0C0000}"/>
    <cellStyle name="Hardcoded" xfId="2974" xr:uid="{00000000-0005-0000-0000-0000AB0C0000}"/>
    <cellStyle name="Head Title" xfId="2975" xr:uid="{00000000-0005-0000-0000-0000AC0C0000}"/>
    <cellStyle name="Heading 1 2" xfId="2976" xr:uid="{00000000-0005-0000-0000-0000AD0C0000}"/>
    <cellStyle name="Heading 1 3" xfId="2977" xr:uid="{00000000-0005-0000-0000-0000AE0C0000}"/>
    <cellStyle name="Heading 1 4" xfId="2978" xr:uid="{00000000-0005-0000-0000-0000AF0C0000}"/>
    <cellStyle name="Heading 1 5" xfId="2979" xr:uid="{00000000-0005-0000-0000-0000B00C0000}"/>
    <cellStyle name="Heading 1 6" xfId="2980" xr:uid="{00000000-0005-0000-0000-0000B10C0000}"/>
    <cellStyle name="Heading 2 2" xfId="2981" xr:uid="{00000000-0005-0000-0000-0000B20C0000}"/>
    <cellStyle name="Heading 2 3" xfId="2982" xr:uid="{00000000-0005-0000-0000-0000B30C0000}"/>
    <cellStyle name="Heading 2 4" xfId="2983" xr:uid="{00000000-0005-0000-0000-0000B40C0000}"/>
    <cellStyle name="Heading 2 5" xfId="2984" xr:uid="{00000000-0005-0000-0000-0000B50C0000}"/>
    <cellStyle name="Heading 2 6" xfId="2985" xr:uid="{00000000-0005-0000-0000-0000B60C0000}"/>
    <cellStyle name="Heading 3 2" xfId="2986" xr:uid="{00000000-0005-0000-0000-0000B70C0000}"/>
    <cellStyle name="Heading 3 3" xfId="2987" xr:uid="{00000000-0005-0000-0000-0000B80C0000}"/>
    <cellStyle name="Heading 3 4" xfId="2988" xr:uid="{00000000-0005-0000-0000-0000B90C0000}"/>
    <cellStyle name="Heading 3 5" xfId="2989" xr:uid="{00000000-0005-0000-0000-0000BA0C0000}"/>
    <cellStyle name="Heading 3 6" xfId="2990" xr:uid="{00000000-0005-0000-0000-0000BB0C0000}"/>
    <cellStyle name="Heading 4 2" xfId="2991" xr:uid="{00000000-0005-0000-0000-0000BC0C0000}"/>
    <cellStyle name="Heading 4 3" xfId="2992" xr:uid="{00000000-0005-0000-0000-0000BD0C0000}"/>
    <cellStyle name="Heading 4 4" xfId="2993" xr:uid="{00000000-0005-0000-0000-0000BE0C0000}"/>
    <cellStyle name="Heading 4 5" xfId="2994" xr:uid="{00000000-0005-0000-0000-0000BF0C0000}"/>
    <cellStyle name="Heading 4 6" xfId="2995" xr:uid="{00000000-0005-0000-0000-0000C00C0000}"/>
    <cellStyle name="HeadlineStyle" xfId="2996" xr:uid="{00000000-0005-0000-0000-0000C10C0000}"/>
    <cellStyle name="HeadlineStyle 10" xfId="2997" xr:uid="{00000000-0005-0000-0000-0000C20C0000}"/>
    <cellStyle name="HeadlineStyle 11" xfId="2998" xr:uid="{00000000-0005-0000-0000-0000C30C0000}"/>
    <cellStyle name="HeadlineStyle 12" xfId="2999" xr:uid="{00000000-0005-0000-0000-0000C40C0000}"/>
    <cellStyle name="HeadlineStyle 13" xfId="3000" xr:uid="{00000000-0005-0000-0000-0000C50C0000}"/>
    <cellStyle name="HeadlineStyle 14" xfId="3001" xr:uid="{00000000-0005-0000-0000-0000C60C0000}"/>
    <cellStyle name="HeadlineStyle 15" xfId="3002" xr:uid="{00000000-0005-0000-0000-0000C70C0000}"/>
    <cellStyle name="HeadlineStyle 16" xfId="3003" xr:uid="{00000000-0005-0000-0000-0000C80C0000}"/>
    <cellStyle name="HeadlineStyle 2" xfId="3004" xr:uid="{00000000-0005-0000-0000-0000C90C0000}"/>
    <cellStyle name="HeadlineStyle 3" xfId="3005" xr:uid="{00000000-0005-0000-0000-0000CA0C0000}"/>
    <cellStyle name="HeadlineStyle 4" xfId="3006" xr:uid="{00000000-0005-0000-0000-0000CB0C0000}"/>
    <cellStyle name="HeadlineStyle 5" xfId="3007" xr:uid="{00000000-0005-0000-0000-0000CC0C0000}"/>
    <cellStyle name="HeadlineStyle 6" xfId="3008" xr:uid="{00000000-0005-0000-0000-0000CD0C0000}"/>
    <cellStyle name="HeadlineStyle 7" xfId="3009" xr:uid="{00000000-0005-0000-0000-0000CE0C0000}"/>
    <cellStyle name="HeadlineStyle 8" xfId="3010" xr:uid="{00000000-0005-0000-0000-0000CF0C0000}"/>
    <cellStyle name="HeadlineStyle 9" xfId="3011" xr:uid="{00000000-0005-0000-0000-0000D00C0000}"/>
    <cellStyle name="HeadlineStyleJustified" xfId="3012" xr:uid="{00000000-0005-0000-0000-0000D10C0000}"/>
    <cellStyle name="HeadlineStyleJustified 10" xfId="3013" xr:uid="{00000000-0005-0000-0000-0000D20C0000}"/>
    <cellStyle name="HeadlineStyleJustified 11" xfId="3014" xr:uid="{00000000-0005-0000-0000-0000D30C0000}"/>
    <cellStyle name="HeadlineStyleJustified 12" xfId="3015" xr:uid="{00000000-0005-0000-0000-0000D40C0000}"/>
    <cellStyle name="HeadlineStyleJustified 13" xfId="3016" xr:uid="{00000000-0005-0000-0000-0000D50C0000}"/>
    <cellStyle name="HeadlineStyleJustified 14" xfId="3017" xr:uid="{00000000-0005-0000-0000-0000D60C0000}"/>
    <cellStyle name="HeadlineStyleJustified 15" xfId="3018" xr:uid="{00000000-0005-0000-0000-0000D70C0000}"/>
    <cellStyle name="HeadlineStyleJustified 16" xfId="3019" xr:uid="{00000000-0005-0000-0000-0000D80C0000}"/>
    <cellStyle name="HeadlineStyleJustified 2" xfId="3020" xr:uid="{00000000-0005-0000-0000-0000D90C0000}"/>
    <cellStyle name="HeadlineStyleJustified 3" xfId="3021" xr:uid="{00000000-0005-0000-0000-0000DA0C0000}"/>
    <cellStyle name="HeadlineStyleJustified 4" xfId="3022" xr:uid="{00000000-0005-0000-0000-0000DB0C0000}"/>
    <cellStyle name="HeadlineStyleJustified 5" xfId="3023" xr:uid="{00000000-0005-0000-0000-0000DC0C0000}"/>
    <cellStyle name="HeadlineStyleJustified 6" xfId="3024" xr:uid="{00000000-0005-0000-0000-0000DD0C0000}"/>
    <cellStyle name="HeadlineStyleJustified 7" xfId="3025" xr:uid="{00000000-0005-0000-0000-0000DE0C0000}"/>
    <cellStyle name="HeadlineStyleJustified 8" xfId="3026" xr:uid="{00000000-0005-0000-0000-0000DF0C0000}"/>
    <cellStyle name="HeadlineStyleJustified 9" xfId="3027" xr:uid="{00000000-0005-0000-0000-0000E00C0000}"/>
    <cellStyle name="Hyperlink 2" xfId="3028" xr:uid="{00000000-0005-0000-0000-0000E10C0000}"/>
    <cellStyle name="Hyperlink 2 2" xfId="3029" xr:uid="{00000000-0005-0000-0000-0000E20C0000}"/>
    <cellStyle name="Hyperlink 3" xfId="3030" xr:uid="{00000000-0005-0000-0000-0000E30C0000}"/>
    <cellStyle name="inc/dec" xfId="3031" xr:uid="{00000000-0005-0000-0000-0000E40C0000}"/>
    <cellStyle name="inc/dec 2" xfId="3032" xr:uid="{00000000-0005-0000-0000-0000E50C0000}"/>
    <cellStyle name="Input 2" xfId="3033" xr:uid="{00000000-0005-0000-0000-0000E60C0000}"/>
    <cellStyle name="Input 3" xfId="3034" xr:uid="{00000000-0005-0000-0000-0000E70C0000}"/>
    <cellStyle name="Input 4" xfId="3035" xr:uid="{00000000-0005-0000-0000-0000E80C0000}"/>
    <cellStyle name="Input 5" xfId="3036" xr:uid="{00000000-0005-0000-0000-0000E90C0000}"/>
    <cellStyle name="Input 6" xfId="3037" xr:uid="{00000000-0005-0000-0000-0000EA0C0000}"/>
    <cellStyle name="Input 7" xfId="3038" xr:uid="{00000000-0005-0000-0000-0000EB0C0000}"/>
    <cellStyle name="Labels - Style3" xfId="3039" xr:uid="{00000000-0005-0000-0000-0000EC0C0000}"/>
    <cellStyle name="Labor" xfId="3040" xr:uid="{00000000-0005-0000-0000-0000ED0C0000}"/>
    <cellStyle name="Lines" xfId="3041" xr:uid="{00000000-0005-0000-0000-0000EE0C0000}"/>
    <cellStyle name="Linked Amount" xfId="3042" xr:uid="{00000000-0005-0000-0000-0000EF0C0000}"/>
    <cellStyle name="Linked Cell 2" xfId="3043" xr:uid="{00000000-0005-0000-0000-0000F00C0000}"/>
    <cellStyle name="Linked Cell 3" xfId="3044" xr:uid="{00000000-0005-0000-0000-0000F10C0000}"/>
    <cellStyle name="Linked Cell 4" xfId="3045" xr:uid="{00000000-0005-0000-0000-0000F20C0000}"/>
    <cellStyle name="Linked Cell 5" xfId="3046" xr:uid="{00000000-0005-0000-0000-0000F30C0000}"/>
    <cellStyle name="Linked Cell 6" xfId="3047" xr:uid="{00000000-0005-0000-0000-0000F40C0000}"/>
    <cellStyle name="Neutral 2" xfId="3048" xr:uid="{00000000-0005-0000-0000-0000F50C0000}"/>
    <cellStyle name="Neutral 3" xfId="3049" xr:uid="{00000000-0005-0000-0000-0000F60C0000}"/>
    <cellStyle name="Neutral 4" xfId="3050" xr:uid="{00000000-0005-0000-0000-0000F70C0000}"/>
    <cellStyle name="Neutral 5" xfId="3051" xr:uid="{00000000-0005-0000-0000-0000F80C0000}"/>
    <cellStyle name="Neutral 6" xfId="3052" xr:uid="{00000000-0005-0000-0000-0000F90C0000}"/>
    <cellStyle name="Normal" xfId="0" builtinId="0"/>
    <cellStyle name="Normal - Style1" xfId="3053" xr:uid="{00000000-0005-0000-0000-0000FB0C0000}"/>
    <cellStyle name="Normal - Style2" xfId="3054" xr:uid="{00000000-0005-0000-0000-0000FC0C0000}"/>
    <cellStyle name="Normal - Style3" xfId="3055" xr:uid="{00000000-0005-0000-0000-0000FD0C0000}"/>
    <cellStyle name="Normal - Style4" xfId="3056" xr:uid="{00000000-0005-0000-0000-0000FE0C0000}"/>
    <cellStyle name="Normal - Style5" xfId="3057" xr:uid="{00000000-0005-0000-0000-0000FF0C0000}"/>
    <cellStyle name="Normal - Style6" xfId="3058" xr:uid="{00000000-0005-0000-0000-0000000D0000}"/>
    <cellStyle name="Normal - Style7" xfId="3059" xr:uid="{00000000-0005-0000-0000-0000010D0000}"/>
    <cellStyle name="Normal - Style8" xfId="3060" xr:uid="{00000000-0005-0000-0000-0000020D0000}"/>
    <cellStyle name="Normal 10" xfId="3061" xr:uid="{00000000-0005-0000-0000-0000030D0000}"/>
    <cellStyle name="Normal 10 10" xfId="19" xr:uid="{00000000-0005-0000-0000-0000040D0000}"/>
    <cellStyle name="Normal 10 10 2" xfId="3062" xr:uid="{00000000-0005-0000-0000-0000050D0000}"/>
    <cellStyle name="Normal 10 10 2 2" xfId="3063" xr:uid="{00000000-0005-0000-0000-0000060D0000}"/>
    <cellStyle name="Normal 10 10 2 3" xfId="3064" xr:uid="{00000000-0005-0000-0000-0000070D0000}"/>
    <cellStyle name="Normal 10 10 2 4" xfId="9641" xr:uid="{00000000-0005-0000-0000-0000080D0000}"/>
    <cellStyle name="Normal 10 10 3" xfId="3065" xr:uid="{00000000-0005-0000-0000-0000090D0000}"/>
    <cellStyle name="Normal 10 10 3 2" xfId="9405" xr:uid="{00000000-0005-0000-0000-00000A0D0000}"/>
    <cellStyle name="Normal 10 10 4" xfId="3066" xr:uid="{00000000-0005-0000-0000-00000B0D0000}"/>
    <cellStyle name="Normal 10 10 5" xfId="3067" xr:uid="{00000000-0005-0000-0000-00000C0D0000}"/>
    <cellStyle name="Normal 10 10 5 2" xfId="11161" xr:uid="{00000000-0005-0000-0000-00000D0D0000}"/>
    <cellStyle name="Normal 10 10 6" xfId="3068" xr:uid="{00000000-0005-0000-0000-00000E0D0000}"/>
    <cellStyle name="Normal 10 10 6 2" xfId="9395" xr:uid="{00000000-0005-0000-0000-00000F0D0000}"/>
    <cellStyle name="Normal 10 10 7" xfId="3069" xr:uid="{00000000-0005-0000-0000-0000100D0000}"/>
    <cellStyle name="Normal 10 10 8" xfId="9404" xr:uid="{00000000-0005-0000-0000-0000110D0000}"/>
    <cellStyle name="Normal 10 10 9" xfId="9640" xr:uid="{00000000-0005-0000-0000-0000120D0000}"/>
    <cellStyle name="Normal 10 11" xfId="22" xr:uid="{00000000-0005-0000-0000-0000130D0000}"/>
    <cellStyle name="Normal 10 11 2" xfId="3070" xr:uid="{00000000-0005-0000-0000-0000140D0000}"/>
    <cellStyle name="Normal 10 11 2 2" xfId="3071" xr:uid="{00000000-0005-0000-0000-0000150D0000}"/>
    <cellStyle name="Normal 10 11 3" xfId="3072" xr:uid="{00000000-0005-0000-0000-0000160D0000}"/>
    <cellStyle name="Normal 10 11 4" xfId="11162" xr:uid="{00000000-0005-0000-0000-0000170D0000}"/>
    <cellStyle name="Normal 10 12" xfId="3073" xr:uid="{00000000-0005-0000-0000-0000180D0000}"/>
    <cellStyle name="Normal 10 12 2" xfId="3074" xr:uid="{00000000-0005-0000-0000-0000190D0000}"/>
    <cellStyle name="Normal 10 12 2 2" xfId="3075" xr:uid="{00000000-0005-0000-0000-00001A0D0000}"/>
    <cellStyle name="Normal 10 12 3" xfId="3076" xr:uid="{00000000-0005-0000-0000-00001B0D0000}"/>
    <cellStyle name="Normal 10 13" xfId="3077" xr:uid="{00000000-0005-0000-0000-00001C0D0000}"/>
    <cellStyle name="Normal 10 13 2" xfId="3078" xr:uid="{00000000-0005-0000-0000-00001D0D0000}"/>
    <cellStyle name="Normal 10 13 2 2" xfId="3079" xr:uid="{00000000-0005-0000-0000-00001E0D0000}"/>
    <cellStyle name="Normal 10 13 3" xfId="3080" xr:uid="{00000000-0005-0000-0000-00001F0D0000}"/>
    <cellStyle name="Normal 10 14" xfId="3081" xr:uid="{00000000-0005-0000-0000-0000200D0000}"/>
    <cellStyle name="Normal 10 14 10" xfId="3082" xr:uid="{00000000-0005-0000-0000-0000210D0000}"/>
    <cellStyle name="Normal 10 14 10 2" xfId="3083" xr:uid="{00000000-0005-0000-0000-0000220D0000}"/>
    <cellStyle name="Normal 10 14 10 2 2" xfId="3084" xr:uid="{00000000-0005-0000-0000-0000230D0000}"/>
    <cellStyle name="Normal 10 14 10 3" xfId="3085" xr:uid="{00000000-0005-0000-0000-0000240D0000}"/>
    <cellStyle name="Normal 10 14 11" xfId="3086" xr:uid="{00000000-0005-0000-0000-0000250D0000}"/>
    <cellStyle name="Normal 10 14 11 2" xfId="3087" xr:uid="{00000000-0005-0000-0000-0000260D0000}"/>
    <cellStyle name="Normal 10 14 11 2 2" xfId="3088" xr:uid="{00000000-0005-0000-0000-0000270D0000}"/>
    <cellStyle name="Normal 10 14 11 3" xfId="3089" xr:uid="{00000000-0005-0000-0000-0000280D0000}"/>
    <cellStyle name="Normal 10 14 12" xfId="3090" xr:uid="{00000000-0005-0000-0000-0000290D0000}"/>
    <cellStyle name="Normal 10 14 12 2" xfId="3091" xr:uid="{00000000-0005-0000-0000-00002A0D0000}"/>
    <cellStyle name="Normal 10 14 12 2 2" xfId="3092" xr:uid="{00000000-0005-0000-0000-00002B0D0000}"/>
    <cellStyle name="Normal 10 14 12 3" xfId="3093" xr:uid="{00000000-0005-0000-0000-00002C0D0000}"/>
    <cellStyle name="Normal 10 14 13" xfId="3094" xr:uid="{00000000-0005-0000-0000-00002D0D0000}"/>
    <cellStyle name="Normal 10 14 13 2" xfId="3095" xr:uid="{00000000-0005-0000-0000-00002E0D0000}"/>
    <cellStyle name="Normal 10 14 13 3" xfId="9643" xr:uid="{00000000-0005-0000-0000-00002F0D0000}"/>
    <cellStyle name="Normal 10 14 14" xfId="3096" xr:uid="{00000000-0005-0000-0000-0000300D0000}"/>
    <cellStyle name="Normal 10 14 15" xfId="9642" xr:uid="{00000000-0005-0000-0000-0000310D0000}"/>
    <cellStyle name="Normal 10 14 2" xfId="3097" xr:uid="{00000000-0005-0000-0000-0000320D0000}"/>
    <cellStyle name="Normal 10 14 2 2" xfId="3098" xr:uid="{00000000-0005-0000-0000-0000330D0000}"/>
    <cellStyle name="Normal 10 14 2 2 2" xfId="3099" xr:uid="{00000000-0005-0000-0000-0000340D0000}"/>
    <cellStyle name="Normal 10 14 2 3" xfId="3100" xr:uid="{00000000-0005-0000-0000-0000350D0000}"/>
    <cellStyle name="Normal 10 14 3" xfId="3101" xr:uid="{00000000-0005-0000-0000-0000360D0000}"/>
    <cellStyle name="Normal 10 14 3 2" xfId="3102" xr:uid="{00000000-0005-0000-0000-0000370D0000}"/>
    <cellStyle name="Normal 10 14 3 2 2" xfId="3103" xr:uid="{00000000-0005-0000-0000-0000380D0000}"/>
    <cellStyle name="Normal 10 14 3 3" xfId="3104" xr:uid="{00000000-0005-0000-0000-0000390D0000}"/>
    <cellStyle name="Normal 10 14 4" xfId="3105" xr:uid="{00000000-0005-0000-0000-00003A0D0000}"/>
    <cellStyle name="Normal 10 14 4 2" xfId="3106" xr:uid="{00000000-0005-0000-0000-00003B0D0000}"/>
    <cellStyle name="Normal 10 14 4 2 2" xfId="3107" xr:uid="{00000000-0005-0000-0000-00003C0D0000}"/>
    <cellStyle name="Normal 10 14 4 3" xfId="3108" xr:uid="{00000000-0005-0000-0000-00003D0D0000}"/>
    <cellStyle name="Normal 10 14 5" xfId="3109" xr:uid="{00000000-0005-0000-0000-00003E0D0000}"/>
    <cellStyle name="Normal 10 14 5 2" xfId="3110" xr:uid="{00000000-0005-0000-0000-00003F0D0000}"/>
    <cellStyle name="Normal 10 14 5 2 2" xfId="3111" xr:uid="{00000000-0005-0000-0000-0000400D0000}"/>
    <cellStyle name="Normal 10 14 5 3" xfId="3112" xr:uid="{00000000-0005-0000-0000-0000410D0000}"/>
    <cellStyle name="Normal 10 14 6" xfId="3113" xr:uid="{00000000-0005-0000-0000-0000420D0000}"/>
    <cellStyle name="Normal 10 14 6 2" xfId="3114" xr:uid="{00000000-0005-0000-0000-0000430D0000}"/>
    <cellStyle name="Normal 10 14 6 2 2" xfId="3115" xr:uid="{00000000-0005-0000-0000-0000440D0000}"/>
    <cellStyle name="Normal 10 14 6 3" xfId="3116" xr:uid="{00000000-0005-0000-0000-0000450D0000}"/>
    <cellStyle name="Normal 10 14 7" xfId="3117" xr:uid="{00000000-0005-0000-0000-0000460D0000}"/>
    <cellStyle name="Normal 10 14 7 2" xfId="3118" xr:uid="{00000000-0005-0000-0000-0000470D0000}"/>
    <cellStyle name="Normal 10 14 7 2 2" xfId="3119" xr:uid="{00000000-0005-0000-0000-0000480D0000}"/>
    <cellStyle name="Normal 10 14 7 3" xfId="3120" xr:uid="{00000000-0005-0000-0000-0000490D0000}"/>
    <cellStyle name="Normal 10 14 8" xfId="3121" xr:uid="{00000000-0005-0000-0000-00004A0D0000}"/>
    <cellStyle name="Normal 10 14 8 2" xfId="3122" xr:uid="{00000000-0005-0000-0000-00004B0D0000}"/>
    <cellStyle name="Normal 10 14 8 2 2" xfId="3123" xr:uid="{00000000-0005-0000-0000-00004C0D0000}"/>
    <cellStyle name="Normal 10 14 8 3" xfId="3124" xr:uid="{00000000-0005-0000-0000-00004D0D0000}"/>
    <cellStyle name="Normal 10 14 9" xfId="3125" xr:uid="{00000000-0005-0000-0000-00004E0D0000}"/>
    <cellStyle name="Normal 10 14 9 2" xfId="3126" xr:uid="{00000000-0005-0000-0000-00004F0D0000}"/>
    <cellStyle name="Normal 10 14 9 2 2" xfId="3127" xr:uid="{00000000-0005-0000-0000-0000500D0000}"/>
    <cellStyle name="Normal 10 14 9 3" xfId="3128" xr:uid="{00000000-0005-0000-0000-0000510D0000}"/>
    <cellStyle name="Normal 10 15" xfId="3129" xr:uid="{00000000-0005-0000-0000-0000520D0000}"/>
    <cellStyle name="Normal 10 15 2" xfId="3130" xr:uid="{00000000-0005-0000-0000-0000530D0000}"/>
    <cellStyle name="Normal 10 15 2 2" xfId="3131" xr:uid="{00000000-0005-0000-0000-0000540D0000}"/>
    <cellStyle name="Normal 10 15 3" xfId="3132" xr:uid="{00000000-0005-0000-0000-0000550D0000}"/>
    <cellStyle name="Normal 10 16" xfId="3133" xr:uid="{00000000-0005-0000-0000-0000560D0000}"/>
    <cellStyle name="Normal 10 16 2" xfId="3134" xr:uid="{00000000-0005-0000-0000-0000570D0000}"/>
    <cellStyle name="Normal 10 16 2 2" xfId="3135" xr:uid="{00000000-0005-0000-0000-0000580D0000}"/>
    <cellStyle name="Normal 10 16 3" xfId="3136" xr:uid="{00000000-0005-0000-0000-0000590D0000}"/>
    <cellStyle name="Normal 10 17" xfId="3137" xr:uid="{00000000-0005-0000-0000-00005A0D0000}"/>
    <cellStyle name="Normal 10 17 2" xfId="3138" xr:uid="{00000000-0005-0000-0000-00005B0D0000}"/>
    <cellStyle name="Normal 10 17 2 2" xfId="3139" xr:uid="{00000000-0005-0000-0000-00005C0D0000}"/>
    <cellStyle name="Normal 10 17 3" xfId="3140" xr:uid="{00000000-0005-0000-0000-00005D0D0000}"/>
    <cellStyle name="Normal 10 18" xfId="3141" xr:uid="{00000000-0005-0000-0000-00005E0D0000}"/>
    <cellStyle name="Normal 10 18 2" xfId="3142" xr:uid="{00000000-0005-0000-0000-00005F0D0000}"/>
    <cellStyle name="Normal 10 18 2 2" xfId="3143" xr:uid="{00000000-0005-0000-0000-0000600D0000}"/>
    <cellStyle name="Normal 10 18 3" xfId="3144" xr:uid="{00000000-0005-0000-0000-0000610D0000}"/>
    <cellStyle name="Normal 10 19" xfId="3145" xr:uid="{00000000-0005-0000-0000-0000620D0000}"/>
    <cellStyle name="Normal 10 19 2" xfId="3146" xr:uid="{00000000-0005-0000-0000-0000630D0000}"/>
    <cellStyle name="Normal 10 19 2 2" xfId="3147" xr:uid="{00000000-0005-0000-0000-0000640D0000}"/>
    <cellStyle name="Normal 10 19 3" xfId="3148" xr:uid="{00000000-0005-0000-0000-0000650D0000}"/>
    <cellStyle name="Normal 10 2" xfId="3149" xr:uid="{00000000-0005-0000-0000-0000660D0000}"/>
    <cellStyle name="Normal 10 2 2" xfId="3150" xr:uid="{00000000-0005-0000-0000-0000670D0000}"/>
    <cellStyle name="Normal 10 2 2 2" xfId="3151" xr:uid="{00000000-0005-0000-0000-0000680D0000}"/>
    <cellStyle name="Normal 10 2 2 2 2" xfId="9645" xr:uid="{00000000-0005-0000-0000-0000690D0000}"/>
    <cellStyle name="Normal 10 2 2 3" xfId="3152" xr:uid="{00000000-0005-0000-0000-00006A0D0000}"/>
    <cellStyle name="Normal 10 2 3" xfId="3153" xr:uid="{00000000-0005-0000-0000-00006B0D0000}"/>
    <cellStyle name="Normal 10 2 4" xfId="3154" xr:uid="{00000000-0005-0000-0000-00006C0D0000}"/>
    <cellStyle name="Normal 10 2 5" xfId="9644" xr:uid="{00000000-0005-0000-0000-00006D0D0000}"/>
    <cellStyle name="Normal 10 20" xfId="3155" xr:uid="{00000000-0005-0000-0000-00006E0D0000}"/>
    <cellStyle name="Normal 10 20 2" xfId="3156" xr:uid="{00000000-0005-0000-0000-00006F0D0000}"/>
    <cellStyle name="Normal 10 20 2 2" xfId="3157" xr:uid="{00000000-0005-0000-0000-0000700D0000}"/>
    <cellStyle name="Normal 10 20 3" xfId="3158" xr:uid="{00000000-0005-0000-0000-0000710D0000}"/>
    <cellStyle name="Normal 10 21" xfId="3159" xr:uid="{00000000-0005-0000-0000-0000720D0000}"/>
    <cellStyle name="Normal 10 21 2" xfId="3160" xr:uid="{00000000-0005-0000-0000-0000730D0000}"/>
    <cellStyle name="Normal 10 21 2 2" xfId="3161" xr:uid="{00000000-0005-0000-0000-0000740D0000}"/>
    <cellStyle name="Normal 10 21 2 3" xfId="9647" xr:uid="{00000000-0005-0000-0000-0000750D0000}"/>
    <cellStyle name="Normal 10 21 3" xfId="3162" xr:uid="{00000000-0005-0000-0000-0000760D0000}"/>
    <cellStyle name="Normal 10 21 4" xfId="3163" xr:uid="{00000000-0005-0000-0000-0000770D0000}"/>
    <cellStyle name="Normal 10 21 5" xfId="3164" xr:uid="{00000000-0005-0000-0000-0000780D0000}"/>
    <cellStyle name="Normal 10 21 6" xfId="9646" xr:uid="{00000000-0005-0000-0000-0000790D0000}"/>
    <cellStyle name="Normal 10 22" xfId="3165" xr:uid="{00000000-0005-0000-0000-00007A0D0000}"/>
    <cellStyle name="Normal 10 22 2" xfId="3166" xr:uid="{00000000-0005-0000-0000-00007B0D0000}"/>
    <cellStyle name="Normal 10 22 3" xfId="3167" xr:uid="{00000000-0005-0000-0000-00007C0D0000}"/>
    <cellStyle name="Normal 10 22 4" xfId="9648" xr:uid="{00000000-0005-0000-0000-00007D0D0000}"/>
    <cellStyle name="Normal 10 23" xfId="3168" xr:uid="{00000000-0005-0000-0000-00007E0D0000}"/>
    <cellStyle name="Normal 10 23 2" xfId="20" xr:uid="{00000000-0005-0000-0000-00007F0D0000}"/>
    <cellStyle name="Normal 10 23 3" xfId="3169" xr:uid="{00000000-0005-0000-0000-0000800D0000}"/>
    <cellStyle name="Normal 10 24" xfId="3170" xr:uid="{00000000-0005-0000-0000-0000810D0000}"/>
    <cellStyle name="Normal 10 25" xfId="3171" xr:uid="{00000000-0005-0000-0000-0000820D0000}"/>
    <cellStyle name="Normal 10 26" xfId="3172" xr:uid="{00000000-0005-0000-0000-0000830D0000}"/>
    <cellStyle name="Normal 10 26 2" xfId="3173" xr:uid="{00000000-0005-0000-0000-0000840D0000}"/>
    <cellStyle name="Normal 10 26 2 2" xfId="9649" xr:uid="{00000000-0005-0000-0000-0000850D0000}"/>
    <cellStyle name="Normal 10 27" xfId="3174" xr:uid="{00000000-0005-0000-0000-0000860D0000}"/>
    <cellStyle name="Normal 10 28" xfId="3175" xr:uid="{00000000-0005-0000-0000-0000870D0000}"/>
    <cellStyle name="Normal 10 29" xfId="3176" xr:uid="{00000000-0005-0000-0000-0000880D0000}"/>
    <cellStyle name="Normal 10 3" xfId="3177" xr:uid="{00000000-0005-0000-0000-0000890D0000}"/>
    <cellStyle name="Normal 10 3 2" xfId="3178" xr:uid="{00000000-0005-0000-0000-00008A0D0000}"/>
    <cellStyle name="Normal 10 3 2 2" xfId="3179" xr:uid="{00000000-0005-0000-0000-00008B0D0000}"/>
    <cellStyle name="Normal 10 3 2 2 2" xfId="9651" xr:uid="{00000000-0005-0000-0000-00008C0D0000}"/>
    <cellStyle name="Normal 10 3 2 3" xfId="3180" xr:uid="{00000000-0005-0000-0000-00008D0D0000}"/>
    <cellStyle name="Normal 10 3 3" xfId="3181" xr:uid="{00000000-0005-0000-0000-00008E0D0000}"/>
    <cellStyle name="Normal 10 3 4" xfId="3182" xr:uid="{00000000-0005-0000-0000-00008F0D0000}"/>
    <cellStyle name="Normal 10 3 5" xfId="9650" xr:uid="{00000000-0005-0000-0000-0000900D0000}"/>
    <cellStyle name="Normal 10 30" xfId="3183" xr:uid="{00000000-0005-0000-0000-0000910D0000}"/>
    <cellStyle name="Normal 10 31" xfId="3184" xr:uid="{00000000-0005-0000-0000-0000920D0000}"/>
    <cellStyle name="Normal 10 32" xfId="3185" xr:uid="{00000000-0005-0000-0000-0000930D0000}"/>
    <cellStyle name="Normal 10 33" xfId="3186" xr:uid="{00000000-0005-0000-0000-0000940D0000}"/>
    <cellStyle name="Normal 10 34" xfId="3187" xr:uid="{00000000-0005-0000-0000-0000950D0000}"/>
    <cellStyle name="Normal 10 35" xfId="3188" xr:uid="{00000000-0005-0000-0000-0000960D0000}"/>
    <cellStyle name="Normal 10 36" xfId="3189" xr:uid="{00000000-0005-0000-0000-0000970D0000}"/>
    <cellStyle name="Normal 10 37" xfId="3190" xr:uid="{00000000-0005-0000-0000-0000980D0000}"/>
    <cellStyle name="Normal 10 38" xfId="3191" xr:uid="{00000000-0005-0000-0000-0000990D0000}"/>
    <cellStyle name="Normal 10 39" xfId="3192" xr:uid="{00000000-0005-0000-0000-00009A0D0000}"/>
    <cellStyle name="Normal 10 4" xfId="3193" xr:uid="{00000000-0005-0000-0000-00009B0D0000}"/>
    <cellStyle name="Normal 10 4 2" xfId="3194" xr:uid="{00000000-0005-0000-0000-00009C0D0000}"/>
    <cellStyle name="Normal 10 4 2 2" xfId="3195" xr:uid="{00000000-0005-0000-0000-00009D0D0000}"/>
    <cellStyle name="Normal 10 4 2 2 2" xfId="9653" xr:uid="{00000000-0005-0000-0000-00009E0D0000}"/>
    <cellStyle name="Normal 10 4 2 3" xfId="3196" xr:uid="{00000000-0005-0000-0000-00009F0D0000}"/>
    <cellStyle name="Normal 10 4 3" xfId="3197" xr:uid="{00000000-0005-0000-0000-0000A00D0000}"/>
    <cellStyle name="Normal 10 4 4" xfId="3198" xr:uid="{00000000-0005-0000-0000-0000A10D0000}"/>
    <cellStyle name="Normal 10 4 5" xfId="9652" xr:uid="{00000000-0005-0000-0000-0000A20D0000}"/>
    <cellStyle name="Normal 10 40" xfId="3199" xr:uid="{00000000-0005-0000-0000-0000A30D0000}"/>
    <cellStyle name="Normal 10 41" xfId="3200" xr:uid="{00000000-0005-0000-0000-0000A40D0000}"/>
    <cellStyle name="Normal 10 42" xfId="3201" xr:uid="{00000000-0005-0000-0000-0000A50D0000}"/>
    <cellStyle name="Normal 10 43" xfId="3202" xr:uid="{00000000-0005-0000-0000-0000A60D0000}"/>
    <cellStyle name="Normal 10 44" xfId="3203" xr:uid="{00000000-0005-0000-0000-0000A70D0000}"/>
    <cellStyle name="Normal 10 45" xfId="3204" xr:uid="{00000000-0005-0000-0000-0000A80D0000}"/>
    <cellStyle name="Normal 10 46" xfId="3205" xr:uid="{00000000-0005-0000-0000-0000A90D0000}"/>
    <cellStyle name="Normal 10 47" xfId="3206" xr:uid="{00000000-0005-0000-0000-0000AA0D0000}"/>
    <cellStyle name="Normal 10 48" xfId="3207" xr:uid="{00000000-0005-0000-0000-0000AB0D0000}"/>
    <cellStyle name="Normal 10 49" xfId="3208" xr:uid="{00000000-0005-0000-0000-0000AC0D0000}"/>
    <cellStyle name="Normal 10 5" xfId="3209" xr:uid="{00000000-0005-0000-0000-0000AD0D0000}"/>
    <cellStyle name="Normal 10 5 2" xfId="3210" xr:uid="{00000000-0005-0000-0000-0000AE0D0000}"/>
    <cellStyle name="Normal 10 5 2 2" xfId="3211" xr:uid="{00000000-0005-0000-0000-0000AF0D0000}"/>
    <cellStyle name="Normal 10 5 2 2 2" xfId="9655" xr:uid="{00000000-0005-0000-0000-0000B00D0000}"/>
    <cellStyle name="Normal 10 5 2 3" xfId="3212" xr:uid="{00000000-0005-0000-0000-0000B10D0000}"/>
    <cellStyle name="Normal 10 5 3" xfId="3213" xr:uid="{00000000-0005-0000-0000-0000B20D0000}"/>
    <cellStyle name="Normal 10 5 4" xfId="3214" xr:uid="{00000000-0005-0000-0000-0000B30D0000}"/>
    <cellStyle name="Normal 10 5 5" xfId="9654" xr:uid="{00000000-0005-0000-0000-0000B40D0000}"/>
    <cellStyle name="Normal 10 50" xfId="3215" xr:uid="{00000000-0005-0000-0000-0000B50D0000}"/>
    <cellStyle name="Normal 10 51" xfId="3216" xr:uid="{00000000-0005-0000-0000-0000B60D0000}"/>
    <cellStyle name="Normal 10 52" xfId="3217" xr:uid="{00000000-0005-0000-0000-0000B70D0000}"/>
    <cellStyle name="Normal 10 53" xfId="3218" xr:uid="{00000000-0005-0000-0000-0000B80D0000}"/>
    <cellStyle name="Normal 10 54" xfId="3219" xr:uid="{00000000-0005-0000-0000-0000B90D0000}"/>
    <cellStyle name="Normal 10 55" xfId="3220" xr:uid="{00000000-0005-0000-0000-0000BA0D0000}"/>
    <cellStyle name="Normal 10 56" xfId="3221" xr:uid="{00000000-0005-0000-0000-0000BB0D0000}"/>
    <cellStyle name="Normal 10 57" xfId="3222" xr:uid="{00000000-0005-0000-0000-0000BC0D0000}"/>
    <cellStyle name="Normal 10 58" xfId="3223" xr:uid="{00000000-0005-0000-0000-0000BD0D0000}"/>
    <cellStyle name="Normal 10 59" xfId="3224" xr:uid="{00000000-0005-0000-0000-0000BE0D0000}"/>
    <cellStyle name="Normal 10 6" xfId="3225" xr:uid="{00000000-0005-0000-0000-0000BF0D0000}"/>
    <cellStyle name="Normal 10 6 2" xfId="3226" xr:uid="{00000000-0005-0000-0000-0000C00D0000}"/>
    <cellStyle name="Normal 10 6 2 2" xfId="3227" xr:uid="{00000000-0005-0000-0000-0000C10D0000}"/>
    <cellStyle name="Normal 10 6 2 2 2" xfId="9657" xr:uid="{00000000-0005-0000-0000-0000C20D0000}"/>
    <cellStyle name="Normal 10 6 2 3" xfId="3228" xr:uid="{00000000-0005-0000-0000-0000C30D0000}"/>
    <cellStyle name="Normal 10 6 3" xfId="3229" xr:uid="{00000000-0005-0000-0000-0000C40D0000}"/>
    <cellStyle name="Normal 10 6 4" xfId="3230" xr:uid="{00000000-0005-0000-0000-0000C50D0000}"/>
    <cellStyle name="Normal 10 6 5" xfId="9656" xr:uid="{00000000-0005-0000-0000-0000C60D0000}"/>
    <cellStyle name="Normal 10 60" xfId="3231" xr:uid="{00000000-0005-0000-0000-0000C70D0000}"/>
    <cellStyle name="Normal 10 61" xfId="3232" xr:uid="{00000000-0005-0000-0000-0000C80D0000}"/>
    <cellStyle name="Normal 10 62" xfId="3233" xr:uid="{00000000-0005-0000-0000-0000C90D0000}"/>
    <cellStyle name="Normal 10 63" xfId="3234" xr:uid="{00000000-0005-0000-0000-0000CA0D0000}"/>
    <cellStyle name="Normal 10 64" xfId="3235" xr:uid="{00000000-0005-0000-0000-0000CB0D0000}"/>
    <cellStyle name="Normal 10 65" xfId="3236" xr:uid="{00000000-0005-0000-0000-0000CC0D0000}"/>
    <cellStyle name="Normal 10 66" xfId="3237" xr:uid="{00000000-0005-0000-0000-0000CD0D0000}"/>
    <cellStyle name="Normal 10 67" xfId="3238" xr:uid="{00000000-0005-0000-0000-0000CE0D0000}"/>
    <cellStyle name="Normal 10 68" xfId="3239" xr:uid="{00000000-0005-0000-0000-0000CF0D0000}"/>
    <cellStyle name="Normal 10 69" xfId="3240" xr:uid="{00000000-0005-0000-0000-0000D00D0000}"/>
    <cellStyle name="Normal 10 7" xfId="3241" xr:uid="{00000000-0005-0000-0000-0000D10D0000}"/>
    <cellStyle name="Normal 10 7 2" xfId="3242" xr:uid="{00000000-0005-0000-0000-0000D20D0000}"/>
    <cellStyle name="Normal 10 7 2 2" xfId="3243" xr:uid="{00000000-0005-0000-0000-0000D30D0000}"/>
    <cellStyle name="Normal 10 7 2 2 2" xfId="9659" xr:uid="{00000000-0005-0000-0000-0000D40D0000}"/>
    <cellStyle name="Normal 10 7 2 3" xfId="3244" xr:uid="{00000000-0005-0000-0000-0000D50D0000}"/>
    <cellStyle name="Normal 10 7 3" xfId="3245" xr:uid="{00000000-0005-0000-0000-0000D60D0000}"/>
    <cellStyle name="Normal 10 7 4" xfId="3246" xr:uid="{00000000-0005-0000-0000-0000D70D0000}"/>
    <cellStyle name="Normal 10 7 5" xfId="9658" xr:uid="{00000000-0005-0000-0000-0000D80D0000}"/>
    <cellStyle name="Normal 10 70" xfId="3247" xr:uid="{00000000-0005-0000-0000-0000D90D0000}"/>
    <cellStyle name="Normal 10 71" xfId="3248" xr:uid="{00000000-0005-0000-0000-0000DA0D0000}"/>
    <cellStyle name="Normal 10 71 2" xfId="3249" xr:uid="{00000000-0005-0000-0000-0000DB0D0000}"/>
    <cellStyle name="Normal 10 71 3" xfId="9660" xr:uid="{00000000-0005-0000-0000-0000DC0D0000}"/>
    <cellStyle name="Normal 10 72" xfId="3250" xr:uid="{00000000-0005-0000-0000-0000DD0D0000}"/>
    <cellStyle name="Normal 10 73" xfId="3251" xr:uid="{00000000-0005-0000-0000-0000DE0D0000}"/>
    <cellStyle name="Normal 10 73 2" xfId="9661" xr:uid="{00000000-0005-0000-0000-0000DF0D0000}"/>
    <cellStyle name="Normal 10 8" xfId="3252" xr:uid="{00000000-0005-0000-0000-0000E00D0000}"/>
    <cellStyle name="Normal 10 8 2" xfId="3253" xr:uid="{00000000-0005-0000-0000-0000E10D0000}"/>
    <cellStyle name="Normal 10 8 2 2" xfId="3254" xr:uid="{00000000-0005-0000-0000-0000E20D0000}"/>
    <cellStyle name="Normal 10 8 2 2 2" xfId="9663" xr:uid="{00000000-0005-0000-0000-0000E30D0000}"/>
    <cellStyle name="Normal 10 8 2 3" xfId="3255" xr:uid="{00000000-0005-0000-0000-0000E40D0000}"/>
    <cellStyle name="Normal 10 8 3" xfId="3256" xr:uid="{00000000-0005-0000-0000-0000E50D0000}"/>
    <cellStyle name="Normal 10 8 4" xfId="3257" xr:uid="{00000000-0005-0000-0000-0000E60D0000}"/>
    <cellStyle name="Normal 10 8 5" xfId="9662" xr:uid="{00000000-0005-0000-0000-0000E70D0000}"/>
    <cellStyle name="Normal 10 9" xfId="3258" xr:uid="{00000000-0005-0000-0000-0000E80D0000}"/>
    <cellStyle name="Normal 10 9 2" xfId="3259" xr:uid="{00000000-0005-0000-0000-0000E90D0000}"/>
    <cellStyle name="Normal 10 9 2 2" xfId="3260" xr:uid="{00000000-0005-0000-0000-0000EA0D0000}"/>
    <cellStyle name="Normal 10 9 2 3" xfId="9665" xr:uid="{00000000-0005-0000-0000-0000EB0D0000}"/>
    <cellStyle name="Normal 10 9 3" xfId="3261" xr:uid="{00000000-0005-0000-0000-0000EC0D0000}"/>
    <cellStyle name="Normal 10 9 4" xfId="3262" xr:uid="{00000000-0005-0000-0000-0000ED0D0000}"/>
    <cellStyle name="Normal 10 9 5" xfId="3263" xr:uid="{00000000-0005-0000-0000-0000EE0D0000}"/>
    <cellStyle name="Normal 10 9 6" xfId="9664" xr:uid="{00000000-0005-0000-0000-0000EF0D0000}"/>
    <cellStyle name="Normal 100" xfId="3264" xr:uid="{00000000-0005-0000-0000-0000F00D0000}"/>
    <cellStyle name="Normal 101" xfId="3265" xr:uid="{00000000-0005-0000-0000-0000F10D0000}"/>
    <cellStyle name="Normal 102" xfId="3266" xr:uid="{00000000-0005-0000-0000-0000F20D0000}"/>
    <cellStyle name="Normal 103" xfId="3267" xr:uid="{00000000-0005-0000-0000-0000F30D0000}"/>
    <cellStyle name="Normal 104" xfId="3268" xr:uid="{00000000-0005-0000-0000-0000F40D0000}"/>
    <cellStyle name="Normal 105" xfId="3269" xr:uid="{00000000-0005-0000-0000-0000F50D0000}"/>
    <cellStyle name="Normal 106" xfId="3270" xr:uid="{00000000-0005-0000-0000-0000F60D0000}"/>
    <cellStyle name="Normal 107" xfId="3271" xr:uid="{00000000-0005-0000-0000-0000F70D0000}"/>
    <cellStyle name="Normal 108" xfId="3272" xr:uid="{00000000-0005-0000-0000-0000F80D0000}"/>
    <cellStyle name="Normal 109" xfId="3273" xr:uid="{00000000-0005-0000-0000-0000F90D0000}"/>
    <cellStyle name="Normal 11" xfId="3274" xr:uid="{00000000-0005-0000-0000-0000FA0D0000}"/>
    <cellStyle name="Normal 11 10" xfId="3275" xr:uid="{00000000-0005-0000-0000-0000FB0D0000}"/>
    <cellStyle name="Normal 11 11" xfId="3276" xr:uid="{00000000-0005-0000-0000-0000FC0D0000}"/>
    <cellStyle name="Normal 11 12" xfId="3277" xr:uid="{00000000-0005-0000-0000-0000FD0D0000}"/>
    <cellStyle name="Normal 11 13" xfId="3278" xr:uid="{00000000-0005-0000-0000-0000FE0D0000}"/>
    <cellStyle name="Normal 11 14" xfId="3279" xr:uid="{00000000-0005-0000-0000-0000FF0D0000}"/>
    <cellStyle name="Normal 11 2" xfId="3280" xr:uid="{00000000-0005-0000-0000-0000000E0000}"/>
    <cellStyle name="Normal 11 2 10" xfId="3281" xr:uid="{00000000-0005-0000-0000-0000010E0000}"/>
    <cellStyle name="Normal 11 2 2" xfId="3282" xr:uid="{00000000-0005-0000-0000-0000020E0000}"/>
    <cellStyle name="Normal 11 2 2 2" xfId="3283" xr:uid="{00000000-0005-0000-0000-0000030E0000}"/>
    <cellStyle name="Normal 11 2 2 2 2" xfId="3284" xr:uid="{00000000-0005-0000-0000-0000040E0000}"/>
    <cellStyle name="Normal 11 2 2 3" xfId="3285" xr:uid="{00000000-0005-0000-0000-0000050E0000}"/>
    <cellStyle name="Normal 11 2 2 4" xfId="3286" xr:uid="{00000000-0005-0000-0000-0000060E0000}"/>
    <cellStyle name="Normal 11 2 2 5" xfId="3287" xr:uid="{00000000-0005-0000-0000-0000070E0000}"/>
    <cellStyle name="Normal 11 2 2 6" xfId="3288" xr:uid="{00000000-0005-0000-0000-0000080E0000}"/>
    <cellStyle name="Normal 11 2 2 7" xfId="3289" xr:uid="{00000000-0005-0000-0000-0000090E0000}"/>
    <cellStyle name="Normal 11 2 2 8" xfId="3290" xr:uid="{00000000-0005-0000-0000-00000A0E0000}"/>
    <cellStyle name="Normal 11 2 2 9" xfId="3291" xr:uid="{00000000-0005-0000-0000-00000B0E0000}"/>
    <cellStyle name="Normal 11 2 3" xfId="3292" xr:uid="{00000000-0005-0000-0000-00000C0E0000}"/>
    <cellStyle name="Normal 11 2 4" xfId="3293" xr:uid="{00000000-0005-0000-0000-00000D0E0000}"/>
    <cellStyle name="Normal 11 2 5" xfId="3294" xr:uid="{00000000-0005-0000-0000-00000E0E0000}"/>
    <cellStyle name="Normal 11 2 6" xfId="3295" xr:uid="{00000000-0005-0000-0000-00000F0E0000}"/>
    <cellStyle name="Normal 11 2 7" xfId="3296" xr:uid="{00000000-0005-0000-0000-0000100E0000}"/>
    <cellStyle name="Normal 11 2 8" xfId="3297" xr:uid="{00000000-0005-0000-0000-0000110E0000}"/>
    <cellStyle name="Normal 11 2 9" xfId="3298" xr:uid="{00000000-0005-0000-0000-0000120E0000}"/>
    <cellStyle name="Normal 11 3" xfId="3299" xr:uid="{00000000-0005-0000-0000-0000130E0000}"/>
    <cellStyle name="Normal 11 4" xfId="3300" xr:uid="{00000000-0005-0000-0000-0000140E0000}"/>
    <cellStyle name="Normal 11 5" xfId="3301" xr:uid="{00000000-0005-0000-0000-0000150E0000}"/>
    <cellStyle name="Normal 11 5 2" xfId="3302" xr:uid="{00000000-0005-0000-0000-0000160E0000}"/>
    <cellStyle name="Normal 11 5 3" xfId="9666" xr:uid="{00000000-0005-0000-0000-0000170E0000}"/>
    <cellStyle name="Normal 11 6" xfId="3303" xr:uid="{00000000-0005-0000-0000-0000180E0000}"/>
    <cellStyle name="Normal 11 6 2" xfId="3304" xr:uid="{00000000-0005-0000-0000-0000190E0000}"/>
    <cellStyle name="Normal 11 7" xfId="3305" xr:uid="{00000000-0005-0000-0000-00001A0E0000}"/>
    <cellStyle name="Normal 11 8" xfId="3306" xr:uid="{00000000-0005-0000-0000-00001B0E0000}"/>
    <cellStyle name="Normal 11 9" xfId="3307" xr:uid="{00000000-0005-0000-0000-00001C0E0000}"/>
    <cellStyle name="Normal 110" xfId="3308" xr:uid="{00000000-0005-0000-0000-00001D0E0000}"/>
    <cellStyle name="Normal 111" xfId="3309" xr:uid="{00000000-0005-0000-0000-00001E0E0000}"/>
    <cellStyle name="Normal 112" xfId="3310" xr:uid="{00000000-0005-0000-0000-00001F0E0000}"/>
    <cellStyle name="Normal 113" xfId="3311" xr:uid="{00000000-0005-0000-0000-0000200E0000}"/>
    <cellStyle name="Normal 114" xfId="3312" xr:uid="{00000000-0005-0000-0000-0000210E0000}"/>
    <cellStyle name="Normal 115" xfId="3313" xr:uid="{00000000-0005-0000-0000-0000220E0000}"/>
    <cellStyle name="Normal 116" xfId="3314" xr:uid="{00000000-0005-0000-0000-0000230E0000}"/>
    <cellStyle name="Normal 117" xfId="3315" xr:uid="{00000000-0005-0000-0000-0000240E0000}"/>
    <cellStyle name="Normal 118" xfId="3316" xr:uid="{00000000-0005-0000-0000-0000250E0000}"/>
    <cellStyle name="Normal 119" xfId="3317" xr:uid="{00000000-0005-0000-0000-0000260E0000}"/>
    <cellStyle name="Normal 12" xfId="3318" xr:uid="{00000000-0005-0000-0000-0000270E0000}"/>
    <cellStyle name="Normal 12 10" xfId="3319" xr:uid="{00000000-0005-0000-0000-0000280E0000}"/>
    <cellStyle name="Normal 12 10 2" xfId="11160" xr:uid="{00000000-0005-0000-0000-0000290E0000}"/>
    <cellStyle name="Normal 12 11" xfId="3320" xr:uid="{00000000-0005-0000-0000-00002A0E0000}"/>
    <cellStyle name="Normal 12 12" xfId="3321" xr:uid="{00000000-0005-0000-0000-00002B0E0000}"/>
    <cellStyle name="Normal 12 13" xfId="3322" xr:uid="{00000000-0005-0000-0000-00002C0E0000}"/>
    <cellStyle name="Normal 12 14" xfId="3323" xr:uid="{00000000-0005-0000-0000-00002D0E0000}"/>
    <cellStyle name="Normal 12 15" xfId="3324" xr:uid="{00000000-0005-0000-0000-00002E0E0000}"/>
    <cellStyle name="Normal 12 16" xfId="3325" xr:uid="{00000000-0005-0000-0000-00002F0E0000}"/>
    <cellStyle name="Normal 12 17" xfId="3326" xr:uid="{00000000-0005-0000-0000-0000300E0000}"/>
    <cellStyle name="Normal 12 18" xfId="3327" xr:uid="{00000000-0005-0000-0000-0000310E0000}"/>
    <cellStyle name="Normal 12 19" xfId="3328" xr:uid="{00000000-0005-0000-0000-0000320E0000}"/>
    <cellStyle name="Normal 12 2" xfId="3329" xr:uid="{00000000-0005-0000-0000-0000330E0000}"/>
    <cellStyle name="Normal 12 2 2" xfId="3330" xr:uid="{00000000-0005-0000-0000-0000340E0000}"/>
    <cellStyle name="Normal 12 2 2 2" xfId="3331" xr:uid="{00000000-0005-0000-0000-0000350E0000}"/>
    <cellStyle name="Normal 12 2 3" xfId="3332" xr:uid="{00000000-0005-0000-0000-0000360E0000}"/>
    <cellStyle name="Normal 12 2 4" xfId="3333" xr:uid="{00000000-0005-0000-0000-0000370E0000}"/>
    <cellStyle name="Normal 12 20" xfId="3334" xr:uid="{00000000-0005-0000-0000-0000380E0000}"/>
    <cellStyle name="Normal 12 21" xfId="3335" xr:uid="{00000000-0005-0000-0000-0000390E0000}"/>
    <cellStyle name="Normal 12 22" xfId="3336" xr:uid="{00000000-0005-0000-0000-00003A0E0000}"/>
    <cellStyle name="Normal 12 23" xfId="3337" xr:uid="{00000000-0005-0000-0000-00003B0E0000}"/>
    <cellStyle name="Normal 12 24" xfId="3338" xr:uid="{00000000-0005-0000-0000-00003C0E0000}"/>
    <cellStyle name="Normal 12 25" xfId="3339" xr:uid="{00000000-0005-0000-0000-00003D0E0000}"/>
    <cellStyle name="Normal 12 26" xfId="3340" xr:uid="{00000000-0005-0000-0000-00003E0E0000}"/>
    <cellStyle name="Normal 12 27" xfId="3341" xr:uid="{00000000-0005-0000-0000-00003F0E0000}"/>
    <cellStyle name="Normal 12 28" xfId="3342" xr:uid="{00000000-0005-0000-0000-0000400E0000}"/>
    <cellStyle name="Normal 12 29" xfId="3343" xr:uid="{00000000-0005-0000-0000-0000410E0000}"/>
    <cellStyle name="Normal 12 3" xfId="3344" xr:uid="{00000000-0005-0000-0000-0000420E0000}"/>
    <cellStyle name="Normal 12 30" xfId="3345" xr:uid="{00000000-0005-0000-0000-0000430E0000}"/>
    <cellStyle name="Normal 12 31" xfId="3346" xr:uid="{00000000-0005-0000-0000-0000440E0000}"/>
    <cellStyle name="Normal 12 32" xfId="3347" xr:uid="{00000000-0005-0000-0000-0000450E0000}"/>
    <cellStyle name="Normal 12 33" xfId="3348" xr:uid="{00000000-0005-0000-0000-0000460E0000}"/>
    <cellStyle name="Normal 12 34" xfId="3349" xr:uid="{00000000-0005-0000-0000-0000470E0000}"/>
    <cellStyle name="Normal 12 35" xfId="3350" xr:uid="{00000000-0005-0000-0000-0000480E0000}"/>
    <cellStyle name="Normal 12 36" xfId="3351" xr:uid="{00000000-0005-0000-0000-0000490E0000}"/>
    <cellStyle name="Normal 12 37" xfId="3352" xr:uid="{00000000-0005-0000-0000-00004A0E0000}"/>
    <cellStyle name="Normal 12 38" xfId="3353" xr:uid="{00000000-0005-0000-0000-00004B0E0000}"/>
    <cellStyle name="Normal 12 39" xfId="3354" xr:uid="{00000000-0005-0000-0000-00004C0E0000}"/>
    <cellStyle name="Normal 12 4" xfId="3355" xr:uid="{00000000-0005-0000-0000-00004D0E0000}"/>
    <cellStyle name="Normal 12 40" xfId="3356" xr:uid="{00000000-0005-0000-0000-00004E0E0000}"/>
    <cellStyle name="Normal 12 41" xfId="3357" xr:uid="{00000000-0005-0000-0000-00004F0E0000}"/>
    <cellStyle name="Normal 12 42" xfId="3358" xr:uid="{00000000-0005-0000-0000-0000500E0000}"/>
    <cellStyle name="Normal 12 43" xfId="3359" xr:uid="{00000000-0005-0000-0000-0000510E0000}"/>
    <cellStyle name="Normal 12 44" xfId="3360" xr:uid="{00000000-0005-0000-0000-0000520E0000}"/>
    <cellStyle name="Normal 12 45" xfId="3361" xr:uid="{00000000-0005-0000-0000-0000530E0000}"/>
    <cellStyle name="Normal 12 46" xfId="3362" xr:uid="{00000000-0005-0000-0000-0000540E0000}"/>
    <cellStyle name="Normal 12 47" xfId="3363" xr:uid="{00000000-0005-0000-0000-0000550E0000}"/>
    <cellStyle name="Normal 12 48" xfId="3364" xr:uid="{00000000-0005-0000-0000-0000560E0000}"/>
    <cellStyle name="Normal 12 49" xfId="3365" xr:uid="{00000000-0005-0000-0000-0000570E0000}"/>
    <cellStyle name="Normal 12 5" xfId="3366" xr:uid="{00000000-0005-0000-0000-0000580E0000}"/>
    <cellStyle name="Normal 12 50" xfId="11173" xr:uid="{00000000-0005-0000-0000-0000590E0000}"/>
    <cellStyle name="Normal 12 50 2" xfId="11200" xr:uid="{00000000-0005-0000-0000-00005A0E0000}"/>
    <cellStyle name="Normal 12 6" xfId="3367" xr:uid="{00000000-0005-0000-0000-00005B0E0000}"/>
    <cellStyle name="Normal 12 7" xfId="3368" xr:uid="{00000000-0005-0000-0000-00005C0E0000}"/>
    <cellStyle name="Normal 12 8" xfId="3369" xr:uid="{00000000-0005-0000-0000-00005D0E0000}"/>
    <cellStyle name="Normal 12 9" xfId="3370" xr:uid="{00000000-0005-0000-0000-00005E0E0000}"/>
    <cellStyle name="Normal 120" xfId="3371" xr:uid="{00000000-0005-0000-0000-00005F0E0000}"/>
    <cellStyle name="Normal 121" xfId="3372" xr:uid="{00000000-0005-0000-0000-0000600E0000}"/>
    <cellStyle name="Normal 122" xfId="3373" xr:uid="{00000000-0005-0000-0000-0000610E0000}"/>
    <cellStyle name="Normal 123" xfId="3374" xr:uid="{00000000-0005-0000-0000-0000620E0000}"/>
    <cellStyle name="Normal 124" xfId="3375" xr:uid="{00000000-0005-0000-0000-0000630E0000}"/>
    <cellStyle name="Normal 125" xfId="3376" xr:uid="{00000000-0005-0000-0000-0000640E0000}"/>
    <cellStyle name="Normal 125 2" xfId="3377" xr:uid="{00000000-0005-0000-0000-0000650E0000}"/>
    <cellStyle name="Normal 125 3" xfId="9667" xr:uid="{00000000-0005-0000-0000-0000660E0000}"/>
    <cellStyle name="Normal 126" xfId="3378" xr:uid="{00000000-0005-0000-0000-0000670E0000}"/>
    <cellStyle name="Normal 126 2" xfId="3379" xr:uid="{00000000-0005-0000-0000-0000680E0000}"/>
    <cellStyle name="Normal 126 3" xfId="9668" xr:uid="{00000000-0005-0000-0000-0000690E0000}"/>
    <cellStyle name="Normal 127" xfId="3380" xr:uid="{00000000-0005-0000-0000-00006A0E0000}"/>
    <cellStyle name="Normal 127 2" xfId="3381" xr:uid="{00000000-0005-0000-0000-00006B0E0000}"/>
    <cellStyle name="Normal 127 3" xfId="9669" xr:uid="{00000000-0005-0000-0000-00006C0E0000}"/>
    <cellStyle name="Normal 128" xfId="3382" xr:uid="{00000000-0005-0000-0000-00006D0E0000}"/>
    <cellStyle name="Normal 129" xfId="3383" xr:uid="{00000000-0005-0000-0000-00006E0E0000}"/>
    <cellStyle name="Normal 129 2" xfId="3384" xr:uid="{00000000-0005-0000-0000-00006F0E0000}"/>
    <cellStyle name="Normal 129 3" xfId="9670" xr:uid="{00000000-0005-0000-0000-0000700E0000}"/>
    <cellStyle name="Normal 13" xfId="3385" xr:uid="{00000000-0005-0000-0000-0000710E0000}"/>
    <cellStyle name="Normal 13 10" xfId="3386" xr:uid="{00000000-0005-0000-0000-0000720E0000}"/>
    <cellStyle name="Normal 13 11" xfId="3387" xr:uid="{00000000-0005-0000-0000-0000730E0000}"/>
    <cellStyle name="Normal 13 12" xfId="3388" xr:uid="{00000000-0005-0000-0000-0000740E0000}"/>
    <cellStyle name="Normal 13 13" xfId="3389" xr:uid="{00000000-0005-0000-0000-0000750E0000}"/>
    <cellStyle name="Normal 13 14" xfId="3390" xr:uid="{00000000-0005-0000-0000-0000760E0000}"/>
    <cellStyle name="Normal 13 15" xfId="3391" xr:uid="{00000000-0005-0000-0000-0000770E0000}"/>
    <cellStyle name="Normal 13 16" xfId="3392" xr:uid="{00000000-0005-0000-0000-0000780E0000}"/>
    <cellStyle name="Normal 13 17" xfId="3393" xr:uid="{00000000-0005-0000-0000-0000790E0000}"/>
    <cellStyle name="Normal 13 18" xfId="3394" xr:uid="{00000000-0005-0000-0000-00007A0E0000}"/>
    <cellStyle name="Normal 13 19" xfId="3395" xr:uid="{00000000-0005-0000-0000-00007B0E0000}"/>
    <cellStyle name="Normal 13 2" xfId="3396" xr:uid="{00000000-0005-0000-0000-00007C0E0000}"/>
    <cellStyle name="Normal 13 2 2" xfId="3397" xr:uid="{00000000-0005-0000-0000-00007D0E0000}"/>
    <cellStyle name="Normal 13 2 2 2" xfId="3398" xr:uid="{00000000-0005-0000-0000-00007E0E0000}"/>
    <cellStyle name="Normal 13 2 2 3" xfId="3399" xr:uid="{00000000-0005-0000-0000-00007F0E0000}"/>
    <cellStyle name="Normal 13 2 3" xfId="3400" xr:uid="{00000000-0005-0000-0000-0000800E0000}"/>
    <cellStyle name="Normal 13 2 3 2" xfId="3401" xr:uid="{00000000-0005-0000-0000-0000810E0000}"/>
    <cellStyle name="Normal 13 2 3 3" xfId="9672" xr:uid="{00000000-0005-0000-0000-0000820E0000}"/>
    <cellStyle name="Normal 13 2 4" xfId="3402" xr:uid="{00000000-0005-0000-0000-0000830E0000}"/>
    <cellStyle name="Normal 13 2 5" xfId="3403" xr:uid="{00000000-0005-0000-0000-0000840E0000}"/>
    <cellStyle name="Normal 13 2 6" xfId="9671" xr:uid="{00000000-0005-0000-0000-0000850E0000}"/>
    <cellStyle name="Normal 13 20" xfId="3404" xr:uid="{00000000-0005-0000-0000-0000860E0000}"/>
    <cellStyle name="Normal 13 21" xfId="3405" xr:uid="{00000000-0005-0000-0000-0000870E0000}"/>
    <cellStyle name="Normal 13 21 2" xfId="3406" xr:uid="{00000000-0005-0000-0000-0000880E0000}"/>
    <cellStyle name="Normal 13 21 3" xfId="9673" xr:uid="{00000000-0005-0000-0000-0000890E0000}"/>
    <cellStyle name="Normal 13 22" xfId="3407" xr:uid="{00000000-0005-0000-0000-00008A0E0000}"/>
    <cellStyle name="Normal 13 3" xfId="3408" xr:uid="{00000000-0005-0000-0000-00008B0E0000}"/>
    <cellStyle name="Normal 13 3 2" xfId="3409" xr:uid="{00000000-0005-0000-0000-00008C0E0000}"/>
    <cellStyle name="Normal 13 3 3" xfId="3410" xr:uid="{00000000-0005-0000-0000-00008D0E0000}"/>
    <cellStyle name="Normal 13 3 4" xfId="9674" xr:uid="{00000000-0005-0000-0000-00008E0E0000}"/>
    <cellStyle name="Normal 13 4" xfId="3411" xr:uid="{00000000-0005-0000-0000-00008F0E0000}"/>
    <cellStyle name="Normal 13 4 2" xfId="3412" xr:uid="{00000000-0005-0000-0000-0000900E0000}"/>
    <cellStyle name="Normal 13 4 2 2" xfId="3413" xr:uid="{00000000-0005-0000-0000-0000910E0000}"/>
    <cellStyle name="Normal 13 4 3" xfId="3414" xr:uid="{00000000-0005-0000-0000-0000920E0000}"/>
    <cellStyle name="Normal 13 5" xfId="3415" xr:uid="{00000000-0005-0000-0000-0000930E0000}"/>
    <cellStyle name="Normal 13 5 2" xfId="3416" xr:uid="{00000000-0005-0000-0000-0000940E0000}"/>
    <cellStyle name="Normal 13 5 2 2" xfId="9675" xr:uid="{00000000-0005-0000-0000-0000950E0000}"/>
    <cellStyle name="Normal 13 6" xfId="3417" xr:uid="{00000000-0005-0000-0000-0000960E0000}"/>
    <cellStyle name="Normal 13 7" xfId="3418" xr:uid="{00000000-0005-0000-0000-0000970E0000}"/>
    <cellStyle name="Normal 13 8" xfId="3419" xr:uid="{00000000-0005-0000-0000-0000980E0000}"/>
    <cellStyle name="Normal 13 9" xfId="3420" xr:uid="{00000000-0005-0000-0000-0000990E0000}"/>
    <cellStyle name="Normal 130" xfId="3421" xr:uid="{00000000-0005-0000-0000-00009A0E0000}"/>
    <cellStyle name="Normal 130 2" xfId="3422" xr:uid="{00000000-0005-0000-0000-00009B0E0000}"/>
    <cellStyle name="Normal 130 3" xfId="9676" xr:uid="{00000000-0005-0000-0000-00009C0E0000}"/>
    <cellStyle name="Normal 131" xfId="3423" xr:uid="{00000000-0005-0000-0000-00009D0E0000}"/>
    <cellStyle name="Normal 131 2" xfId="3424" xr:uid="{00000000-0005-0000-0000-00009E0E0000}"/>
    <cellStyle name="Normal 131 3" xfId="3425" xr:uid="{00000000-0005-0000-0000-00009F0E0000}"/>
    <cellStyle name="Normal 131 4" xfId="9677" xr:uid="{00000000-0005-0000-0000-0000A00E0000}"/>
    <cellStyle name="Normal 132" xfId="3426" xr:uid="{00000000-0005-0000-0000-0000A10E0000}"/>
    <cellStyle name="Normal 132 2" xfId="3427" xr:uid="{00000000-0005-0000-0000-0000A20E0000}"/>
    <cellStyle name="Normal 132 3" xfId="9678" xr:uid="{00000000-0005-0000-0000-0000A30E0000}"/>
    <cellStyle name="Normal 133" xfId="3428" xr:uid="{00000000-0005-0000-0000-0000A40E0000}"/>
    <cellStyle name="Normal 134" xfId="3429" xr:uid="{00000000-0005-0000-0000-0000A50E0000}"/>
    <cellStyle name="Normal 134 2" xfId="3430" xr:uid="{00000000-0005-0000-0000-0000A60E0000}"/>
    <cellStyle name="Normal 134 2 2" xfId="3431" xr:uid="{00000000-0005-0000-0000-0000A70E0000}"/>
    <cellStyle name="Normal 135" xfId="3432" xr:uid="{00000000-0005-0000-0000-0000A80E0000}"/>
    <cellStyle name="Normal 136" xfId="3433" xr:uid="{00000000-0005-0000-0000-0000A90E0000}"/>
    <cellStyle name="Normal 137" xfId="3434" xr:uid="{00000000-0005-0000-0000-0000AA0E0000}"/>
    <cellStyle name="Normal 138" xfId="3435" xr:uid="{00000000-0005-0000-0000-0000AB0E0000}"/>
    <cellStyle name="Normal 139" xfId="3436" xr:uid="{00000000-0005-0000-0000-0000AC0E0000}"/>
    <cellStyle name="Normal 139 2" xfId="3437" xr:uid="{00000000-0005-0000-0000-0000AD0E0000}"/>
    <cellStyle name="Normal 14" xfId="3438" xr:uid="{00000000-0005-0000-0000-0000AE0E0000}"/>
    <cellStyle name="Normal 14 10" xfId="3439" xr:uid="{00000000-0005-0000-0000-0000AF0E0000}"/>
    <cellStyle name="Normal 14 10 2" xfId="3440" xr:uid="{00000000-0005-0000-0000-0000B00E0000}"/>
    <cellStyle name="Normal 14 10 3" xfId="9679" xr:uid="{00000000-0005-0000-0000-0000B10E0000}"/>
    <cellStyle name="Normal 14 11" xfId="3441" xr:uid="{00000000-0005-0000-0000-0000B20E0000}"/>
    <cellStyle name="Normal 14 12" xfId="3442" xr:uid="{00000000-0005-0000-0000-0000B30E0000}"/>
    <cellStyle name="Normal 14 13" xfId="3443" xr:uid="{00000000-0005-0000-0000-0000B40E0000}"/>
    <cellStyle name="Normal 14 14" xfId="3444" xr:uid="{00000000-0005-0000-0000-0000B50E0000}"/>
    <cellStyle name="Normal 14 2" xfId="3445" xr:uid="{00000000-0005-0000-0000-0000B60E0000}"/>
    <cellStyle name="Normal 14 2 2" xfId="3446" xr:uid="{00000000-0005-0000-0000-0000B70E0000}"/>
    <cellStyle name="Normal 14 2 3" xfId="3447" xr:uid="{00000000-0005-0000-0000-0000B80E0000}"/>
    <cellStyle name="Normal 14 2 4" xfId="3448" xr:uid="{00000000-0005-0000-0000-0000B90E0000}"/>
    <cellStyle name="Normal 14 2 5" xfId="9680" xr:uid="{00000000-0005-0000-0000-0000BA0E0000}"/>
    <cellStyle name="Normal 14 3" xfId="3449" xr:uid="{00000000-0005-0000-0000-0000BB0E0000}"/>
    <cellStyle name="Normal 14 3 2" xfId="3450" xr:uid="{00000000-0005-0000-0000-0000BC0E0000}"/>
    <cellStyle name="Normal 14 3 3" xfId="3451" xr:uid="{00000000-0005-0000-0000-0000BD0E0000}"/>
    <cellStyle name="Normal 14 3 4" xfId="9681" xr:uid="{00000000-0005-0000-0000-0000BE0E0000}"/>
    <cellStyle name="Normal 14 4" xfId="3452" xr:uid="{00000000-0005-0000-0000-0000BF0E0000}"/>
    <cellStyle name="Normal 14 4 2" xfId="3453" xr:uid="{00000000-0005-0000-0000-0000C00E0000}"/>
    <cellStyle name="Normal 14 4 2 2" xfId="3454" xr:uid="{00000000-0005-0000-0000-0000C10E0000}"/>
    <cellStyle name="Normal 14 4 2 3" xfId="9683" xr:uid="{00000000-0005-0000-0000-0000C20E0000}"/>
    <cellStyle name="Normal 14 4 3" xfId="3455" xr:uid="{00000000-0005-0000-0000-0000C30E0000}"/>
    <cellStyle name="Normal 14 4 4" xfId="9682" xr:uid="{00000000-0005-0000-0000-0000C40E0000}"/>
    <cellStyle name="Normal 14 5" xfId="3456" xr:uid="{00000000-0005-0000-0000-0000C50E0000}"/>
    <cellStyle name="Normal 14 5 2" xfId="3457" xr:uid="{00000000-0005-0000-0000-0000C60E0000}"/>
    <cellStyle name="Normal 14 5 3" xfId="3458" xr:uid="{00000000-0005-0000-0000-0000C70E0000}"/>
    <cellStyle name="Normal 14 5 4" xfId="3459" xr:uid="{00000000-0005-0000-0000-0000C80E0000}"/>
    <cellStyle name="Normal 14 5 5" xfId="9684" xr:uid="{00000000-0005-0000-0000-0000C90E0000}"/>
    <cellStyle name="Normal 14 6" xfId="3460" xr:uid="{00000000-0005-0000-0000-0000CA0E0000}"/>
    <cellStyle name="Normal 14 6 2" xfId="3461" xr:uid="{00000000-0005-0000-0000-0000CB0E0000}"/>
    <cellStyle name="Normal 14 6 3" xfId="9685" xr:uid="{00000000-0005-0000-0000-0000CC0E0000}"/>
    <cellStyle name="Normal 14 7" xfId="3462" xr:uid="{00000000-0005-0000-0000-0000CD0E0000}"/>
    <cellStyle name="Normal 14 7 2" xfId="3463" xr:uid="{00000000-0005-0000-0000-0000CE0E0000}"/>
    <cellStyle name="Normal 14 7 3" xfId="9686" xr:uid="{00000000-0005-0000-0000-0000CF0E0000}"/>
    <cellStyle name="Normal 14 8" xfId="3464" xr:uid="{00000000-0005-0000-0000-0000D00E0000}"/>
    <cellStyle name="Normal 14 8 2" xfId="3465" xr:uid="{00000000-0005-0000-0000-0000D10E0000}"/>
    <cellStyle name="Normal 14 8 3" xfId="9687" xr:uid="{00000000-0005-0000-0000-0000D20E0000}"/>
    <cellStyle name="Normal 14 9" xfId="3466" xr:uid="{00000000-0005-0000-0000-0000D30E0000}"/>
    <cellStyle name="Normal 14 9 2" xfId="3467" xr:uid="{00000000-0005-0000-0000-0000D40E0000}"/>
    <cellStyle name="Normal 14 9 3" xfId="9688" xr:uid="{00000000-0005-0000-0000-0000D50E0000}"/>
    <cellStyle name="Normal 140" xfId="3468" xr:uid="{00000000-0005-0000-0000-0000D60E0000}"/>
    <cellStyle name="Normal 140 2" xfId="3469" xr:uid="{00000000-0005-0000-0000-0000D70E0000}"/>
    <cellStyle name="Normal 140 2 2" xfId="3470" xr:uid="{00000000-0005-0000-0000-0000D80E0000}"/>
    <cellStyle name="Normal 140 2 3" xfId="9690" xr:uid="{00000000-0005-0000-0000-0000D90E0000}"/>
    <cellStyle name="Normal 140 3" xfId="3471" xr:uid="{00000000-0005-0000-0000-0000DA0E0000}"/>
    <cellStyle name="Normal 140 4" xfId="9689" xr:uid="{00000000-0005-0000-0000-0000DB0E0000}"/>
    <cellStyle name="Normal 141" xfId="3472" xr:uid="{00000000-0005-0000-0000-0000DC0E0000}"/>
    <cellStyle name="Normal 141 2" xfId="9691" xr:uid="{00000000-0005-0000-0000-0000DD0E0000}"/>
    <cellStyle name="Normal 142" xfId="3473" xr:uid="{00000000-0005-0000-0000-0000DE0E0000}"/>
    <cellStyle name="Normal 142 2" xfId="9692" xr:uid="{00000000-0005-0000-0000-0000DF0E0000}"/>
    <cellStyle name="Normal 143" xfId="3474" xr:uid="{00000000-0005-0000-0000-0000E00E0000}"/>
    <cellStyle name="Normal 143 2" xfId="9693" xr:uid="{00000000-0005-0000-0000-0000E10E0000}"/>
    <cellStyle name="Normal 144" xfId="3475" xr:uid="{00000000-0005-0000-0000-0000E20E0000}"/>
    <cellStyle name="Normal 144 2" xfId="9694" xr:uid="{00000000-0005-0000-0000-0000E30E0000}"/>
    <cellStyle name="Normal 145" xfId="3476" xr:uid="{00000000-0005-0000-0000-0000E40E0000}"/>
    <cellStyle name="Normal 145 2" xfId="9695" xr:uid="{00000000-0005-0000-0000-0000E50E0000}"/>
    <cellStyle name="Normal 146" xfId="3477" xr:uid="{00000000-0005-0000-0000-0000E60E0000}"/>
    <cellStyle name="Normal 146 2" xfId="9696" xr:uid="{00000000-0005-0000-0000-0000E70E0000}"/>
    <cellStyle name="Normal 147" xfId="3478" xr:uid="{00000000-0005-0000-0000-0000E80E0000}"/>
    <cellStyle name="Normal 147 2" xfId="9697" xr:uid="{00000000-0005-0000-0000-0000E90E0000}"/>
    <cellStyle name="Normal 148" xfId="3479" xr:uid="{00000000-0005-0000-0000-0000EA0E0000}"/>
    <cellStyle name="Normal 148 2" xfId="9698" xr:uid="{00000000-0005-0000-0000-0000EB0E0000}"/>
    <cellStyle name="Normal 149" xfId="3480" xr:uid="{00000000-0005-0000-0000-0000EC0E0000}"/>
    <cellStyle name="Normal 15" xfId="3481" xr:uid="{00000000-0005-0000-0000-0000ED0E0000}"/>
    <cellStyle name="Normal 15 2" xfId="3482" xr:uid="{00000000-0005-0000-0000-0000EE0E0000}"/>
    <cellStyle name="Normal 15 2 2" xfId="3483" xr:uid="{00000000-0005-0000-0000-0000EF0E0000}"/>
    <cellStyle name="Normal 15 2 3" xfId="3484" xr:uid="{00000000-0005-0000-0000-0000F00E0000}"/>
    <cellStyle name="Normal 15 2 4" xfId="9699" xr:uid="{00000000-0005-0000-0000-0000F10E0000}"/>
    <cellStyle name="Normal 15 3" xfId="3485" xr:uid="{00000000-0005-0000-0000-0000F20E0000}"/>
    <cellStyle name="Normal 15 3 2" xfId="3486" xr:uid="{00000000-0005-0000-0000-0000F30E0000}"/>
    <cellStyle name="Normal 15 3 3" xfId="3487" xr:uid="{00000000-0005-0000-0000-0000F40E0000}"/>
    <cellStyle name="Normal 15 3 4" xfId="9700" xr:uid="{00000000-0005-0000-0000-0000F50E0000}"/>
    <cellStyle name="Normal 15 4" xfId="3488" xr:uid="{00000000-0005-0000-0000-0000F60E0000}"/>
    <cellStyle name="Normal 15 4 2" xfId="3489" xr:uid="{00000000-0005-0000-0000-0000F70E0000}"/>
    <cellStyle name="Normal 15 4 3" xfId="3490" xr:uid="{00000000-0005-0000-0000-0000F80E0000}"/>
    <cellStyle name="Normal 15 4 4" xfId="9701" xr:uid="{00000000-0005-0000-0000-0000F90E0000}"/>
    <cellStyle name="Normal 15 5" xfId="3491" xr:uid="{00000000-0005-0000-0000-0000FA0E0000}"/>
    <cellStyle name="Normal 15 6" xfId="3492" xr:uid="{00000000-0005-0000-0000-0000FB0E0000}"/>
    <cellStyle name="Normal 15 7" xfId="3493" xr:uid="{00000000-0005-0000-0000-0000FC0E0000}"/>
    <cellStyle name="Normal 15 8" xfId="3494" xr:uid="{00000000-0005-0000-0000-0000FD0E0000}"/>
    <cellStyle name="Normal 150" xfId="3495" xr:uid="{00000000-0005-0000-0000-0000FE0E0000}"/>
    <cellStyle name="Normal 151" xfId="3496" xr:uid="{00000000-0005-0000-0000-0000FF0E0000}"/>
    <cellStyle name="Normal 152" xfId="3497" xr:uid="{00000000-0005-0000-0000-0000000F0000}"/>
    <cellStyle name="Normal 153" xfId="3498" xr:uid="{00000000-0005-0000-0000-0000010F0000}"/>
    <cellStyle name="Normal 154" xfId="3499" xr:uid="{00000000-0005-0000-0000-0000020F0000}"/>
    <cellStyle name="Normal 155" xfId="3500" xr:uid="{00000000-0005-0000-0000-0000030F0000}"/>
    <cellStyle name="Normal 156" xfId="3501" xr:uid="{00000000-0005-0000-0000-0000040F0000}"/>
    <cellStyle name="Normal 157" xfId="3502" xr:uid="{00000000-0005-0000-0000-0000050F0000}"/>
    <cellStyle name="Normal 158" xfId="3503" xr:uid="{00000000-0005-0000-0000-0000060F0000}"/>
    <cellStyle name="Normal 159" xfId="3504" xr:uid="{00000000-0005-0000-0000-0000070F0000}"/>
    <cellStyle name="Normal 16" xfId="3505" xr:uid="{00000000-0005-0000-0000-0000080F0000}"/>
    <cellStyle name="Normal 16 2" xfId="3506" xr:uid="{00000000-0005-0000-0000-0000090F0000}"/>
    <cellStyle name="Normal 16 2 2" xfId="3507" xr:uid="{00000000-0005-0000-0000-00000A0F0000}"/>
    <cellStyle name="Normal 16 2 2 2" xfId="3508" xr:uid="{00000000-0005-0000-0000-00000B0F0000}"/>
    <cellStyle name="Normal 16 2 2 3" xfId="9703" xr:uid="{00000000-0005-0000-0000-00000C0F0000}"/>
    <cellStyle name="Normal 16 2 3" xfId="3509" xr:uid="{00000000-0005-0000-0000-00000D0F0000}"/>
    <cellStyle name="Normal 16 2 3 2" xfId="11156" xr:uid="{00000000-0005-0000-0000-00000E0F0000}"/>
    <cellStyle name="Normal 16 2 4" xfId="9702" xr:uid="{00000000-0005-0000-0000-00000F0F0000}"/>
    <cellStyle name="Normal 16 3" xfId="3510" xr:uid="{00000000-0005-0000-0000-0000100F0000}"/>
    <cellStyle name="Normal 16 3 2" xfId="3511" xr:uid="{00000000-0005-0000-0000-0000110F0000}"/>
    <cellStyle name="Normal 16 3 3" xfId="9704" xr:uid="{00000000-0005-0000-0000-0000120F0000}"/>
    <cellStyle name="Normal 16 4" xfId="3512" xr:uid="{00000000-0005-0000-0000-0000130F0000}"/>
    <cellStyle name="Normal 16 5" xfId="3513" xr:uid="{00000000-0005-0000-0000-0000140F0000}"/>
    <cellStyle name="Normal 16 6" xfId="3514" xr:uid="{00000000-0005-0000-0000-0000150F0000}"/>
    <cellStyle name="Normal 16 7" xfId="3515" xr:uid="{00000000-0005-0000-0000-0000160F0000}"/>
    <cellStyle name="Normal 160" xfId="3516" xr:uid="{00000000-0005-0000-0000-0000170F0000}"/>
    <cellStyle name="Normal 161" xfId="3517" xr:uid="{00000000-0005-0000-0000-0000180F0000}"/>
    <cellStyle name="Normal 162" xfId="3518" xr:uid="{00000000-0005-0000-0000-0000190F0000}"/>
    <cellStyle name="Normal 163" xfId="3519" xr:uid="{00000000-0005-0000-0000-00001A0F0000}"/>
    <cellStyle name="Normal 164" xfId="3520" xr:uid="{00000000-0005-0000-0000-00001B0F0000}"/>
    <cellStyle name="Normal 165" xfId="3521" xr:uid="{00000000-0005-0000-0000-00001C0F0000}"/>
    <cellStyle name="Normal 166" xfId="3522" xr:uid="{00000000-0005-0000-0000-00001D0F0000}"/>
    <cellStyle name="Normal 167" xfId="3523" xr:uid="{00000000-0005-0000-0000-00001E0F0000}"/>
    <cellStyle name="Normal 168" xfId="3524" xr:uid="{00000000-0005-0000-0000-00001F0F0000}"/>
    <cellStyle name="Normal 169" xfId="3525" xr:uid="{00000000-0005-0000-0000-0000200F0000}"/>
    <cellStyle name="Normal 17" xfId="3526" xr:uid="{00000000-0005-0000-0000-0000210F0000}"/>
    <cellStyle name="Normal 17 2" xfId="3527" xr:uid="{00000000-0005-0000-0000-0000220F0000}"/>
    <cellStyle name="Normal 17 2 2" xfId="3528" xr:uid="{00000000-0005-0000-0000-0000230F0000}"/>
    <cellStyle name="Normal 17 2 2 2" xfId="3529" xr:uid="{00000000-0005-0000-0000-0000240F0000}"/>
    <cellStyle name="Normal 17 2 2 3" xfId="9706" xr:uid="{00000000-0005-0000-0000-0000250F0000}"/>
    <cellStyle name="Normal 17 2 3" xfId="3530" xr:uid="{00000000-0005-0000-0000-0000260F0000}"/>
    <cellStyle name="Normal 17 2 4" xfId="9705" xr:uid="{00000000-0005-0000-0000-0000270F0000}"/>
    <cellStyle name="Normal 17 3" xfId="3531" xr:uid="{00000000-0005-0000-0000-0000280F0000}"/>
    <cellStyle name="Normal 17 3 2" xfId="3532" xr:uid="{00000000-0005-0000-0000-0000290F0000}"/>
    <cellStyle name="Normal 17 3 3" xfId="9707" xr:uid="{00000000-0005-0000-0000-00002A0F0000}"/>
    <cellStyle name="Normal 17 4" xfId="3533" xr:uid="{00000000-0005-0000-0000-00002B0F0000}"/>
    <cellStyle name="Normal 17 4 2" xfId="3534" xr:uid="{00000000-0005-0000-0000-00002C0F0000}"/>
    <cellStyle name="Normal 17 4 3" xfId="3535" xr:uid="{00000000-0005-0000-0000-00002D0F0000}"/>
    <cellStyle name="Normal 170" xfId="3536" xr:uid="{00000000-0005-0000-0000-00002E0F0000}"/>
    <cellStyle name="Normal 171" xfId="3537" xr:uid="{00000000-0005-0000-0000-00002F0F0000}"/>
    <cellStyle name="Normal 172" xfId="3538" xr:uid="{00000000-0005-0000-0000-0000300F0000}"/>
    <cellStyle name="Normal 173" xfId="3539" xr:uid="{00000000-0005-0000-0000-0000310F0000}"/>
    <cellStyle name="Normal 174" xfId="3540" xr:uid="{00000000-0005-0000-0000-0000320F0000}"/>
    <cellStyle name="Normal 175" xfId="3541" xr:uid="{00000000-0005-0000-0000-0000330F0000}"/>
    <cellStyle name="Normal 176" xfId="3542" xr:uid="{00000000-0005-0000-0000-0000340F0000}"/>
    <cellStyle name="Normal 177" xfId="3543" xr:uid="{00000000-0005-0000-0000-0000350F0000}"/>
    <cellStyle name="Normal 178" xfId="3544" xr:uid="{00000000-0005-0000-0000-0000360F0000}"/>
    <cellStyle name="Normal 179" xfId="3545" xr:uid="{00000000-0005-0000-0000-0000370F0000}"/>
    <cellStyle name="Normal 18" xfId="3546" xr:uid="{00000000-0005-0000-0000-0000380F0000}"/>
    <cellStyle name="Normal 18 2" xfId="3547" xr:uid="{00000000-0005-0000-0000-0000390F0000}"/>
    <cellStyle name="Normal 18 2 2" xfId="3548" xr:uid="{00000000-0005-0000-0000-00003A0F0000}"/>
    <cellStyle name="Normal 18 2 3" xfId="3549" xr:uid="{00000000-0005-0000-0000-00003B0F0000}"/>
    <cellStyle name="Normal 18 2 4" xfId="9708" xr:uid="{00000000-0005-0000-0000-00003C0F0000}"/>
    <cellStyle name="Normal 18 3" xfId="3550" xr:uid="{00000000-0005-0000-0000-00003D0F0000}"/>
    <cellStyle name="Normal 18 3 2" xfId="3551" xr:uid="{00000000-0005-0000-0000-00003E0F0000}"/>
    <cellStyle name="Normal 18 3 3" xfId="9709" xr:uid="{00000000-0005-0000-0000-00003F0F0000}"/>
    <cellStyle name="Normal 18 4" xfId="3552" xr:uid="{00000000-0005-0000-0000-0000400F0000}"/>
    <cellStyle name="Normal 18 5" xfId="3553" xr:uid="{00000000-0005-0000-0000-0000410F0000}"/>
    <cellStyle name="Normal 18 6" xfId="3554" xr:uid="{00000000-0005-0000-0000-0000420F0000}"/>
    <cellStyle name="Normal 180" xfId="3555" xr:uid="{00000000-0005-0000-0000-0000430F0000}"/>
    <cellStyle name="Normal 181" xfId="3556" xr:uid="{00000000-0005-0000-0000-0000440F0000}"/>
    <cellStyle name="Normal 182" xfId="3557" xr:uid="{00000000-0005-0000-0000-0000450F0000}"/>
    <cellStyle name="Normal 183" xfId="3558" xr:uid="{00000000-0005-0000-0000-0000460F0000}"/>
    <cellStyle name="Normal 184" xfId="3559" xr:uid="{00000000-0005-0000-0000-0000470F0000}"/>
    <cellStyle name="Normal 185" xfId="3560" xr:uid="{00000000-0005-0000-0000-0000480F0000}"/>
    <cellStyle name="Normal 186" xfId="3561" xr:uid="{00000000-0005-0000-0000-0000490F0000}"/>
    <cellStyle name="Normal 187" xfId="3562" xr:uid="{00000000-0005-0000-0000-00004A0F0000}"/>
    <cellStyle name="Normal 188" xfId="3563" xr:uid="{00000000-0005-0000-0000-00004B0F0000}"/>
    <cellStyle name="Normal 189" xfId="3564" xr:uid="{00000000-0005-0000-0000-00004C0F0000}"/>
    <cellStyle name="Normal 19" xfId="3565" xr:uid="{00000000-0005-0000-0000-00004D0F0000}"/>
    <cellStyle name="Normal 19 2" xfId="3566" xr:uid="{00000000-0005-0000-0000-00004E0F0000}"/>
    <cellStyle name="Normal 190" xfId="3567" xr:uid="{00000000-0005-0000-0000-00004F0F0000}"/>
    <cellStyle name="Normal 191" xfId="3568" xr:uid="{00000000-0005-0000-0000-0000500F0000}"/>
    <cellStyle name="Normal 192" xfId="3569" xr:uid="{00000000-0005-0000-0000-0000510F0000}"/>
    <cellStyle name="Normal 193" xfId="3570" xr:uid="{00000000-0005-0000-0000-0000520F0000}"/>
    <cellStyle name="Normal 194" xfId="3571" xr:uid="{00000000-0005-0000-0000-0000530F0000}"/>
    <cellStyle name="Normal 194 2" xfId="3572" xr:uid="{00000000-0005-0000-0000-0000540F0000}"/>
    <cellStyle name="Normal 194 2 2" xfId="11154" xr:uid="{00000000-0005-0000-0000-0000550F0000}"/>
    <cellStyle name="Normal 194 3" xfId="11062" xr:uid="{00000000-0005-0000-0000-0000560F0000}"/>
    <cellStyle name="Normal 195" xfId="3573" xr:uid="{00000000-0005-0000-0000-0000570F0000}"/>
    <cellStyle name="Normal 195 2" xfId="9388" xr:uid="{00000000-0005-0000-0000-0000580F0000}"/>
    <cellStyle name="Normal 196" xfId="3574" xr:uid="{00000000-0005-0000-0000-0000590F0000}"/>
    <cellStyle name="Normal 197" xfId="3575" xr:uid="{00000000-0005-0000-0000-00005A0F0000}"/>
    <cellStyle name="Normal 197 2" xfId="11150" xr:uid="{00000000-0005-0000-0000-00005B0F0000}"/>
    <cellStyle name="Normal 198" xfId="3576" xr:uid="{00000000-0005-0000-0000-00005C0F0000}"/>
    <cellStyle name="Normal 198 2" xfId="11163" xr:uid="{00000000-0005-0000-0000-00005D0F0000}"/>
    <cellStyle name="Normal 199" xfId="3577" xr:uid="{00000000-0005-0000-0000-00005E0F0000}"/>
    <cellStyle name="Normal 199 2" xfId="9401" xr:uid="{00000000-0005-0000-0000-00005F0F0000}"/>
    <cellStyle name="Normal 199 3" xfId="11181" xr:uid="{00000000-0005-0000-0000-0000600F0000}"/>
    <cellStyle name="Normal 2" xfId="3" xr:uid="{00000000-0005-0000-0000-0000610F0000}"/>
    <cellStyle name="Normal 2 10" xfId="3578" xr:uid="{00000000-0005-0000-0000-0000620F0000}"/>
    <cellStyle name="Normal 2 10 10" xfId="9710" xr:uid="{00000000-0005-0000-0000-0000630F0000}"/>
    <cellStyle name="Normal 2 10 2" xfId="3579" xr:uid="{00000000-0005-0000-0000-0000640F0000}"/>
    <cellStyle name="Normal 2 10 3" xfId="3580" xr:uid="{00000000-0005-0000-0000-0000650F0000}"/>
    <cellStyle name="Normal 2 10 4" xfId="3581" xr:uid="{00000000-0005-0000-0000-0000660F0000}"/>
    <cellStyle name="Normal 2 10 4 2" xfId="3582" xr:uid="{00000000-0005-0000-0000-0000670F0000}"/>
    <cellStyle name="Normal 2 10 4 3" xfId="9711" xr:uid="{00000000-0005-0000-0000-0000680F0000}"/>
    <cellStyle name="Normal 2 10 5" xfId="3583" xr:uid="{00000000-0005-0000-0000-0000690F0000}"/>
    <cellStyle name="Normal 2 10 5 2" xfId="3584" xr:uid="{00000000-0005-0000-0000-00006A0F0000}"/>
    <cellStyle name="Normal 2 10 5 3" xfId="9712" xr:uid="{00000000-0005-0000-0000-00006B0F0000}"/>
    <cellStyle name="Normal 2 10 6" xfId="3585" xr:uid="{00000000-0005-0000-0000-00006C0F0000}"/>
    <cellStyle name="Normal 2 10 6 2" xfId="11158" xr:uid="{00000000-0005-0000-0000-00006D0F0000}"/>
    <cellStyle name="Normal 2 10 7" xfId="3586" xr:uid="{00000000-0005-0000-0000-00006E0F0000}"/>
    <cellStyle name="Normal 2 10 8" xfId="3587" xr:uid="{00000000-0005-0000-0000-00006F0F0000}"/>
    <cellStyle name="Normal 2 10 9" xfId="9378" xr:uid="{00000000-0005-0000-0000-0000700F0000}"/>
    <cellStyle name="Normal 2 10 9 2" xfId="11172" xr:uid="{00000000-0005-0000-0000-0000710F0000}"/>
    <cellStyle name="Normal 2 100" xfId="3588" xr:uid="{00000000-0005-0000-0000-0000720F0000}"/>
    <cellStyle name="Normal 2 100 2" xfId="3589" xr:uid="{00000000-0005-0000-0000-0000730F0000}"/>
    <cellStyle name="Normal 2 100 3" xfId="9713" xr:uid="{00000000-0005-0000-0000-0000740F0000}"/>
    <cellStyle name="Normal 2 101" xfId="3590" xr:uid="{00000000-0005-0000-0000-0000750F0000}"/>
    <cellStyle name="Normal 2 101 2" xfId="3591" xr:uid="{00000000-0005-0000-0000-0000760F0000}"/>
    <cellStyle name="Normal 2 101 3" xfId="9714" xr:uid="{00000000-0005-0000-0000-0000770F0000}"/>
    <cellStyle name="Normal 2 102" xfId="3592" xr:uid="{00000000-0005-0000-0000-0000780F0000}"/>
    <cellStyle name="Normal 2 102 2" xfId="3593" xr:uid="{00000000-0005-0000-0000-0000790F0000}"/>
    <cellStyle name="Normal 2 102 3" xfId="9715" xr:uid="{00000000-0005-0000-0000-00007A0F0000}"/>
    <cellStyle name="Normal 2 103" xfId="3594" xr:uid="{00000000-0005-0000-0000-00007B0F0000}"/>
    <cellStyle name="Normal 2 103 2" xfId="3595" xr:uid="{00000000-0005-0000-0000-00007C0F0000}"/>
    <cellStyle name="Normal 2 103 3" xfId="9716" xr:uid="{00000000-0005-0000-0000-00007D0F0000}"/>
    <cellStyle name="Normal 2 104" xfId="3596" xr:uid="{00000000-0005-0000-0000-00007E0F0000}"/>
    <cellStyle name="Normal 2 105" xfId="3597" xr:uid="{00000000-0005-0000-0000-00007F0F0000}"/>
    <cellStyle name="Normal 2 105 2" xfId="3598" xr:uid="{00000000-0005-0000-0000-0000800F0000}"/>
    <cellStyle name="Normal 2 105 3" xfId="9717" xr:uid="{00000000-0005-0000-0000-0000810F0000}"/>
    <cellStyle name="Normal 2 106" xfId="3599" xr:uid="{00000000-0005-0000-0000-0000820F0000}"/>
    <cellStyle name="Normal 2 106 2" xfId="3600" xr:uid="{00000000-0005-0000-0000-0000830F0000}"/>
    <cellStyle name="Normal 2 106 3" xfId="9718" xr:uid="{00000000-0005-0000-0000-0000840F0000}"/>
    <cellStyle name="Normal 2 107" xfId="3601" xr:uid="{00000000-0005-0000-0000-0000850F0000}"/>
    <cellStyle name="Normal 2 107 2" xfId="3602" xr:uid="{00000000-0005-0000-0000-0000860F0000}"/>
    <cellStyle name="Normal 2 107 3" xfId="9719" xr:uid="{00000000-0005-0000-0000-0000870F0000}"/>
    <cellStyle name="Normal 2 108" xfId="3603" xr:uid="{00000000-0005-0000-0000-0000880F0000}"/>
    <cellStyle name="Normal 2 108 2" xfId="3604" xr:uid="{00000000-0005-0000-0000-0000890F0000}"/>
    <cellStyle name="Normal 2 108 3" xfId="9720" xr:uid="{00000000-0005-0000-0000-00008A0F0000}"/>
    <cellStyle name="Normal 2 109" xfId="3605" xr:uid="{00000000-0005-0000-0000-00008B0F0000}"/>
    <cellStyle name="Normal 2 109 2" xfId="3606" xr:uid="{00000000-0005-0000-0000-00008C0F0000}"/>
    <cellStyle name="Normal 2 109 3" xfId="9721" xr:uid="{00000000-0005-0000-0000-00008D0F0000}"/>
    <cellStyle name="Normal 2 11" xfId="3607" xr:uid="{00000000-0005-0000-0000-00008E0F0000}"/>
    <cellStyle name="Normal 2 11 2" xfId="3608" xr:uid="{00000000-0005-0000-0000-00008F0F0000}"/>
    <cellStyle name="Normal 2 11 3" xfId="3609" xr:uid="{00000000-0005-0000-0000-0000900F0000}"/>
    <cellStyle name="Normal 2 11 4" xfId="3610" xr:uid="{00000000-0005-0000-0000-0000910F0000}"/>
    <cellStyle name="Normal 2 11 4 2" xfId="3611" xr:uid="{00000000-0005-0000-0000-0000920F0000}"/>
    <cellStyle name="Normal 2 11 4 3" xfId="9723" xr:uid="{00000000-0005-0000-0000-0000930F0000}"/>
    <cellStyle name="Normal 2 11 5" xfId="3612" xr:uid="{00000000-0005-0000-0000-0000940F0000}"/>
    <cellStyle name="Normal 2 11 6" xfId="3613" xr:uid="{00000000-0005-0000-0000-0000950F0000}"/>
    <cellStyle name="Normal 2 11 7" xfId="9722" xr:uid="{00000000-0005-0000-0000-0000960F0000}"/>
    <cellStyle name="Normal 2 110" xfId="3614" xr:uid="{00000000-0005-0000-0000-0000970F0000}"/>
    <cellStyle name="Normal 2 110 2" xfId="3615" xr:uid="{00000000-0005-0000-0000-0000980F0000}"/>
    <cellStyle name="Normal 2 110 3" xfId="9724" xr:uid="{00000000-0005-0000-0000-0000990F0000}"/>
    <cellStyle name="Normal 2 111" xfId="3616" xr:uid="{00000000-0005-0000-0000-00009A0F0000}"/>
    <cellStyle name="Normal 2 111 2" xfId="3617" xr:uid="{00000000-0005-0000-0000-00009B0F0000}"/>
    <cellStyle name="Normal 2 111 3" xfId="9725" xr:uid="{00000000-0005-0000-0000-00009C0F0000}"/>
    <cellStyle name="Normal 2 112" xfId="3618" xr:uid="{00000000-0005-0000-0000-00009D0F0000}"/>
    <cellStyle name="Normal 2 112 2" xfId="3619" xr:uid="{00000000-0005-0000-0000-00009E0F0000}"/>
    <cellStyle name="Normal 2 112 3" xfId="9726" xr:uid="{00000000-0005-0000-0000-00009F0F0000}"/>
    <cellStyle name="Normal 2 113" xfId="3620" xr:uid="{00000000-0005-0000-0000-0000A00F0000}"/>
    <cellStyle name="Normal 2 113 2" xfId="3621" xr:uid="{00000000-0005-0000-0000-0000A10F0000}"/>
    <cellStyle name="Normal 2 113 3" xfId="9727" xr:uid="{00000000-0005-0000-0000-0000A20F0000}"/>
    <cellStyle name="Normal 2 114" xfId="3622" xr:uid="{00000000-0005-0000-0000-0000A30F0000}"/>
    <cellStyle name="Normal 2 114 2" xfId="3623" xr:uid="{00000000-0005-0000-0000-0000A40F0000}"/>
    <cellStyle name="Normal 2 114 3" xfId="9728" xr:uid="{00000000-0005-0000-0000-0000A50F0000}"/>
    <cellStyle name="Normal 2 115" xfId="3624" xr:uid="{00000000-0005-0000-0000-0000A60F0000}"/>
    <cellStyle name="Normal 2 115 2" xfId="3625" xr:uid="{00000000-0005-0000-0000-0000A70F0000}"/>
    <cellStyle name="Normal 2 115 3" xfId="9729" xr:uid="{00000000-0005-0000-0000-0000A80F0000}"/>
    <cellStyle name="Normal 2 116" xfId="3626" xr:uid="{00000000-0005-0000-0000-0000A90F0000}"/>
    <cellStyle name="Normal 2 116 2" xfId="3627" xr:uid="{00000000-0005-0000-0000-0000AA0F0000}"/>
    <cellStyle name="Normal 2 116 3" xfId="9730" xr:uid="{00000000-0005-0000-0000-0000AB0F0000}"/>
    <cellStyle name="Normal 2 117" xfId="3628" xr:uid="{00000000-0005-0000-0000-0000AC0F0000}"/>
    <cellStyle name="Normal 2 117 2" xfId="3629" xr:uid="{00000000-0005-0000-0000-0000AD0F0000}"/>
    <cellStyle name="Normal 2 117 3" xfId="9731" xr:uid="{00000000-0005-0000-0000-0000AE0F0000}"/>
    <cellStyle name="Normal 2 118" xfId="3630" xr:uid="{00000000-0005-0000-0000-0000AF0F0000}"/>
    <cellStyle name="Normal 2 118 2" xfId="3631" xr:uid="{00000000-0005-0000-0000-0000B00F0000}"/>
    <cellStyle name="Normal 2 118 3" xfId="9732" xr:uid="{00000000-0005-0000-0000-0000B10F0000}"/>
    <cellStyle name="Normal 2 119" xfId="3632" xr:uid="{00000000-0005-0000-0000-0000B20F0000}"/>
    <cellStyle name="Normal 2 119 2" xfId="3633" xr:uid="{00000000-0005-0000-0000-0000B30F0000}"/>
    <cellStyle name="Normal 2 119 3" xfId="9733" xr:uid="{00000000-0005-0000-0000-0000B40F0000}"/>
    <cellStyle name="Normal 2 12" xfId="3634" xr:uid="{00000000-0005-0000-0000-0000B50F0000}"/>
    <cellStyle name="Normal 2 12 2" xfId="3635" xr:uid="{00000000-0005-0000-0000-0000B60F0000}"/>
    <cellStyle name="Normal 2 12 2 2" xfId="3636" xr:uid="{00000000-0005-0000-0000-0000B70F0000}"/>
    <cellStyle name="Normal 2 12 2 3" xfId="9735" xr:uid="{00000000-0005-0000-0000-0000B80F0000}"/>
    <cellStyle name="Normal 2 12 3" xfId="3637" xr:uid="{00000000-0005-0000-0000-0000B90F0000}"/>
    <cellStyle name="Normal 2 12 4" xfId="3638" xr:uid="{00000000-0005-0000-0000-0000BA0F0000}"/>
    <cellStyle name="Normal 2 12 5" xfId="9734" xr:uid="{00000000-0005-0000-0000-0000BB0F0000}"/>
    <cellStyle name="Normal 2 120" xfId="3639" xr:uid="{00000000-0005-0000-0000-0000BC0F0000}"/>
    <cellStyle name="Normal 2 120 2" xfId="3640" xr:uid="{00000000-0005-0000-0000-0000BD0F0000}"/>
    <cellStyle name="Normal 2 120 3" xfId="9736" xr:uid="{00000000-0005-0000-0000-0000BE0F0000}"/>
    <cellStyle name="Normal 2 121" xfId="3641" xr:uid="{00000000-0005-0000-0000-0000BF0F0000}"/>
    <cellStyle name="Normal 2 121 2" xfId="3642" xr:uid="{00000000-0005-0000-0000-0000C00F0000}"/>
    <cellStyle name="Normal 2 121 3" xfId="9737" xr:uid="{00000000-0005-0000-0000-0000C10F0000}"/>
    <cellStyle name="Normal 2 122" xfId="3643" xr:uid="{00000000-0005-0000-0000-0000C20F0000}"/>
    <cellStyle name="Normal 2 122 2" xfId="3644" xr:uid="{00000000-0005-0000-0000-0000C30F0000}"/>
    <cellStyle name="Normal 2 122 3" xfId="9738" xr:uid="{00000000-0005-0000-0000-0000C40F0000}"/>
    <cellStyle name="Normal 2 123" xfId="3645" xr:uid="{00000000-0005-0000-0000-0000C50F0000}"/>
    <cellStyle name="Normal 2 123 2" xfId="3646" xr:uid="{00000000-0005-0000-0000-0000C60F0000}"/>
    <cellStyle name="Normal 2 123 3" xfId="9739" xr:uid="{00000000-0005-0000-0000-0000C70F0000}"/>
    <cellStyle name="Normal 2 124" xfId="3647" xr:uid="{00000000-0005-0000-0000-0000C80F0000}"/>
    <cellStyle name="Normal 2 124 2" xfId="3648" xr:uid="{00000000-0005-0000-0000-0000C90F0000}"/>
    <cellStyle name="Normal 2 124 3" xfId="9740" xr:uid="{00000000-0005-0000-0000-0000CA0F0000}"/>
    <cellStyle name="Normal 2 125" xfId="3649" xr:uid="{00000000-0005-0000-0000-0000CB0F0000}"/>
    <cellStyle name="Normal 2 125 2" xfId="3650" xr:uid="{00000000-0005-0000-0000-0000CC0F0000}"/>
    <cellStyle name="Normal 2 125 3" xfId="9741" xr:uid="{00000000-0005-0000-0000-0000CD0F0000}"/>
    <cellStyle name="Normal 2 126" xfId="3651" xr:uid="{00000000-0005-0000-0000-0000CE0F0000}"/>
    <cellStyle name="Normal 2 126 2" xfId="3652" xr:uid="{00000000-0005-0000-0000-0000CF0F0000}"/>
    <cellStyle name="Normal 2 126 3" xfId="9742" xr:uid="{00000000-0005-0000-0000-0000D00F0000}"/>
    <cellStyle name="Normal 2 127" xfId="3653" xr:uid="{00000000-0005-0000-0000-0000D10F0000}"/>
    <cellStyle name="Normal 2 127 2" xfId="3654" xr:uid="{00000000-0005-0000-0000-0000D20F0000}"/>
    <cellStyle name="Normal 2 127 3" xfId="9743" xr:uid="{00000000-0005-0000-0000-0000D30F0000}"/>
    <cellStyle name="Normal 2 128" xfId="3655" xr:uid="{00000000-0005-0000-0000-0000D40F0000}"/>
    <cellStyle name="Normal 2 128 2" xfId="3656" xr:uid="{00000000-0005-0000-0000-0000D50F0000}"/>
    <cellStyle name="Normal 2 128 3" xfId="9744" xr:uid="{00000000-0005-0000-0000-0000D60F0000}"/>
    <cellStyle name="Normal 2 129" xfId="3657" xr:uid="{00000000-0005-0000-0000-0000D70F0000}"/>
    <cellStyle name="Normal 2 129 2" xfId="3658" xr:uid="{00000000-0005-0000-0000-0000D80F0000}"/>
    <cellStyle name="Normal 2 129 3" xfId="9745" xr:uid="{00000000-0005-0000-0000-0000D90F0000}"/>
    <cellStyle name="Normal 2 13" xfId="3659" xr:uid="{00000000-0005-0000-0000-0000DA0F0000}"/>
    <cellStyle name="Normal 2 13 2" xfId="3660" xr:uid="{00000000-0005-0000-0000-0000DB0F0000}"/>
    <cellStyle name="Normal 2 13 2 2" xfId="3661" xr:uid="{00000000-0005-0000-0000-0000DC0F0000}"/>
    <cellStyle name="Normal 2 13 2 3" xfId="9747" xr:uid="{00000000-0005-0000-0000-0000DD0F0000}"/>
    <cellStyle name="Normal 2 13 3" xfId="3662" xr:uid="{00000000-0005-0000-0000-0000DE0F0000}"/>
    <cellStyle name="Normal 2 13 4" xfId="3663" xr:uid="{00000000-0005-0000-0000-0000DF0F0000}"/>
    <cellStyle name="Normal 2 13 5" xfId="9746" xr:uid="{00000000-0005-0000-0000-0000E00F0000}"/>
    <cellStyle name="Normal 2 130" xfId="3664" xr:uid="{00000000-0005-0000-0000-0000E10F0000}"/>
    <cellStyle name="Normal 2 130 2" xfId="3665" xr:uid="{00000000-0005-0000-0000-0000E20F0000}"/>
    <cellStyle name="Normal 2 130 3" xfId="9748" xr:uid="{00000000-0005-0000-0000-0000E30F0000}"/>
    <cellStyle name="Normal 2 131" xfId="3666" xr:uid="{00000000-0005-0000-0000-0000E40F0000}"/>
    <cellStyle name="Normal 2 131 2" xfId="3667" xr:uid="{00000000-0005-0000-0000-0000E50F0000}"/>
    <cellStyle name="Normal 2 131 3" xfId="9749" xr:uid="{00000000-0005-0000-0000-0000E60F0000}"/>
    <cellStyle name="Normal 2 132" xfId="3668" xr:uid="{00000000-0005-0000-0000-0000E70F0000}"/>
    <cellStyle name="Normal 2 132 2" xfId="3669" xr:uid="{00000000-0005-0000-0000-0000E80F0000}"/>
    <cellStyle name="Normal 2 132 3" xfId="9750" xr:uid="{00000000-0005-0000-0000-0000E90F0000}"/>
    <cellStyle name="Normal 2 133" xfId="3670" xr:uid="{00000000-0005-0000-0000-0000EA0F0000}"/>
    <cellStyle name="Normal 2 133 2" xfId="3671" xr:uid="{00000000-0005-0000-0000-0000EB0F0000}"/>
    <cellStyle name="Normal 2 133 3" xfId="9751" xr:uid="{00000000-0005-0000-0000-0000EC0F0000}"/>
    <cellStyle name="Normal 2 134" xfId="3672" xr:uid="{00000000-0005-0000-0000-0000ED0F0000}"/>
    <cellStyle name="Normal 2 134 2" xfId="3673" xr:uid="{00000000-0005-0000-0000-0000EE0F0000}"/>
    <cellStyle name="Normal 2 134 3" xfId="9752" xr:uid="{00000000-0005-0000-0000-0000EF0F0000}"/>
    <cellStyle name="Normal 2 135" xfId="3674" xr:uid="{00000000-0005-0000-0000-0000F00F0000}"/>
    <cellStyle name="Normal 2 135 2" xfId="3675" xr:uid="{00000000-0005-0000-0000-0000F10F0000}"/>
    <cellStyle name="Normal 2 135 3" xfId="9753" xr:uid="{00000000-0005-0000-0000-0000F20F0000}"/>
    <cellStyle name="Normal 2 136" xfId="3676" xr:uid="{00000000-0005-0000-0000-0000F30F0000}"/>
    <cellStyle name="Normal 2 136 2" xfId="3677" xr:uid="{00000000-0005-0000-0000-0000F40F0000}"/>
    <cellStyle name="Normal 2 136 3" xfId="9754" xr:uid="{00000000-0005-0000-0000-0000F50F0000}"/>
    <cellStyle name="Normal 2 137" xfId="3678" xr:uid="{00000000-0005-0000-0000-0000F60F0000}"/>
    <cellStyle name="Normal 2 137 2" xfId="3679" xr:uid="{00000000-0005-0000-0000-0000F70F0000}"/>
    <cellStyle name="Normal 2 137 3" xfId="9755" xr:uid="{00000000-0005-0000-0000-0000F80F0000}"/>
    <cellStyle name="Normal 2 138" xfId="3680" xr:uid="{00000000-0005-0000-0000-0000F90F0000}"/>
    <cellStyle name="Normal 2 138 2" xfId="3681" xr:uid="{00000000-0005-0000-0000-0000FA0F0000}"/>
    <cellStyle name="Normal 2 138 3" xfId="9756" xr:uid="{00000000-0005-0000-0000-0000FB0F0000}"/>
    <cellStyle name="Normal 2 139" xfId="3682" xr:uid="{00000000-0005-0000-0000-0000FC0F0000}"/>
    <cellStyle name="Normal 2 139 2" xfId="3683" xr:uid="{00000000-0005-0000-0000-0000FD0F0000}"/>
    <cellStyle name="Normal 2 139 3" xfId="9757" xr:uid="{00000000-0005-0000-0000-0000FE0F0000}"/>
    <cellStyle name="Normal 2 14" xfId="3684" xr:uid="{00000000-0005-0000-0000-0000FF0F0000}"/>
    <cellStyle name="Normal 2 14 2" xfId="3685" xr:uid="{00000000-0005-0000-0000-000000100000}"/>
    <cellStyle name="Normal 2 14 2 2" xfId="3686" xr:uid="{00000000-0005-0000-0000-000001100000}"/>
    <cellStyle name="Normal 2 14 2 3" xfId="9759" xr:uid="{00000000-0005-0000-0000-000002100000}"/>
    <cellStyle name="Normal 2 14 3" xfId="3687" xr:uid="{00000000-0005-0000-0000-000003100000}"/>
    <cellStyle name="Normal 2 14 4" xfId="9758" xr:uid="{00000000-0005-0000-0000-000004100000}"/>
    <cellStyle name="Normal 2 140" xfId="3688" xr:uid="{00000000-0005-0000-0000-000005100000}"/>
    <cellStyle name="Normal 2 140 2" xfId="3689" xr:uid="{00000000-0005-0000-0000-000006100000}"/>
    <cellStyle name="Normal 2 140 3" xfId="9760" xr:uid="{00000000-0005-0000-0000-000007100000}"/>
    <cellStyle name="Normal 2 141" xfId="3690" xr:uid="{00000000-0005-0000-0000-000008100000}"/>
    <cellStyle name="Normal 2 142" xfId="21" xr:uid="{00000000-0005-0000-0000-000009100000}"/>
    <cellStyle name="Normal 2 142 2" xfId="9396" xr:uid="{00000000-0005-0000-0000-00000A100000}"/>
    <cellStyle name="Normal 2 143" xfId="3691" xr:uid="{00000000-0005-0000-0000-00000B100000}"/>
    <cellStyle name="Normal 2 143 2" xfId="11066" xr:uid="{00000000-0005-0000-0000-00000C100000}"/>
    <cellStyle name="Normal 2 144" xfId="3692" xr:uid="{00000000-0005-0000-0000-00000D100000}"/>
    <cellStyle name="Normal 2 145" xfId="3693" xr:uid="{00000000-0005-0000-0000-00000E100000}"/>
    <cellStyle name="Normal 2 146" xfId="9412" xr:uid="{00000000-0005-0000-0000-00000F100000}"/>
    <cellStyle name="Normal 2 15" xfId="3694" xr:uid="{00000000-0005-0000-0000-000010100000}"/>
    <cellStyle name="Normal 2 15 2" xfId="3695" xr:uid="{00000000-0005-0000-0000-000011100000}"/>
    <cellStyle name="Normal 2 15 2 2" xfId="3696" xr:uid="{00000000-0005-0000-0000-000012100000}"/>
    <cellStyle name="Normal 2 15 2 3" xfId="9762" xr:uid="{00000000-0005-0000-0000-000013100000}"/>
    <cellStyle name="Normal 2 15 3" xfId="3697" xr:uid="{00000000-0005-0000-0000-000014100000}"/>
    <cellStyle name="Normal 2 15 4" xfId="9761" xr:uid="{00000000-0005-0000-0000-000015100000}"/>
    <cellStyle name="Normal 2 16" xfId="3698" xr:uid="{00000000-0005-0000-0000-000016100000}"/>
    <cellStyle name="Normal 2 16 2" xfId="3699" xr:uid="{00000000-0005-0000-0000-000017100000}"/>
    <cellStyle name="Normal 2 16 2 2" xfId="3700" xr:uid="{00000000-0005-0000-0000-000018100000}"/>
    <cellStyle name="Normal 2 16 2 3" xfId="9764" xr:uid="{00000000-0005-0000-0000-000019100000}"/>
    <cellStyle name="Normal 2 16 3" xfId="3701" xr:uid="{00000000-0005-0000-0000-00001A100000}"/>
    <cellStyle name="Normal 2 16 4" xfId="9763" xr:uid="{00000000-0005-0000-0000-00001B100000}"/>
    <cellStyle name="Normal 2 17" xfId="3702" xr:uid="{00000000-0005-0000-0000-00001C100000}"/>
    <cellStyle name="Normal 2 17 2" xfId="3703" xr:uid="{00000000-0005-0000-0000-00001D100000}"/>
    <cellStyle name="Normal 2 17 2 2" xfId="3704" xr:uid="{00000000-0005-0000-0000-00001E100000}"/>
    <cellStyle name="Normal 2 17 2 3" xfId="9766" xr:uid="{00000000-0005-0000-0000-00001F100000}"/>
    <cellStyle name="Normal 2 17 3" xfId="3705" xr:uid="{00000000-0005-0000-0000-000020100000}"/>
    <cellStyle name="Normal 2 17 4" xfId="9765" xr:uid="{00000000-0005-0000-0000-000021100000}"/>
    <cellStyle name="Normal 2 18" xfId="3706" xr:uid="{00000000-0005-0000-0000-000022100000}"/>
    <cellStyle name="Normal 2 18 2" xfId="3707" xr:uid="{00000000-0005-0000-0000-000023100000}"/>
    <cellStyle name="Normal 2 18 2 2" xfId="3708" xr:uid="{00000000-0005-0000-0000-000024100000}"/>
    <cellStyle name="Normal 2 18 2 3" xfId="9768" xr:uid="{00000000-0005-0000-0000-000025100000}"/>
    <cellStyle name="Normal 2 18 3" xfId="3709" xr:uid="{00000000-0005-0000-0000-000026100000}"/>
    <cellStyle name="Normal 2 18 4" xfId="9767" xr:uid="{00000000-0005-0000-0000-000027100000}"/>
    <cellStyle name="Normal 2 19" xfId="3710" xr:uid="{00000000-0005-0000-0000-000028100000}"/>
    <cellStyle name="Normal 2 19 2" xfId="3711" xr:uid="{00000000-0005-0000-0000-000029100000}"/>
    <cellStyle name="Normal 2 19 2 2" xfId="3712" xr:uid="{00000000-0005-0000-0000-00002A100000}"/>
    <cellStyle name="Normal 2 19 2 3" xfId="9770" xr:uid="{00000000-0005-0000-0000-00002B100000}"/>
    <cellStyle name="Normal 2 19 3" xfId="3713" xr:uid="{00000000-0005-0000-0000-00002C100000}"/>
    <cellStyle name="Normal 2 19 4" xfId="9769" xr:uid="{00000000-0005-0000-0000-00002D100000}"/>
    <cellStyle name="Normal 2 2" xfId="4" xr:uid="{00000000-0005-0000-0000-00002E100000}"/>
    <cellStyle name="Normal 2 2 10" xfId="3714" xr:uid="{00000000-0005-0000-0000-00002F100000}"/>
    <cellStyle name="Normal 2 2 10 2" xfId="3715" xr:uid="{00000000-0005-0000-0000-000030100000}"/>
    <cellStyle name="Normal 2 2 10 2 2" xfId="3716" xr:uid="{00000000-0005-0000-0000-000031100000}"/>
    <cellStyle name="Normal 2 2 10 2 3" xfId="9772" xr:uid="{00000000-0005-0000-0000-000032100000}"/>
    <cellStyle name="Normal 2 2 10 3" xfId="3717" xr:uid="{00000000-0005-0000-0000-000033100000}"/>
    <cellStyle name="Normal 2 2 10 4" xfId="9771" xr:uid="{00000000-0005-0000-0000-000034100000}"/>
    <cellStyle name="Normal 2 2 100" xfId="3718" xr:uid="{00000000-0005-0000-0000-000035100000}"/>
    <cellStyle name="Normal 2 2 100 2" xfId="3719" xr:uid="{00000000-0005-0000-0000-000036100000}"/>
    <cellStyle name="Normal 2 2 100 3" xfId="9773" xr:uid="{00000000-0005-0000-0000-000037100000}"/>
    <cellStyle name="Normal 2 2 101" xfId="3720" xr:uid="{00000000-0005-0000-0000-000038100000}"/>
    <cellStyle name="Normal 2 2 101 2" xfId="3721" xr:uid="{00000000-0005-0000-0000-000039100000}"/>
    <cellStyle name="Normal 2 2 101 3" xfId="9774" xr:uid="{00000000-0005-0000-0000-00003A100000}"/>
    <cellStyle name="Normal 2 2 102" xfId="3722" xr:uid="{00000000-0005-0000-0000-00003B100000}"/>
    <cellStyle name="Normal 2 2 102 2" xfId="3723" xr:uid="{00000000-0005-0000-0000-00003C100000}"/>
    <cellStyle name="Normal 2 2 102 3" xfId="9775" xr:uid="{00000000-0005-0000-0000-00003D100000}"/>
    <cellStyle name="Normal 2 2 103" xfId="3724" xr:uid="{00000000-0005-0000-0000-00003E100000}"/>
    <cellStyle name="Normal 2 2 103 2" xfId="3725" xr:uid="{00000000-0005-0000-0000-00003F100000}"/>
    <cellStyle name="Normal 2 2 103 3" xfId="9776" xr:uid="{00000000-0005-0000-0000-000040100000}"/>
    <cellStyle name="Normal 2 2 104" xfId="3726" xr:uid="{00000000-0005-0000-0000-000041100000}"/>
    <cellStyle name="Normal 2 2 104 2" xfId="3727" xr:uid="{00000000-0005-0000-0000-000042100000}"/>
    <cellStyle name="Normal 2 2 104 3" xfId="9777" xr:uid="{00000000-0005-0000-0000-000043100000}"/>
    <cellStyle name="Normal 2 2 105" xfId="3728" xr:uid="{00000000-0005-0000-0000-000044100000}"/>
    <cellStyle name="Normal 2 2 105 2" xfId="3729" xr:uid="{00000000-0005-0000-0000-000045100000}"/>
    <cellStyle name="Normal 2 2 105 3" xfId="9778" xr:uid="{00000000-0005-0000-0000-000046100000}"/>
    <cellStyle name="Normal 2 2 106" xfId="3730" xr:uid="{00000000-0005-0000-0000-000047100000}"/>
    <cellStyle name="Normal 2 2 106 2" xfId="3731" xr:uid="{00000000-0005-0000-0000-000048100000}"/>
    <cellStyle name="Normal 2 2 106 3" xfId="9779" xr:uid="{00000000-0005-0000-0000-000049100000}"/>
    <cellStyle name="Normal 2 2 107" xfId="3732" xr:uid="{00000000-0005-0000-0000-00004A100000}"/>
    <cellStyle name="Normal 2 2 107 2" xfId="3733" xr:uid="{00000000-0005-0000-0000-00004B100000}"/>
    <cellStyle name="Normal 2 2 107 3" xfId="9780" xr:uid="{00000000-0005-0000-0000-00004C100000}"/>
    <cellStyle name="Normal 2 2 108" xfId="3734" xr:uid="{00000000-0005-0000-0000-00004D100000}"/>
    <cellStyle name="Normal 2 2 108 2" xfId="3735" xr:uid="{00000000-0005-0000-0000-00004E100000}"/>
    <cellStyle name="Normal 2 2 108 3" xfId="9781" xr:uid="{00000000-0005-0000-0000-00004F100000}"/>
    <cellStyle name="Normal 2 2 109" xfId="3736" xr:uid="{00000000-0005-0000-0000-000050100000}"/>
    <cellStyle name="Normal 2 2 109 2" xfId="3737" xr:uid="{00000000-0005-0000-0000-000051100000}"/>
    <cellStyle name="Normal 2 2 109 3" xfId="9782" xr:uid="{00000000-0005-0000-0000-000052100000}"/>
    <cellStyle name="Normal 2 2 11" xfId="3738" xr:uid="{00000000-0005-0000-0000-000053100000}"/>
    <cellStyle name="Normal 2 2 11 2" xfId="3739" xr:uid="{00000000-0005-0000-0000-000054100000}"/>
    <cellStyle name="Normal 2 2 11 2 2" xfId="3740" xr:uid="{00000000-0005-0000-0000-000055100000}"/>
    <cellStyle name="Normal 2 2 11 2 3" xfId="9784" xr:uid="{00000000-0005-0000-0000-000056100000}"/>
    <cellStyle name="Normal 2 2 11 3" xfId="3741" xr:uid="{00000000-0005-0000-0000-000057100000}"/>
    <cellStyle name="Normal 2 2 11 4" xfId="9783" xr:uid="{00000000-0005-0000-0000-000058100000}"/>
    <cellStyle name="Normal 2 2 110" xfId="3742" xr:uid="{00000000-0005-0000-0000-000059100000}"/>
    <cellStyle name="Normal 2 2 110 2" xfId="3743" xr:uid="{00000000-0005-0000-0000-00005A100000}"/>
    <cellStyle name="Normal 2 2 110 3" xfId="9785" xr:uid="{00000000-0005-0000-0000-00005B100000}"/>
    <cellStyle name="Normal 2 2 111" xfId="3744" xr:uid="{00000000-0005-0000-0000-00005C100000}"/>
    <cellStyle name="Normal 2 2 111 2" xfId="3745" xr:uid="{00000000-0005-0000-0000-00005D100000}"/>
    <cellStyle name="Normal 2 2 111 3" xfId="9786" xr:uid="{00000000-0005-0000-0000-00005E100000}"/>
    <cellStyle name="Normal 2 2 112" xfId="3746" xr:uid="{00000000-0005-0000-0000-00005F100000}"/>
    <cellStyle name="Normal 2 2 112 2" xfId="3747" xr:uid="{00000000-0005-0000-0000-000060100000}"/>
    <cellStyle name="Normal 2 2 112 3" xfId="9787" xr:uid="{00000000-0005-0000-0000-000061100000}"/>
    <cellStyle name="Normal 2 2 113" xfId="3748" xr:uid="{00000000-0005-0000-0000-000062100000}"/>
    <cellStyle name="Normal 2 2 113 2" xfId="3749" xr:uid="{00000000-0005-0000-0000-000063100000}"/>
    <cellStyle name="Normal 2 2 113 3" xfId="9788" xr:uid="{00000000-0005-0000-0000-000064100000}"/>
    <cellStyle name="Normal 2 2 114" xfId="3750" xr:uid="{00000000-0005-0000-0000-000065100000}"/>
    <cellStyle name="Normal 2 2 114 2" xfId="3751" xr:uid="{00000000-0005-0000-0000-000066100000}"/>
    <cellStyle name="Normal 2 2 114 3" xfId="9789" xr:uid="{00000000-0005-0000-0000-000067100000}"/>
    <cellStyle name="Normal 2 2 115" xfId="3752" xr:uid="{00000000-0005-0000-0000-000068100000}"/>
    <cellStyle name="Normal 2 2 115 2" xfId="3753" xr:uid="{00000000-0005-0000-0000-000069100000}"/>
    <cellStyle name="Normal 2 2 115 3" xfId="9790" xr:uid="{00000000-0005-0000-0000-00006A100000}"/>
    <cellStyle name="Normal 2 2 116" xfId="3754" xr:uid="{00000000-0005-0000-0000-00006B100000}"/>
    <cellStyle name="Normal 2 2 116 2" xfId="3755" xr:uid="{00000000-0005-0000-0000-00006C100000}"/>
    <cellStyle name="Normal 2 2 116 3" xfId="9791" xr:uid="{00000000-0005-0000-0000-00006D100000}"/>
    <cellStyle name="Normal 2 2 117" xfId="3756" xr:uid="{00000000-0005-0000-0000-00006E100000}"/>
    <cellStyle name="Normal 2 2 117 2" xfId="3757" xr:uid="{00000000-0005-0000-0000-00006F100000}"/>
    <cellStyle name="Normal 2 2 117 3" xfId="9792" xr:uid="{00000000-0005-0000-0000-000070100000}"/>
    <cellStyle name="Normal 2 2 118" xfId="3758" xr:uid="{00000000-0005-0000-0000-000071100000}"/>
    <cellStyle name="Normal 2 2 118 2" xfId="3759" xr:uid="{00000000-0005-0000-0000-000072100000}"/>
    <cellStyle name="Normal 2 2 118 3" xfId="9793" xr:uid="{00000000-0005-0000-0000-000073100000}"/>
    <cellStyle name="Normal 2 2 119" xfId="3760" xr:uid="{00000000-0005-0000-0000-000074100000}"/>
    <cellStyle name="Normal 2 2 119 2" xfId="3761" xr:uid="{00000000-0005-0000-0000-000075100000}"/>
    <cellStyle name="Normal 2 2 119 3" xfId="9794" xr:uid="{00000000-0005-0000-0000-000076100000}"/>
    <cellStyle name="Normal 2 2 12" xfId="3762" xr:uid="{00000000-0005-0000-0000-000077100000}"/>
    <cellStyle name="Normal 2 2 12 2" xfId="3763" xr:uid="{00000000-0005-0000-0000-000078100000}"/>
    <cellStyle name="Normal 2 2 12 2 2" xfId="3764" xr:uid="{00000000-0005-0000-0000-000079100000}"/>
    <cellStyle name="Normal 2 2 12 2 3" xfId="9796" xr:uid="{00000000-0005-0000-0000-00007A100000}"/>
    <cellStyle name="Normal 2 2 12 3" xfId="3765" xr:uid="{00000000-0005-0000-0000-00007B100000}"/>
    <cellStyle name="Normal 2 2 12 4" xfId="9795" xr:uid="{00000000-0005-0000-0000-00007C100000}"/>
    <cellStyle name="Normal 2 2 120" xfId="3766" xr:uid="{00000000-0005-0000-0000-00007D100000}"/>
    <cellStyle name="Normal 2 2 120 2" xfId="3767" xr:uid="{00000000-0005-0000-0000-00007E100000}"/>
    <cellStyle name="Normal 2 2 120 3" xfId="9797" xr:uid="{00000000-0005-0000-0000-00007F100000}"/>
    <cellStyle name="Normal 2 2 121" xfId="3768" xr:uid="{00000000-0005-0000-0000-000080100000}"/>
    <cellStyle name="Normal 2 2 121 2" xfId="3769" xr:uid="{00000000-0005-0000-0000-000081100000}"/>
    <cellStyle name="Normal 2 2 121 3" xfId="9798" xr:uid="{00000000-0005-0000-0000-000082100000}"/>
    <cellStyle name="Normal 2 2 122" xfId="3770" xr:uid="{00000000-0005-0000-0000-000083100000}"/>
    <cellStyle name="Normal 2 2 122 2" xfId="3771" xr:uid="{00000000-0005-0000-0000-000084100000}"/>
    <cellStyle name="Normal 2 2 122 3" xfId="9799" xr:uid="{00000000-0005-0000-0000-000085100000}"/>
    <cellStyle name="Normal 2 2 123" xfId="3772" xr:uid="{00000000-0005-0000-0000-000086100000}"/>
    <cellStyle name="Normal 2 2 123 2" xfId="3773" xr:uid="{00000000-0005-0000-0000-000087100000}"/>
    <cellStyle name="Normal 2 2 123 3" xfId="9800" xr:uid="{00000000-0005-0000-0000-000088100000}"/>
    <cellStyle name="Normal 2 2 124" xfId="3774" xr:uid="{00000000-0005-0000-0000-000089100000}"/>
    <cellStyle name="Normal 2 2 124 2" xfId="3775" xr:uid="{00000000-0005-0000-0000-00008A100000}"/>
    <cellStyle name="Normal 2 2 124 3" xfId="9801" xr:uid="{00000000-0005-0000-0000-00008B100000}"/>
    <cellStyle name="Normal 2 2 125" xfId="3776" xr:uid="{00000000-0005-0000-0000-00008C100000}"/>
    <cellStyle name="Normal 2 2 125 2" xfId="3777" xr:uid="{00000000-0005-0000-0000-00008D100000}"/>
    <cellStyle name="Normal 2 2 125 3" xfId="9802" xr:uid="{00000000-0005-0000-0000-00008E100000}"/>
    <cellStyle name="Normal 2 2 126" xfId="3778" xr:uid="{00000000-0005-0000-0000-00008F100000}"/>
    <cellStyle name="Normal 2 2 126 2" xfId="3779" xr:uid="{00000000-0005-0000-0000-000090100000}"/>
    <cellStyle name="Normal 2 2 126 3" xfId="9803" xr:uid="{00000000-0005-0000-0000-000091100000}"/>
    <cellStyle name="Normal 2 2 127" xfId="3780" xr:uid="{00000000-0005-0000-0000-000092100000}"/>
    <cellStyle name="Normal 2 2 127 2" xfId="3781" xr:uid="{00000000-0005-0000-0000-000093100000}"/>
    <cellStyle name="Normal 2 2 127 3" xfId="9804" xr:uid="{00000000-0005-0000-0000-000094100000}"/>
    <cellStyle name="Normal 2 2 128" xfId="3782" xr:uid="{00000000-0005-0000-0000-000095100000}"/>
    <cellStyle name="Normal 2 2 128 2" xfId="3783" xr:uid="{00000000-0005-0000-0000-000096100000}"/>
    <cellStyle name="Normal 2 2 128 3" xfId="9805" xr:uid="{00000000-0005-0000-0000-000097100000}"/>
    <cellStyle name="Normal 2 2 129" xfId="3784" xr:uid="{00000000-0005-0000-0000-000098100000}"/>
    <cellStyle name="Normal 2 2 129 2" xfId="3785" xr:uid="{00000000-0005-0000-0000-000099100000}"/>
    <cellStyle name="Normal 2 2 129 3" xfId="9806" xr:uid="{00000000-0005-0000-0000-00009A100000}"/>
    <cellStyle name="Normal 2 2 13" xfId="3786" xr:uid="{00000000-0005-0000-0000-00009B100000}"/>
    <cellStyle name="Normal 2 2 13 2" xfId="3787" xr:uid="{00000000-0005-0000-0000-00009C100000}"/>
    <cellStyle name="Normal 2 2 13 2 2" xfId="3788" xr:uid="{00000000-0005-0000-0000-00009D100000}"/>
    <cellStyle name="Normal 2 2 13 2 3" xfId="9808" xr:uid="{00000000-0005-0000-0000-00009E100000}"/>
    <cellStyle name="Normal 2 2 13 3" xfId="3789" xr:uid="{00000000-0005-0000-0000-00009F100000}"/>
    <cellStyle name="Normal 2 2 13 4" xfId="9807" xr:uid="{00000000-0005-0000-0000-0000A0100000}"/>
    <cellStyle name="Normal 2 2 130" xfId="3790" xr:uid="{00000000-0005-0000-0000-0000A1100000}"/>
    <cellStyle name="Normal 2 2 130 2" xfId="3791" xr:uid="{00000000-0005-0000-0000-0000A2100000}"/>
    <cellStyle name="Normal 2 2 130 3" xfId="9809" xr:uid="{00000000-0005-0000-0000-0000A3100000}"/>
    <cellStyle name="Normal 2 2 131" xfId="3792" xr:uid="{00000000-0005-0000-0000-0000A4100000}"/>
    <cellStyle name="Normal 2 2 131 2" xfId="3793" xr:uid="{00000000-0005-0000-0000-0000A5100000}"/>
    <cellStyle name="Normal 2 2 131 3" xfId="9810" xr:uid="{00000000-0005-0000-0000-0000A6100000}"/>
    <cellStyle name="Normal 2 2 132" xfId="3794" xr:uid="{00000000-0005-0000-0000-0000A7100000}"/>
    <cellStyle name="Normal 2 2 132 2" xfId="3795" xr:uid="{00000000-0005-0000-0000-0000A8100000}"/>
    <cellStyle name="Normal 2 2 132 3" xfId="9811" xr:uid="{00000000-0005-0000-0000-0000A9100000}"/>
    <cellStyle name="Normal 2 2 133" xfId="3796" xr:uid="{00000000-0005-0000-0000-0000AA100000}"/>
    <cellStyle name="Normal 2 2 133 2" xfId="3797" xr:uid="{00000000-0005-0000-0000-0000AB100000}"/>
    <cellStyle name="Normal 2 2 133 3" xfId="9812" xr:uid="{00000000-0005-0000-0000-0000AC100000}"/>
    <cellStyle name="Normal 2 2 134" xfId="3798" xr:uid="{00000000-0005-0000-0000-0000AD100000}"/>
    <cellStyle name="Normal 2 2 134 2" xfId="3799" xr:uid="{00000000-0005-0000-0000-0000AE100000}"/>
    <cellStyle name="Normal 2 2 134 3" xfId="9813" xr:uid="{00000000-0005-0000-0000-0000AF100000}"/>
    <cellStyle name="Normal 2 2 135" xfId="3800" xr:uid="{00000000-0005-0000-0000-0000B0100000}"/>
    <cellStyle name="Normal 2 2 135 2" xfId="3801" xr:uid="{00000000-0005-0000-0000-0000B1100000}"/>
    <cellStyle name="Normal 2 2 135 3" xfId="9814" xr:uid="{00000000-0005-0000-0000-0000B2100000}"/>
    <cellStyle name="Normal 2 2 136" xfId="3802" xr:uid="{00000000-0005-0000-0000-0000B3100000}"/>
    <cellStyle name="Normal 2 2 136 2" xfId="3803" xr:uid="{00000000-0005-0000-0000-0000B4100000}"/>
    <cellStyle name="Normal 2 2 136 3" xfId="9815" xr:uid="{00000000-0005-0000-0000-0000B5100000}"/>
    <cellStyle name="Normal 2 2 137" xfId="3804" xr:uid="{00000000-0005-0000-0000-0000B6100000}"/>
    <cellStyle name="Normal 2 2 137 2" xfId="3805" xr:uid="{00000000-0005-0000-0000-0000B7100000}"/>
    <cellStyle name="Normal 2 2 137 3" xfId="9816" xr:uid="{00000000-0005-0000-0000-0000B8100000}"/>
    <cellStyle name="Normal 2 2 138" xfId="3806" xr:uid="{00000000-0005-0000-0000-0000B9100000}"/>
    <cellStyle name="Normal 2 2 138 2" xfId="3807" xr:uid="{00000000-0005-0000-0000-0000BA100000}"/>
    <cellStyle name="Normal 2 2 138 3" xfId="9817" xr:uid="{00000000-0005-0000-0000-0000BB100000}"/>
    <cellStyle name="Normal 2 2 139" xfId="3808" xr:uid="{00000000-0005-0000-0000-0000BC100000}"/>
    <cellStyle name="Normal 2 2 139 2" xfId="3809" xr:uid="{00000000-0005-0000-0000-0000BD100000}"/>
    <cellStyle name="Normal 2 2 139 3" xfId="9818" xr:uid="{00000000-0005-0000-0000-0000BE100000}"/>
    <cellStyle name="Normal 2 2 14" xfId="3810" xr:uid="{00000000-0005-0000-0000-0000BF100000}"/>
    <cellStyle name="Normal 2 2 14 2" xfId="3811" xr:uid="{00000000-0005-0000-0000-0000C0100000}"/>
    <cellStyle name="Normal 2 2 14 2 2" xfId="3812" xr:uid="{00000000-0005-0000-0000-0000C1100000}"/>
    <cellStyle name="Normal 2 2 14 2 3" xfId="9820" xr:uid="{00000000-0005-0000-0000-0000C2100000}"/>
    <cellStyle name="Normal 2 2 14 3" xfId="3813" xr:uid="{00000000-0005-0000-0000-0000C3100000}"/>
    <cellStyle name="Normal 2 2 14 4" xfId="9819" xr:uid="{00000000-0005-0000-0000-0000C4100000}"/>
    <cellStyle name="Normal 2 2 140" xfId="3814" xr:uid="{00000000-0005-0000-0000-0000C5100000}"/>
    <cellStyle name="Normal 2 2 140 2" xfId="3815" xr:uid="{00000000-0005-0000-0000-0000C6100000}"/>
    <cellStyle name="Normal 2 2 140 3" xfId="9821" xr:uid="{00000000-0005-0000-0000-0000C7100000}"/>
    <cellStyle name="Normal 2 2 141" xfId="3816" xr:uid="{00000000-0005-0000-0000-0000C8100000}"/>
    <cellStyle name="Normal 2 2 141 2" xfId="3817" xr:uid="{00000000-0005-0000-0000-0000C9100000}"/>
    <cellStyle name="Normal 2 2 141 3" xfId="9822" xr:uid="{00000000-0005-0000-0000-0000CA100000}"/>
    <cellStyle name="Normal 2 2 142" xfId="3818" xr:uid="{00000000-0005-0000-0000-0000CB100000}"/>
    <cellStyle name="Normal 2 2 142 2" xfId="3819" xr:uid="{00000000-0005-0000-0000-0000CC100000}"/>
    <cellStyle name="Normal 2 2 142 3" xfId="9823" xr:uid="{00000000-0005-0000-0000-0000CD100000}"/>
    <cellStyle name="Normal 2 2 143" xfId="3820" xr:uid="{00000000-0005-0000-0000-0000CE100000}"/>
    <cellStyle name="Normal 2 2 143 2" xfId="3821" xr:uid="{00000000-0005-0000-0000-0000CF100000}"/>
    <cellStyle name="Normal 2 2 143 3" xfId="9824" xr:uid="{00000000-0005-0000-0000-0000D0100000}"/>
    <cellStyle name="Normal 2 2 144" xfId="3822" xr:uid="{00000000-0005-0000-0000-0000D1100000}"/>
    <cellStyle name="Normal 2 2 144 2" xfId="3823" xr:uid="{00000000-0005-0000-0000-0000D2100000}"/>
    <cellStyle name="Normal 2 2 144 3" xfId="9825" xr:uid="{00000000-0005-0000-0000-0000D3100000}"/>
    <cellStyle name="Normal 2 2 145" xfId="3824" xr:uid="{00000000-0005-0000-0000-0000D4100000}"/>
    <cellStyle name="Normal 2 2 145 2" xfId="3825" xr:uid="{00000000-0005-0000-0000-0000D5100000}"/>
    <cellStyle name="Normal 2 2 145 3" xfId="9826" xr:uid="{00000000-0005-0000-0000-0000D6100000}"/>
    <cellStyle name="Normal 2 2 146" xfId="3826" xr:uid="{00000000-0005-0000-0000-0000D7100000}"/>
    <cellStyle name="Normal 2 2 146 2" xfId="3827" xr:uid="{00000000-0005-0000-0000-0000D8100000}"/>
    <cellStyle name="Normal 2 2 146 3" xfId="9827" xr:uid="{00000000-0005-0000-0000-0000D9100000}"/>
    <cellStyle name="Normal 2 2 147" xfId="3828" xr:uid="{00000000-0005-0000-0000-0000DA100000}"/>
    <cellStyle name="Normal 2 2 147 2" xfId="3829" xr:uid="{00000000-0005-0000-0000-0000DB100000}"/>
    <cellStyle name="Normal 2 2 147 3" xfId="9828" xr:uid="{00000000-0005-0000-0000-0000DC100000}"/>
    <cellStyle name="Normal 2 2 148" xfId="3830" xr:uid="{00000000-0005-0000-0000-0000DD100000}"/>
    <cellStyle name="Normal 2 2 148 2" xfId="3831" xr:uid="{00000000-0005-0000-0000-0000DE100000}"/>
    <cellStyle name="Normal 2 2 148 3" xfId="9829" xr:uid="{00000000-0005-0000-0000-0000DF100000}"/>
    <cellStyle name="Normal 2 2 149" xfId="3832" xr:uid="{00000000-0005-0000-0000-0000E0100000}"/>
    <cellStyle name="Normal 2 2 149 2" xfId="3833" xr:uid="{00000000-0005-0000-0000-0000E1100000}"/>
    <cellStyle name="Normal 2 2 149 3" xfId="9830" xr:uid="{00000000-0005-0000-0000-0000E2100000}"/>
    <cellStyle name="Normal 2 2 15" xfId="3834" xr:uid="{00000000-0005-0000-0000-0000E3100000}"/>
    <cellStyle name="Normal 2 2 15 2" xfId="3835" xr:uid="{00000000-0005-0000-0000-0000E4100000}"/>
    <cellStyle name="Normal 2 2 15 2 2" xfId="3836" xr:uid="{00000000-0005-0000-0000-0000E5100000}"/>
    <cellStyle name="Normal 2 2 15 2 3" xfId="9832" xr:uid="{00000000-0005-0000-0000-0000E6100000}"/>
    <cellStyle name="Normal 2 2 15 3" xfId="3837" xr:uid="{00000000-0005-0000-0000-0000E7100000}"/>
    <cellStyle name="Normal 2 2 15 4" xfId="9831" xr:uid="{00000000-0005-0000-0000-0000E8100000}"/>
    <cellStyle name="Normal 2 2 150" xfId="3838" xr:uid="{00000000-0005-0000-0000-0000E9100000}"/>
    <cellStyle name="Normal 2 2 150 2" xfId="3839" xr:uid="{00000000-0005-0000-0000-0000EA100000}"/>
    <cellStyle name="Normal 2 2 150 3" xfId="9833" xr:uid="{00000000-0005-0000-0000-0000EB100000}"/>
    <cellStyle name="Normal 2 2 151" xfId="3840" xr:uid="{00000000-0005-0000-0000-0000EC100000}"/>
    <cellStyle name="Normal 2 2 151 2" xfId="3841" xr:uid="{00000000-0005-0000-0000-0000ED100000}"/>
    <cellStyle name="Normal 2 2 151 3" xfId="9834" xr:uid="{00000000-0005-0000-0000-0000EE100000}"/>
    <cellStyle name="Normal 2 2 152" xfId="3842" xr:uid="{00000000-0005-0000-0000-0000EF100000}"/>
    <cellStyle name="Normal 2 2 152 2" xfId="3843" xr:uid="{00000000-0005-0000-0000-0000F0100000}"/>
    <cellStyle name="Normal 2 2 152 3" xfId="9835" xr:uid="{00000000-0005-0000-0000-0000F1100000}"/>
    <cellStyle name="Normal 2 2 153" xfId="3844" xr:uid="{00000000-0005-0000-0000-0000F2100000}"/>
    <cellStyle name="Normal 2 2 153 2" xfId="3845" xr:uid="{00000000-0005-0000-0000-0000F3100000}"/>
    <cellStyle name="Normal 2 2 153 3" xfId="9836" xr:uid="{00000000-0005-0000-0000-0000F4100000}"/>
    <cellStyle name="Normal 2 2 154" xfId="3846" xr:uid="{00000000-0005-0000-0000-0000F5100000}"/>
    <cellStyle name="Normal 2 2 154 2" xfId="3847" xr:uid="{00000000-0005-0000-0000-0000F6100000}"/>
    <cellStyle name="Normal 2 2 154 3" xfId="9837" xr:uid="{00000000-0005-0000-0000-0000F7100000}"/>
    <cellStyle name="Normal 2 2 155" xfId="3848" xr:uid="{00000000-0005-0000-0000-0000F8100000}"/>
    <cellStyle name="Normal 2 2 155 2" xfId="3849" xr:uid="{00000000-0005-0000-0000-0000F9100000}"/>
    <cellStyle name="Normal 2 2 155 3" xfId="3850" xr:uid="{00000000-0005-0000-0000-0000FA100000}"/>
    <cellStyle name="Normal 2 2 155 4" xfId="11068" xr:uid="{00000000-0005-0000-0000-0000FB100000}"/>
    <cellStyle name="Normal 2 2 156" xfId="3851" xr:uid="{00000000-0005-0000-0000-0000FC100000}"/>
    <cellStyle name="Normal 2 2 157" xfId="3852" xr:uid="{00000000-0005-0000-0000-0000FD100000}"/>
    <cellStyle name="Normal 2 2 16" xfId="3853" xr:uid="{00000000-0005-0000-0000-0000FE100000}"/>
    <cellStyle name="Normal 2 2 16 2" xfId="3854" xr:uid="{00000000-0005-0000-0000-0000FF100000}"/>
    <cellStyle name="Normal 2 2 16 2 2" xfId="3855" xr:uid="{00000000-0005-0000-0000-000000110000}"/>
    <cellStyle name="Normal 2 2 16 2 3" xfId="9839" xr:uid="{00000000-0005-0000-0000-000001110000}"/>
    <cellStyle name="Normal 2 2 16 3" xfId="3856" xr:uid="{00000000-0005-0000-0000-000002110000}"/>
    <cellStyle name="Normal 2 2 16 4" xfId="9838" xr:uid="{00000000-0005-0000-0000-000003110000}"/>
    <cellStyle name="Normal 2 2 17" xfId="3857" xr:uid="{00000000-0005-0000-0000-000004110000}"/>
    <cellStyle name="Normal 2 2 17 2" xfId="3858" xr:uid="{00000000-0005-0000-0000-000005110000}"/>
    <cellStyle name="Normal 2 2 17 2 2" xfId="3859" xr:uid="{00000000-0005-0000-0000-000006110000}"/>
    <cellStyle name="Normal 2 2 17 2 3" xfId="9841" xr:uid="{00000000-0005-0000-0000-000007110000}"/>
    <cellStyle name="Normal 2 2 17 3" xfId="3860" xr:uid="{00000000-0005-0000-0000-000008110000}"/>
    <cellStyle name="Normal 2 2 17 4" xfId="9840" xr:uid="{00000000-0005-0000-0000-000009110000}"/>
    <cellStyle name="Normal 2 2 18" xfId="3861" xr:uid="{00000000-0005-0000-0000-00000A110000}"/>
    <cellStyle name="Normal 2 2 18 2" xfId="3862" xr:uid="{00000000-0005-0000-0000-00000B110000}"/>
    <cellStyle name="Normal 2 2 18 2 2" xfId="3863" xr:uid="{00000000-0005-0000-0000-00000C110000}"/>
    <cellStyle name="Normal 2 2 18 2 3" xfId="9843" xr:uid="{00000000-0005-0000-0000-00000D110000}"/>
    <cellStyle name="Normal 2 2 18 3" xfId="3864" xr:uid="{00000000-0005-0000-0000-00000E110000}"/>
    <cellStyle name="Normal 2 2 18 4" xfId="9842" xr:uid="{00000000-0005-0000-0000-00000F110000}"/>
    <cellStyle name="Normal 2 2 19" xfId="3865" xr:uid="{00000000-0005-0000-0000-000010110000}"/>
    <cellStyle name="Normal 2 2 19 2" xfId="3866" xr:uid="{00000000-0005-0000-0000-000011110000}"/>
    <cellStyle name="Normal 2 2 19 2 2" xfId="3867" xr:uid="{00000000-0005-0000-0000-000012110000}"/>
    <cellStyle name="Normal 2 2 19 2 3" xfId="9845" xr:uid="{00000000-0005-0000-0000-000013110000}"/>
    <cellStyle name="Normal 2 2 19 3" xfId="3868" xr:uid="{00000000-0005-0000-0000-000014110000}"/>
    <cellStyle name="Normal 2 2 19 4" xfId="9844" xr:uid="{00000000-0005-0000-0000-000015110000}"/>
    <cellStyle name="Normal 2 2 2" xfId="3869" xr:uid="{00000000-0005-0000-0000-000016110000}"/>
    <cellStyle name="Normal 2 2 2 10" xfId="3870" xr:uid="{00000000-0005-0000-0000-000017110000}"/>
    <cellStyle name="Normal 2 2 2 10 2" xfId="3871" xr:uid="{00000000-0005-0000-0000-000018110000}"/>
    <cellStyle name="Normal 2 2 2 10 3" xfId="3872" xr:uid="{00000000-0005-0000-0000-000019110000}"/>
    <cellStyle name="Normal 2 2 2 10 4" xfId="9846" xr:uid="{00000000-0005-0000-0000-00001A110000}"/>
    <cellStyle name="Normal 2 2 2 100" xfId="3873" xr:uid="{00000000-0005-0000-0000-00001B110000}"/>
    <cellStyle name="Normal 2 2 2 101" xfId="3874" xr:uid="{00000000-0005-0000-0000-00001C110000}"/>
    <cellStyle name="Normal 2 2 2 102" xfId="3875" xr:uid="{00000000-0005-0000-0000-00001D110000}"/>
    <cellStyle name="Normal 2 2 2 103" xfId="3876" xr:uid="{00000000-0005-0000-0000-00001E110000}"/>
    <cellStyle name="Normal 2 2 2 104" xfId="3877" xr:uid="{00000000-0005-0000-0000-00001F110000}"/>
    <cellStyle name="Normal 2 2 2 105" xfId="3878" xr:uid="{00000000-0005-0000-0000-000020110000}"/>
    <cellStyle name="Normal 2 2 2 106" xfId="3879" xr:uid="{00000000-0005-0000-0000-000021110000}"/>
    <cellStyle name="Normal 2 2 2 107" xfId="3880" xr:uid="{00000000-0005-0000-0000-000022110000}"/>
    <cellStyle name="Normal 2 2 2 108" xfId="3881" xr:uid="{00000000-0005-0000-0000-000023110000}"/>
    <cellStyle name="Normal 2 2 2 109" xfId="3882" xr:uid="{00000000-0005-0000-0000-000024110000}"/>
    <cellStyle name="Normal 2 2 2 11" xfId="3883" xr:uid="{00000000-0005-0000-0000-000025110000}"/>
    <cellStyle name="Normal 2 2 2 11 2" xfId="3884" xr:uid="{00000000-0005-0000-0000-000026110000}"/>
    <cellStyle name="Normal 2 2 2 110" xfId="3885" xr:uid="{00000000-0005-0000-0000-000027110000}"/>
    <cellStyle name="Normal 2 2 2 111" xfId="3886" xr:uid="{00000000-0005-0000-0000-000028110000}"/>
    <cellStyle name="Normal 2 2 2 112" xfId="3887" xr:uid="{00000000-0005-0000-0000-000029110000}"/>
    <cellStyle name="Normal 2 2 2 113" xfId="3888" xr:uid="{00000000-0005-0000-0000-00002A110000}"/>
    <cellStyle name="Normal 2 2 2 114" xfId="3889" xr:uid="{00000000-0005-0000-0000-00002B110000}"/>
    <cellStyle name="Normal 2 2 2 115" xfId="3890" xr:uid="{00000000-0005-0000-0000-00002C110000}"/>
    <cellStyle name="Normal 2 2 2 116" xfId="3891" xr:uid="{00000000-0005-0000-0000-00002D110000}"/>
    <cellStyle name="Normal 2 2 2 117" xfId="3892" xr:uid="{00000000-0005-0000-0000-00002E110000}"/>
    <cellStyle name="Normal 2 2 2 118" xfId="3893" xr:uid="{00000000-0005-0000-0000-00002F110000}"/>
    <cellStyle name="Normal 2 2 2 119" xfId="3894" xr:uid="{00000000-0005-0000-0000-000030110000}"/>
    <cellStyle name="Normal 2 2 2 12" xfId="3895" xr:uid="{00000000-0005-0000-0000-000031110000}"/>
    <cellStyle name="Normal 2 2 2 12 2" xfId="3896" xr:uid="{00000000-0005-0000-0000-000032110000}"/>
    <cellStyle name="Normal 2 2 2 120" xfId="3897" xr:uid="{00000000-0005-0000-0000-000033110000}"/>
    <cellStyle name="Normal 2 2 2 121" xfId="3898" xr:uid="{00000000-0005-0000-0000-000034110000}"/>
    <cellStyle name="Normal 2 2 2 122" xfId="3899" xr:uid="{00000000-0005-0000-0000-000035110000}"/>
    <cellStyle name="Normal 2 2 2 123" xfId="3900" xr:uid="{00000000-0005-0000-0000-000036110000}"/>
    <cellStyle name="Normal 2 2 2 124" xfId="3901" xr:uid="{00000000-0005-0000-0000-000037110000}"/>
    <cellStyle name="Normal 2 2 2 125" xfId="3902" xr:uid="{00000000-0005-0000-0000-000038110000}"/>
    <cellStyle name="Normal 2 2 2 126" xfId="3903" xr:uid="{00000000-0005-0000-0000-000039110000}"/>
    <cellStyle name="Normal 2 2 2 127" xfId="3904" xr:uid="{00000000-0005-0000-0000-00003A110000}"/>
    <cellStyle name="Normal 2 2 2 128" xfId="3905" xr:uid="{00000000-0005-0000-0000-00003B110000}"/>
    <cellStyle name="Normal 2 2 2 129" xfId="3906" xr:uid="{00000000-0005-0000-0000-00003C110000}"/>
    <cellStyle name="Normal 2 2 2 13" xfId="3907" xr:uid="{00000000-0005-0000-0000-00003D110000}"/>
    <cellStyle name="Normal 2 2 2 13 2" xfId="3908" xr:uid="{00000000-0005-0000-0000-00003E110000}"/>
    <cellStyle name="Normal 2 2 2 130" xfId="3909" xr:uid="{00000000-0005-0000-0000-00003F110000}"/>
    <cellStyle name="Normal 2 2 2 131" xfId="3910" xr:uid="{00000000-0005-0000-0000-000040110000}"/>
    <cellStyle name="Normal 2 2 2 132" xfId="3911" xr:uid="{00000000-0005-0000-0000-000041110000}"/>
    <cellStyle name="Normal 2 2 2 133" xfId="3912" xr:uid="{00000000-0005-0000-0000-000042110000}"/>
    <cellStyle name="Normal 2 2 2 134" xfId="3913" xr:uid="{00000000-0005-0000-0000-000043110000}"/>
    <cellStyle name="Normal 2 2 2 135" xfId="3914" xr:uid="{00000000-0005-0000-0000-000044110000}"/>
    <cellStyle name="Normal 2 2 2 136" xfId="3915" xr:uid="{00000000-0005-0000-0000-000045110000}"/>
    <cellStyle name="Normal 2 2 2 137" xfId="3916" xr:uid="{00000000-0005-0000-0000-000046110000}"/>
    <cellStyle name="Normal 2 2 2 138" xfId="3917" xr:uid="{00000000-0005-0000-0000-000047110000}"/>
    <cellStyle name="Normal 2 2 2 139" xfId="3918" xr:uid="{00000000-0005-0000-0000-000048110000}"/>
    <cellStyle name="Normal 2 2 2 14" xfId="3919" xr:uid="{00000000-0005-0000-0000-000049110000}"/>
    <cellStyle name="Normal 2 2 2 14 2" xfId="3920" xr:uid="{00000000-0005-0000-0000-00004A110000}"/>
    <cellStyle name="Normal 2 2 2 140" xfId="3921" xr:uid="{00000000-0005-0000-0000-00004B110000}"/>
    <cellStyle name="Normal 2 2 2 141" xfId="3922" xr:uid="{00000000-0005-0000-0000-00004C110000}"/>
    <cellStyle name="Normal 2 2 2 142" xfId="3923" xr:uid="{00000000-0005-0000-0000-00004D110000}"/>
    <cellStyle name="Normal 2 2 2 143" xfId="3924" xr:uid="{00000000-0005-0000-0000-00004E110000}"/>
    <cellStyle name="Normal 2 2 2 144" xfId="3925" xr:uid="{00000000-0005-0000-0000-00004F110000}"/>
    <cellStyle name="Normal 2 2 2 145" xfId="3926" xr:uid="{00000000-0005-0000-0000-000050110000}"/>
    <cellStyle name="Normal 2 2 2 146" xfId="3927" xr:uid="{00000000-0005-0000-0000-000051110000}"/>
    <cellStyle name="Normal 2 2 2 147" xfId="3928" xr:uid="{00000000-0005-0000-0000-000052110000}"/>
    <cellStyle name="Normal 2 2 2 147 2" xfId="3929" xr:uid="{00000000-0005-0000-0000-000053110000}"/>
    <cellStyle name="Normal 2 2 2 147 3" xfId="9847" xr:uid="{00000000-0005-0000-0000-000054110000}"/>
    <cellStyle name="Normal 2 2 2 148" xfId="3930" xr:uid="{00000000-0005-0000-0000-000055110000}"/>
    <cellStyle name="Normal 2 2 2 148 2" xfId="3931" xr:uid="{00000000-0005-0000-0000-000056110000}"/>
    <cellStyle name="Normal 2 2 2 148 3" xfId="9848" xr:uid="{00000000-0005-0000-0000-000057110000}"/>
    <cellStyle name="Normal 2 2 2 149" xfId="3932" xr:uid="{00000000-0005-0000-0000-000058110000}"/>
    <cellStyle name="Normal 2 2 2 149 2" xfId="3933" xr:uid="{00000000-0005-0000-0000-000059110000}"/>
    <cellStyle name="Normal 2 2 2 149 3" xfId="9849" xr:uid="{00000000-0005-0000-0000-00005A110000}"/>
    <cellStyle name="Normal 2 2 2 15" xfId="3934" xr:uid="{00000000-0005-0000-0000-00005B110000}"/>
    <cellStyle name="Normal 2 2 2 15 2" xfId="3935" xr:uid="{00000000-0005-0000-0000-00005C110000}"/>
    <cellStyle name="Normal 2 2 2 150" xfId="3936" xr:uid="{00000000-0005-0000-0000-00005D110000}"/>
    <cellStyle name="Normal 2 2 2 151" xfId="3937" xr:uid="{00000000-0005-0000-0000-00005E110000}"/>
    <cellStyle name="Normal 2 2 2 152" xfId="3938" xr:uid="{00000000-0005-0000-0000-00005F110000}"/>
    <cellStyle name="Normal 2 2 2 153" xfId="9415" xr:uid="{00000000-0005-0000-0000-000060110000}"/>
    <cellStyle name="Normal 2 2 2 16" xfId="3939" xr:uid="{00000000-0005-0000-0000-000061110000}"/>
    <cellStyle name="Normal 2 2 2 16 2" xfId="3940" xr:uid="{00000000-0005-0000-0000-000062110000}"/>
    <cellStyle name="Normal 2 2 2 17" xfId="3941" xr:uid="{00000000-0005-0000-0000-000063110000}"/>
    <cellStyle name="Normal 2 2 2 17 2" xfId="3942" xr:uid="{00000000-0005-0000-0000-000064110000}"/>
    <cellStyle name="Normal 2 2 2 18" xfId="3943" xr:uid="{00000000-0005-0000-0000-000065110000}"/>
    <cellStyle name="Normal 2 2 2 18 2" xfId="3944" xr:uid="{00000000-0005-0000-0000-000066110000}"/>
    <cellStyle name="Normal 2 2 2 19" xfId="3945" xr:uid="{00000000-0005-0000-0000-000067110000}"/>
    <cellStyle name="Normal 2 2 2 19 2" xfId="3946" xr:uid="{00000000-0005-0000-0000-000068110000}"/>
    <cellStyle name="Normal 2 2 2 2" xfId="3947" xr:uid="{00000000-0005-0000-0000-000069110000}"/>
    <cellStyle name="Normal 2 2 2 2 10" xfId="3948" xr:uid="{00000000-0005-0000-0000-00006A110000}"/>
    <cellStyle name="Normal 2 2 2 2 10 2" xfId="3949" xr:uid="{00000000-0005-0000-0000-00006B110000}"/>
    <cellStyle name="Normal 2 2 2 2 10 2 2" xfId="3950" xr:uid="{00000000-0005-0000-0000-00006C110000}"/>
    <cellStyle name="Normal 2 2 2 2 10 2 3" xfId="9852" xr:uid="{00000000-0005-0000-0000-00006D110000}"/>
    <cellStyle name="Normal 2 2 2 2 10 3" xfId="3951" xr:uid="{00000000-0005-0000-0000-00006E110000}"/>
    <cellStyle name="Normal 2 2 2 2 10 4" xfId="9851" xr:uid="{00000000-0005-0000-0000-00006F110000}"/>
    <cellStyle name="Normal 2 2 2 2 100" xfId="3952" xr:uid="{00000000-0005-0000-0000-000070110000}"/>
    <cellStyle name="Normal 2 2 2 2 100 2" xfId="3953" xr:uid="{00000000-0005-0000-0000-000071110000}"/>
    <cellStyle name="Normal 2 2 2 2 100 3" xfId="9853" xr:uid="{00000000-0005-0000-0000-000072110000}"/>
    <cellStyle name="Normal 2 2 2 2 101" xfId="3954" xr:uid="{00000000-0005-0000-0000-000073110000}"/>
    <cellStyle name="Normal 2 2 2 2 101 2" xfId="3955" xr:uid="{00000000-0005-0000-0000-000074110000}"/>
    <cellStyle name="Normal 2 2 2 2 101 3" xfId="9854" xr:uid="{00000000-0005-0000-0000-000075110000}"/>
    <cellStyle name="Normal 2 2 2 2 102" xfId="3956" xr:uid="{00000000-0005-0000-0000-000076110000}"/>
    <cellStyle name="Normal 2 2 2 2 102 2" xfId="3957" xr:uid="{00000000-0005-0000-0000-000077110000}"/>
    <cellStyle name="Normal 2 2 2 2 102 3" xfId="9855" xr:uid="{00000000-0005-0000-0000-000078110000}"/>
    <cellStyle name="Normal 2 2 2 2 103" xfId="3958" xr:uid="{00000000-0005-0000-0000-000079110000}"/>
    <cellStyle name="Normal 2 2 2 2 103 2" xfId="3959" xr:uid="{00000000-0005-0000-0000-00007A110000}"/>
    <cellStyle name="Normal 2 2 2 2 103 3" xfId="9856" xr:uid="{00000000-0005-0000-0000-00007B110000}"/>
    <cellStyle name="Normal 2 2 2 2 104" xfId="3960" xr:uid="{00000000-0005-0000-0000-00007C110000}"/>
    <cellStyle name="Normal 2 2 2 2 104 2" xfId="3961" xr:uid="{00000000-0005-0000-0000-00007D110000}"/>
    <cellStyle name="Normal 2 2 2 2 104 3" xfId="9857" xr:uid="{00000000-0005-0000-0000-00007E110000}"/>
    <cellStyle name="Normal 2 2 2 2 105" xfId="3962" xr:uid="{00000000-0005-0000-0000-00007F110000}"/>
    <cellStyle name="Normal 2 2 2 2 105 2" xfId="3963" xr:uid="{00000000-0005-0000-0000-000080110000}"/>
    <cellStyle name="Normal 2 2 2 2 105 3" xfId="9858" xr:uid="{00000000-0005-0000-0000-000081110000}"/>
    <cellStyle name="Normal 2 2 2 2 106" xfId="3964" xr:uid="{00000000-0005-0000-0000-000082110000}"/>
    <cellStyle name="Normal 2 2 2 2 106 2" xfId="3965" xr:uid="{00000000-0005-0000-0000-000083110000}"/>
    <cellStyle name="Normal 2 2 2 2 106 3" xfId="9859" xr:uid="{00000000-0005-0000-0000-000084110000}"/>
    <cellStyle name="Normal 2 2 2 2 107" xfId="3966" xr:uid="{00000000-0005-0000-0000-000085110000}"/>
    <cellStyle name="Normal 2 2 2 2 107 2" xfId="3967" xr:uid="{00000000-0005-0000-0000-000086110000}"/>
    <cellStyle name="Normal 2 2 2 2 107 3" xfId="9860" xr:uid="{00000000-0005-0000-0000-000087110000}"/>
    <cellStyle name="Normal 2 2 2 2 108" xfId="3968" xr:uid="{00000000-0005-0000-0000-000088110000}"/>
    <cellStyle name="Normal 2 2 2 2 108 2" xfId="3969" xr:uid="{00000000-0005-0000-0000-000089110000}"/>
    <cellStyle name="Normal 2 2 2 2 108 3" xfId="9861" xr:uid="{00000000-0005-0000-0000-00008A110000}"/>
    <cellStyle name="Normal 2 2 2 2 109" xfId="3970" xr:uid="{00000000-0005-0000-0000-00008B110000}"/>
    <cellStyle name="Normal 2 2 2 2 109 2" xfId="3971" xr:uid="{00000000-0005-0000-0000-00008C110000}"/>
    <cellStyle name="Normal 2 2 2 2 109 3" xfId="9862" xr:uid="{00000000-0005-0000-0000-00008D110000}"/>
    <cellStyle name="Normal 2 2 2 2 11" xfId="3972" xr:uid="{00000000-0005-0000-0000-00008E110000}"/>
    <cellStyle name="Normal 2 2 2 2 11 2" xfId="3973" xr:uid="{00000000-0005-0000-0000-00008F110000}"/>
    <cellStyle name="Normal 2 2 2 2 11 2 2" xfId="3974" xr:uid="{00000000-0005-0000-0000-000090110000}"/>
    <cellStyle name="Normal 2 2 2 2 11 2 3" xfId="9864" xr:uid="{00000000-0005-0000-0000-000091110000}"/>
    <cellStyle name="Normal 2 2 2 2 11 3" xfId="3975" xr:uid="{00000000-0005-0000-0000-000092110000}"/>
    <cellStyle name="Normal 2 2 2 2 11 4" xfId="9863" xr:uid="{00000000-0005-0000-0000-000093110000}"/>
    <cellStyle name="Normal 2 2 2 2 110" xfId="3976" xr:uid="{00000000-0005-0000-0000-000094110000}"/>
    <cellStyle name="Normal 2 2 2 2 110 2" xfId="3977" xr:uid="{00000000-0005-0000-0000-000095110000}"/>
    <cellStyle name="Normal 2 2 2 2 110 3" xfId="9865" xr:uid="{00000000-0005-0000-0000-000096110000}"/>
    <cellStyle name="Normal 2 2 2 2 111" xfId="3978" xr:uid="{00000000-0005-0000-0000-000097110000}"/>
    <cellStyle name="Normal 2 2 2 2 111 2" xfId="3979" xr:uid="{00000000-0005-0000-0000-000098110000}"/>
    <cellStyle name="Normal 2 2 2 2 111 3" xfId="9866" xr:uid="{00000000-0005-0000-0000-000099110000}"/>
    <cellStyle name="Normal 2 2 2 2 112" xfId="3980" xr:uid="{00000000-0005-0000-0000-00009A110000}"/>
    <cellStyle name="Normal 2 2 2 2 112 2" xfId="3981" xr:uid="{00000000-0005-0000-0000-00009B110000}"/>
    <cellStyle name="Normal 2 2 2 2 112 3" xfId="9867" xr:uid="{00000000-0005-0000-0000-00009C110000}"/>
    <cellStyle name="Normal 2 2 2 2 113" xfId="3982" xr:uid="{00000000-0005-0000-0000-00009D110000}"/>
    <cellStyle name="Normal 2 2 2 2 113 2" xfId="3983" xr:uid="{00000000-0005-0000-0000-00009E110000}"/>
    <cellStyle name="Normal 2 2 2 2 113 3" xfId="9868" xr:uid="{00000000-0005-0000-0000-00009F110000}"/>
    <cellStyle name="Normal 2 2 2 2 114" xfId="3984" xr:uid="{00000000-0005-0000-0000-0000A0110000}"/>
    <cellStyle name="Normal 2 2 2 2 114 2" xfId="3985" xr:uid="{00000000-0005-0000-0000-0000A1110000}"/>
    <cellStyle name="Normal 2 2 2 2 114 3" xfId="9869" xr:uid="{00000000-0005-0000-0000-0000A2110000}"/>
    <cellStyle name="Normal 2 2 2 2 115" xfId="3986" xr:uid="{00000000-0005-0000-0000-0000A3110000}"/>
    <cellStyle name="Normal 2 2 2 2 115 2" xfId="3987" xr:uid="{00000000-0005-0000-0000-0000A4110000}"/>
    <cellStyle name="Normal 2 2 2 2 115 3" xfId="9870" xr:uid="{00000000-0005-0000-0000-0000A5110000}"/>
    <cellStyle name="Normal 2 2 2 2 116" xfId="3988" xr:uid="{00000000-0005-0000-0000-0000A6110000}"/>
    <cellStyle name="Normal 2 2 2 2 116 2" xfId="3989" xr:uid="{00000000-0005-0000-0000-0000A7110000}"/>
    <cellStyle name="Normal 2 2 2 2 116 3" xfId="9871" xr:uid="{00000000-0005-0000-0000-0000A8110000}"/>
    <cellStyle name="Normal 2 2 2 2 117" xfId="3990" xr:uid="{00000000-0005-0000-0000-0000A9110000}"/>
    <cellStyle name="Normal 2 2 2 2 117 2" xfId="3991" xr:uid="{00000000-0005-0000-0000-0000AA110000}"/>
    <cellStyle name="Normal 2 2 2 2 117 3" xfId="9872" xr:uid="{00000000-0005-0000-0000-0000AB110000}"/>
    <cellStyle name="Normal 2 2 2 2 118" xfId="3992" xr:uid="{00000000-0005-0000-0000-0000AC110000}"/>
    <cellStyle name="Normal 2 2 2 2 118 2" xfId="3993" xr:uid="{00000000-0005-0000-0000-0000AD110000}"/>
    <cellStyle name="Normal 2 2 2 2 118 3" xfId="9873" xr:uid="{00000000-0005-0000-0000-0000AE110000}"/>
    <cellStyle name="Normal 2 2 2 2 119" xfId="3994" xr:uid="{00000000-0005-0000-0000-0000AF110000}"/>
    <cellStyle name="Normal 2 2 2 2 119 2" xfId="3995" xr:uid="{00000000-0005-0000-0000-0000B0110000}"/>
    <cellStyle name="Normal 2 2 2 2 119 3" xfId="9874" xr:uid="{00000000-0005-0000-0000-0000B1110000}"/>
    <cellStyle name="Normal 2 2 2 2 12" xfId="3996" xr:uid="{00000000-0005-0000-0000-0000B2110000}"/>
    <cellStyle name="Normal 2 2 2 2 12 2" xfId="3997" xr:uid="{00000000-0005-0000-0000-0000B3110000}"/>
    <cellStyle name="Normal 2 2 2 2 12 2 2" xfId="3998" xr:uid="{00000000-0005-0000-0000-0000B4110000}"/>
    <cellStyle name="Normal 2 2 2 2 12 2 3" xfId="9876" xr:uid="{00000000-0005-0000-0000-0000B5110000}"/>
    <cellStyle name="Normal 2 2 2 2 12 3" xfId="3999" xr:uid="{00000000-0005-0000-0000-0000B6110000}"/>
    <cellStyle name="Normal 2 2 2 2 12 4" xfId="9875" xr:uid="{00000000-0005-0000-0000-0000B7110000}"/>
    <cellStyle name="Normal 2 2 2 2 120" xfId="4000" xr:uid="{00000000-0005-0000-0000-0000B8110000}"/>
    <cellStyle name="Normal 2 2 2 2 120 2" xfId="4001" xr:uid="{00000000-0005-0000-0000-0000B9110000}"/>
    <cellStyle name="Normal 2 2 2 2 120 3" xfId="9877" xr:uid="{00000000-0005-0000-0000-0000BA110000}"/>
    <cellStyle name="Normal 2 2 2 2 121" xfId="4002" xr:uid="{00000000-0005-0000-0000-0000BB110000}"/>
    <cellStyle name="Normal 2 2 2 2 121 2" xfId="4003" xr:uid="{00000000-0005-0000-0000-0000BC110000}"/>
    <cellStyle name="Normal 2 2 2 2 121 3" xfId="9878" xr:uid="{00000000-0005-0000-0000-0000BD110000}"/>
    <cellStyle name="Normal 2 2 2 2 122" xfId="4004" xr:uid="{00000000-0005-0000-0000-0000BE110000}"/>
    <cellStyle name="Normal 2 2 2 2 122 2" xfId="4005" xr:uid="{00000000-0005-0000-0000-0000BF110000}"/>
    <cellStyle name="Normal 2 2 2 2 122 3" xfId="9879" xr:uid="{00000000-0005-0000-0000-0000C0110000}"/>
    <cellStyle name="Normal 2 2 2 2 123" xfId="4006" xr:uid="{00000000-0005-0000-0000-0000C1110000}"/>
    <cellStyle name="Normal 2 2 2 2 123 2" xfId="4007" xr:uid="{00000000-0005-0000-0000-0000C2110000}"/>
    <cellStyle name="Normal 2 2 2 2 123 3" xfId="9880" xr:uid="{00000000-0005-0000-0000-0000C3110000}"/>
    <cellStyle name="Normal 2 2 2 2 124" xfId="4008" xr:uid="{00000000-0005-0000-0000-0000C4110000}"/>
    <cellStyle name="Normal 2 2 2 2 124 2" xfId="4009" xr:uid="{00000000-0005-0000-0000-0000C5110000}"/>
    <cellStyle name="Normal 2 2 2 2 124 3" xfId="9881" xr:uid="{00000000-0005-0000-0000-0000C6110000}"/>
    <cellStyle name="Normal 2 2 2 2 125" xfId="4010" xr:uid="{00000000-0005-0000-0000-0000C7110000}"/>
    <cellStyle name="Normal 2 2 2 2 125 2" xfId="4011" xr:uid="{00000000-0005-0000-0000-0000C8110000}"/>
    <cellStyle name="Normal 2 2 2 2 125 3" xfId="9882" xr:uid="{00000000-0005-0000-0000-0000C9110000}"/>
    <cellStyle name="Normal 2 2 2 2 126" xfId="4012" xr:uid="{00000000-0005-0000-0000-0000CA110000}"/>
    <cellStyle name="Normal 2 2 2 2 126 2" xfId="4013" xr:uid="{00000000-0005-0000-0000-0000CB110000}"/>
    <cellStyle name="Normal 2 2 2 2 126 3" xfId="9883" xr:uid="{00000000-0005-0000-0000-0000CC110000}"/>
    <cellStyle name="Normal 2 2 2 2 127" xfId="4014" xr:uid="{00000000-0005-0000-0000-0000CD110000}"/>
    <cellStyle name="Normal 2 2 2 2 127 2" xfId="4015" xr:uid="{00000000-0005-0000-0000-0000CE110000}"/>
    <cellStyle name="Normal 2 2 2 2 127 3" xfId="9884" xr:uid="{00000000-0005-0000-0000-0000CF110000}"/>
    <cellStyle name="Normal 2 2 2 2 128" xfId="4016" xr:uid="{00000000-0005-0000-0000-0000D0110000}"/>
    <cellStyle name="Normal 2 2 2 2 128 2" xfId="4017" xr:uid="{00000000-0005-0000-0000-0000D1110000}"/>
    <cellStyle name="Normal 2 2 2 2 128 3" xfId="9885" xr:uid="{00000000-0005-0000-0000-0000D2110000}"/>
    <cellStyle name="Normal 2 2 2 2 129" xfId="4018" xr:uid="{00000000-0005-0000-0000-0000D3110000}"/>
    <cellStyle name="Normal 2 2 2 2 129 2" xfId="4019" xr:uid="{00000000-0005-0000-0000-0000D4110000}"/>
    <cellStyle name="Normal 2 2 2 2 129 3" xfId="9886" xr:uid="{00000000-0005-0000-0000-0000D5110000}"/>
    <cellStyle name="Normal 2 2 2 2 13" xfId="4020" xr:uid="{00000000-0005-0000-0000-0000D6110000}"/>
    <cellStyle name="Normal 2 2 2 2 13 2" xfId="4021" xr:uid="{00000000-0005-0000-0000-0000D7110000}"/>
    <cellStyle name="Normal 2 2 2 2 13 2 2" xfId="4022" xr:uid="{00000000-0005-0000-0000-0000D8110000}"/>
    <cellStyle name="Normal 2 2 2 2 13 2 3" xfId="9888" xr:uid="{00000000-0005-0000-0000-0000D9110000}"/>
    <cellStyle name="Normal 2 2 2 2 13 3" xfId="4023" xr:uid="{00000000-0005-0000-0000-0000DA110000}"/>
    <cellStyle name="Normal 2 2 2 2 13 4" xfId="9887" xr:uid="{00000000-0005-0000-0000-0000DB110000}"/>
    <cellStyle name="Normal 2 2 2 2 130" xfId="4024" xr:uid="{00000000-0005-0000-0000-0000DC110000}"/>
    <cellStyle name="Normal 2 2 2 2 130 2" xfId="4025" xr:uid="{00000000-0005-0000-0000-0000DD110000}"/>
    <cellStyle name="Normal 2 2 2 2 130 3" xfId="9889" xr:uid="{00000000-0005-0000-0000-0000DE110000}"/>
    <cellStyle name="Normal 2 2 2 2 131" xfId="4026" xr:uid="{00000000-0005-0000-0000-0000DF110000}"/>
    <cellStyle name="Normal 2 2 2 2 131 2" xfId="4027" xr:uid="{00000000-0005-0000-0000-0000E0110000}"/>
    <cellStyle name="Normal 2 2 2 2 131 3" xfId="9890" xr:uid="{00000000-0005-0000-0000-0000E1110000}"/>
    <cellStyle name="Normal 2 2 2 2 132" xfId="4028" xr:uid="{00000000-0005-0000-0000-0000E2110000}"/>
    <cellStyle name="Normal 2 2 2 2 132 2" xfId="4029" xr:uid="{00000000-0005-0000-0000-0000E3110000}"/>
    <cellStyle name="Normal 2 2 2 2 132 3" xfId="9891" xr:uid="{00000000-0005-0000-0000-0000E4110000}"/>
    <cellStyle name="Normal 2 2 2 2 133" xfId="4030" xr:uid="{00000000-0005-0000-0000-0000E5110000}"/>
    <cellStyle name="Normal 2 2 2 2 133 2" xfId="4031" xr:uid="{00000000-0005-0000-0000-0000E6110000}"/>
    <cellStyle name="Normal 2 2 2 2 133 3" xfId="9892" xr:uid="{00000000-0005-0000-0000-0000E7110000}"/>
    <cellStyle name="Normal 2 2 2 2 134" xfId="4032" xr:uid="{00000000-0005-0000-0000-0000E8110000}"/>
    <cellStyle name="Normal 2 2 2 2 134 2" xfId="4033" xr:uid="{00000000-0005-0000-0000-0000E9110000}"/>
    <cellStyle name="Normal 2 2 2 2 134 3" xfId="9893" xr:uid="{00000000-0005-0000-0000-0000EA110000}"/>
    <cellStyle name="Normal 2 2 2 2 135" xfId="4034" xr:uid="{00000000-0005-0000-0000-0000EB110000}"/>
    <cellStyle name="Normal 2 2 2 2 135 2" xfId="4035" xr:uid="{00000000-0005-0000-0000-0000EC110000}"/>
    <cellStyle name="Normal 2 2 2 2 135 3" xfId="9894" xr:uid="{00000000-0005-0000-0000-0000ED110000}"/>
    <cellStyle name="Normal 2 2 2 2 136" xfId="4036" xr:uid="{00000000-0005-0000-0000-0000EE110000}"/>
    <cellStyle name="Normal 2 2 2 2 136 2" xfId="4037" xr:uid="{00000000-0005-0000-0000-0000EF110000}"/>
    <cellStyle name="Normal 2 2 2 2 136 3" xfId="9895" xr:uid="{00000000-0005-0000-0000-0000F0110000}"/>
    <cellStyle name="Normal 2 2 2 2 137" xfId="4038" xr:uid="{00000000-0005-0000-0000-0000F1110000}"/>
    <cellStyle name="Normal 2 2 2 2 137 2" xfId="4039" xr:uid="{00000000-0005-0000-0000-0000F2110000}"/>
    <cellStyle name="Normal 2 2 2 2 137 3" xfId="9896" xr:uid="{00000000-0005-0000-0000-0000F3110000}"/>
    <cellStyle name="Normal 2 2 2 2 138" xfId="4040" xr:uid="{00000000-0005-0000-0000-0000F4110000}"/>
    <cellStyle name="Normal 2 2 2 2 138 2" xfId="4041" xr:uid="{00000000-0005-0000-0000-0000F5110000}"/>
    <cellStyle name="Normal 2 2 2 2 138 3" xfId="9897" xr:uid="{00000000-0005-0000-0000-0000F6110000}"/>
    <cellStyle name="Normal 2 2 2 2 139" xfId="4042" xr:uid="{00000000-0005-0000-0000-0000F7110000}"/>
    <cellStyle name="Normal 2 2 2 2 139 2" xfId="4043" xr:uid="{00000000-0005-0000-0000-0000F8110000}"/>
    <cellStyle name="Normal 2 2 2 2 139 3" xfId="9898" xr:uid="{00000000-0005-0000-0000-0000F9110000}"/>
    <cellStyle name="Normal 2 2 2 2 14" xfId="4044" xr:uid="{00000000-0005-0000-0000-0000FA110000}"/>
    <cellStyle name="Normal 2 2 2 2 14 2" xfId="4045" xr:uid="{00000000-0005-0000-0000-0000FB110000}"/>
    <cellStyle name="Normal 2 2 2 2 14 2 2" xfId="4046" xr:uid="{00000000-0005-0000-0000-0000FC110000}"/>
    <cellStyle name="Normal 2 2 2 2 14 2 3" xfId="9900" xr:uid="{00000000-0005-0000-0000-0000FD110000}"/>
    <cellStyle name="Normal 2 2 2 2 14 3" xfId="4047" xr:uid="{00000000-0005-0000-0000-0000FE110000}"/>
    <cellStyle name="Normal 2 2 2 2 14 4" xfId="9899" xr:uid="{00000000-0005-0000-0000-0000FF110000}"/>
    <cellStyle name="Normal 2 2 2 2 140" xfId="4048" xr:uid="{00000000-0005-0000-0000-000000120000}"/>
    <cellStyle name="Normal 2 2 2 2 140 2" xfId="4049" xr:uid="{00000000-0005-0000-0000-000001120000}"/>
    <cellStyle name="Normal 2 2 2 2 140 3" xfId="9901" xr:uid="{00000000-0005-0000-0000-000002120000}"/>
    <cellStyle name="Normal 2 2 2 2 141" xfId="4050" xr:uid="{00000000-0005-0000-0000-000003120000}"/>
    <cellStyle name="Normal 2 2 2 2 141 2" xfId="4051" xr:uid="{00000000-0005-0000-0000-000004120000}"/>
    <cellStyle name="Normal 2 2 2 2 141 3" xfId="9902" xr:uid="{00000000-0005-0000-0000-000005120000}"/>
    <cellStyle name="Normal 2 2 2 2 142" xfId="4052" xr:uid="{00000000-0005-0000-0000-000006120000}"/>
    <cellStyle name="Normal 2 2 2 2 142 2" xfId="4053" xr:uid="{00000000-0005-0000-0000-000007120000}"/>
    <cellStyle name="Normal 2 2 2 2 142 3" xfId="9903" xr:uid="{00000000-0005-0000-0000-000008120000}"/>
    <cellStyle name="Normal 2 2 2 2 143" xfId="4054" xr:uid="{00000000-0005-0000-0000-000009120000}"/>
    <cellStyle name="Normal 2 2 2 2 143 2" xfId="4055" xr:uid="{00000000-0005-0000-0000-00000A120000}"/>
    <cellStyle name="Normal 2 2 2 2 143 3" xfId="9904" xr:uid="{00000000-0005-0000-0000-00000B120000}"/>
    <cellStyle name="Normal 2 2 2 2 144" xfId="4056" xr:uid="{00000000-0005-0000-0000-00000C120000}"/>
    <cellStyle name="Normal 2 2 2 2 144 2" xfId="9905" xr:uid="{00000000-0005-0000-0000-00000D120000}"/>
    <cellStyle name="Normal 2 2 2 2 145" xfId="4057" xr:uid="{00000000-0005-0000-0000-00000E120000}"/>
    <cellStyle name="Normal 2 2 2 2 145 2" xfId="11130" xr:uid="{00000000-0005-0000-0000-00000F120000}"/>
    <cellStyle name="Normal 2 2 2 2 146" xfId="4058" xr:uid="{00000000-0005-0000-0000-000010120000}"/>
    <cellStyle name="Normal 2 2 2 2 147" xfId="4059" xr:uid="{00000000-0005-0000-0000-000011120000}"/>
    <cellStyle name="Normal 2 2 2 2 148" xfId="9850" xr:uid="{00000000-0005-0000-0000-000012120000}"/>
    <cellStyle name="Normal 2 2 2 2 15" xfId="4060" xr:uid="{00000000-0005-0000-0000-000013120000}"/>
    <cellStyle name="Normal 2 2 2 2 15 2" xfId="4061" xr:uid="{00000000-0005-0000-0000-000014120000}"/>
    <cellStyle name="Normal 2 2 2 2 15 2 2" xfId="4062" xr:uid="{00000000-0005-0000-0000-000015120000}"/>
    <cellStyle name="Normal 2 2 2 2 15 2 3" xfId="9907" xr:uid="{00000000-0005-0000-0000-000016120000}"/>
    <cellStyle name="Normal 2 2 2 2 15 3" xfId="4063" xr:uid="{00000000-0005-0000-0000-000017120000}"/>
    <cellStyle name="Normal 2 2 2 2 15 4" xfId="9906" xr:uid="{00000000-0005-0000-0000-000018120000}"/>
    <cellStyle name="Normal 2 2 2 2 16" xfId="4064" xr:uid="{00000000-0005-0000-0000-000019120000}"/>
    <cellStyle name="Normal 2 2 2 2 16 2" xfId="4065" xr:uid="{00000000-0005-0000-0000-00001A120000}"/>
    <cellStyle name="Normal 2 2 2 2 16 2 2" xfId="4066" xr:uid="{00000000-0005-0000-0000-00001B120000}"/>
    <cellStyle name="Normal 2 2 2 2 16 2 3" xfId="9909" xr:uid="{00000000-0005-0000-0000-00001C120000}"/>
    <cellStyle name="Normal 2 2 2 2 16 3" xfId="4067" xr:uid="{00000000-0005-0000-0000-00001D120000}"/>
    <cellStyle name="Normal 2 2 2 2 16 4" xfId="9908" xr:uid="{00000000-0005-0000-0000-00001E120000}"/>
    <cellStyle name="Normal 2 2 2 2 17" xfId="4068" xr:uid="{00000000-0005-0000-0000-00001F120000}"/>
    <cellStyle name="Normal 2 2 2 2 17 2" xfId="4069" xr:uid="{00000000-0005-0000-0000-000020120000}"/>
    <cellStyle name="Normal 2 2 2 2 17 2 2" xfId="4070" xr:uid="{00000000-0005-0000-0000-000021120000}"/>
    <cellStyle name="Normal 2 2 2 2 17 2 3" xfId="9911" xr:uid="{00000000-0005-0000-0000-000022120000}"/>
    <cellStyle name="Normal 2 2 2 2 17 3" xfId="4071" xr:uid="{00000000-0005-0000-0000-000023120000}"/>
    <cellStyle name="Normal 2 2 2 2 17 4" xfId="9910" xr:uid="{00000000-0005-0000-0000-000024120000}"/>
    <cellStyle name="Normal 2 2 2 2 18" xfId="4072" xr:uid="{00000000-0005-0000-0000-000025120000}"/>
    <cellStyle name="Normal 2 2 2 2 18 2" xfId="4073" xr:uid="{00000000-0005-0000-0000-000026120000}"/>
    <cellStyle name="Normal 2 2 2 2 18 2 2" xfId="4074" xr:uid="{00000000-0005-0000-0000-000027120000}"/>
    <cellStyle name="Normal 2 2 2 2 18 2 3" xfId="9913" xr:uid="{00000000-0005-0000-0000-000028120000}"/>
    <cellStyle name="Normal 2 2 2 2 18 3" xfId="4075" xr:uid="{00000000-0005-0000-0000-000029120000}"/>
    <cellStyle name="Normal 2 2 2 2 18 4" xfId="9912" xr:uid="{00000000-0005-0000-0000-00002A120000}"/>
    <cellStyle name="Normal 2 2 2 2 19" xfId="4076" xr:uid="{00000000-0005-0000-0000-00002B120000}"/>
    <cellStyle name="Normal 2 2 2 2 19 2" xfId="4077" xr:uid="{00000000-0005-0000-0000-00002C120000}"/>
    <cellStyle name="Normal 2 2 2 2 19 2 2" xfId="4078" xr:uid="{00000000-0005-0000-0000-00002D120000}"/>
    <cellStyle name="Normal 2 2 2 2 19 2 3" xfId="9915" xr:uid="{00000000-0005-0000-0000-00002E120000}"/>
    <cellStyle name="Normal 2 2 2 2 19 3" xfId="4079" xr:uid="{00000000-0005-0000-0000-00002F120000}"/>
    <cellStyle name="Normal 2 2 2 2 19 4" xfId="9914" xr:uid="{00000000-0005-0000-0000-000030120000}"/>
    <cellStyle name="Normal 2 2 2 2 2" xfId="4080" xr:uid="{00000000-0005-0000-0000-000031120000}"/>
    <cellStyle name="Normal 2 2 2 2 2 2" xfId="4081" xr:uid="{00000000-0005-0000-0000-000032120000}"/>
    <cellStyle name="Normal 2 2 2 2 2 2 2" xfId="4082" xr:uid="{00000000-0005-0000-0000-000033120000}"/>
    <cellStyle name="Normal 2 2 2 2 2 2 3" xfId="4083" xr:uid="{00000000-0005-0000-0000-000034120000}"/>
    <cellStyle name="Normal 2 2 2 2 2 2 4" xfId="9917" xr:uid="{00000000-0005-0000-0000-000035120000}"/>
    <cellStyle name="Normal 2 2 2 2 2 3" xfId="4084" xr:uid="{00000000-0005-0000-0000-000036120000}"/>
    <cellStyle name="Normal 2 2 2 2 2 3 2" xfId="4085" xr:uid="{00000000-0005-0000-0000-000037120000}"/>
    <cellStyle name="Normal 2 2 2 2 2 3 3" xfId="9918" xr:uid="{00000000-0005-0000-0000-000038120000}"/>
    <cellStyle name="Normal 2 2 2 2 2 4" xfId="4086" xr:uid="{00000000-0005-0000-0000-000039120000}"/>
    <cellStyle name="Normal 2 2 2 2 2 4 2" xfId="9919" xr:uid="{00000000-0005-0000-0000-00003A120000}"/>
    <cellStyle name="Normal 2 2 2 2 2 5" xfId="4087" xr:uid="{00000000-0005-0000-0000-00003B120000}"/>
    <cellStyle name="Normal 2 2 2 2 2 5 2" xfId="11131" xr:uid="{00000000-0005-0000-0000-00003C120000}"/>
    <cellStyle name="Normal 2 2 2 2 2 6" xfId="4088" xr:uid="{00000000-0005-0000-0000-00003D120000}"/>
    <cellStyle name="Normal 2 2 2 2 2 7" xfId="4089" xr:uid="{00000000-0005-0000-0000-00003E120000}"/>
    <cellStyle name="Normal 2 2 2 2 2 8" xfId="9916" xr:uid="{00000000-0005-0000-0000-00003F120000}"/>
    <cellStyle name="Normal 2 2 2 2 20" xfId="4090" xr:uid="{00000000-0005-0000-0000-000040120000}"/>
    <cellStyle name="Normal 2 2 2 2 20 2" xfId="4091" xr:uid="{00000000-0005-0000-0000-000041120000}"/>
    <cellStyle name="Normal 2 2 2 2 20 2 2" xfId="4092" xr:uid="{00000000-0005-0000-0000-000042120000}"/>
    <cellStyle name="Normal 2 2 2 2 20 2 3" xfId="9921" xr:uid="{00000000-0005-0000-0000-000043120000}"/>
    <cellStyle name="Normal 2 2 2 2 20 3" xfId="4093" xr:uid="{00000000-0005-0000-0000-000044120000}"/>
    <cellStyle name="Normal 2 2 2 2 20 4" xfId="9920" xr:uid="{00000000-0005-0000-0000-000045120000}"/>
    <cellStyle name="Normal 2 2 2 2 21" xfId="4094" xr:uid="{00000000-0005-0000-0000-000046120000}"/>
    <cellStyle name="Normal 2 2 2 2 21 2" xfId="4095" xr:uid="{00000000-0005-0000-0000-000047120000}"/>
    <cellStyle name="Normal 2 2 2 2 21 2 2" xfId="4096" xr:uid="{00000000-0005-0000-0000-000048120000}"/>
    <cellStyle name="Normal 2 2 2 2 21 2 3" xfId="9923" xr:uid="{00000000-0005-0000-0000-000049120000}"/>
    <cellStyle name="Normal 2 2 2 2 21 3" xfId="4097" xr:uid="{00000000-0005-0000-0000-00004A120000}"/>
    <cellStyle name="Normal 2 2 2 2 21 4" xfId="9922" xr:uid="{00000000-0005-0000-0000-00004B120000}"/>
    <cellStyle name="Normal 2 2 2 2 22" xfId="4098" xr:uid="{00000000-0005-0000-0000-00004C120000}"/>
    <cellStyle name="Normal 2 2 2 2 22 2" xfId="4099" xr:uid="{00000000-0005-0000-0000-00004D120000}"/>
    <cellStyle name="Normal 2 2 2 2 22 2 2" xfId="4100" xr:uid="{00000000-0005-0000-0000-00004E120000}"/>
    <cellStyle name="Normal 2 2 2 2 22 2 3" xfId="9925" xr:uid="{00000000-0005-0000-0000-00004F120000}"/>
    <cellStyle name="Normal 2 2 2 2 22 3" xfId="4101" xr:uid="{00000000-0005-0000-0000-000050120000}"/>
    <cellStyle name="Normal 2 2 2 2 22 4" xfId="9924" xr:uid="{00000000-0005-0000-0000-000051120000}"/>
    <cellStyle name="Normal 2 2 2 2 23" xfId="4102" xr:uid="{00000000-0005-0000-0000-000052120000}"/>
    <cellStyle name="Normal 2 2 2 2 23 2" xfId="4103" xr:uid="{00000000-0005-0000-0000-000053120000}"/>
    <cellStyle name="Normal 2 2 2 2 23 2 2" xfId="4104" xr:uid="{00000000-0005-0000-0000-000054120000}"/>
    <cellStyle name="Normal 2 2 2 2 23 2 3" xfId="9927" xr:uid="{00000000-0005-0000-0000-000055120000}"/>
    <cellStyle name="Normal 2 2 2 2 23 3" xfId="4105" xr:uid="{00000000-0005-0000-0000-000056120000}"/>
    <cellStyle name="Normal 2 2 2 2 23 4" xfId="9926" xr:uid="{00000000-0005-0000-0000-000057120000}"/>
    <cellStyle name="Normal 2 2 2 2 24" xfId="4106" xr:uid="{00000000-0005-0000-0000-000058120000}"/>
    <cellStyle name="Normal 2 2 2 2 24 2" xfId="4107" xr:uid="{00000000-0005-0000-0000-000059120000}"/>
    <cellStyle name="Normal 2 2 2 2 24 2 2" xfId="4108" xr:uid="{00000000-0005-0000-0000-00005A120000}"/>
    <cellStyle name="Normal 2 2 2 2 24 2 3" xfId="9929" xr:uid="{00000000-0005-0000-0000-00005B120000}"/>
    <cellStyle name="Normal 2 2 2 2 24 3" xfId="4109" xr:uid="{00000000-0005-0000-0000-00005C120000}"/>
    <cellStyle name="Normal 2 2 2 2 24 4" xfId="9928" xr:uid="{00000000-0005-0000-0000-00005D120000}"/>
    <cellStyle name="Normal 2 2 2 2 25" xfId="4110" xr:uid="{00000000-0005-0000-0000-00005E120000}"/>
    <cellStyle name="Normal 2 2 2 2 25 2" xfId="4111" xr:uid="{00000000-0005-0000-0000-00005F120000}"/>
    <cellStyle name="Normal 2 2 2 2 25 2 2" xfId="4112" xr:uid="{00000000-0005-0000-0000-000060120000}"/>
    <cellStyle name="Normal 2 2 2 2 25 2 3" xfId="9931" xr:uid="{00000000-0005-0000-0000-000061120000}"/>
    <cellStyle name="Normal 2 2 2 2 25 3" xfId="4113" xr:uid="{00000000-0005-0000-0000-000062120000}"/>
    <cellStyle name="Normal 2 2 2 2 25 4" xfId="9930" xr:uid="{00000000-0005-0000-0000-000063120000}"/>
    <cellStyle name="Normal 2 2 2 2 26" xfId="4114" xr:uid="{00000000-0005-0000-0000-000064120000}"/>
    <cellStyle name="Normal 2 2 2 2 26 2" xfId="4115" xr:uid="{00000000-0005-0000-0000-000065120000}"/>
    <cellStyle name="Normal 2 2 2 2 26 2 2" xfId="4116" xr:uid="{00000000-0005-0000-0000-000066120000}"/>
    <cellStyle name="Normal 2 2 2 2 26 2 3" xfId="9933" xr:uid="{00000000-0005-0000-0000-000067120000}"/>
    <cellStyle name="Normal 2 2 2 2 26 3" xfId="4117" xr:uid="{00000000-0005-0000-0000-000068120000}"/>
    <cellStyle name="Normal 2 2 2 2 26 4" xfId="9932" xr:uid="{00000000-0005-0000-0000-000069120000}"/>
    <cellStyle name="Normal 2 2 2 2 27" xfId="4118" xr:uid="{00000000-0005-0000-0000-00006A120000}"/>
    <cellStyle name="Normal 2 2 2 2 27 2" xfId="4119" xr:uid="{00000000-0005-0000-0000-00006B120000}"/>
    <cellStyle name="Normal 2 2 2 2 27 2 2" xfId="4120" xr:uid="{00000000-0005-0000-0000-00006C120000}"/>
    <cellStyle name="Normal 2 2 2 2 27 2 3" xfId="9935" xr:uid="{00000000-0005-0000-0000-00006D120000}"/>
    <cellStyle name="Normal 2 2 2 2 27 3" xfId="4121" xr:uid="{00000000-0005-0000-0000-00006E120000}"/>
    <cellStyle name="Normal 2 2 2 2 27 4" xfId="9934" xr:uid="{00000000-0005-0000-0000-00006F120000}"/>
    <cellStyle name="Normal 2 2 2 2 28" xfId="4122" xr:uid="{00000000-0005-0000-0000-000070120000}"/>
    <cellStyle name="Normal 2 2 2 2 28 2" xfId="4123" xr:uid="{00000000-0005-0000-0000-000071120000}"/>
    <cellStyle name="Normal 2 2 2 2 28 2 2" xfId="4124" xr:uid="{00000000-0005-0000-0000-000072120000}"/>
    <cellStyle name="Normal 2 2 2 2 28 2 3" xfId="9937" xr:uid="{00000000-0005-0000-0000-000073120000}"/>
    <cellStyle name="Normal 2 2 2 2 28 3" xfId="4125" xr:uid="{00000000-0005-0000-0000-000074120000}"/>
    <cellStyle name="Normal 2 2 2 2 28 4" xfId="9936" xr:uid="{00000000-0005-0000-0000-000075120000}"/>
    <cellStyle name="Normal 2 2 2 2 29" xfId="4126" xr:uid="{00000000-0005-0000-0000-000076120000}"/>
    <cellStyle name="Normal 2 2 2 2 29 2" xfId="4127" xr:uid="{00000000-0005-0000-0000-000077120000}"/>
    <cellStyle name="Normal 2 2 2 2 29 2 2" xfId="4128" xr:uid="{00000000-0005-0000-0000-000078120000}"/>
    <cellStyle name="Normal 2 2 2 2 29 2 3" xfId="9939" xr:uid="{00000000-0005-0000-0000-000079120000}"/>
    <cellStyle name="Normal 2 2 2 2 29 3" xfId="4129" xr:uid="{00000000-0005-0000-0000-00007A120000}"/>
    <cellStyle name="Normal 2 2 2 2 29 4" xfId="9938" xr:uid="{00000000-0005-0000-0000-00007B120000}"/>
    <cellStyle name="Normal 2 2 2 2 3" xfId="4130" xr:uid="{00000000-0005-0000-0000-00007C120000}"/>
    <cellStyle name="Normal 2 2 2 2 3 10" xfId="4131" xr:uid="{00000000-0005-0000-0000-00007D120000}"/>
    <cellStyle name="Normal 2 2 2 2 3 11" xfId="4132" xr:uid="{00000000-0005-0000-0000-00007E120000}"/>
    <cellStyle name="Normal 2 2 2 2 3 12" xfId="9940" xr:uid="{00000000-0005-0000-0000-00007F120000}"/>
    <cellStyle name="Normal 2 2 2 2 3 2" xfId="4133" xr:uid="{00000000-0005-0000-0000-000080120000}"/>
    <cellStyle name="Normal 2 2 2 2 3 2 2" xfId="4134" xr:uid="{00000000-0005-0000-0000-000081120000}"/>
    <cellStyle name="Normal 2 2 2 2 3 2 3" xfId="4135" xr:uid="{00000000-0005-0000-0000-000082120000}"/>
    <cellStyle name="Normal 2 2 2 2 3 2 4" xfId="9941" xr:uid="{00000000-0005-0000-0000-000083120000}"/>
    <cellStyle name="Normal 2 2 2 2 3 3" xfId="4136" xr:uid="{00000000-0005-0000-0000-000084120000}"/>
    <cellStyle name="Normal 2 2 2 2 3 4" xfId="4137" xr:uid="{00000000-0005-0000-0000-000085120000}"/>
    <cellStyle name="Normal 2 2 2 2 3 5" xfId="4138" xr:uid="{00000000-0005-0000-0000-000086120000}"/>
    <cellStyle name="Normal 2 2 2 2 3 6" xfId="4139" xr:uid="{00000000-0005-0000-0000-000087120000}"/>
    <cellStyle name="Normal 2 2 2 2 3 7" xfId="4140" xr:uid="{00000000-0005-0000-0000-000088120000}"/>
    <cellStyle name="Normal 2 2 2 2 3 8" xfId="4141" xr:uid="{00000000-0005-0000-0000-000089120000}"/>
    <cellStyle name="Normal 2 2 2 2 3 9" xfId="4142" xr:uid="{00000000-0005-0000-0000-00008A120000}"/>
    <cellStyle name="Normal 2 2 2 2 30" xfId="4143" xr:uid="{00000000-0005-0000-0000-00008B120000}"/>
    <cellStyle name="Normal 2 2 2 2 30 2" xfId="4144" xr:uid="{00000000-0005-0000-0000-00008C120000}"/>
    <cellStyle name="Normal 2 2 2 2 30 2 2" xfId="4145" xr:uid="{00000000-0005-0000-0000-00008D120000}"/>
    <cellStyle name="Normal 2 2 2 2 30 2 3" xfId="9943" xr:uid="{00000000-0005-0000-0000-00008E120000}"/>
    <cellStyle name="Normal 2 2 2 2 30 3" xfId="4146" xr:uid="{00000000-0005-0000-0000-00008F120000}"/>
    <cellStyle name="Normal 2 2 2 2 30 4" xfId="9942" xr:uid="{00000000-0005-0000-0000-000090120000}"/>
    <cellStyle name="Normal 2 2 2 2 31" xfId="4147" xr:uid="{00000000-0005-0000-0000-000091120000}"/>
    <cellStyle name="Normal 2 2 2 2 31 2" xfId="4148" xr:uid="{00000000-0005-0000-0000-000092120000}"/>
    <cellStyle name="Normal 2 2 2 2 31 2 2" xfId="4149" xr:uid="{00000000-0005-0000-0000-000093120000}"/>
    <cellStyle name="Normal 2 2 2 2 31 2 3" xfId="9945" xr:uid="{00000000-0005-0000-0000-000094120000}"/>
    <cellStyle name="Normal 2 2 2 2 31 3" xfId="4150" xr:uid="{00000000-0005-0000-0000-000095120000}"/>
    <cellStyle name="Normal 2 2 2 2 31 4" xfId="9944" xr:uid="{00000000-0005-0000-0000-000096120000}"/>
    <cellStyle name="Normal 2 2 2 2 32" xfId="4151" xr:uid="{00000000-0005-0000-0000-000097120000}"/>
    <cellStyle name="Normal 2 2 2 2 32 2" xfId="4152" xr:uid="{00000000-0005-0000-0000-000098120000}"/>
    <cellStyle name="Normal 2 2 2 2 32 2 2" xfId="4153" xr:uid="{00000000-0005-0000-0000-000099120000}"/>
    <cellStyle name="Normal 2 2 2 2 32 2 3" xfId="9947" xr:uid="{00000000-0005-0000-0000-00009A120000}"/>
    <cellStyle name="Normal 2 2 2 2 32 3" xfId="4154" xr:uid="{00000000-0005-0000-0000-00009B120000}"/>
    <cellStyle name="Normal 2 2 2 2 32 4" xfId="9946" xr:uid="{00000000-0005-0000-0000-00009C120000}"/>
    <cellStyle name="Normal 2 2 2 2 33" xfId="4155" xr:uid="{00000000-0005-0000-0000-00009D120000}"/>
    <cellStyle name="Normal 2 2 2 2 33 2" xfId="4156" xr:uid="{00000000-0005-0000-0000-00009E120000}"/>
    <cellStyle name="Normal 2 2 2 2 33 2 2" xfId="4157" xr:uid="{00000000-0005-0000-0000-00009F120000}"/>
    <cellStyle name="Normal 2 2 2 2 33 2 3" xfId="9949" xr:uid="{00000000-0005-0000-0000-0000A0120000}"/>
    <cellStyle name="Normal 2 2 2 2 33 3" xfId="4158" xr:uid="{00000000-0005-0000-0000-0000A1120000}"/>
    <cellStyle name="Normal 2 2 2 2 33 4" xfId="9948" xr:uid="{00000000-0005-0000-0000-0000A2120000}"/>
    <cellStyle name="Normal 2 2 2 2 34" xfId="4159" xr:uid="{00000000-0005-0000-0000-0000A3120000}"/>
    <cellStyle name="Normal 2 2 2 2 34 2" xfId="4160" xr:uid="{00000000-0005-0000-0000-0000A4120000}"/>
    <cellStyle name="Normal 2 2 2 2 34 2 2" xfId="4161" xr:uid="{00000000-0005-0000-0000-0000A5120000}"/>
    <cellStyle name="Normal 2 2 2 2 34 2 3" xfId="9951" xr:uid="{00000000-0005-0000-0000-0000A6120000}"/>
    <cellStyle name="Normal 2 2 2 2 34 3" xfId="4162" xr:uid="{00000000-0005-0000-0000-0000A7120000}"/>
    <cellStyle name="Normal 2 2 2 2 34 4" xfId="9950" xr:uid="{00000000-0005-0000-0000-0000A8120000}"/>
    <cellStyle name="Normal 2 2 2 2 35" xfId="4163" xr:uid="{00000000-0005-0000-0000-0000A9120000}"/>
    <cellStyle name="Normal 2 2 2 2 35 2" xfId="4164" xr:uid="{00000000-0005-0000-0000-0000AA120000}"/>
    <cellStyle name="Normal 2 2 2 2 35 2 2" xfId="4165" xr:uid="{00000000-0005-0000-0000-0000AB120000}"/>
    <cellStyle name="Normal 2 2 2 2 35 2 3" xfId="9953" xr:uid="{00000000-0005-0000-0000-0000AC120000}"/>
    <cellStyle name="Normal 2 2 2 2 35 3" xfId="4166" xr:uid="{00000000-0005-0000-0000-0000AD120000}"/>
    <cellStyle name="Normal 2 2 2 2 35 4" xfId="9952" xr:uid="{00000000-0005-0000-0000-0000AE120000}"/>
    <cellStyle name="Normal 2 2 2 2 36" xfId="4167" xr:uid="{00000000-0005-0000-0000-0000AF120000}"/>
    <cellStyle name="Normal 2 2 2 2 36 2" xfId="4168" xr:uid="{00000000-0005-0000-0000-0000B0120000}"/>
    <cellStyle name="Normal 2 2 2 2 36 2 2" xfId="4169" xr:uid="{00000000-0005-0000-0000-0000B1120000}"/>
    <cellStyle name="Normal 2 2 2 2 36 2 3" xfId="9955" xr:uid="{00000000-0005-0000-0000-0000B2120000}"/>
    <cellStyle name="Normal 2 2 2 2 36 3" xfId="4170" xr:uid="{00000000-0005-0000-0000-0000B3120000}"/>
    <cellStyle name="Normal 2 2 2 2 36 4" xfId="9954" xr:uid="{00000000-0005-0000-0000-0000B4120000}"/>
    <cellStyle name="Normal 2 2 2 2 37" xfId="4171" xr:uid="{00000000-0005-0000-0000-0000B5120000}"/>
    <cellStyle name="Normal 2 2 2 2 37 2" xfId="4172" xr:uid="{00000000-0005-0000-0000-0000B6120000}"/>
    <cellStyle name="Normal 2 2 2 2 37 2 2" xfId="4173" xr:uid="{00000000-0005-0000-0000-0000B7120000}"/>
    <cellStyle name="Normal 2 2 2 2 37 2 3" xfId="9957" xr:uid="{00000000-0005-0000-0000-0000B8120000}"/>
    <cellStyle name="Normal 2 2 2 2 37 3" xfId="4174" xr:uid="{00000000-0005-0000-0000-0000B9120000}"/>
    <cellStyle name="Normal 2 2 2 2 37 4" xfId="9956" xr:uid="{00000000-0005-0000-0000-0000BA120000}"/>
    <cellStyle name="Normal 2 2 2 2 38" xfId="4175" xr:uid="{00000000-0005-0000-0000-0000BB120000}"/>
    <cellStyle name="Normal 2 2 2 2 38 2" xfId="4176" xr:uid="{00000000-0005-0000-0000-0000BC120000}"/>
    <cellStyle name="Normal 2 2 2 2 38 2 2" xfId="4177" xr:uid="{00000000-0005-0000-0000-0000BD120000}"/>
    <cellStyle name="Normal 2 2 2 2 38 2 3" xfId="9959" xr:uid="{00000000-0005-0000-0000-0000BE120000}"/>
    <cellStyle name="Normal 2 2 2 2 38 3" xfId="4178" xr:uid="{00000000-0005-0000-0000-0000BF120000}"/>
    <cellStyle name="Normal 2 2 2 2 38 4" xfId="9958" xr:uid="{00000000-0005-0000-0000-0000C0120000}"/>
    <cellStyle name="Normal 2 2 2 2 39" xfId="4179" xr:uid="{00000000-0005-0000-0000-0000C1120000}"/>
    <cellStyle name="Normal 2 2 2 2 39 2" xfId="4180" xr:uid="{00000000-0005-0000-0000-0000C2120000}"/>
    <cellStyle name="Normal 2 2 2 2 39 2 2" xfId="4181" xr:uid="{00000000-0005-0000-0000-0000C3120000}"/>
    <cellStyle name="Normal 2 2 2 2 39 2 3" xfId="9961" xr:uid="{00000000-0005-0000-0000-0000C4120000}"/>
    <cellStyle name="Normal 2 2 2 2 39 3" xfId="4182" xr:uid="{00000000-0005-0000-0000-0000C5120000}"/>
    <cellStyle name="Normal 2 2 2 2 39 4" xfId="9960" xr:uid="{00000000-0005-0000-0000-0000C6120000}"/>
    <cellStyle name="Normal 2 2 2 2 4" xfId="4183" xr:uid="{00000000-0005-0000-0000-0000C7120000}"/>
    <cellStyle name="Normal 2 2 2 2 4 2" xfId="4184" xr:uid="{00000000-0005-0000-0000-0000C8120000}"/>
    <cellStyle name="Normal 2 2 2 2 4 2 2" xfId="4185" xr:uid="{00000000-0005-0000-0000-0000C9120000}"/>
    <cellStyle name="Normal 2 2 2 2 4 2 3" xfId="9963" xr:uid="{00000000-0005-0000-0000-0000CA120000}"/>
    <cellStyle name="Normal 2 2 2 2 4 3" xfId="4186" xr:uid="{00000000-0005-0000-0000-0000CB120000}"/>
    <cellStyle name="Normal 2 2 2 2 4 4" xfId="9962" xr:uid="{00000000-0005-0000-0000-0000CC120000}"/>
    <cellStyle name="Normal 2 2 2 2 40" xfId="4187" xr:uid="{00000000-0005-0000-0000-0000CD120000}"/>
    <cellStyle name="Normal 2 2 2 2 40 2" xfId="4188" xr:uid="{00000000-0005-0000-0000-0000CE120000}"/>
    <cellStyle name="Normal 2 2 2 2 40 2 2" xfId="4189" xr:uid="{00000000-0005-0000-0000-0000CF120000}"/>
    <cellStyle name="Normal 2 2 2 2 40 2 3" xfId="9965" xr:uid="{00000000-0005-0000-0000-0000D0120000}"/>
    <cellStyle name="Normal 2 2 2 2 40 3" xfId="4190" xr:uid="{00000000-0005-0000-0000-0000D1120000}"/>
    <cellStyle name="Normal 2 2 2 2 40 4" xfId="9964" xr:uid="{00000000-0005-0000-0000-0000D2120000}"/>
    <cellStyle name="Normal 2 2 2 2 41" xfId="4191" xr:uid="{00000000-0005-0000-0000-0000D3120000}"/>
    <cellStyle name="Normal 2 2 2 2 41 2" xfId="4192" xr:uid="{00000000-0005-0000-0000-0000D4120000}"/>
    <cellStyle name="Normal 2 2 2 2 41 2 2" xfId="4193" xr:uid="{00000000-0005-0000-0000-0000D5120000}"/>
    <cellStyle name="Normal 2 2 2 2 41 2 3" xfId="9967" xr:uid="{00000000-0005-0000-0000-0000D6120000}"/>
    <cellStyle name="Normal 2 2 2 2 41 3" xfId="4194" xr:uid="{00000000-0005-0000-0000-0000D7120000}"/>
    <cellStyle name="Normal 2 2 2 2 41 4" xfId="9966" xr:uid="{00000000-0005-0000-0000-0000D8120000}"/>
    <cellStyle name="Normal 2 2 2 2 42" xfId="4195" xr:uid="{00000000-0005-0000-0000-0000D9120000}"/>
    <cellStyle name="Normal 2 2 2 2 42 2" xfId="4196" xr:uid="{00000000-0005-0000-0000-0000DA120000}"/>
    <cellStyle name="Normal 2 2 2 2 42 2 2" xfId="4197" xr:uid="{00000000-0005-0000-0000-0000DB120000}"/>
    <cellStyle name="Normal 2 2 2 2 42 2 3" xfId="9969" xr:uid="{00000000-0005-0000-0000-0000DC120000}"/>
    <cellStyle name="Normal 2 2 2 2 42 3" xfId="4198" xr:uid="{00000000-0005-0000-0000-0000DD120000}"/>
    <cellStyle name="Normal 2 2 2 2 42 4" xfId="9968" xr:uid="{00000000-0005-0000-0000-0000DE120000}"/>
    <cellStyle name="Normal 2 2 2 2 43" xfId="4199" xr:uid="{00000000-0005-0000-0000-0000DF120000}"/>
    <cellStyle name="Normal 2 2 2 2 43 2" xfId="4200" xr:uid="{00000000-0005-0000-0000-0000E0120000}"/>
    <cellStyle name="Normal 2 2 2 2 43 2 2" xfId="4201" xr:uid="{00000000-0005-0000-0000-0000E1120000}"/>
    <cellStyle name="Normal 2 2 2 2 43 2 3" xfId="9971" xr:uid="{00000000-0005-0000-0000-0000E2120000}"/>
    <cellStyle name="Normal 2 2 2 2 43 3" xfId="4202" xr:uid="{00000000-0005-0000-0000-0000E3120000}"/>
    <cellStyle name="Normal 2 2 2 2 43 4" xfId="9970" xr:uid="{00000000-0005-0000-0000-0000E4120000}"/>
    <cellStyle name="Normal 2 2 2 2 44" xfId="4203" xr:uid="{00000000-0005-0000-0000-0000E5120000}"/>
    <cellStyle name="Normal 2 2 2 2 44 2" xfId="4204" xr:uid="{00000000-0005-0000-0000-0000E6120000}"/>
    <cellStyle name="Normal 2 2 2 2 44 2 2" xfId="4205" xr:uid="{00000000-0005-0000-0000-0000E7120000}"/>
    <cellStyle name="Normal 2 2 2 2 44 2 3" xfId="9973" xr:uid="{00000000-0005-0000-0000-0000E8120000}"/>
    <cellStyle name="Normal 2 2 2 2 44 3" xfId="4206" xr:uid="{00000000-0005-0000-0000-0000E9120000}"/>
    <cellStyle name="Normal 2 2 2 2 44 4" xfId="9972" xr:uid="{00000000-0005-0000-0000-0000EA120000}"/>
    <cellStyle name="Normal 2 2 2 2 45" xfId="4207" xr:uid="{00000000-0005-0000-0000-0000EB120000}"/>
    <cellStyle name="Normal 2 2 2 2 45 2" xfId="4208" xr:uid="{00000000-0005-0000-0000-0000EC120000}"/>
    <cellStyle name="Normal 2 2 2 2 45 2 2" xfId="4209" xr:uid="{00000000-0005-0000-0000-0000ED120000}"/>
    <cellStyle name="Normal 2 2 2 2 45 2 3" xfId="9975" xr:uid="{00000000-0005-0000-0000-0000EE120000}"/>
    <cellStyle name="Normal 2 2 2 2 45 3" xfId="4210" xr:uid="{00000000-0005-0000-0000-0000EF120000}"/>
    <cellStyle name="Normal 2 2 2 2 45 4" xfId="9974" xr:uid="{00000000-0005-0000-0000-0000F0120000}"/>
    <cellStyle name="Normal 2 2 2 2 46" xfId="4211" xr:uid="{00000000-0005-0000-0000-0000F1120000}"/>
    <cellStyle name="Normal 2 2 2 2 46 2" xfId="4212" xr:uid="{00000000-0005-0000-0000-0000F2120000}"/>
    <cellStyle name="Normal 2 2 2 2 46 2 2" xfId="4213" xr:uid="{00000000-0005-0000-0000-0000F3120000}"/>
    <cellStyle name="Normal 2 2 2 2 46 2 3" xfId="9977" xr:uid="{00000000-0005-0000-0000-0000F4120000}"/>
    <cellStyle name="Normal 2 2 2 2 46 3" xfId="4214" xr:uid="{00000000-0005-0000-0000-0000F5120000}"/>
    <cellStyle name="Normal 2 2 2 2 46 4" xfId="9976" xr:uid="{00000000-0005-0000-0000-0000F6120000}"/>
    <cellStyle name="Normal 2 2 2 2 47" xfId="4215" xr:uid="{00000000-0005-0000-0000-0000F7120000}"/>
    <cellStyle name="Normal 2 2 2 2 47 2" xfId="4216" xr:uid="{00000000-0005-0000-0000-0000F8120000}"/>
    <cellStyle name="Normal 2 2 2 2 47 2 2" xfId="4217" xr:uid="{00000000-0005-0000-0000-0000F9120000}"/>
    <cellStyle name="Normal 2 2 2 2 47 2 3" xfId="9979" xr:uid="{00000000-0005-0000-0000-0000FA120000}"/>
    <cellStyle name="Normal 2 2 2 2 47 3" xfId="4218" xr:uid="{00000000-0005-0000-0000-0000FB120000}"/>
    <cellStyle name="Normal 2 2 2 2 47 4" xfId="9978" xr:uid="{00000000-0005-0000-0000-0000FC120000}"/>
    <cellStyle name="Normal 2 2 2 2 48" xfId="4219" xr:uid="{00000000-0005-0000-0000-0000FD120000}"/>
    <cellStyle name="Normal 2 2 2 2 48 2" xfId="4220" xr:uid="{00000000-0005-0000-0000-0000FE120000}"/>
    <cellStyle name="Normal 2 2 2 2 48 2 2" xfId="4221" xr:uid="{00000000-0005-0000-0000-0000FF120000}"/>
    <cellStyle name="Normal 2 2 2 2 48 2 3" xfId="9981" xr:uid="{00000000-0005-0000-0000-000000130000}"/>
    <cellStyle name="Normal 2 2 2 2 48 3" xfId="4222" xr:uid="{00000000-0005-0000-0000-000001130000}"/>
    <cellStyle name="Normal 2 2 2 2 48 4" xfId="9980" xr:uid="{00000000-0005-0000-0000-000002130000}"/>
    <cellStyle name="Normal 2 2 2 2 49" xfId="4223" xr:uid="{00000000-0005-0000-0000-000003130000}"/>
    <cellStyle name="Normal 2 2 2 2 49 2" xfId="4224" xr:uid="{00000000-0005-0000-0000-000004130000}"/>
    <cellStyle name="Normal 2 2 2 2 49 2 2" xfId="4225" xr:uid="{00000000-0005-0000-0000-000005130000}"/>
    <cellStyle name="Normal 2 2 2 2 49 2 3" xfId="9983" xr:uid="{00000000-0005-0000-0000-000006130000}"/>
    <cellStyle name="Normal 2 2 2 2 49 3" xfId="4226" xr:uid="{00000000-0005-0000-0000-000007130000}"/>
    <cellStyle name="Normal 2 2 2 2 49 4" xfId="9982" xr:uid="{00000000-0005-0000-0000-000008130000}"/>
    <cellStyle name="Normal 2 2 2 2 5" xfId="4227" xr:uid="{00000000-0005-0000-0000-000009130000}"/>
    <cellStyle name="Normal 2 2 2 2 5 2" xfId="4228" xr:uid="{00000000-0005-0000-0000-00000A130000}"/>
    <cellStyle name="Normal 2 2 2 2 5 2 2" xfId="4229" xr:uid="{00000000-0005-0000-0000-00000B130000}"/>
    <cellStyle name="Normal 2 2 2 2 5 2 3" xfId="9985" xr:uid="{00000000-0005-0000-0000-00000C130000}"/>
    <cellStyle name="Normal 2 2 2 2 5 3" xfId="4230" xr:uid="{00000000-0005-0000-0000-00000D130000}"/>
    <cellStyle name="Normal 2 2 2 2 5 4" xfId="9984" xr:uid="{00000000-0005-0000-0000-00000E130000}"/>
    <cellStyle name="Normal 2 2 2 2 50" xfId="4231" xr:uid="{00000000-0005-0000-0000-00000F130000}"/>
    <cellStyle name="Normal 2 2 2 2 50 2" xfId="4232" xr:uid="{00000000-0005-0000-0000-000010130000}"/>
    <cellStyle name="Normal 2 2 2 2 50 2 2" xfId="4233" xr:uid="{00000000-0005-0000-0000-000011130000}"/>
    <cellStyle name="Normal 2 2 2 2 50 2 3" xfId="9987" xr:uid="{00000000-0005-0000-0000-000012130000}"/>
    <cellStyle name="Normal 2 2 2 2 50 3" xfId="4234" xr:uid="{00000000-0005-0000-0000-000013130000}"/>
    <cellStyle name="Normal 2 2 2 2 50 4" xfId="9986" xr:uid="{00000000-0005-0000-0000-000014130000}"/>
    <cellStyle name="Normal 2 2 2 2 51" xfId="4235" xr:uid="{00000000-0005-0000-0000-000015130000}"/>
    <cellStyle name="Normal 2 2 2 2 51 2" xfId="4236" xr:uid="{00000000-0005-0000-0000-000016130000}"/>
    <cellStyle name="Normal 2 2 2 2 51 2 2" xfId="4237" xr:uid="{00000000-0005-0000-0000-000017130000}"/>
    <cellStyle name="Normal 2 2 2 2 51 2 3" xfId="9989" xr:uid="{00000000-0005-0000-0000-000018130000}"/>
    <cellStyle name="Normal 2 2 2 2 51 3" xfId="4238" xr:uid="{00000000-0005-0000-0000-000019130000}"/>
    <cellStyle name="Normal 2 2 2 2 51 4" xfId="9988" xr:uid="{00000000-0005-0000-0000-00001A130000}"/>
    <cellStyle name="Normal 2 2 2 2 52" xfId="4239" xr:uid="{00000000-0005-0000-0000-00001B130000}"/>
    <cellStyle name="Normal 2 2 2 2 52 2" xfId="4240" xr:uid="{00000000-0005-0000-0000-00001C130000}"/>
    <cellStyle name="Normal 2 2 2 2 52 2 2" xfId="4241" xr:uid="{00000000-0005-0000-0000-00001D130000}"/>
    <cellStyle name="Normal 2 2 2 2 52 2 3" xfId="9991" xr:uid="{00000000-0005-0000-0000-00001E130000}"/>
    <cellStyle name="Normal 2 2 2 2 52 3" xfId="4242" xr:uid="{00000000-0005-0000-0000-00001F130000}"/>
    <cellStyle name="Normal 2 2 2 2 52 4" xfId="9990" xr:uid="{00000000-0005-0000-0000-000020130000}"/>
    <cellStyle name="Normal 2 2 2 2 53" xfId="4243" xr:uid="{00000000-0005-0000-0000-000021130000}"/>
    <cellStyle name="Normal 2 2 2 2 53 2" xfId="4244" xr:uid="{00000000-0005-0000-0000-000022130000}"/>
    <cellStyle name="Normal 2 2 2 2 53 2 2" xfId="4245" xr:uid="{00000000-0005-0000-0000-000023130000}"/>
    <cellStyle name="Normal 2 2 2 2 53 2 3" xfId="9993" xr:uid="{00000000-0005-0000-0000-000024130000}"/>
    <cellStyle name="Normal 2 2 2 2 53 3" xfId="4246" xr:uid="{00000000-0005-0000-0000-000025130000}"/>
    <cellStyle name="Normal 2 2 2 2 53 4" xfId="9992" xr:uid="{00000000-0005-0000-0000-000026130000}"/>
    <cellStyle name="Normal 2 2 2 2 54" xfId="4247" xr:uid="{00000000-0005-0000-0000-000027130000}"/>
    <cellStyle name="Normal 2 2 2 2 54 2" xfId="4248" xr:uid="{00000000-0005-0000-0000-000028130000}"/>
    <cellStyle name="Normal 2 2 2 2 54 2 2" xfId="4249" xr:uid="{00000000-0005-0000-0000-000029130000}"/>
    <cellStyle name="Normal 2 2 2 2 54 2 3" xfId="9995" xr:uid="{00000000-0005-0000-0000-00002A130000}"/>
    <cellStyle name="Normal 2 2 2 2 54 3" xfId="4250" xr:uid="{00000000-0005-0000-0000-00002B130000}"/>
    <cellStyle name="Normal 2 2 2 2 54 4" xfId="9994" xr:uid="{00000000-0005-0000-0000-00002C130000}"/>
    <cellStyle name="Normal 2 2 2 2 55" xfId="4251" xr:uid="{00000000-0005-0000-0000-00002D130000}"/>
    <cellStyle name="Normal 2 2 2 2 55 2" xfId="4252" xr:uid="{00000000-0005-0000-0000-00002E130000}"/>
    <cellStyle name="Normal 2 2 2 2 55 2 2" xfId="4253" xr:uid="{00000000-0005-0000-0000-00002F130000}"/>
    <cellStyle name="Normal 2 2 2 2 55 2 3" xfId="9997" xr:uid="{00000000-0005-0000-0000-000030130000}"/>
    <cellStyle name="Normal 2 2 2 2 55 3" xfId="4254" xr:uid="{00000000-0005-0000-0000-000031130000}"/>
    <cellStyle name="Normal 2 2 2 2 55 4" xfId="9996" xr:uid="{00000000-0005-0000-0000-000032130000}"/>
    <cellStyle name="Normal 2 2 2 2 56" xfId="4255" xr:uid="{00000000-0005-0000-0000-000033130000}"/>
    <cellStyle name="Normal 2 2 2 2 56 2" xfId="4256" xr:uid="{00000000-0005-0000-0000-000034130000}"/>
    <cellStyle name="Normal 2 2 2 2 56 2 2" xfId="4257" xr:uid="{00000000-0005-0000-0000-000035130000}"/>
    <cellStyle name="Normal 2 2 2 2 56 2 3" xfId="9999" xr:uid="{00000000-0005-0000-0000-000036130000}"/>
    <cellStyle name="Normal 2 2 2 2 56 3" xfId="4258" xr:uid="{00000000-0005-0000-0000-000037130000}"/>
    <cellStyle name="Normal 2 2 2 2 56 4" xfId="9998" xr:uid="{00000000-0005-0000-0000-000038130000}"/>
    <cellStyle name="Normal 2 2 2 2 57" xfId="4259" xr:uid="{00000000-0005-0000-0000-000039130000}"/>
    <cellStyle name="Normal 2 2 2 2 57 2" xfId="4260" xr:uid="{00000000-0005-0000-0000-00003A130000}"/>
    <cellStyle name="Normal 2 2 2 2 57 2 2" xfId="4261" xr:uid="{00000000-0005-0000-0000-00003B130000}"/>
    <cellStyle name="Normal 2 2 2 2 57 2 3" xfId="10001" xr:uid="{00000000-0005-0000-0000-00003C130000}"/>
    <cellStyle name="Normal 2 2 2 2 57 3" xfId="4262" xr:uid="{00000000-0005-0000-0000-00003D130000}"/>
    <cellStyle name="Normal 2 2 2 2 57 4" xfId="10000" xr:uid="{00000000-0005-0000-0000-00003E130000}"/>
    <cellStyle name="Normal 2 2 2 2 58" xfId="4263" xr:uid="{00000000-0005-0000-0000-00003F130000}"/>
    <cellStyle name="Normal 2 2 2 2 58 2" xfId="4264" xr:uid="{00000000-0005-0000-0000-000040130000}"/>
    <cellStyle name="Normal 2 2 2 2 58 2 2" xfId="4265" xr:uid="{00000000-0005-0000-0000-000041130000}"/>
    <cellStyle name="Normal 2 2 2 2 58 2 3" xfId="10003" xr:uid="{00000000-0005-0000-0000-000042130000}"/>
    <cellStyle name="Normal 2 2 2 2 58 3" xfId="4266" xr:uid="{00000000-0005-0000-0000-000043130000}"/>
    <cellStyle name="Normal 2 2 2 2 58 4" xfId="10002" xr:uid="{00000000-0005-0000-0000-000044130000}"/>
    <cellStyle name="Normal 2 2 2 2 59" xfId="4267" xr:uid="{00000000-0005-0000-0000-000045130000}"/>
    <cellStyle name="Normal 2 2 2 2 59 2" xfId="4268" xr:uid="{00000000-0005-0000-0000-000046130000}"/>
    <cellStyle name="Normal 2 2 2 2 59 2 2" xfId="4269" xr:uid="{00000000-0005-0000-0000-000047130000}"/>
    <cellStyle name="Normal 2 2 2 2 59 2 3" xfId="10005" xr:uid="{00000000-0005-0000-0000-000048130000}"/>
    <cellStyle name="Normal 2 2 2 2 59 3" xfId="4270" xr:uid="{00000000-0005-0000-0000-000049130000}"/>
    <cellStyle name="Normal 2 2 2 2 59 4" xfId="10004" xr:uid="{00000000-0005-0000-0000-00004A130000}"/>
    <cellStyle name="Normal 2 2 2 2 6" xfId="4271" xr:uid="{00000000-0005-0000-0000-00004B130000}"/>
    <cellStyle name="Normal 2 2 2 2 6 2" xfId="4272" xr:uid="{00000000-0005-0000-0000-00004C130000}"/>
    <cellStyle name="Normal 2 2 2 2 6 2 2" xfId="4273" xr:uid="{00000000-0005-0000-0000-00004D130000}"/>
    <cellStyle name="Normal 2 2 2 2 6 2 3" xfId="10007" xr:uid="{00000000-0005-0000-0000-00004E130000}"/>
    <cellStyle name="Normal 2 2 2 2 6 3" xfId="4274" xr:uid="{00000000-0005-0000-0000-00004F130000}"/>
    <cellStyle name="Normal 2 2 2 2 6 4" xfId="10006" xr:uid="{00000000-0005-0000-0000-000050130000}"/>
    <cellStyle name="Normal 2 2 2 2 60" xfId="4275" xr:uid="{00000000-0005-0000-0000-000051130000}"/>
    <cellStyle name="Normal 2 2 2 2 60 2" xfId="4276" xr:uid="{00000000-0005-0000-0000-000052130000}"/>
    <cellStyle name="Normal 2 2 2 2 60 2 2" xfId="4277" xr:uid="{00000000-0005-0000-0000-000053130000}"/>
    <cellStyle name="Normal 2 2 2 2 60 2 3" xfId="10009" xr:uid="{00000000-0005-0000-0000-000054130000}"/>
    <cellStyle name="Normal 2 2 2 2 60 3" xfId="4278" xr:uid="{00000000-0005-0000-0000-000055130000}"/>
    <cellStyle name="Normal 2 2 2 2 60 4" xfId="10008" xr:uid="{00000000-0005-0000-0000-000056130000}"/>
    <cellStyle name="Normal 2 2 2 2 61" xfId="4279" xr:uid="{00000000-0005-0000-0000-000057130000}"/>
    <cellStyle name="Normal 2 2 2 2 61 2" xfId="4280" xr:uid="{00000000-0005-0000-0000-000058130000}"/>
    <cellStyle name="Normal 2 2 2 2 61 2 2" xfId="4281" xr:uid="{00000000-0005-0000-0000-000059130000}"/>
    <cellStyle name="Normal 2 2 2 2 61 2 3" xfId="10011" xr:uid="{00000000-0005-0000-0000-00005A130000}"/>
    <cellStyle name="Normal 2 2 2 2 61 3" xfId="4282" xr:uid="{00000000-0005-0000-0000-00005B130000}"/>
    <cellStyle name="Normal 2 2 2 2 61 4" xfId="10010" xr:uid="{00000000-0005-0000-0000-00005C130000}"/>
    <cellStyle name="Normal 2 2 2 2 62" xfId="4283" xr:uid="{00000000-0005-0000-0000-00005D130000}"/>
    <cellStyle name="Normal 2 2 2 2 62 2" xfId="4284" xr:uid="{00000000-0005-0000-0000-00005E130000}"/>
    <cellStyle name="Normal 2 2 2 2 62 3" xfId="10012" xr:uid="{00000000-0005-0000-0000-00005F130000}"/>
    <cellStyle name="Normal 2 2 2 2 63" xfId="4285" xr:uid="{00000000-0005-0000-0000-000060130000}"/>
    <cellStyle name="Normal 2 2 2 2 63 2" xfId="4286" xr:uid="{00000000-0005-0000-0000-000061130000}"/>
    <cellStyle name="Normal 2 2 2 2 63 2 2" xfId="10013" xr:uid="{00000000-0005-0000-0000-000062130000}"/>
    <cellStyle name="Normal 2 2 2 2 63 3" xfId="4287" xr:uid="{00000000-0005-0000-0000-000063130000}"/>
    <cellStyle name="Normal 2 2 2 2 64" xfId="4288" xr:uid="{00000000-0005-0000-0000-000064130000}"/>
    <cellStyle name="Normal 2 2 2 2 64 2" xfId="4289" xr:uid="{00000000-0005-0000-0000-000065130000}"/>
    <cellStyle name="Normal 2 2 2 2 64 3" xfId="10014" xr:uid="{00000000-0005-0000-0000-000066130000}"/>
    <cellStyle name="Normal 2 2 2 2 65" xfId="4290" xr:uid="{00000000-0005-0000-0000-000067130000}"/>
    <cellStyle name="Normal 2 2 2 2 65 2" xfId="4291" xr:uid="{00000000-0005-0000-0000-000068130000}"/>
    <cellStyle name="Normal 2 2 2 2 65 3" xfId="10015" xr:uid="{00000000-0005-0000-0000-000069130000}"/>
    <cellStyle name="Normal 2 2 2 2 66" xfId="4292" xr:uid="{00000000-0005-0000-0000-00006A130000}"/>
    <cellStyle name="Normal 2 2 2 2 66 2" xfId="4293" xr:uid="{00000000-0005-0000-0000-00006B130000}"/>
    <cellStyle name="Normal 2 2 2 2 66 3" xfId="10016" xr:uid="{00000000-0005-0000-0000-00006C130000}"/>
    <cellStyle name="Normal 2 2 2 2 67" xfId="4294" xr:uid="{00000000-0005-0000-0000-00006D130000}"/>
    <cellStyle name="Normal 2 2 2 2 67 2" xfId="4295" xr:uid="{00000000-0005-0000-0000-00006E130000}"/>
    <cellStyle name="Normal 2 2 2 2 67 3" xfId="10017" xr:uid="{00000000-0005-0000-0000-00006F130000}"/>
    <cellStyle name="Normal 2 2 2 2 68" xfId="4296" xr:uid="{00000000-0005-0000-0000-000070130000}"/>
    <cellStyle name="Normal 2 2 2 2 68 2" xfId="4297" xr:uid="{00000000-0005-0000-0000-000071130000}"/>
    <cellStyle name="Normal 2 2 2 2 68 3" xfId="10018" xr:uid="{00000000-0005-0000-0000-000072130000}"/>
    <cellStyle name="Normal 2 2 2 2 69" xfId="4298" xr:uid="{00000000-0005-0000-0000-000073130000}"/>
    <cellStyle name="Normal 2 2 2 2 69 2" xfId="4299" xr:uid="{00000000-0005-0000-0000-000074130000}"/>
    <cellStyle name="Normal 2 2 2 2 69 3" xfId="10019" xr:uid="{00000000-0005-0000-0000-000075130000}"/>
    <cellStyle name="Normal 2 2 2 2 7" xfId="4300" xr:uid="{00000000-0005-0000-0000-000076130000}"/>
    <cellStyle name="Normal 2 2 2 2 7 2" xfId="4301" xr:uid="{00000000-0005-0000-0000-000077130000}"/>
    <cellStyle name="Normal 2 2 2 2 7 2 2" xfId="4302" xr:uid="{00000000-0005-0000-0000-000078130000}"/>
    <cellStyle name="Normal 2 2 2 2 7 2 3" xfId="10021" xr:uid="{00000000-0005-0000-0000-000079130000}"/>
    <cellStyle name="Normal 2 2 2 2 7 3" xfId="4303" xr:uid="{00000000-0005-0000-0000-00007A130000}"/>
    <cellStyle name="Normal 2 2 2 2 7 4" xfId="10020" xr:uid="{00000000-0005-0000-0000-00007B130000}"/>
    <cellStyle name="Normal 2 2 2 2 70" xfId="4304" xr:uid="{00000000-0005-0000-0000-00007C130000}"/>
    <cellStyle name="Normal 2 2 2 2 70 2" xfId="4305" xr:uid="{00000000-0005-0000-0000-00007D130000}"/>
    <cellStyle name="Normal 2 2 2 2 70 3" xfId="10022" xr:uid="{00000000-0005-0000-0000-00007E130000}"/>
    <cellStyle name="Normal 2 2 2 2 71" xfId="4306" xr:uid="{00000000-0005-0000-0000-00007F130000}"/>
    <cellStyle name="Normal 2 2 2 2 71 2" xfId="4307" xr:uid="{00000000-0005-0000-0000-000080130000}"/>
    <cellStyle name="Normal 2 2 2 2 71 3" xfId="10023" xr:uid="{00000000-0005-0000-0000-000081130000}"/>
    <cellStyle name="Normal 2 2 2 2 72" xfId="4308" xr:uid="{00000000-0005-0000-0000-000082130000}"/>
    <cellStyle name="Normal 2 2 2 2 72 2" xfId="4309" xr:uid="{00000000-0005-0000-0000-000083130000}"/>
    <cellStyle name="Normal 2 2 2 2 72 3" xfId="10024" xr:uid="{00000000-0005-0000-0000-000084130000}"/>
    <cellStyle name="Normal 2 2 2 2 73" xfId="4310" xr:uid="{00000000-0005-0000-0000-000085130000}"/>
    <cellStyle name="Normal 2 2 2 2 73 2" xfId="4311" xr:uid="{00000000-0005-0000-0000-000086130000}"/>
    <cellStyle name="Normal 2 2 2 2 73 3" xfId="10025" xr:uid="{00000000-0005-0000-0000-000087130000}"/>
    <cellStyle name="Normal 2 2 2 2 74" xfId="4312" xr:uid="{00000000-0005-0000-0000-000088130000}"/>
    <cellStyle name="Normal 2 2 2 2 74 2" xfId="4313" xr:uid="{00000000-0005-0000-0000-000089130000}"/>
    <cellStyle name="Normal 2 2 2 2 74 3" xfId="10026" xr:uid="{00000000-0005-0000-0000-00008A130000}"/>
    <cellStyle name="Normal 2 2 2 2 75" xfId="4314" xr:uid="{00000000-0005-0000-0000-00008B130000}"/>
    <cellStyle name="Normal 2 2 2 2 75 2" xfId="4315" xr:uid="{00000000-0005-0000-0000-00008C130000}"/>
    <cellStyle name="Normal 2 2 2 2 75 3" xfId="10027" xr:uid="{00000000-0005-0000-0000-00008D130000}"/>
    <cellStyle name="Normal 2 2 2 2 76" xfId="4316" xr:uid="{00000000-0005-0000-0000-00008E130000}"/>
    <cellStyle name="Normal 2 2 2 2 76 2" xfId="4317" xr:uid="{00000000-0005-0000-0000-00008F130000}"/>
    <cellStyle name="Normal 2 2 2 2 76 3" xfId="10028" xr:uid="{00000000-0005-0000-0000-000090130000}"/>
    <cellStyle name="Normal 2 2 2 2 77" xfId="4318" xr:uid="{00000000-0005-0000-0000-000091130000}"/>
    <cellStyle name="Normal 2 2 2 2 77 2" xfId="4319" xr:uid="{00000000-0005-0000-0000-000092130000}"/>
    <cellStyle name="Normal 2 2 2 2 77 3" xfId="10029" xr:uid="{00000000-0005-0000-0000-000093130000}"/>
    <cellStyle name="Normal 2 2 2 2 78" xfId="4320" xr:uid="{00000000-0005-0000-0000-000094130000}"/>
    <cellStyle name="Normal 2 2 2 2 78 2" xfId="4321" xr:uid="{00000000-0005-0000-0000-000095130000}"/>
    <cellStyle name="Normal 2 2 2 2 78 3" xfId="10030" xr:uid="{00000000-0005-0000-0000-000096130000}"/>
    <cellStyle name="Normal 2 2 2 2 79" xfId="4322" xr:uid="{00000000-0005-0000-0000-000097130000}"/>
    <cellStyle name="Normal 2 2 2 2 79 2" xfId="4323" xr:uid="{00000000-0005-0000-0000-000098130000}"/>
    <cellStyle name="Normal 2 2 2 2 79 3" xfId="10031" xr:uid="{00000000-0005-0000-0000-000099130000}"/>
    <cellStyle name="Normal 2 2 2 2 8" xfId="4324" xr:uid="{00000000-0005-0000-0000-00009A130000}"/>
    <cellStyle name="Normal 2 2 2 2 8 2" xfId="4325" xr:uid="{00000000-0005-0000-0000-00009B130000}"/>
    <cellStyle name="Normal 2 2 2 2 8 2 2" xfId="4326" xr:uid="{00000000-0005-0000-0000-00009C130000}"/>
    <cellStyle name="Normal 2 2 2 2 8 2 3" xfId="10033" xr:uid="{00000000-0005-0000-0000-00009D130000}"/>
    <cellStyle name="Normal 2 2 2 2 8 3" xfId="4327" xr:uid="{00000000-0005-0000-0000-00009E130000}"/>
    <cellStyle name="Normal 2 2 2 2 8 4" xfId="10032" xr:uid="{00000000-0005-0000-0000-00009F130000}"/>
    <cellStyle name="Normal 2 2 2 2 80" xfId="4328" xr:uid="{00000000-0005-0000-0000-0000A0130000}"/>
    <cellStyle name="Normal 2 2 2 2 80 2" xfId="4329" xr:uid="{00000000-0005-0000-0000-0000A1130000}"/>
    <cellStyle name="Normal 2 2 2 2 80 3" xfId="10034" xr:uid="{00000000-0005-0000-0000-0000A2130000}"/>
    <cellStyle name="Normal 2 2 2 2 81" xfId="4330" xr:uid="{00000000-0005-0000-0000-0000A3130000}"/>
    <cellStyle name="Normal 2 2 2 2 81 2" xfId="4331" xr:uid="{00000000-0005-0000-0000-0000A4130000}"/>
    <cellStyle name="Normal 2 2 2 2 81 3" xfId="10035" xr:uid="{00000000-0005-0000-0000-0000A5130000}"/>
    <cellStyle name="Normal 2 2 2 2 82" xfId="4332" xr:uid="{00000000-0005-0000-0000-0000A6130000}"/>
    <cellStyle name="Normal 2 2 2 2 82 2" xfId="4333" xr:uid="{00000000-0005-0000-0000-0000A7130000}"/>
    <cellStyle name="Normal 2 2 2 2 82 3" xfId="10036" xr:uid="{00000000-0005-0000-0000-0000A8130000}"/>
    <cellStyle name="Normal 2 2 2 2 83" xfId="4334" xr:uid="{00000000-0005-0000-0000-0000A9130000}"/>
    <cellStyle name="Normal 2 2 2 2 83 2" xfId="4335" xr:uid="{00000000-0005-0000-0000-0000AA130000}"/>
    <cellStyle name="Normal 2 2 2 2 83 3" xfId="10037" xr:uid="{00000000-0005-0000-0000-0000AB130000}"/>
    <cellStyle name="Normal 2 2 2 2 84" xfId="4336" xr:uid="{00000000-0005-0000-0000-0000AC130000}"/>
    <cellStyle name="Normal 2 2 2 2 84 2" xfId="4337" xr:uid="{00000000-0005-0000-0000-0000AD130000}"/>
    <cellStyle name="Normal 2 2 2 2 84 3" xfId="10038" xr:uid="{00000000-0005-0000-0000-0000AE130000}"/>
    <cellStyle name="Normal 2 2 2 2 85" xfId="4338" xr:uid="{00000000-0005-0000-0000-0000AF130000}"/>
    <cellStyle name="Normal 2 2 2 2 85 2" xfId="4339" xr:uid="{00000000-0005-0000-0000-0000B0130000}"/>
    <cellStyle name="Normal 2 2 2 2 85 3" xfId="10039" xr:uid="{00000000-0005-0000-0000-0000B1130000}"/>
    <cellStyle name="Normal 2 2 2 2 86" xfId="4340" xr:uid="{00000000-0005-0000-0000-0000B2130000}"/>
    <cellStyle name="Normal 2 2 2 2 86 2" xfId="4341" xr:uid="{00000000-0005-0000-0000-0000B3130000}"/>
    <cellStyle name="Normal 2 2 2 2 86 3" xfId="10040" xr:uid="{00000000-0005-0000-0000-0000B4130000}"/>
    <cellStyle name="Normal 2 2 2 2 87" xfId="4342" xr:uid="{00000000-0005-0000-0000-0000B5130000}"/>
    <cellStyle name="Normal 2 2 2 2 87 2" xfId="4343" xr:uid="{00000000-0005-0000-0000-0000B6130000}"/>
    <cellStyle name="Normal 2 2 2 2 87 3" xfId="10041" xr:uid="{00000000-0005-0000-0000-0000B7130000}"/>
    <cellStyle name="Normal 2 2 2 2 88" xfId="4344" xr:uid="{00000000-0005-0000-0000-0000B8130000}"/>
    <cellStyle name="Normal 2 2 2 2 88 2" xfId="4345" xr:uid="{00000000-0005-0000-0000-0000B9130000}"/>
    <cellStyle name="Normal 2 2 2 2 88 3" xfId="10042" xr:uid="{00000000-0005-0000-0000-0000BA130000}"/>
    <cellStyle name="Normal 2 2 2 2 89" xfId="4346" xr:uid="{00000000-0005-0000-0000-0000BB130000}"/>
    <cellStyle name="Normal 2 2 2 2 89 2" xfId="4347" xr:uid="{00000000-0005-0000-0000-0000BC130000}"/>
    <cellStyle name="Normal 2 2 2 2 89 3" xfId="10043" xr:uid="{00000000-0005-0000-0000-0000BD130000}"/>
    <cellStyle name="Normal 2 2 2 2 9" xfId="4348" xr:uid="{00000000-0005-0000-0000-0000BE130000}"/>
    <cellStyle name="Normal 2 2 2 2 9 2" xfId="4349" xr:uid="{00000000-0005-0000-0000-0000BF130000}"/>
    <cellStyle name="Normal 2 2 2 2 9 2 2" xfId="4350" xr:uid="{00000000-0005-0000-0000-0000C0130000}"/>
    <cellStyle name="Normal 2 2 2 2 9 2 3" xfId="10045" xr:uid="{00000000-0005-0000-0000-0000C1130000}"/>
    <cellStyle name="Normal 2 2 2 2 9 3" xfId="4351" xr:uid="{00000000-0005-0000-0000-0000C2130000}"/>
    <cellStyle name="Normal 2 2 2 2 9 4" xfId="10044" xr:uid="{00000000-0005-0000-0000-0000C3130000}"/>
    <cellStyle name="Normal 2 2 2 2 90" xfId="4352" xr:uid="{00000000-0005-0000-0000-0000C4130000}"/>
    <cellStyle name="Normal 2 2 2 2 90 2" xfId="4353" xr:uid="{00000000-0005-0000-0000-0000C5130000}"/>
    <cellStyle name="Normal 2 2 2 2 90 3" xfId="10046" xr:uid="{00000000-0005-0000-0000-0000C6130000}"/>
    <cellStyle name="Normal 2 2 2 2 91" xfId="4354" xr:uid="{00000000-0005-0000-0000-0000C7130000}"/>
    <cellStyle name="Normal 2 2 2 2 91 2" xfId="4355" xr:uid="{00000000-0005-0000-0000-0000C8130000}"/>
    <cellStyle name="Normal 2 2 2 2 91 3" xfId="10047" xr:uid="{00000000-0005-0000-0000-0000C9130000}"/>
    <cellStyle name="Normal 2 2 2 2 92" xfId="4356" xr:uid="{00000000-0005-0000-0000-0000CA130000}"/>
    <cellStyle name="Normal 2 2 2 2 92 2" xfId="4357" xr:uid="{00000000-0005-0000-0000-0000CB130000}"/>
    <cellStyle name="Normal 2 2 2 2 92 3" xfId="4358" xr:uid="{00000000-0005-0000-0000-0000CC130000}"/>
    <cellStyle name="Normal 2 2 2 2 92 4" xfId="10048" xr:uid="{00000000-0005-0000-0000-0000CD130000}"/>
    <cellStyle name="Normal 2 2 2 2 93" xfId="4359" xr:uid="{00000000-0005-0000-0000-0000CE130000}"/>
    <cellStyle name="Normal 2 2 2 2 93 2" xfId="4360" xr:uid="{00000000-0005-0000-0000-0000CF130000}"/>
    <cellStyle name="Normal 2 2 2 2 93 3" xfId="10049" xr:uid="{00000000-0005-0000-0000-0000D0130000}"/>
    <cellStyle name="Normal 2 2 2 2 94" xfId="4361" xr:uid="{00000000-0005-0000-0000-0000D1130000}"/>
    <cellStyle name="Normal 2 2 2 2 94 2" xfId="4362" xr:uid="{00000000-0005-0000-0000-0000D2130000}"/>
    <cellStyle name="Normal 2 2 2 2 94 3" xfId="10050" xr:uid="{00000000-0005-0000-0000-0000D3130000}"/>
    <cellStyle name="Normal 2 2 2 2 95" xfId="4363" xr:uid="{00000000-0005-0000-0000-0000D4130000}"/>
    <cellStyle name="Normal 2 2 2 2 95 2" xfId="4364" xr:uid="{00000000-0005-0000-0000-0000D5130000}"/>
    <cellStyle name="Normal 2 2 2 2 95 3" xfId="10051" xr:uid="{00000000-0005-0000-0000-0000D6130000}"/>
    <cellStyle name="Normal 2 2 2 2 96" xfId="4365" xr:uid="{00000000-0005-0000-0000-0000D7130000}"/>
    <cellStyle name="Normal 2 2 2 2 96 2" xfId="4366" xr:uid="{00000000-0005-0000-0000-0000D8130000}"/>
    <cellStyle name="Normal 2 2 2 2 96 3" xfId="10052" xr:uid="{00000000-0005-0000-0000-0000D9130000}"/>
    <cellStyle name="Normal 2 2 2 2 97" xfId="4367" xr:uid="{00000000-0005-0000-0000-0000DA130000}"/>
    <cellStyle name="Normal 2 2 2 2 97 2" xfId="4368" xr:uid="{00000000-0005-0000-0000-0000DB130000}"/>
    <cellStyle name="Normal 2 2 2 2 97 3" xfId="10053" xr:uid="{00000000-0005-0000-0000-0000DC130000}"/>
    <cellStyle name="Normal 2 2 2 2 98" xfId="4369" xr:uid="{00000000-0005-0000-0000-0000DD130000}"/>
    <cellStyle name="Normal 2 2 2 2 98 2" xfId="4370" xr:uid="{00000000-0005-0000-0000-0000DE130000}"/>
    <cellStyle name="Normal 2 2 2 2 98 3" xfId="10054" xr:uid="{00000000-0005-0000-0000-0000DF130000}"/>
    <cellStyle name="Normal 2 2 2 2 99" xfId="4371" xr:uid="{00000000-0005-0000-0000-0000E0130000}"/>
    <cellStyle name="Normal 2 2 2 2 99 2" xfId="4372" xr:uid="{00000000-0005-0000-0000-0000E1130000}"/>
    <cellStyle name="Normal 2 2 2 2 99 3" xfId="10055" xr:uid="{00000000-0005-0000-0000-0000E2130000}"/>
    <cellStyle name="Normal 2 2 2 20" xfId="4373" xr:uid="{00000000-0005-0000-0000-0000E3130000}"/>
    <cellStyle name="Normal 2 2 2 20 2" xfId="4374" xr:uid="{00000000-0005-0000-0000-0000E4130000}"/>
    <cellStyle name="Normal 2 2 2 21" xfId="4375" xr:uid="{00000000-0005-0000-0000-0000E5130000}"/>
    <cellStyle name="Normal 2 2 2 21 2" xfId="4376" xr:uid="{00000000-0005-0000-0000-0000E6130000}"/>
    <cellStyle name="Normal 2 2 2 22" xfId="4377" xr:uid="{00000000-0005-0000-0000-0000E7130000}"/>
    <cellStyle name="Normal 2 2 2 22 2" xfId="4378" xr:uid="{00000000-0005-0000-0000-0000E8130000}"/>
    <cellStyle name="Normal 2 2 2 23" xfId="4379" xr:uid="{00000000-0005-0000-0000-0000E9130000}"/>
    <cellStyle name="Normal 2 2 2 23 2" xfId="4380" xr:uid="{00000000-0005-0000-0000-0000EA130000}"/>
    <cellStyle name="Normal 2 2 2 24" xfId="4381" xr:uid="{00000000-0005-0000-0000-0000EB130000}"/>
    <cellStyle name="Normal 2 2 2 24 2" xfId="4382" xr:uid="{00000000-0005-0000-0000-0000EC130000}"/>
    <cellStyle name="Normal 2 2 2 25" xfId="4383" xr:uid="{00000000-0005-0000-0000-0000ED130000}"/>
    <cellStyle name="Normal 2 2 2 25 2" xfId="4384" xr:uid="{00000000-0005-0000-0000-0000EE130000}"/>
    <cellStyle name="Normal 2 2 2 26" xfId="4385" xr:uid="{00000000-0005-0000-0000-0000EF130000}"/>
    <cellStyle name="Normal 2 2 2 26 2" xfId="4386" xr:uid="{00000000-0005-0000-0000-0000F0130000}"/>
    <cellStyle name="Normal 2 2 2 27" xfId="4387" xr:uid="{00000000-0005-0000-0000-0000F1130000}"/>
    <cellStyle name="Normal 2 2 2 27 2" xfId="4388" xr:uid="{00000000-0005-0000-0000-0000F2130000}"/>
    <cellStyle name="Normal 2 2 2 28" xfId="4389" xr:uid="{00000000-0005-0000-0000-0000F3130000}"/>
    <cellStyle name="Normal 2 2 2 28 2" xfId="4390" xr:uid="{00000000-0005-0000-0000-0000F4130000}"/>
    <cellStyle name="Normal 2 2 2 29" xfId="4391" xr:uid="{00000000-0005-0000-0000-0000F5130000}"/>
    <cellStyle name="Normal 2 2 2 29 2" xfId="4392" xr:uid="{00000000-0005-0000-0000-0000F6130000}"/>
    <cellStyle name="Normal 2 2 2 3" xfId="4393" xr:uid="{00000000-0005-0000-0000-0000F7130000}"/>
    <cellStyle name="Normal 2 2 2 3 2" xfId="4394" xr:uid="{00000000-0005-0000-0000-0000F8130000}"/>
    <cellStyle name="Normal 2 2 2 3 2 2" xfId="4395" xr:uid="{00000000-0005-0000-0000-0000F9130000}"/>
    <cellStyle name="Normal 2 2 2 3 2 3" xfId="4396" xr:uid="{00000000-0005-0000-0000-0000FA130000}"/>
    <cellStyle name="Normal 2 2 2 3 2 4" xfId="10057" xr:uid="{00000000-0005-0000-0000-0000FB130000}"/>
    <cellStyle name="Normal 2 2 2 3 3" xfId="4397" xr:uid="{00000000-0005-0000-0000-0000FC130000}"/>
    <cellStyle name="Normal 2 2 2 3 3 2" xfId="4398" xr:uid="{00000000-0005-0000-0000-0000FD130000}"/>
    <cellStyle name="Normal 2 2 2 3 3 3" xfId="10058" xr:uid="{00000000-0005-0000-0000-0000FE130000}"/>
    <cellStyle name="Normal 2 2 2 3 4" xfId="4399" xr:uid="{00000000-0005-0000-0000-0000FF130000}"/>
    <cellStyle name="Normal 2 2 2 3 4 2" xfId="10059" xr:uid="{00000000-0005-0000-0000-000000140000}"/>
    <cellStyle name="Normal 2 2 2 3 5" xfId="4400" xr:uid="{00000000-0005-0000-0000-000001140000}"/>
    <cellStyle name="Normal 2 2 2 3 5 2" xfId="11132" xr:uid="{00000000-0005-0000-0000-000002140000}"/>
    <cellStyle name="Normal 2 2 2 3 6" xfId="4401" xr:uid="{00000000-0005-0000-0000-000003140000}"/>
    <cellStyle name="Normal 2 2 2 3 7" xfId="4402" xr:uid="{00000000-0005-0000-0000-000004140000}"/>
    <cellStyle name="Normal 2 2 2 3 8" xfId="10056" xr:uid="{00000000-0005-0000-0000-000005140000}"/>
    <cellStyle name="Normal 2 2 2 30" xfId="4403" xr:uid="{00000000-0005-0000-0000-000006140000}"/>
    <cellStyle name="Normal 2 2 2 30 2" xfId="4404" xr:uid="{00000000-0005-0000-0000-000007140000}"/>
    <cellStyle name="Normal 2 2 2 31" xfId="4405" xr:uid="{00000000-0005-0000-0000-000008140000}"/>
    <cellStyle name="Normal 2 2 2 31 2" xfId="4406" xr:uid="{00000000-0005-0000-0000-000009140000}"/>
    <cellStyle name="Normal 2 2 2 32" xfId="4407" xr:uid="{00000000-0005-0000-0000-00000A140000}"/>
    <cellStyle name="Normal 2 2 2 32 2" xfId="4408" xr:uid="{00000000-0005-0000-0000-00000B140000}"/>
    <cellStyle name="Normal 2 2 2 33" xfId="4409" xr:uid="{00000000-0005-0000-0000-00000C140000}"/>
    <cellStyle name="Normal 2 2 2 33 2" xfId="4410" xr:uid="{00000000-0005-0000-0000-00000D140000}"/>
    <cellStyle name="Normal 2 2 2 34" xfId="4411" xr:uid="{00000000-0005-0000-0000-00000E140000}"/>
    <cellStyle name="Normal 2 2 2 34 2" xfId="4412" xr:uid="{00000000-0005-0000-0000-00000F140000}"/>
    <cellStyle name="Normal 2 2 2 35" xfId="4413" xr:uid="{00000000-0005-0000-0000-000010140000}"/>
    <cellStyle name="Normal 2 2 2 35 2" xfId="4414" xr:uid="{00000000-0005-0000-0000-000011140000}"/>
    <cellStyle name="Normal 2 2 2 36" xfId="4415" xr:uid="{00000000-0005-0000-0000-000012140000}"/>
    <cellStyle name="Normal 2 2 2 36 2" xfId="4416" xr:uid="{00000000-0005-0000-0000-000013140000}"/>
    <cellStyle name="Normal 2 2 2 37" xfId="4417" xr:uid="{00000000-0005-0000-0000-000014140000}"/>
    <cellStyle name="Normal 2 2 2 37 2" xfId="4418" xr:uid="{00000000-0005-0000-0000-000015140000}"/>
    <cellStyle name="Normal 2 2 2 38" xfId="4419" xr:uid="{00000000-0005-0000-0000-000016140000}"/>
    <cellStyle name="Normal 2 2 2 38 2" xfId="4420" xr:uid="{00000000-0005-0000-0000-000017140000}"/>
    <cellStyle name="Normal 2 2 2 39" xfId="4421" xr:uid="{00000000-0005-0000-0000-000018140000}"/>
    <cellStyle name="Normal 2 2 2 39 2" xfId="4422" xr:uid="{00000000-0005-0000-0000-000019140000}"/>
    <cellStyle name="Normal 2 2 2 4" xfId="4423" xr:uid="{00000000-0005-0000-0000-00001A140000}"/>
    <cellStyle name="Normal 2 2 2 4 2" xfId="4424" xr:uid="{00000000-0005-0000-0000-00001B140000}"/>
    <cellStyle name="Normal 2 2 2 4 2 2" xfId="4425" xr:uid="{00000000-0005-0000-0000-00001C140000}"/>
    <cellStyle name="Normal 2 2 2 4 2 3" xfId="4426" xr:uid="{00000000-0005-0000-0000-00001D140000}"/>
    <cellStyle name="Normal 2 2 2 4 2 4" xfId="10061" xr:uid="{00000000-0005-0000-0000-00001E140000}"/>
    <cellStyle name="Normal 2 2 2 4 3" xfId="4427" xr:uid="{00000000-0005-0000-0000-00001F140000}"/>
    <cellStyle name="Normal 2 2 2 4 3 2" xfId="4428" xr:uid="{00000000-0005-0000-0000-000020140000}"/>
    <cellStyle name="Normal 2 2 2 4 3 3" xfId="10062" xr:uid="{00000000-0005-0000-0000-000021140000}"/>
    <cellStyle name="Normal 2 2 2 4 4" xfId="4429" xr:uid="{00000000-0005-0000-0000-000022140000}"/>
    <cellStyle name="Normal 2 2 2 4 4 2" xfId="10063" xr:uid="{00000000-0005-0000-0000-000023140000}"/>
    <cellStyle name="Normal 2 2 2 4 5" xfId="4430" xr:uid="{00000000-0005-0000-0000-000024140000}"/>
    <cellStyle name="Normal 2 2 2 4 5 2" xfId="11133" xr:uid="{00000000-0005-0000-0000-000025140000}"/>
    <cellStyle name="Normal 2 2 2 4 6" xfId="4431" xr:uid="{00000000-0005-0000-0000-000026140000}"/>
    <cellStyle name="Normal 2 2 2 4 7" xfId="4432" xr:uid="{00000000-0005-0000-0000-000027140000}"/>
    <cellStyle name="Normal 2 2 2 4 8" xfId="10060" xr:uid="{00000000-0005-0000-0000-000028140000}"/>
    <cellStyle name="Normal 2 2 2 40" xfId="4433" xr:uid="{00000000-0005-0000-0000-000029140000}"/>
    <cellStyle name="Normal 2 2 2 40 2" xfId="4434" xr:uid="{00000000-0005-0000-0000-00002A140000}"/>
    <cellStyle name="Normal 2 2 2 41" xfId="4435" xr:uid="{00000000-0005-0000-0000-00002B140000}"/>
    <cellStyle name="Normal 2 2 2 41 2" xfId="4436" xr:uid="{00000000-0005-0000-0000-00002C140000}"/>
    <cellStyle name="Normal 2 2 2 42" xfId="4437" xr:uid="{00000000-0005-0000-0000-00002D140000}"/>
    <cellStyle name="Normal 2 2 2 42 2" xfId="4438" xr:uid="{00000000-0005-0000-0000-00002E140000}"/>
    <cellStyle name="Normal 2 2 2 43" xfId="4439" xr:uid="{00000000-0005-0000-0000-00002F140000}"/>
    <cellStyle name="Normal 2 2 2 43 2" xfId="4440" xr:uid="{00000000-0005-0000-0000-000030140000}"/>
    <cellStyle name="Normal 2 2 2 44" xfId="4441" xr:uid="{00000000-0005-0000-0000-000031140000}"/>
    <cellStyle name="Normal 2 2 2 44 2" xfId="4442" xr:uid="{00000000-0005-0000-0000-000032140000}"/>
    <cellStyle name="Normal 2 2 2 45" xfId="4443" xr:uid="{00000000-0005-0000-0000-000033140000}"/>
    <cellStyle name="Normal 2 2 2 45 2" xfId="4444" xr:uid="{00000000-0005-0000-0000-000034140000}"/>
    <cellStyle name="Normal 2 2 2 46" xfId="4445" xr:uid="{00000000-0005-0000-0000-000035140000}"/>
    <cellStyle name="Normal 2 2 2 46 2" xfId="4446" xr:uid="{00000000-0005-0000-0000-000036140000}"/>
    <cellStyle name="Normal 2 2 2 47" xfId="4447" xr:uid="{00000000-0005-0000-0000-000037140000}"/>
    <cellStyle name="Normal 2 2 2 47 2" xfId="4448" xr:uid="{00000000-0005-0000-0000-000038140000}"/>
    <cellStyle name="Normal 2 2 2 48" xfId="4449" xr:uid="{00000000-0005-0000-0000-000039140000}"/>
    <cellStyle name="Normal 2 2 2 48 2" xfId="4450" xr:uid="{00000000-0005-0000-0000-00003A140000}"/>
    <cellStyle name="Normal 2 2 2 49" xfId="4451" xr:uid="{00000000-0005-0000-0000-00003B140000}"/>
    <cellStyle name="Normal 2 2 2 49 2" xfId="4452" xr:uid="{00000000-0005-0000-0000-00003C140000}"/>
    <cellStyle name="Normal 2 2 2 5" xfId="4453" xr:uid="{00000000-0005-0000-0000-00003D140000}"/>
    <cellStyle name="Normal 2 2 2 5 10" xfId="4454" xr:uid="{00000000-0005-0000-0000-00003E140000}"/>
    <cellStyle name="Normal 2 2 2 5 10 2" xfId="4455" xr:uid="{00000000-0005-0000-0000-00003F140000}"/>
    <cellStyle name="Normal 2 2 2 5 10 3" xfId="10064" xr:uid="{00000000-0005-0000-0000-000040140000}"/>
    <cellStyle name="Normal 2 2 2 5 11" xfId="4456" xr:uid="{00000000-0005-0000-0000-000041140000}"/>
    <cellStyle name="Normal 2 2 2 5 11 2" xfId="4457" xr:uid="{00000000-0005-0000-0000-000042140000}"/>
    <cellStyle name="Normal 2 2 2 5 11 3" xfId="10065" xr:uid="{00000000-0005-0000-0000-000043140000}"/>
    <cellStyle name="Normal 2 2 2 5 12" xfId="4458" xr:uid="{00000000-0005-0000-0000-000044140000}"/>
    <cellStyle name="Normal 2 2 2 5 12 2" xfId="4459" xr:uid="{00000000-0005-0000-0000-000045140000}"/>
    <cellStyle name="Normal 2 2 2 5 12 3" xfId="10066" xr:uid="{00000000-0005-0000-0000-000046140000}"/>
    <cellStyle name="Normal 2 2 2 5 13" xfId="4460" xr:uid="{00000000-0005-0000-0000-000047140000}"/>
    <cellStyle name="Normal 2 2 2 5 13 2" xfId="4461" xr:uid="{00000000-0005-0000-0000-000048140000}"/>
    <cellStyle name="Normal 2 2 2 5 13 3" xfId="10067" xr:uid="{00000000-0005-0000-0000-000049140000}"/>
    <cellStyle name="Normal 2 2 2 5 14" xfId="4462" xr:uid="{00000000-0005-0000-0000-00004A140000}"/>
    <cellStyle name="Normal 2 2 2 5 14 2" xfId="4463" xr:uid="{00000000-0005-0000-0000-00004B140000}"/>
    <cellStyle name="Normal 2 2 2 5 14 3" xfId="10068" xr:uid="{00000000-0005-0000-0000-00004C140000}"/>
    <cellStyle name="Normal 2 2 2 5 15" xfId="4464" xr:uid="{00000000-0005-0000-0000-00004D140000}"/>
    <cellStyle name="Normal 2 2 2 5 15 2" xfId="4465" xr:uid="{00000000-0005-0000-0000-00004E140000}"/>
    <cellStyle name="Normal 2 2 2 5 15 3" xfId="10069" xr:uid="{00000000-0005-0000-0000-00004F140000}"/>
    <cellStyle name="Normal 2 2 2 5 16" xfId="4466" xr:uid="{00000000-0005-0000-0000-000050140000}"/>
    <cellStyle name="Normal 2 2 2 5 16 2" xfId="4467" xr:uid="{00000000-0005-0000-0000-000051140000}"/>
    <cellStyle name="Normal 2 2 2 5 16 3" xfId="10070" xr:uid="{00000000-0005-0000-0000-000052140000}"/>
    <cellStyle name="Normal 2 2 2 5 17" xfId="4468" xr:uid="{00000000-0005-0000-0000-000053140000}"/>
    <cellStyle name="Normal 2 2 2 5 17 2" xfId="4469" xr:uid="{00000000-0005-0000-0000-000054140000}"/>
    <cellStyle name="Normal 2 2 2 5 17 3" xfId="10071" xr:uid="{00000000-0005-0000-0000-000055140000}"/>
    <cellStyle name="Normal 2 2 2 5 18" xfId="4470" xr:uid="{00000000-0005-0000-0000-000056140000}"/>
    <cellStyle name="Normal 2 2 2 5 18 2" xfId="4471" xr:uid="{00000000-0005-0000-0000-000057140000}"/>
    <cellStyle name="Normal 2 2 2 5 18 3" xfId="10072" xr:uid="{00000000-0005-0000-0000-000058140000}"/>
    <cellStyle name="Normal 2 2 2 5 19" xfId="4472" xr:uid="{00000000-0005-0000-0000-000059140000}"/>
    <cellStyle name="Normal 2 2 2 5 19 2" xfId="4473" xr:uid="{00000000-0005-0000-0000-00005A140000}"/>
    <cellStyle name="Normal 2 2 2 5 19 3" xfId="10073" xr:uid="{00000000-0005-0000-0000-00005B140000}"/>
    <cellStyle name="Normal 2 2 2 5 2" xfId="4474" xr:uid="{00000000-0005-0000-0000-00005C140000}"/>
    <cellStyle name="Normal 2 2 2 5 2 2" xfId="4475" xr:uid="{00000000-0005-0000-0000-00005D140000}"/>
    <cellStyle name="Normal 2 2 2 5 2 2 2" xfId="4476" xr:uid="{00000000-0005-0000-0000-00005E140000}"/>
    <cellStyle name="Normal 2 2 2 5 2 2 2 2" xfId="4477" xr:uid="{00000000-0005-0000-0000-00005F140000}"/>
    <cellStyle name="Normal 2 2 2 5 2 2 3" xfId="4478" xr:uid="{00000000-0005-0000-0000-000060140000}"/>
    <cellStyle name="Normal 2 2 2 5 2 3" xfId="4479" xr:uid="{00000000-0005-0000-0000-000061140000}"/>
    <cellStyle name="Normal 2 2 2 5 2 3 2" xfId="4480" xr:uid="{00000000-0005-0000-0000-000062140000}"/>
    <cellStyle name="Normal 2 2 2 5 2 3 2 2" xfId="4481" xr:uid="{00000000-0005-0000-0000-000063140000}"/>
    <cellStyle name="Normal 2 2 2 5 2 3 3" xfId="4482" xr:uid="{00000000-0005-0000-0000-000064140000}"/>
    <cellStyle name="Normal 2 2 2 5 2 4" xfId="4483" xr:uid="{00000000-0005-0000-0000-000065140000}"/>
    <cellStyle name="Normal 2 2 2 5 2 4 2" xfId="4484" xr:uid="{00000000-0005-0000-0000-000066140000}"/>
    <cellStyle name="Normal 2 2 2 5 2 4 2 2" xfId="4485" xr:uid="{00000000-0005-0000-0000-000067140000}"/>
    <cellStyle name="Normal 2 2 2 5 2 4 3" xfId="4486" xr:uid="{00000000-0005-0000-0000-000068140000}"/>
    <cellStyle name="Normal 2 2 2 5 2 5" xfId="4487" xr:uid="{00000000-0005-0000-0000-000069140000}"/>
    <cellStyle name="Normal 2 2 2 5 2 5 2" xfId="4488" xr:uid="{00000000-0005-0000-0000-00006A140000}"/>
    <cellStyle name="Normal 2 2 2 5 2 5 2 2" xfId="4489" xr:uid="{00000000-0005-0000-0000-00006B140000}"/>
    <cellStyle name="Normal 2 2 2 5 2 5 3" xfId="4490" xr:uid="{00000000-0005-0000-0000-00006C140000}"/>
    <cellStyle name="Normal 2 2 2 5 2 6" xfId="4491" xr:uid="{00000000-0005-0000-0000-00006D140000}"/>
    <cellStyle name="Normal 2 2 2 5 2 6 2" xfId="4492" xr:uid="{00000000-0005-0000-0000-00006E140000}"/>
    <cellStyle name="Normal 2 2 2 5 2 6 3" xfId="4493" xr:uid="{00000000-0005-0000-0000-00006F140000}"/>
    <cellStyle name="Normal 2 2 2 5 2 6 4" xfId="10074" xr:uid="{00000000-0005-0000-0000-000070140000}"/>
    <cellStyle name="Normal 2 2 2 5 2 7" xfId="4494" xr:uid="{00000000-0005-0000-0000-000071140000}"/>
    <cellStyle name="Normal 2 2 2 5 2 7 2" xfId="4495" xr:uid="{00000000-0005-0000-0000-000072140000}"/>
    <cellStyle name="Normal 2 2 2 5 2 7 3" xfId="10075" xr:uid="{00000000-0005-0000-0000-000073140000}"/>
    <cellStyle name="Normal 2 2 2 5 2 8" xfId="4496" xr:uid="{00000000-0005-0000-0000-000074140000}"/>
    <cellStyle name="Normal 2 2 2 5 2 9" xfId="4497" xr:uid="{00000000-0005-0000-0000-000075140000}"/>
    <cellStyle name="Normal 2 2 2 5 20" xfId="4498" xr:uid="{00000000-0005-0000-0000-000076140000}"/>
    <cellStyle name="Normal 2 2 2 5 20 2" xfId="4499" xr:uid="{00000000-0005-0000-0000-000077140000}"/>
    <cellStyle name="Normal 2 2 2 5 20 3" xfId="10076" xr:uid="{00000000-0005-0000-0000-000078140000}"/>
    <cellStyle name="Normal 2 2 2 5 21" xfId="4500" xr:uid="{00000000-0005-0000-0000-000079140000}"/>
    <cellStyle name="Normal 2 2 2 5 21 2" xfId="4501" xr:uid="{00000000-0005-0000-0000-00007A140000}"/>
    <cellStyle name="Normal 2 2 2 5 21 3" xfId="10077" xr:uid="{00000000-0005-0000-0000-00007B140000}"/>
    <cellStyle name="Normal 2 2 2 5 22" xfId="4502" xr:uid="{00000000-0005-0000-0000-00007C140000}"/>
    <cellStyle name="Normal 2 2 2 5 22 2" xfId="4503" xr:uid="{00000000-0005-0000-0000-00007D140000}"/>
    <cellStyle name="Normal 2 2 2 5 22 3" xfId="10078" xr:uid="{00000000-0005-0000-0000-00007E140000}"/>
    <cellStyle name="Normal 2 2 2 5 23" xfId="4504" xr:uid="{00000000-0005-0000-0000-00007F140000}"/>
    <cellStyle name="Normal 2 2 2 5 23 2" xfId="4505" xr:uid="{00000000-0005-0000-0000-000080140000}"/>
    <cellStyle name="Normal 2 2 2 5 23 3" xfId="10079" xr:uid="{00000000-0005-0000-0000-000081140000}"/>
    <cellStyle name="Normal 2 2 2 5 24" xfId="4506" xr:uid="{00000000-0005-0000-0000-000082140000}"/>
    <cellStyle name="Normal 2 2 2 5 24 2" xfId="4507" xr:uid="{00000000-0005-0000-0000-000083140000}"/>
    <cellStyle name="Normal 2 2 2 5 24 3" xfId="10080" xr:uid="{00000000-0005-0000-0000-000084140000}"/>
    <cellStyle name="Normal 2 2 2 5 25" xfId="4508" xr:uid="{00000000-0005-0000-0000-000085140000}"/>
    <cellStyle name="Normal 2 2 2 5 25 2" xfId="4509" xr:uid="{00000000-0005-0000-0000-000086140000}"/>
    <cellStyle name="Normal 2 2 2 5 25 3" xfId="10081" xr:uid="{00000000-0005-0000-0000-000087140000}"/>
    <cellStyle name="Normal 2 2 2 5 26" xfId="4510" xr:uid="{00000000-0005-0000-0000-000088140000}"/>
    <cellStyle name="Normal 2 2 2 5 26 2" xfId="4511" xr:uid="{00000000-0005-0000-0000-000089140000}"/>
    <cellStyle name="Normal 2 2 2 5 26 3" xfId="10082" xr:uid="{00000000-0005-0000-0000-00008A140000}"/>
    <cellStyle name="Normal 2 2 2 5 27" xfId="4512" xr:uid="{00000000-0005-0000-0000-00008B140000}"/>
    <cellStyle name="Normal 2 2 2 5 27 2" xfId="4513" xr:uid="{00000000-0005-0000-0000-00008C140000}"/>
    <cellStyle name="Normal 2 2 2 5 27 3" xfId="10083" xr:uid="{00000000-0005-0000-0000-00008D140000}"/>
    <cellStyle name="Normal 2 2 2 5 28" xfId="4514" xr:uid="{00000000-0005-0000-0000-00008E140000}"/>
    <cellStyle name="Normal 2 2 2 5 28 2" xfId="4515" xr:uid="{00000000-0005-0000-0000-00008F140000}"/>
    <cellStyle name="Normal 2 2 2 5 28 3" xfId="10084" xr:uid="{00000000-0005-0000-0000-000090140000}"/>
    <cellStyle name="Normal 2 2 2 5 29" xfId="4516" xr:uid="{00000000-0005-0000-0000-000091140000}"/>
    <cellStyle name="Normal 2 2 2 5 29 2" xfId="4517" xr:uid="{00000000-0005-0000-0000-000092140000}"/>
    <cellStyle name="Normal 2 2 2 5 29 3" xfId="10085" xr:uid="{00000000-0005-0000-0000-000093140000}"/>
    <cellStyle name="Normal 2 2 2 5 3" xfId="4518" xr:uid="{00000000-0005-0000-0000-000094140000}"/>
    <cellStyle name="Normal 2 2 2 5 3 2" xfId="4519" xr:uid="{00000000-0005-0000-0000-000095140000}"/>
    <cellStyle name="Normal 2 2 2 5 30" xfId="4520" xr:uid="{00000000-0005-0000-0000-000096140000}"/>
    <cellStyle name="Normal 2 2 2 5 30 2" xfId="4521" xr:uid="{00000000-0005-0000-0000-000097140000}"/>
    <cellStyle name="Normal 2 2 2 5 30 3" xfId="10086" xr:uid="{00000000-0005-0000-0000-000098140000}"/>
    <cellStyle name="Normal 2 2 2 5 31" xfId="4522" xr:uid="{00000000-0005-0000-0000-000099140000}"/>
    <cellStyle name="Normal 2 2 2 5 31 2" xfId="4523" xr:uid="{00000000-0005-0000-0000-00009A140000}"/>
    <cellStyle name="Normal 2 2 2 5 31 3" xfId="10087" xr:uid="{00000000-0005-0000-0000-00009B140000}"/>
    <cellStyle name="Normal 2 2 2 5 32" xfId="4524" xr:uid="{00000000-0005-0000-0000-00009C140000}"/>
    <cellStyle name="Normal 2 2 2 5 32 2" xfId="4525" xr:uid="{00000000-0005-0000-0000-00009D140000}"/>
    <cellStyle name="Normal 2 2 2 5 32 3" xfId="10088" xr:uid="{00000000-0005-0000-0000-00009E140000}"/>
    <cellStyle name="Normal 2 2 2 5 33" xfId="4526" xr:uid="{00000000-0005-0000-0000-00009F140000}"/>
    <cellStyle name="Normal 2 2 2 5 33 2" xfId="4527" xr:uid="{00000000-0005-0000-0000-0000A0140000}"/>
    <cellStyle name="Normal 2 2 2 5 33 3" xfId="10089" xr:uid="{00000000-0005-0000-0000-0000A1140000}"/>
    <cellStyle name="Normal 2 2 2 5 34" xfId="4528" xr:uid="{00000000-0005-0000-0000-0000A2140000}"/>
    <cellStyle name="Normal 2 2 2 5 34 2" xfId="4529" xr:uid="{00000000-0005-0000-0000-0000A3140000}"/>
    <cellStyle name="Normal 2 2 2 5 34 3" xfId="10090" xr:uid="{00000000-0005-0000-0000-0000A4140000}"/>
    <cellStyle name="Normal 2 2 2 5 35" xfId="4530" xr:uid="{00000000-0005-0000-0000-0000A5140000}"/>
    <cellStyle name="Normal 2 2 2 5 35 2" xfId="4531" xr:uid="{00000000-0005-0000-0000-0000A6140000}"/>
    <cellStyle name="Normal 2 2 2 5 35 3" xfId="10091" xr:uid="{00000000-0005-0000-0000-0000A7140000}"/>
    <cellStyle name="Normal 2 2 2 5 36" xfId="4532" xr:uid="{00000000-0005-0000-0000-0000A8140000}"/>
    <cellStyle name="Normal 2 2 2 5 36 2" xfId="4533" xr:uid="{00000000-0005-0000-0000-0000A9140000}"/>
    <cellStyle name="Normal 2 2 2 5 36 3" xfId="10092" xr:uid="{00000000-0005-0000-0000-0000AA140000}"/>
    <cellStyle name="Normal 2 2 2 5 37" xfId="4534" xr:uid="{00000000-0005-0000-0000-0000AB140000}"/>
    <cellStyle name="Normal 2 2 2 5 37 2" xfId="4535" xr:uid="{00000000-0005-0000-0000-0000AC140000}"/>
    <cellStyle name="Normal 2 2 2 5 37 3" xfId="10093" xr:uid="{00000000-0005-0000-0000-0000AD140000}"/>
    <cellStyle name="Normal 2 2 2 5 38" xfId="4536" xr:uid="{00000000-0005-0000-0000-0000AE140000}"/>
    <cellStyle name="Normal 2 2 2 5 38 2" xfId="4537" xr:uid="{00000000-0005-0000-0000-0000AF140000}"/>
    <cellStyle name="Normal 2 2 2 5 38 3" xfId="10094" xr:uid="{00000000-0005-0000-0000-0000B0140000}"/>
    <cellStyle name="Normal 2 2 2 5 39" xfId="4538" xr:uid="{00000000-0005-0000-0000-0000B1140000}"/>
    <cellStyle name="Normal 2 2 2 5 39 2" xfId="4539" xr:uid="{00000000-0005-0000-0000-0000B2140000}"/>
    <cellStyle name="Normal 2 2 2 5 39 3" xfId="10095" xr:uid="{00000000-0005-0000-0000-0000B3140000}"/>
    <cellStyle name="Normal 2 2 2 5 4" xfId="4540" xr:uid="{00000000-0005-0000-0000-0000B4140000}"/>
    <cellStyle name="Normal 2 2 2 5 4 2" xfId="4541" xr:uid="{00000000-0005-0000-0000-0000B5140000}"/>
    <cellStyle name="Normal 2 2 2 5 40" xfId="4542" xr:uid="{00000000-0005-0000-0000-0000B6140000}"/>
    <cellStyle name="Normal 2 2 2 5 40 2" xfId="4543" xr:uid="{00000000-0005-0000-0000-0000B7140000}"/>
    <cellStyle name="Normal 2 2 2 5 40 3" xfId="10096" xr:uid="{00000000-0005-0000-0000-0000B8140000}"/>
    <cellStyle name="Normal 2 2 2 5 41" xfId="4544" xr:uid="{00000000-0005-0000-0000-0000B9140000}"/>
    <cellStyle name="Normal 2 2 2 5 41 2" xfId="4545" xr:uid="{00000000-0005-0000-0000-0000BA140000}"/>
    <cellStyle name="Normal 2 2 2 5 41 3" xfId="10097" xr:uid="{00000000-0005-0000-0000-0000BB140000}"/>
    <cellStyle name="Normal 2 2 2 5 42" xfId="4546" xr:uid="{00000000-0005-0000-0000-0000BC140000}"/>
    <cellStyle name="Normal 2 2 2 5 43" xfId="4547" xr:uid="{00000000-0005-0000-0000-0000BD140000}"/>
    <cellStyle name="Normal 2 2 2 5 44" xfId="4548" xr:uid="{00000000-0005-0000-0000-0000BE140000}"/>
    <cellStyle name="Normal 2 2 2 5 45" xfId="4549" xr:uid="{00000000-0005-0000-0000-0000BF140000}"/>
    <cellStyle name="Normal 2 2 2 5 5" xfId="4550" xr:uid="{00000000-0005-0000-0000-0000C0140000}"/>
    <cellStyle name="Normal 2 2 2 5 5 2" xfId="4551" xr:uid="{00000000-0005-0000-0000-0000C1140000}"/>
    <cellStyle name="Normal 2 2 2 5 6" xfId="4552" xr:uid="{00000000-0005-0000-0000-0000C2140000}"/>
    <cellStyle name="Normal 2 2 2 5 6 2" xfId="4553" xr:uid="{00000000-0005-0000-0000-0000C3140000}"/>
    <cellStyle name="Normal 2 2 2 5 6 3" xfId="4554" xr:uid="{00000000-0005-0000-0000-0000C4140000}"/>
    <cellStyle name="Normal 2 2 2 5 6 4" xfId="10098" xr:uid="{00000000-0005-0000-0000-0000C5140000}"/>
    <cellStyle name="Normal 2 2 2 5 7" xfId="4555" xr:uid="{00000000-0005-0000-0000-0000C6140000}"/>
    <cellStyle name="Normal 2 2 2 5 7 2" xfId="4556" xr:uid="{00000000-0005-0000-0000-0000C7140000}"/>
    <cellStyle name="Normal 2 2 2 5 7 3" xfId="10099" xr:uid="{00000000-0005-0000-0000-0000C8140000}"/>
    <cellStyle name="Normal 2 2 2 5 8" xfId="4557" xr:uid="{00000000-0005-0000-0000-0000C9140000}"/>
    <cellStyle name="Normal 2 2 2 5 8 2" xfId="4558" xr:uid="{00000000-0005-0000-0000-0000CA140000}"/>
    <cellStyle name="Normal 2 2 2 5 8 3" xfId="4559" xr:uid="{00000000-0005-0000-0000-0000CB140000}"/>
    <cellStyle name="Normal 2 2 2 5 8 4" xfId="10100" xr:uid="{00000000-0005-0000-0000-0000CC140000}"/>
    <cellStyle name="Normal 2 2 2 5 9" xfId="4560" xr:uid="{00000000-0005-0000-0000-0000CD140000}"/>
    <cellStyle name="Normal 2 2 2 5 9 2" xfId="4561" xr:uid="{00000000-0005-0000-0000-0000CE140000}"/>
    <cellStyle name="Normal 2 2 2 5 9 3" xfId="10101" xr:uid="{00000000-0005-0000-0000-0000CF140000}"/>
    <cellStyle name="Normal 2 2 2 50" xfId="4562" xr:uid="{00000000-0005-0000-0000-0000D0140000}"/>
    <cellStyle name="Normal 2 2 2 50 2" xfId="4563" xr:uid="{00000000-0005-0000-0000-0000D1140000}"/>
    <cellStyle name="Normal 2 2 2 51" xfId="4564" xr:uid="{00000000-0005-0000-0000-0000D2140000}"/>
    <cellStyle name="Normal 2 2 2 51 2" xfId="4565" xr:uid="{00000000-0005-0000-0000-0000D3140000}"/>
    <cellStyle name="Normal 2 2 2 52" xfId="4566" xr:uid="{00000000-0005-0000-0000-0000D4140000}"/>
    <cellStyle name="Normal 2 2 2 52 2" xfId="4567" xr:uid="{00000000-0005-0000-0000-0000D5140000}"/>
    <cellStyle name="Normal 2 2 2 53" xfId="4568" xr:uid="{00000000-0005-0000-0000-0000D6140000}"/>
    <cellStyle name="Normal 2 2 2 53 2" xfId="4569" xr:uid="{00000000-0005-0000-0000-0000D7140000}"/>
    <cellStyle name="Normal 2 2 2 54" xfId="4570" xr:uid="{00000000-0005-0000-0000-0000D8140000}"/>
    <cellStyle name="Normal 2 2 2 54 2" xfId="4571" xr:uid="{00000000-0005-0000-0000-0000D9140000}"/>
    <cellStyle name="Normal 2 2 2 55" xfId="4572" xr:uid="{00000000-0005-0000-0000-0000DA140000}"/>
    <cellStyle name="Normal 2 2 2 55 2" xfId="4573" xr:uid="{00000000-0005-0000-0000-0000DB140000}"/>
    <cellStyle name="Normal 2 2 2 56" xfId="4574" xr:uid="{00000000-0005-0000-0000-0000DC140000}"/>
    <cellStyle name="Normal 2 2 2 56 2" xfId="4575" xr:uid="{00000000-0005-0000-0000-0000DD140000}"/>
    <cellStyle name="Normal 2 2 2 57" xfId="4576" xr:uid="{00000000-0005-0000-0000-0000DE140000}"/>
    <cellStyle name="Normal 2 2 2 57 2" xfId="4577" xr:uid="{00000000-0005-0000-0000-0000DF140000}"/>
    <cellStyle name="Normal 2 2 2 58" xfId="4578" xr:uid="{00000000-0005-0000-0000-0000E0140000}"/>
    <cellStyle name="Normal 2 2 2 58 2" xfId="4579" xr:uid="{00000000-0005-0000-0000-0000E1140000}"/>
    <cellStyle name="Normal 2 2 2 59" xfId="4580" xr:uid="{00000000-0005-0000-0000-0000E2140000}"/>
    <cellStyle name="Normal 2 2 2 59 2" xfId="4581" xr:uid="{00000000-0005-0000-0000-0000E3140000}"/>
    <cellStyle name="Normal 2 2 2 6" xfId="4582" xr:uid="{00000000-0005-0000-0000-0000E4140000}"/>
    <cellStyle name="Normal 2 2 2 6 10" xfId="4583" xr:uid="{00000000-0005-0000-0000-0000E5140000}"/>
    <cellStyle name="Normal 2 2 2 6 10 2" xfId="4584" xr:uid="{00000000-0005-0000-0000-0000E6140000}"/>
    <cellStyle name="Normal 2 2 2 6 10 3" xfId="10102" xr:uid="{00000000-0005-0000-0000-0000E7140000}"/>
    <cellStyle name="Normal 2 2 2 6 11" xfId="4585" xr:uid="{00000000-0005-0000-0000-0000E8140000}"/>
    <cellStyle name="Normal 2 2 2 6 11 2" xfId="4586" xr:uid="{00000000-0005-0000-0000-0000E9140000}"/>
    <cellStyle name="Normal 2 2 2 6 11 3" xfId="10103" xr:uid="{00000000-0005-0000-0000-0000EA140000}"/>
    <cellStyle name="Normal 2 2 2 6 12" xfId="4587" xr:uid="{00000000-0005-0000-0000-0000EB140000}"/>
    <cellStyle name="Normal 2 2 2 6 12 2" xfId="4588" xr:uid="{00000000-0005-0000-0000-0000EC140000}"/>
    <cellStyle name="Normal 2 2 2 6 12 3" xfId="10104" xr:uid="{00000000-0005-0000-0000-0000ED140000}"/>
    <cellStyle name="Normal 2 2 2 6 13" xfId="4589" xr:uid="{00000000-0005-0000-0000-0000EE140000}"/>
    <cellStyle name="Normal 2 2 2 6 13 2" xfId="4590" xr:uid="{00000000-0005-0000-0000-0000EF140000}"/>
    <cellStyle name="Normal 2 2 2 6 13 3" xfId="10105" xr:uid="{00000000-0005-0000-0000-0000F0140000}"/>
    <cellStyle name="Normal 2 2 2 6 14" xfId="4591" xr:uid="{00000000-0005-0000-0000-0000F1140000}"/>
    <cellStyle name="Normal 2 2 2 6 14 2" xfId="4592" xr:uid="{00000000-0005-0000-0000-0000F2140000}"/>
    <cellStyle name="Normal 2 2 2 6 14 3" xfId="10106" xr:uid="{00000000-0005-0000-0000-0000F3140000}"/>
    <cellStyle name="Normal 2 2 2 6 15" xfId="4593" xr:uid="{00000000-0005-0000-0000-0000F4140000}"/>
    <cellStyle name="Normal 2 2 2 6 15 2" xfId="4594" xr:uid="{00000000-0005-0000-0000-0000F5140000}"/>
    <cellStyle name="Normal 2 2 2 6 15 3" xfId="10107" xr:uid="{00000000-0005-0000-0000-0000F6140000}"/>
    <cellStyle name="Normal 2 2 2 6 16" xfId="4595" xr:uid="{00000000-0005-0000-0000-0000F7140000}"/>
    <cellStyle name="Normal 2 2 2 6 16 2" xfId="4596" xr:uid="{00000000-0005-0000-0000-0000F8140000}"/>
    <cellStyle name="Normal 2 2 2 6 16 3" xfId="10108" xr:uid="{00000000-0005-0000-0000-0000F9140000}"/>
    <cellStyle name="Normal 2 2 2 6 17" xfId="4597" xr:uid="{00000000-0005-0000-0000-0000FA140000}"/>
    <cellStyle name="Normal 2 2 2 6 17 2" xfId="4598" xr:uid="{00000000-0005-0000-0000-0000FB140000}"/>
    <cellStyle name="Normal 2 2 2 6 17 3" xfId="10109" xr:uid="{00000000-0005-0000-0000-0000FC140000}"/>
    <cellStyle name="Normal 2 2 2 6 18" xfId="4599" xr:uid="{00000000-0005-0000-0000-0000FD140000}"/>
    <cellStyle name="Normal 2 2 2 6 18 2" xfId="4600" xr:uid="{00000000-0005-0000-0000-0000FE140000}"/>
    <cellStyle name="Normal 2 2 2 6 18 3" xfId="10110" xr:uid="{00000000-0005-0000-0000-0000FF140000}"/>
    <cellStyle name="Normal 2 2 2 6 19" xfId="4601" xr:uid="{00000000-0005-0000-0000-000000150000}"/>
    <cellStyle name="Normal 2 2 2 6 19 2" xfId="4602" xr:uid="{00000000-0005-0000-0000-000001150000}"/>
    <cellStyle name="Normal 2 2 2 6 19 3" xfId="10111" xr:uid="{00000000-0005-0000-0000-000002150000}"/>
    <cellStyle name="Normal 2 2 2 6 2" xfId="4603" xr:uid="{00000000-0005-0000-0000-000003150000}"/>
    <cellStyle name="Normal 2 2 2 6 2 2" xfId="4604" xr:uid="{00000000-0005-0000-0000-000004150000}"/>
    <cellStyle name="Normal 2 2 2 6 2 3" xfId="4605" xr:uid="{00000000-0005-0000-0000-000005150000}"/>
    <cellStyle name="Normal 2 2 2 6 2 4" xfId="10112" xr:uid="{00000000-0005-0000-0000-000006150000}"/>
    <cellStyle name="Normal 2 2 2 6 20" xfId="4606" xr:uid="{00000000-0005-0000-0000-000007150000}"/>
    <cellStyle name="Normal 2 2 2 6 20 2" xfId="4607" xr:uid="{00000000-0005-0000-0000-000008150000}"/>
    <cellStyle name="Normal 2 2 2 6 20 3" xfId="10113" xr:uid="{00000000-0005-0000-0000-000009150000}"/>
    <cellStyle name="Normal 2 2 2 6 21" xfId="4608" xr:uid="{00000000-0005-0000-0000-00000A150000}"/>
    <cellStyle name="Normal 2 2 2 6 21 2" xfId="4609" xr:uid="{00000000-0005-0000-0000-00000B150000}"/>
    <cellStyle name="Normal 2 2 2 6 21 3" xfId="10114" xr:uid="{00000000-0005-0000-0000-00000C150000}"/>
    <cellStyle name="Normal 2 2 2 6 22" xfId="4610" xr:uid="{00000000-0005-0000-0000-00000D150000}"/>
    <cellStyle name="Normal 2 2 2 6 23" xfId="4611" xr:uid="{00000000-0005-0000-0000-00000E150000}"/>
    <cellStyle name="Normal 2 2 2 6 24" xfId="4612" xr:uid="{00000000-0005-0000-0000-00000F150000}"/>
    <cellStyle name="Normal 2 2 2 6 25" xfId="4613" xr:uid="{00000000-0005-0000-0000-000010150000}"/>
    <cellStyle name="Normal 2 2 2 6 3" xfId="4614" xr:uid="{00000000-0005-0000-0000-000011150000}"/>
    <cellStyle name="Normal 2 2 2 6 3 2" xfId="4615" xr:uid="{00000000-0005-0000-0000-000012150000}"/>
    <cellStyle name="Normal 2 2 2 6 3 3" xfId="10115" xr:uid="{00000000-0005-0000-0000-000013150000}"/>
    <cellStyle name="Normal 2 2 2 6 4" xfId="4616" xr:uid="{00000000-0005-0000-0000-000014150000}"/>
    <cellStyle name="Normal 2 2 2 6 4 2" xfId="4617" xr:uid="{00000000-0005-0000-0000-000015150000}"/>
    <cellStyle name="Normal 2 2 2 6 4 3" xfId="4618" xr:uid="{00000000-0005-0000-0000-000016150000}"/>
    <cellStyle name="Normal 2 2 2 6 4 4" xfId="10116" xr:uid="{00000000-0005-0000-0000-000017150000}"/>
    <cellStyle name="Normal 2 2 2 6 5" xfId="4619" xr:uid="{00000000-0005-0000-0000-000018150000}"/>
    <cellStyle name="Normal 2 2 2 6 5 2" xfId="4620" xr:uid="{00000000-0005-0000-0000-000019150000}"/>
    <cellStyle name="Normal 2 2 2 6 5 3" xfId="10117" xr:uid="{00000000-0005-0000-0000-00001A150000}"/>
    <cellStyle name="Normal 2 2 2 6 6" xfId="4621" xr:uid="{00000000-0005-0000-0000-00001B150000}"/>
    <cellStyle name="Normal 2 2 2 6 6 2" xfId="4622" xr:uid="{00000000-0005-0000-0000-00001C150000}"/>
    <cellStyle name="Normal 2 2 2 6 6 3" xfId="10118" xr:uid="{00000000-0005-0000-0000-00001D150000}"/>
    <cellStyle name="Normal 2 2 2 6 7" xfId="4623" xr:uid="{00000000-0005-0000-0000-00001E150000}"/>
    <cellStyle name="Normal 2 2 2 6 7 2" xfId="4624" xr:uid="{00000000-0005-0000-0000-00001F150000}"/>
    <cellStyle name="Normal 2 2 2 6 7 3" xfId="10119" xr:uid="{00000000-0005-0000-0000-000020150000}"/>
    <cellStyle name="Normal 2 2 2 6 8" xfId="4625" xr:uid="{00000000-0005-0000-0000-000021150000}"/>
    <cellStyle name="Normal 2 2 2 6 8 2" xfId="4626" xr:uid="{00000000-0005-0000-0000-000022150000}"/>
    <cellStyle name="Normal 2 2 2 6 8 3" xfId="10120" xr:uid="{00000000-0005-0000-0000-000023150000}"/>
    <cellStyle name="Normal 2 2 2 6 9" xfId="4627" xr:uid="{00000000-0005-0000-0000-000024150000}"/>
    <cellStyle name="Normal 2 2 2 6 9 2" xfId="4628" xr:uid="{00000000-0005-0000-0000-000025150000}"/>
    <cellStyle name="Normal 2 2 2 6 9 3" xfId="10121" xr:uid="{00000000-0005-0000-0000-000026150000}"/>
    <cellStyle name="Normal 2 2 2 60" xfId="4629" xr:uid="{00000000-0005-0000-0000-000027150000}"/>
    <cellStyle name="Normal 2 2 2 60 2" xfId="4630" xr:uid="{00000000-0005-0000-0000-000028150000}"/>
    <cellStyle name="Normal 2 2 2 61" xfId="4631" xr:uid="{00000000-0005-0000-0000-000029150000}"/>
    <cellStyle name="Normal 2 2 2 61 2" xfId="4632" xr:uid="{00000000-0005-0000-0000-00002A150000}"/>
    <cellStyle name="Normal 2 2 2 62" xfId="4633" xr:uid="{00000000-0005-0000-0000-00002B150000}"/>
    <cellStyle name="Normal 2 2 2 62 2" xfId="4634" xr:uid="{00000000-0005-0000-0000-00002C150000}"/>
    <cellStyle name="Normal 2 2 2 63" xfId="4635" xr:uid="{00000000-0005-0000-0000-00002D150000}"/>
    <cellStyle name="Normal 2 2 2 63 2" xfId="4636" xr:uid="{00000000-0005-0000-0000-00002E150000}"/>
    <cellStyle name="Normal 2 2 2 64" xfId="4637" xr:uid="{00000000-0005-0000-0000-00002F150000}"/>
    <cellStyle name="Normal 2 2 2 65" xfId="4638" xr:uid="{00000000-0005-0000-0000-000030150000}"/>
    <cellStyle name="Normal 2 2 2 66" xfId="4639" xr:uid="{00000000-0005-0000-0000-000031150000}"/>
    <cellStyle name="Normal 2 2 2 67" xfId="4640" xr:uid="{00000000-0005-0000-0000-000032150000}"/>
    <cellStyle name="Normal 2 2 2 68" xfId="4641" xr:uid="{00000000-0005-0000-0000-000033150000}"/>
    <cellStyle name="Normal 2 2 2 69" xfId="4642" xr:uid="{00000000-0005-0000-0000-000034150000}"/>
    <cellStyle name="Normal 2 2 2 7" xfId="4643" xr:uid="{00000000-0005-0000-0000-000035150000}"/>
    <cellStyle name="Normal 2 2 2 7 2" xfId="4644" xr:uid="{00000000-0005-0000-0000-000036150000}"/>
    <cellStyle name="Normal 2 2 2 7 2 2" xfId="4645" xr:uid="{00000000-0005-0000-0000-000037150000}"/>
    <cellStyle name="Normal 2 2 2 7 2 3" xfId="4646" xr:uid="{00000000-0005-0000-0000-000038150000}"/>
    <cellStyle name="Normal 2 2 2 7 2 4" xfId="10122" xr:uid="{00000000-0005-0000-0000-000039150000}"/>
    <cellStyle name="Normal 2 2 2 7 3" xfId="4647" xr:uid="{00000000-0005-0000-0000-00003A150000}"/>
    <cellStyle name="Normal 2 2 2 7 4" xfId="4648" xr:uid="{00000000-0005-0000-0000-00003B150000}"/>
    <cellStyle name="Normal 2 2 2 70" xfId="4649" xr:uid="{00000000-0005-0000-0000-00003C150000}"/>
    <cellStyle name="Normal 2 2 2 71" xfId="4650" xr:uid="{00000000-0005-0000-0000-00003D150000}"/>
    <cellStyle name="Normal 2 2 2 72" xfId="4651" xr:uid="{00000000-0005-0000-0000-00003E150000}"/>
    <cellStyle name="Normal 2 2 2 73" xfId="4652" xr:uid="{00000000-0005-0000-0000-00003F150000}"/>
    <cellStyle name="Normal 2 2 2 74" xfId="4653" xr:uid="{00000000-0005-0000-0000-000040150000}"/>
    <cellStyle name="Normal 2 2 2 75" xfId="4654" xr:uid="{00000000-0005-0000-0000-000041150000}"/>
    <cellStyle name="Normal 2 2 2 76" xfId="4655" xr:uid="{00000000-0005-0000-0000-000042150000}"/>
    <cellStyle name="Normal 2 2 2 77" xfId="4656" xr:uid="{00000000-0005-0000-0000-000043150000}"/>
    <cellStyle name="Normal 2 2 2 78" xfId="4657" xr:uid="{00000000-0005-0000-0000-000044150000}"/>
    <cellStyle name="Normal 2 2 2 79" xfId="4658" xr:uid="{00000000-0005-0000-0000-000045150000}"/>
    <cellStyle name="Normal 2 2 2 8" xfId="4659" xr:uid="{00000000-0005-0000-0000-000046150000}"/>
    <cellStyle name="Normal 2 2 2 8 2" xfId="4660" xr:uid="{00000000-0005-0000-0000-000047150000}"/>
    <cellStyle name="Normal 2 2 2 8 2 2" xfId="4661" xr:uid="{00000000-0005-0000-0000-000048150000}"/>
    <cellStyle name="Normal 2 2 2 8 3" xfId="4662" xr:uid="{00000000-0005-0000-0000-000049150000}"/>
    <cellStyle name="Normal 2 2 2 80" xfId="4663" xr:uid="{00000000-0005-0000-0000-00004A150000}"/>
    <cellStyle name="Normal 2 2 2 81" xfId="4664" xr:uid="{00000000-0005-0000-0000-00004B150000}"/>
    <cellStyle name="Normal 2 2 2 82" xfId="4665" xr:uid="{00000000-0005-0000-0000-00004C150000}"/>
    <cellStyle name="Normal 2 2 2 83" xfId="4666" xr:uid="{00000000-0005-0000-0000-00004D150000}"/>
    <cellStyle name="Normal 2 2 2 84" xfId="4667" xr:uid="{00000000-0005-0000-0000-00004E150000}"/>
    <cellStyle name="Normal 2 2 2 85" xfId="4668" xr:uid="{00000000-0005-0000-0000-00004F150000}"/>
    <cellStyle name="Normal 2 2 2 86" xfId="4669" xr:uid="{00000000-0005-0000-0000-000050150000}"/>
    <cellStyle name="Normal 2 2 2 87" xfId="4670" xr:uid="{00000000-0005-0000-0000-000051150000}"/>
    <cellStyle name="Normal 2 2 2 88" xfId="4671" xr:uid="{00000000-0005-0000-0000-000052150000}"/>
    <cellStyle name="Normal 2 2 2 89" xfId="4672" xr:uid="{00000000-0005-0000-0000-000053150000}"/>
    <cellStyle name="Normal 2 2 2 9" xfId="4673" xr:uid="{00000000-0005-0000-0000-000054150000}"/>
    <cellStyle name="Normal 2 2 2 9 2" xfId="4674" xr:uid="{00000000-0005-0000-0000-000055150000}"/>
    <cellStyle name="Normal 2 2 2 9 2 2" xfId="4675" xr:uid="{00000000-0005-0000-0000-000056150000}"/>
    <cellStyle name="Normal 2 2 2 9 3" xfId="4676" xr:uid="{00000000-0005-0000-0000-000057150000}"/>
    <cellStyle name="Normal 2 2 2 90" xfId="4677" xr:uid="{00000000-0005-0000-0000-000058150000}"/>
    <cellStyle name="Normal 2 2 2 91" xfId="4678" xr:uid="{00000000-0005-0000-0000-000059150000}"/>
    <cellStyle name="Normal 2 2 2 92" xfId="4679" xr:uid="{00000000-0005-0000-0000-00005A150000}"/>
    <cellStyle name="Normal 2 2 2 93" xfId="4680" xr:uid="{00000000-0005-0000-0000-00005B150000}"/>
    <cellStyle name="Normal 2 2 2 94" xfId="4681" xr:uid="{00000000-0005-0000-0000-00005C150000}"/>
    <cellStyle name="Normal 2 2 2 94 2" xfId="4682" xr:uid="{00000000-0005-0000-0000-00005D150000}"/>
    <cellStyle name="Normal 2 2 2 94 2 2" xfId="10123" xr:uid="{00000000-0005-0000-0000-00005E150000}"/>
    <cellStyle name="Normal 2 2 2 95" xfId="4683" xr:uid="{00000000-0005-0000-0000-00005F150000}"/>
    <cellStyle name="Normal 2 2 2 96" xfId="4684" xr:uid="{00000000-0005-0000-0000-000060150000}"/>
    <cellStyle name="Normal 2 2 2 97" xfId="4685" xr:uid="{00000000-0005-0000-0000-000061150000}"/>
    <cellStyle name="Normal 2 2 2 98" xfId="4686" xr:uid="{00000000-0005-0000-0000-000062150000}"/>
    <cellStyle name="Normal 2 2 2 99" xfId="4687" xr:uid="{00000000-0005-0000-0000-000063150000}"/>
    <cellStyle name="Normal 2 2 20" xfId="4688" xr:uid="{00000000-0005-0000-0000-000064150000}"/>
    <cellStyle name="Normal 2 2 20 2" xfId="4689" xr:uid="{00000000-0005-0000-0000-000065150000}"/>
    <cellStyle name="Normal 2 2 20 2 2" xfId="4690" xr:uid="{00000000-0005-0000-0000-000066150000}"/>
    <cellStyle name="Normal 2 2 20 2 3" xfId="10125" xr:uid="{00000000-0005-0000-0000-000067150000}"/>
    <cellStyle name="Normal 2 2 20 3" xfId="4691" xr:uid="{00000000-0005-0000-0000-000068150000}"/>
    <cellStyle name="Normal 2 2 20 4" xfId="10124" xr:uid="{00000000-0005-0000-0000-000069150000}"/>
    <cellStyle name="Normal 2 2 21" xfId="4692" xr:uid="{00000000-0005-0000-0000-00006A150000}"/>
    <cellStyle name="Normal 2 2 21 2" xfId="4693" xr:uid="{00000000-0005-0000-0000-00006B150000}"/>
    <cellStyle name="Normal 2 2 21 2 2" xfId="4694" xr:uid="{00000000-0005-0000-0000-00006C150000}"/>
    <cellStyle name="Normal 2 2 21 2 3" xfId="10127" xr:uid="{00000000-0005-0000-0000-00006D150000}"/>
    <cellStyle name="Normal 2 2 21 3" xfId="4695" xr:uid="{00000000-0005-0000-0000-00006E150000}"/>
    <cellStyle name="Normal 2 2 21 4" xfId="10126" xr:uid="{00000000-0005-0000-0000-00006F150000}"/>
    <cellStyle name="Normal 2 2 22" xfId="4696" xr:uid="{00000000-0005-0000-0000-000070150000}"/>
    <cellStyle name="Normal 2 2 22 2" xfId="4697" xr:uid="{00000000-0005-0000-0000-000071150000}"/>
    <cellStyle name="Normal 2 2 22 2 2" xfId="4698" xr:uid="{00000000-0005-0000-0000-000072150000}"/>
    <cellStyle name="Normal 2 2 22 2 3" xfId="10129" xr:uid="{00000000-0005-0000-0000-000073150000}"/>
    <cellStyle name="Normal 2 2 22 3" xfId="4699" xr:uid="{00000000-0005-0000-0000-000074150000}"/>
    <cellStyle name="Normal 2 2 22 4" xfId="10128" xr:uid="{00000000-0005-0000-0000-000075150000}"/>
    <cellStyle name="Normal 2 2 23" xfId="4700" xr:uid="{00000000-0005-0000-0000-000076150000}"/>
    <cellStyle name="Normal 2 2 23 2" xfId="4701" xr:uid="{00000000-0005-0000-0000-000077150000}"/>
    <cellStyle name="Normal 2 2 23 2 2" xfId="4702" xr:uid="{00000000-0005-0000-0000-000078150000}"/>
    <cellStyle name="Normal 2 2 23 2 3" xfId="10131" xr:uid="{00000000-0005-0000-0000-000079150000}"/>
    <cellStyle name="Normal 2 2 23 3" xfId="4703" xr:uid="{00000000-0005-0000-0000-00007A150000}"/>
    <cellStyle name="Normal 2 2 23 4" xfId="10130" xr:uid="{00000000-0005-0000-0000-00007B150000}"/>
    <cellStyle name="Normal 2 2 24" xfId="4704" xr:uid="{00000000-0005-0000-0000-00007C150000}"/>
    <cellStyle name="Normal 2 2 24 2" xfId="4705" xr:uid="{00000000-0005-0000-0000-00007D150000}"/>
    <cellStyle name="Normal 2 2 24 2 2" xfId="4706" xr:uid="{00000000-0005-0000-0000-00007E150000}"/>
    <cellStyle name="Normal 2 2 24 2 3" xfId="10133" xr:uid="{00000000-0005-0000-0000-00007F150000}"/>
    <cellStyle name="Normal 2 2 24 3" xfId="4707" xr:uid="{00000000-0005-0000-0000-000080150000}"/>
    <cellStyle name="Normal 2 2 24 4" xfId="10132" xr:uid="{00000000-0005-0000-0000-000081150000}"/>
    <cellStyle name="Normal 2 2 25" xfId="4708" xr:uid="{00000000-0005-0000-0000-000082150000}"/>
    <cellStyle name="Normal 2 2 25 2" xfId="4709" xr:uid="{00000000-0005-0000-0000-000083150000}"/>
    <cellStyle name="Normal 2 2 25 2 2" xfId="4710" xr:uid="{00000000-0005-0000-0000-000084150000}"/>
    <cellStyle name="Normal 2 2 25 2 3" xfId="10135" xr:uid="{00000000-0005-0000-0000-000085150000}"/>
    <cellStyle name="Normal 2 2 25 3" xfId="4711" xr:uid="{00000000-0005-0000-0000-000086150000}"/>
    <cellStyle name="Normal 2 2 25 4" xfId="10134" xr:uid="{00000000-0005-0000-0000-000087150000}"/>
    <cellStyle name="Normal 2 2 26" xfId="4712" xr:uid="{00000000-0005-0000-0000-000088150000}"/>
    <cellStyle name="Normal 2 2 26 2" xfId="4713" xr:uid="{00000000-0005-0000-0000-000089150000}"/>
    <cellStyle name="Normal 2 2 26 2 2" xfId="4714" xr:uid="{00000000-0005-0000-0000-00008A150000}"/>
    <cellStyle name="Normal 2 2 26 2 3" xfId="10137" xr:uid="{00000000-0005-0000-0000-00008B150000}"/>
    <cellStyle name="Normal 2 2 26 3" xfId="4715" xr:uid="{00000000-0005-0000-0000-00008C150000}"/>
    <cellStyle name="Normal 2 2 26 4" xfId="10136" xr:uid="{00000000-0005-0000-0000-00008D150000}"/>
    <cellStyle name="Normal 2 2 27" xfId="4716" xr:uid="{00000000-0005-0000-0000-00008E150000}"/>
    <cellStyle name="Normal 2 2 27 2" xfId="4717" xr:uid="{00000000-0005-0000-0000-00008F150000}"/>
    <cellStyle name="Normal 2 2 27 2 2" xfId="4718" xr:uid="{00000000-0005-0000-0000-000090150000}"/>
    <cellStyle name="Normal 2 2 27 2 3" xfId="10139" xr:uid="{00000000-0005-0000-0000-000091150000}"/>
    <cellStyle name="Normal 2 2 27 3" xfId="4719" xr:uid="{00000000-0005-0000-0000-000092150000}"/>
    <cellStyle name="Normal 2 2 27 4" xfId="10138" xr:uid="{00000000-0005-0000-0000-000093150000}"/>
    <cellStyle name="Normal 2 2 28" xfId="4720" xr:uid="{00000000-0005-0000-0000-000094150000}"/>
    <cellStyle name="Normal 2 2 28 2" xfId="4721" xr:uid="{00000000-0005-0000-0000-000095150000}"/>
    <cellStyle name="Normal 2 2 28 2 2" xfId="4722" xr:uid="{00000000-0005-0000-0000-000096150000}"/>
    <cellStyle name="Normal 2 2 28 2 3" xfId="10141" xr:uid="{00000000-0005-0000-0000-000097150000}"/>
    <cellStyle name="Normal 2 2 28 3" xfId="4723" xr:uid="{00000000-0005-0000-0000-000098150000}"/>
    <cellStyle name="Normal 2 2 28 4" xfId="10140" xr:uid="{00000000-0005-0000-0000-000099150000}"/>
    <cellStyle name="Normal 2 2 29" xfId="4724" xr:uid="{00000000-0005-0000-0000-00009A150000}"/>
    <cellStyle name="Normal 2 2 29 2" xfId="4725" xr:uid="{00000000-0005-0000-0000-00009B150000}"/>
    <cellStyle name="Normal 2 2 29 2 2" xfId="4726" xr:uid="{00000000-0005-0000-0000-00009C150000}"/>
    <cellStyle name="Normal 2 2 29 2 3" xfId="10143" xr:uid="{00000000-0005-0000-0000-00009D150000}"/>
    <cellStyle name="Normal 2 2 29 3" xfId="4727" xr:uid="{00000000-0005-0000-0000-00009E150000}"/>
    <cellStyle name="Normal 2 2 29 4" xfId="10142" xr:uid="{00000000-0005-0000-0000-00009F150000}"/>
    <cellStyle name="Normal 2 2 3" xfId="4728" xr:uid="{00000000-0005-0000-0000-0000A0150000}"/>
    <cellStyle name="Normal 2 2 3 2" xfId="4729" xr:uid="{00000000-0005-0000-0000-0000A1150000}"/>
    <cellStyle name="Normal 2 2 3 2 2" xfId="4730" xr:uid="{00000000-0005-0000-0000-0000A2150000}"/>
    <cellStyle name="Normal 2 2 3 2 3" xfId="4731" xr:uid="{00000000-0005-0000-0000-0000A3150000}"/>
    <cellStyle name="Normal 2 2 3 2 4" xfId="10145" xr:uid="{00000000-0005-0000-0000-0000A4150000}"/>
    <cellStyle name="Normal 2 2 3 3" xfId="4732" xr:uid="{00000000-0005-0000-0000-0000A5150000}"/>
    <cellStyle name="Normal 2 2 3 3 2" xfId="4733" xr:uid="{00000000-0005-0000-0000-0000A6150000}"/>
    <cellStyle name="Normal 2 2 3 3 3" xfId="10146" xr:uid="{00000000-0005-0000-0000-0000A7150000}"/>
    <cellStyle name="Normal 2 2 3 4" xfId="4734" xr:uid="{00000000-0005-0000-0000-0000A8150000}"/>
    <cellStyle name="Normal 2 2 3 4 2" xfId="10147" xr:uid="{00000000-0005-0000-0000-0000A9150000}"/>
    <cellStyle name="Normal 2 2 3 5" xfId="4735" xr:uid="{00000000-0005-0000-0000-0000AA150000}"/>
    <cellStyle name="Normal 2 2 3 5 2" xfId="11134" xr:uid="{00000000-0005-0000-0000-0000AB150000}"/>
    <cellStyle name="Normal 2 2 3 6" xfId="4736" xr:uid="{00000000-0005-0000-0000-0000AC150000}"/>
    <cellStyle name="Normal 2 2 3 7" xfId="4737" xr:uid="{00000000-0005-0000-0000-0000AD150000}"/>
    <cellStyle name="Normal 2 2 3 8" xfId="10144" xr:uid="{00000000-0005-0000-0000-0000AE150000}"/>
    <cellStyle name="Normal 2 2 30" xfId="4738" xr:uid="{00000000-0005-0000-0000-0000AF150000}"/>
    <cellStyle name="Normal 2 2 30 2" xfId="4739" xr:uid="{00000000-0005-0000-0000-0000B0150000}"/>
    <cellStyle name="Normal 2 2 30 2 2" xfId="4740" xr:uid="{00000000-0005-0000-0000-0000B1150000}"/>
    <cellStyle name="Normal 2 2 30 2 3" xfId="10149" xr:uid="{00000000-0005-0000-0000-0000B2150000}"/>
    <cellStyle name="Normal 2 2 30 3" xfId="4741" xr:uid="{00000000-0005-0000-0000-0000B3150000}"/>
    <cellStyle name="Normal 2 2 30 4" xfId="10148" xr:uid="{00000000-0005-0000-0000-0000B4150000}"/>
    <cellStyle name="Normal 2 2 31" xfId="4742" xr:uid="{00000000-0005-0000-0000-0000B5150000}"/>
    <cellStyle name="Normal 2 2 31 2" xfId="4743" xr:uid="{00000000-0005-0000-0000-0000B6150000}"/>
    <cellStyle name="Normal 2 2 31 2 2" xfId="4744" xr:uid="{00000000-0005-0000-0000-0000B7150000}"/>
    <cellStyle name="Normal 2 2 31 2 3" xfId="10151" xr:uid="{00000000-0005-0000-0000-0000B8150000}"/>
    <cellStyle name="Normal 2 2 31 3" xfId="4745" xr:uid="{00000000-0005-0000-0000-0000B9150000}"/>
    <cellStyle name="Normal 2 2 31 4" xfId="10150" xr:uid="{00000000-0005-0000-0000-0000BA150000}"/>
    <cellStyle name="Normal 2 2 32" xfId="4746" xr:uid="{00000000-0005-0000-0000-0000BB150000}"/>
    <cellStyle name="Normal 2 2 32 2" xfId="4747" xr:uid="{00000000-0005-0000-0000-0000BC150000}"/>
    <cellStyle name="Normal 2 2 32 2 2" xfId="4748" xr:uid="{00000000-0005-0000-0000-0000BD150000}"/>
    <cellStyle name="Normal 2 2 32 2 3" xfId="10153" xr:uid="{00000000-0005-0000-0000-0000BE150000}"/>
    <cellStyle name="Normal 2 2 32 3" xfId="4749" xr:uid="{00000000-0005-0000-0000-0000BF150000}"/>
    <cellStyle name="Normal 2 2 32 4" xfId="10152" xr:uid="{00000000-0005-0000-0000-0000C0150000}"/>
    <cellStyle name="Normal 2 2 33" xfId="4750" xr:uid="{00000000-0005-0000-0000-0000C1150000}"/>
    <cellStyle name="Normal 2 2 33 2" xfId="4751" xr:uid="{00000000-0005-0000-0000-0000C2150000}"/>
    <cellStyle name="Normal 2 2 33 2 2" xfId="4752" xr:uid="{00000000-0005-0000-0000-0000C3150000}"/>
    <cellStyle name="Normal 2 2 33 2 3" xfId="10155" xr:uid="{00000000-0005-0000-0000-0000C4150000}"/>
    <cellStyle name="Normal 2 2 33 3" xfId="4753" xr:uid="{00000000-0005-0000-0000-0000C5150000}"/>
    <cellStyle name="Normal 2 2 33 4" xfId="10154" xr:uid="{00000000-0005-0000-0000-0000C6150000}"/>
    <cellStyle name="Normal 2 2 34" xfId="4754" xr:uid="{00000000-0005-0000-0000-0000C7150000}"/>
    <cellStyle name="Normal 2 2 34 2" xfId="4755" xr:uid="{00000000-0005-0000-0000-0000C8150000}"/>
    <cellStyle name="Normal 2 2 34 2 2" xfId="4756" xr:uid="{00000000-0005-0000-0000-0000C9150000}"/>
    <cellStyle name="Normal 2 2 34 2 3" xfId="10157" xr:uid="{00000000-0005-0000-0000-0000CA150000}"/>
    <cellStyle name="Normal 2 2 34 3" xfId="4757" xr:uid="{00000000-0005-0000-0000-0000CB150000}"/>
    <cellStyle name="Normal 2 2 34 4" xfId="10156" xr:uid="{00000000-0005-0000-0000-0000CC150000}"/>
    <cellStyle name="Normal 2 2 35" xfId="4758" xr:uid="{00000000-0005-0000-0000-0000CD150000}"/>
    <cellStyle name="Normal 2 2 35 2" xfId="4759" xr:uid="{00000000-0005-0000-0000-0000CE150000}"/>
    <cellStyle name="Normal 2 2 35 2 2" xfId="4760" xr:uid="{00000000-0005-0000-0000-0000CF150000}"/>
    <cellStyle name="Normal 2 2 35 2 3" xfId="10159" xr:uid="{00000000-0005-0000-0000-0000D0150000}"/>
    <cellStyle name="Normal 2 2 35 3" xfId="4761" xr:uid="{00000000-0005-0000-0000-0000D1150000}"/>
    <cellStyle name="Normal 2 2 35 4" xfId="10158" xr:uid="{00000000-0005-0000-0000-0000D2150000}"/>
    <cellStyle name="Normal 2 2 36" xfId="4762" xr:uid="{00000000-0005-0000-0000-0000D3150000}"/>
    <cellStyle name="Normal 2 2 36 2" xfId="4763" xr:uid="{00000000-0005-0000-0000-0000D4150000}"/>
    <cellStyle name="Normal 2 2 36 2 2" xfId="4764" xr:uid="{00000000-0005-0000-0000-0000D5150000}"/>
    <cellStyle name="Normal 2 2 36 2 3" xfId="10161" xr:uid="{00000000-0005-0000-0000-0000D6150000}"/>
    <cellStyle name="Normal 2 2 36 3" xfId="4765" xr:uid="{00000000-0005-0000-0000-0000D7150000}"/>
    <cellStyle name="Normal 2 2 36 4" xfId="10160" xr:uid="{00000000-0005-0000-0000-0000D8150000}"/>
    <cellStyle name="Normal 2 2 37" xfId="4766" xr:uid="{00000000-0005-0000-0000-0000D9150000}"/>
    <cellStyle name="Normal 2 2 37 2" xfId="4767" xr:uid="{00000000-0005-0000-0000-0000DA150000}"/>
    <cellStyle name="Normal 2 2 37 2 2" xfId="4768" xr:uid="{00000000-0005-0000-0000-0000DB150000}"/>
    <cellStyle name="Normal 2 2 37 2 3" xfId="10163" xr:uid="{00000000-0005-0000-0000-0000DC150000}"/>
    <cellStyle name="Normal 2 2 37 3" xfId="4769" xr:uid="{00000000-0005-0000-0000-0000DD150000}"/>
    <cellStyle name="Normal 2 2 37 4" xfId="10162" xr:uid="{00000000-0005-0000-0000-0000DE150000}"/>
    <cellStyle name="Normal 2 2 38" xfId="4770" xr:uid="{00000000-0005-0000-0000-0000DF150000}"/>
    <cellStyle name="Normal 2 2 38 2" xfId="4771" xr:uid="{00000000-0005-0000-0000-0000E0150000}"/>
    <cellStyle name="Normal 2 2 38 2 2" xfId="4772" xr:uid="{00000000-0005-0000-0000-0000E1150000}"/>
    <cellStyle name="Normal 2 2 38 2 3" xfId="10165" xr:uid="{00000000-0005-0000-0000-0000E2150000}"/>
    <cellStyle name="Normal 2 2 38 3" xfId="4773" xr:uid="{00000000-0005-0000-0000-0000E3150000}"/>
    <cellStyle name="Normal 2 2 38 4" xfId="10164" xr:uid="{00000000-0005-0000-0000-0000E4150000}"/>
    <cellStyle name="Normal 2 2 39" xfId="4774" xr:uid="{00000000-0005-0000-0000-0000E5150000}"/>
    <cellStyle name="Normal 2 2 39 2" xfId="4775" xr:uid="{00000000-0005-0000-0000-0000E6150000}"/>
    <cellStyle name="Normal 2 2 39 2 2" xfId="4776" xr:uid="{00000000-0005-0000-0000-0000E7150000}"/>
    <cellStyle name="Normal 2 2 39 2 3" xfId="10167" xr:uid="{00000000-0005-0000-0000-0000E8150000}"/>
    <cellStyle name="Normal 2 2 39 3" xfId="4777" xr:uid="{00000000-0005-0000-0000-0000E9150000}"/>
    <cellStyle name="Normal 2 2 39 4" xfId="10166" xr:uid="{00000000-0005-0000-0000-0000EA150000}"/>
    <cellStyle name="Normal 2 2 4" xfId="4778" xr:uid="{00000000-0005-0000-0000-0000EB150000}"/>
    <cellStyle name="Normal 2 2 4 10" xfId="4779" xr:uid="{00000000-0005-0000-0000-0000EC150000}"/>
    <cellStyle name="Normal 2 2 4 11" xfId="4780" xr:uid="{00000000-0005-0000-0000-0000ED150000}"/>
    <cellStyle name="Normal 2 2 4 12" xfId="4781" xr:uid="{00000000-0005-0000-0000-0000EE150000}"/>
    <cellStyle name="Normal 2 2 4 13" xfId="4782" xr:uid="{00000000-0005-0000-0000-0000EF150000}"/>
    <cellStyle name="Normal 2 2 4 14" xfId="4783" xr:uid="{00000000-0005-0000-0000-0000F0150000}"/>
    <cellStyle name="Normal 2 2 4 15" xfId="4784" xr:uid="{00000000-0005-0000-0000-0000F1150000}"/>
    <cellStyle name="Normal 2 2 4 16" xfId="4785" xr:uid="{00000000-0005-0000-0000-0000F2150000}"/>
    <cellStyle name="Normal 2 2 4 17" xfId="4786" xr:uid="{00000000-0005-0000-0000-0000F3150000}"/>
    <cellStyle name="Normal 2 2 4 18" xfId="4787" xr:uid="{00000000-0005-0000-0000-0000F4150000}"/>
    <cellStyle name="Normal 2 2 4 19" xfId="4788" xr:uid="{00000000-0005-0000-0000-0000F5150000}"/>
    <cellStyle name="Normal 2 2 4 2" xfId="4789" xr:uid="{00000000-0005-0000-0000-0000F6150000}"/>
    <cellStyle name="Normal 2 2 4 2 2" xfId="4790" xr:uid="{00000000-0005-0000-0000-0000F7150000}"/>
    <cellStyle name="Normal 2 2 4 20" xfId="4791" xr:uid="{00000000-0005-0000-0000-0000F8150000}"/>
    <cellStyle name="Normal 2 2 4 21" xfId="4792" xr:uid="{00000000-0005-0000-0000-0000F9150000}"/>
    <cellStyle name="Normal 2 2 4 22" xfId="4793" xr:uid="{00000000-0005-0000-0000-0000FA150000}"/>
    <cellStyle name="Normal 2 2 4 23" xfId="4794" xr:uid="{00000000-0005-0000-0000-0000FB150000}"/>
    <cellStyle name="Normal 2 2 4 24" xfId="4795" xr:uid="{00000000-0005-0000-0000-0000FC150000}"/>
    <cellStyle name="Normal 2 2 4 25" xfId="4796" xr:uid="{00000000-0005-0000-0000-0000FD150000}"/>
    <cellStyle name="Normal 2 2 4 26" xfId="4797" xr:uid="{00000000-0005-0000-0000-0000FE150000}"/>
    <cellStyle name="Normal 2 2 4 27" xfId="4798" xr:uid="{00000000-0005-0000-0000-0000FF150000}"/>
    <cellStyle name="Normal 2 2 4 28" xfId="4799" xr:uid="{00000000-0005-0000-0000-000000160000}"/>
    <cellStyle name="Normal 2 2 4 29" xfId="4800" xr:uid="{00000000-0005-0000-0000-000001160000}"/>
    <cellStyle name="Normal 2 2 4 3" xfId="4801" xr:uid="{00000000-0005-0000-0000-000002160000}"/>
    <cellStyle name="Normal 2 2 4 30" xfId="4802" xr:uid="{00000000-0005-0000-0000-000003160000}"/>
    <cellStyle name="Normal 2 2 4 31" xfId="4803" xr:uid="{00000000-0005-0000-0000-000004160000}"/>
    <cellStyle name="Normal 2 2 4 32" xfId="4804" xr:uid="{00000000-0005-0000-0000-000005160000}"/>
    <cellStyle name="Normal 2 2 4 33" xfId="4805" xr:uid="{00000000-0005-0000-0000-000006160000}"/>
    <cellStyle name="Normal 2 2 4 34" xfId="4806" xr:uid="{00000000-0005-0000-0000-000007160000}"/>
    <cellStyle name="Normal 2 2 4 35" xfId="4807" xr:uid="{00000000-0005-0000-0000-000008160000}"/>
    <cellStyle name="Normal 2 2 4 36" xfId="4808" xr:uid="{00000000-0005-0000-0000-000009160000}"/>
    <cellStyle name="Normal 2 2 4 37" xfId="4809" xr:uid="{00000000-0005-0000-0000-00000A160000}"/>
    <cellStyle name="Normal 2 2 4 38" xfId="4810" xr:uid="{00000000-0005-0000-0000-00000B160000}"/>
    <cellStyle name="Normal 2 2 4 39" xfId="4811" xr:uid="{00000000-0005-0000-0000-00000C160000}"/>
    <cellStyle name="Normal 2 2 4 4" xfId="4812" xr:uid="{00000000-0005-0000-0000-00000D160000}"/>
    <cellStyle name="Normal 2 2 4 40" xfId="4813" xr:uid="{00000000-0005-0000-0000-00000E160000}"/>
    <cellStyle name="Normal 2 2 4 41" xfId="4814" xr:uid="{00000000-0005-0000-0000-00000F160000}"/>
    <cellStyle name="Normal 2 2 4 42" xfId="4815" xr:uid="{00000000-0005-0000-0000-000010160000}"/>
    <cellStyle name="Normal 2 2 4 43" xfId="4816" xr:uid="{00000000-0005-0000-0000-000011160000}"/>
    <cellStyle name="Normal 2 2 4 44" xfId="4817" xr:uid="{00000000-0005-0000-0000-000012160000}"/>
    <cellStyle name="Normal 2 2 4 45" xfId="4818" xr:uid="{00000000-0005-0000-0000-000013160000}"/>
    <cellStyle name="Normal 2 2 4 46" xfId="4819" xr:uid="{00000000-0005-0000-0000-000014160000}"/>
    <cellStyle name="Normal 2 2 4 47" xfId="4820" xr:uid="{00000000-0005-0000-0000-000015160000}"/>
    <cellStyle name="Normal 2 2 4 48" xfId="4821" xr:uid="{00000000-0005-0000-0000-000016160000}"/>
    <cellStyle name="Normal 2 2 4 49" xfId="4822" xr:uid="{00000000-0005-0000-0000-000017160000}"/>
    <cellStyle name="Normal 2 2 4 5" xfId="4823" xr:uid="{00000000-0005-0000-0000-000018160000}"/>
    <cellStyle name="Normal 2 2 4 50" xfId="4824" xr:uid="{00000000-0005-0000-0000-000019160000}"/>
    <cellStyle name="Normal 2 2 4 51" xfId="4825" xr:uid="{00000000-0005-0000-0000-00001A160000}"/>
    <cellStyle name="Normal 2 2 4 52" xfId="4826" xr:uid="{00000000-0005-0000-0000-00001B160000}"/>
    <cellStyle name="Normal 2 2 4 53" xfId="4827" xr:uid="{00000000-0005-0000-0000-00001C160000}"/>
    <cellStyle name="Normal 2 2 4 54" xfId="4828" xr:uid="{00000000-0005-0000-0000-00001D160000}"/>
    <cellStyle name="Normal 2 2 4 55" xfId="4829" xr:uid="{00000000-0005-0000-0000-00001E160000}"/>
    <cellStyle name="Normal 2 2 4 56" xfId="4830" xr:uid="{00000000-0005-0000-0000-00001F160000}"/>
    <cellStyle name="Normal 2 2 4 57" xfId="4831" xr:uid="{00000000-0005-0000-0000-000020160000}"/>
    <cellStyle name="Normal 2 2 4 58" xfId="4832" xr:uid="{00000000-0005-0000-0000-000021160000}"/>
    <cellStyle name="Normal 2 2 4 59" xfId="4833" xr:uid="{00000000-0005-0000-0000-000022160000}"/>
    <cellStyle name="Normal 2 2 4 6" xfId="4834" xr:uid="{00000000-0005-0000-0000-000023160000}"/>
    <cellStyle name="Normal 2 2 4 60" xfId="4835" xr:uid="{00000000-0005-0000-0000-000024160000}"/>
    <cellStyle name="Normal 2 2 4 61" xfId="4836" xr:uid="{00000000-0005-0000-0000-000025160000}"/>
    <cellStyle name="Normal 2 2 4 62" xfId="4837" xr:uid="{00000000-0005-0000-0000-000026160000}"/>
    <cellStyle name="Normal 2 2 4 63" xfId="4838" xr:uid="{00000000-0005-0000-0000-000027160000}"/>
    <cellStyle name="Normal 2 2 4 64" xfId="4839" xr:uid="{00000000-0005-0000-0000-000028160000}"/>
    <cellStyle name="Normal 2 2 4 65" xfId="4840" xr:uid="{00000000-0005-0000-0000-000029160000}"/>
    <cellStyle name="Normal 2 2 4 66" xfId="4841" xr:uid="{00000000-0005-0000-0000-00002A160000}"/>
    <cellStyle name="Normal 2 2 4 67" xfId="4842" xr:uid="{00000000-0005-0000-0000-00002B160000}"/>
    <cellStyle name="Normal 2 2 4 68" xfId="4843" xr:uid="{00000000-0005-0000-0000-00002C160000}"/>
    <cellStyle name="Normal 2 2 4 69" xfId="4844" xr:uid="{00000000-0005-0000-0000-00002D160000}"/>
    <cellStyle name="Normal 2 2 4 7" xfId="4845" xr:uid="{00000000-0005-0000-0000-00002E160000}"/>
    <cellStyle name="Normal 2 2 4 70" xfId="4846" xr:uid="{00000000-0005-0000-0000-00002F160000}"/>
    <cellStyle name="Normal 2 2 4 71" xfId="4847" xr:uid="{00000000-0005-0000-0000-000030160000}"/>
    <cellStyle name="Normal 2 2 4 72" xfId="4848" xr:uid="{00000000-0005-0000-0000-000031160000}"/>
    <cellStyle name="Normal 2 2 4 73" xfId="4849" xr:uid="{00000000-0005-0000-0000-000032160000}"/>
    <cellStyle name="Normal 2 2 4 74" xfId="4850" xr:uid="{00000000-0005-0000-0000-000033160000}"/>
    <cellStyle name="Normal 2 2 4 75" xfId="4851" xr:uid="{00000000-0005-0000-0000-000034160000}"/>
    <cellStyle name="Normal 2 2 4 76" xfId="4852" xr:uid="{00000000-0005-0000-0000-000035160000}"/>
    <cellStyle name="Normal 2 2 4 77" xfId="4853" xr:uid="{00000000-0005-0000-0000-000036160000}"/>
    <cellStyle name="Normal 2 2 4 78" xfId="4854" xr:uid="{00000000-0005-0000-0000-000037160000}"/>
    <cellStyle name="Normal 2 2 4 79" xfId="4855" xr:uid="{00000000-0005-0000-0000-000038160000}"/>
    <cellStyle name="Normal 2 2 4 8" xfId="4856" xr:uid="{00000000-0005-0000-0000-000039160000}"/>
    <cellStyle name="Normal 2 2 4 80" xfId="4857" xr:uid="{00000000-0005-0000-0000-00003A160000}"/>
    <cellStyle name="Normal 2 2 4 81" xfId="4858" xr:uid="{00000000-0005-0000-0000-00003B160000}"/>
    <cellStyle name="Normal 2 2 4 82" xfId="4859" xr:uid="{00000000-0005-0000-0000-00003C160000}"/>
    <cellStyle name="Normal 2 2 4 83" xfId="4860" xr:uid="{00000000-0005-0000-0000-00003D160000}"/>
    <cellStyle name="Normal 2 2 4 84" xfId="4861" xr:uid="{00000000-0005-0000-0000-00003E160000}"/>
    <cellStyle name="Normal 2 2 4 85" xfId="4862" xr:uid="{00000000-0005-0000-0000-00003F160000}"/>
    <cellStyle name="Normal 2 2 4 86" xfId="4863" xr:uid="{00000000-0005-0000-0000-000040160000}"/>
    <cellStyle name="Normal 2 2 4 87" xfId="4864" xr:uid="{00000000-0005-0000-0000-000041160000}"/>
    <cellStyle name="Normal 2 2 4 88" xfId="4865" xr:uid="{00000000-0005-0000-0000-000042160000}"/>
    <cellStyle name="Normal 2 2 4 89" xfId="4866" xr:uid="{00000000-0005-0000-0000-000043160000}"/>
    <cellStyle name="Normal 2 2 4 9" xfId="4867" xr:uid="{00000000-0005-0000-0000-000044160000}"/>
    <cellStyle name="Normal 2 2 4 90" xfId="4868" xr:uid="{00000000-0005-0000-0000-000045160000}"/>
    <cellStyle name="Normal 2 2 4 91" xfId="4869" xr:uid="{00000000-0005-0000-0000-000046160000}"/>
    <cellStyle name="Normal 2 2 4 92" xfId="11135" xr:uid="{00000000-0005-0000-0000-000047160000}"/>
    <cellStyle name="Normal 2 2 40" xfId="4870" xr:uid="{00000000-0005-0000-0000-000048160000}"/>
    <cellStyle name="Normal 2 2 40 2" xfId="4871" xr:uid="{00000000-0005-0000-0000-000049160000}"/>
    <cellStyle name="Normal 2 2 40 2 2" xfId="4872" xr:uid="{00000000-0005-0000-0000-00004A160000}"/>
    <cellStyle name="Normal 2 2 40 2 3" xfId="10169" xr:uid="{00000000-0005-0000-0000-00004B160000}"/>
    <cellStyle name="Normal 2 2 40 3" xfId="4873" xr:uid="{00000000-0005-0000-0000-00004C160000}"/>
    <cellStyle name="Normal 2 2 40 4" xfId="10168" xr:uid="{00000000-0005-0000-0000-00004D160000}"/>
    <cellStyle name="Normal 2 2 41" xfId="4874" xr:uid="{00000000-0005-0000-0000-00004E160000}"/>
    <cellStyle name="Normal 2 2 41 2" xfId="4875" xr:uid="{00000000-0005-0000-0000-00004F160000}"/>
    <cellStyle name="Normal 2 2 41 2 2" xfId="4876" xr:uid="{00000000-0005-0000-0000-000050160000}"/>
    <cellStyle name="Normal 2 2 41 2 3" xfId="10171" xr:uid="{00000000-0005-0000-0000-000051160000}"/>
    <cellStyle name="Normal 2 2 41 3" xfId="4877" xr:uid="{00000000-0005-0000-0000-000052160000}"/>
    <cellStyle name="Normal 2 2 41 4" xfId="10170" xr:uid="{00000000-0005-0000-0000-000053160000}"/>
    <cellStyle name="Normal 2 2 42" xfId="4878" xr:uid="{00000000-0005-0000-0000-000054160000}"/>
    <cellStyle name="Normal 2 2 42 2" xfId="4879" xr:uid="{00000000-0005-0000-0000-000055160000}"/>
    <cellStyle name="Normal 2 2 42 2 2" xfId="4880" xr:uid="{00000000-0005-0000-0000-000056160000}"/>
    <cellStyle name="Normal 2 2 42 2 3" xfId="10173" xr:uid="{00000000-0005-0000-0000-000057160000}"/>
    <cellStyle name="Normal 2 2 42 3" xfId="4881" xr:uid="{00000000-0005-0000-0000-000058160000}"/>
    <cellStyle name="Normal 2 2 42 4" xfId="10172" xr:uid="{00000000-0005-0000-0000-000059160000}"/>
    <cellStyle name="Normal 2 2 43" xfId="4882" xr:uid="{00000000-0005-0000-0000-00005A160000}"/>
    <cellStyle name="Normal 2 2 43 2" xfId="4883" xr:uid="{00000000-0005-0000-0000-00005B160000}"/>
    <cellStyle name="Normal 2 2 43 2 2" xfId="4884" xr:uid="{00000000-0005-0000-0000-00005C160000}"/>
    <cellStyle name="Normal 2 2 43 2 3" xfId="10175" xr:uid="{00000000-0005-0000-0000-00005D160000}"/>
    <cellStyle name="Normal 2 2 43 3" xfId="4885" xr:uid="{00000000-0005-0000-0000-00005E160000}"/>
    <cellStyle name="Normal 2 2 43 4" xfId="10174" xr:uid="{00000000-0005-0000-0000-00005F160000}"/>
    <cellStyle name="Normal 2 2 44" xfId="4886" xr:uid="{00000000-0005-0000-0000-000060160000}"/>
    <cellStyle name="Normal 2 2 44 2" xfId="4887" xr:uid="{00000000-0005-0000-0000-000061160000}"/>
    <cellStyle name="Normal 2 2 44 2 2" xfId="4888" xr:uid="{00000000-0005-0000-0000-000062160000}"/>
    <cellStyle name="Normal 2 2 44 2 3" xfId="10177" xr:uid="{00000000-0005-0000-0000-000063160000}"/>
    <cellStyle name="Normal 2 2 44 3" xfId="4889" xr:uid="{00000000-0005-0000-0000-000064160000}"/>
    <cellStyle name="Normal 2 2 44 4" xfId="10176" xr:uid="{00000000-0005-0000-0000-000065160000}"/>
    <cellStyle name="Normal 2 2 45" xfId="4890" xr:uid="{00000000-0005-0000-0000-000066160000}"/>
    <cellStyle name="Normal 2 2 45 2" xfId="4891" xr:uid="{00000000-0005-0000-0000-000067160000}"/>
    <cellStyle name="Normal 2 2 45 2 2" xfId="4892" xr:uid="{00000000-0005-0000-0000-000068160000}"/>
    <cellStyle name="Normal 2 2 45 2 3" xfId="10179" xr:uid="{00000000-0005-0000-0000-000069160000}"/>
    <cellStyle name="Normal 2 2 45 3" xfId="4893" xr:uid="{00000000-0005-0000-0000-00006A160000}"/>
    <cellStyle name="Normal 2 2 45 4" xfId="10178" xr:uid="{00000000-0005-0000-0000-00006B160000}"/>
    <cellStyle name="Normal 2 2 46" xfId="4894" xr:uid="{00000000-0005-0000-0000-00006C160000}"/>
    <cellStyle name="Normal 2 2 46 2" xfId="4895" xr:uid="{00000000-0005-0000-0000-00006D160000}"/>
    <cellStyle name="Normal 2 2 46 2 2" xfId="4896" xr:uid="{00000000-0005-0000-0000-00006E160000}"/>
    <cellStyle name="Normal 2 2 46 2 3" xfId="10181" xr:uid="{00000000-0005-0000-0000-00006F160000}"/>
    <cellStyle name="Normal 2 2 46 3" xfId="4897" xr:uid="{00000000-0005-0000-0000-000070160000}"/>
    <cellStyle name="Normal 2 2 46 4" xfId="10180" xr:uid="{00000000-0005-0000-0000-000071160000}"/>
    <cellStyle name="Normal 2 2 47" xfId="4898" xr:uid="{00000000-0005-0000-0000-000072160000}"/>
    <cellStyle name="Normal 2 2 47 2" xfId="4899" xr:uid="{00000000-0005-0000-0000-000073160000}"/>
    <cellStyle name="Normal 2 2 47 2 2" xfId="4900" xr:uid="{00000000-0005-0000-0000-000074160000}"/>
    <cellStyle name="Normal 2 2 47 2 3" xfId="10183" xr:uid="{00000000-0005-0000-0000-000075160000}"/>
    <cellStyle name="Normal 2 2 47 3" xfId="4901" xr:uid="{00000000-0005-0000-0000-000076160000}"/>
    <cellStyle name="Normal 2 2 47 4" xfId="10182" xr:uid="{00000000-0005-0000-0000-000077160000}"/>
    <cellStyle name="Normal 2 2 48" xfId="4902" xr:uid="{00000000-0005-0000-0000-000078160000}"/>
    <cellStyle name="Normal 2 2 48 2" xfId="4903" xr:uid="{00000000-0005-0000-0000-000079160000}"/>
    <cellStyle name="Normal 2 2 48 2 2" xfId="4904" xr:uid="{00000000-0005-0000-0000-00007A160000}"/>
    <cellStyle name="Normal 2 2 48 2 3" xfId="10185" xr:uid="{00000000-0005-0000-0000-00007B160000}"/>
    <cellStyle name="Normal 2 2 48 3" xfId="4905" xr:uid="{00000000-0005-0000-0000-00007C160000}"/>
    <cellStyle name="Normal 2 2 48 4" xfId="10184" xr:uid="{00000000-0005-0000-0000-00007D160000}"/>
    <cellStyle name="Normal 2 2 49" xfId="4906" xr:uid="{00000000-0005-0000-0000-00007E160000}"/>
    <cellStyle name="Normal 2 2 49 2" xfId="4907" xr:uid="{00000000-0005-0000-0000-00007F160000}"/>
    <cellStyle name="Normal 2 2 49 2 2" xfId="4908" xr:uid="{00000000-0005-0000-0000-000080160000}"/>
    <cellStyle name="Normal 2 2 49 2 3" xfId="10187" xr:uid="{00000000-0005-0000-0000-000081160000}"/>
    <cellStyle name="Normal 2 2 49 3" xfId="4909" xr:uid="{00000000-0005-0000-0000-000082160000}"/>
    <cellStyle name="Normal 2 2 49 4" xfId="10186" xr:uid="{00000000-0005-0000-0000-000083160000}"/>
    <cellStyle name="Normal 2 2 5" xfId="4910" xr:uid="{00000000-0005-0000-0000-000084160000}"/>
    <cellStyle name="Normal 2 2 5 10" xfId="4911" xr:uid="{00000000-0005-0000-0000-000085160000}"/>
    <cellStyle name="Normal 2 2 5 11" xfId="4912" xr:uid="{00000000-0005-0000-0000-000086160000}"/>
    <cellStyle name="Normal 2 2 5 12" xfId="4913" xr:uid="{00000000-0005-0000-0000-000087160000}"/>
    <cellStyle name="Normal 2 2 5 13" xfId="4914" xr:uid="{00000000-0005-0000-0000-000088160000}"/>
    <cellStyle name="Normal 2 2 5 14" xfId="4915" xr:uid="{00000000-0005-0000-0000-000089160000}"/>
    <cellStyle name="Normal 2 2 5 15" xfId="4916" xr:uid="{00000000-0005-0000-0000-00008A160000}"/>
    <cellStyle name="Normal 2 2 5 16" xfId="4917" xr:uid="{00000000-0005-0000-0000-00008B160000}"/>
    <cellStyle name="Normal 2 2 5 17" xfId="4918" xr:uid="{00000000-0005-0000-0000-00008C160000}"/>
    <cellStyle name="Normal 2 2 5 18" xfId="4919" xr:uid="{00000000-0005-0000-0000-00008D160000}"/>
    <cellStyle name="Normal 2 2 5 19" xfId="4920" xr:uid="{00000000-0005-0000-0000-00008E160000}"/>
    <cellStyle name="Normal 2 2 5 2" xfId="4921" xr:uid="{00000000-0005-0000-0000-00008F160000}"/>
    <cellStyle name="Normal 2 2 5 2 2" xfId="4922" xr:uid="{00000000-0005-0000-0000-000090160000}"/>
    <cellStyle name="Normal 2 2 5 20" xfId="4923" xr:uid="{00000000-0005-0000-0000-000091160000}"/>
    <cellStyle name="Normal 2 2 5 21" xfId="4924" xr:uid="{00000000-0005-0000-0000-000092160000}"/>
    <cellStyle name="Normal 2 2 5 22" xfId="4925" xr:uid="{00000000-0005-0000-0000-000093160000}"/>
    <cellStyle name="Normal 2 2 5 23" xfId="4926" xr:uid="{00000000-0005-0000-0000-000094160000}"/>
    <cellStyle name="Normal 2 2 5 24" xfId="4927" xr:uid="{00000000-0005-0000-0000-000095160000}"/>
    <cellStyle name="Normal 2 2 5 25" xfId="4928" xr:uid="{00000000-0005-0000-0000-000096160000}"/>
    <cellStyle name="Normal 2 2 5 26" xfId="4929" xr:uid="{00000000-0005-0000-0000-000097160000}"/>
    <cellStyle name="Normal 2 2 5 27" xfId="4930" xr:uid="{00000000-0005-0000-0000-000098160000}"/>
    <cellStyle name="Normal 2 2 5 28" xfId="4931" xr:uid="{00000000-0005-0000-0000-000099160000}"/>
    <cellStyle name="Normal 2 2 5 29" xfId="4932" xr:uid="{00000000-0005-0000-0000-00009A160000}"/>
    <cellStyle name="Normal 2 2 5 3" xfId="4933" xr:uid="{00000000-0005-0000-0000-00009B160000}"/>
    <cellStyle name="Normal 2 2 5 30" xfId="4934" xr:uid="{00000000-0005-0000-0000-00009C160000}"/>
    <cellStyle name="Normal 2 2 5 31" xfId="4935" xr:uid="{00000000-0005-0000-0000-00009D160000}"/>
    <cellStyle name="Normal 2 2 5 32" xfId="4936" xr:uid="{00000000-0005-0000-0000-00009E160000}"/>
    <cellStyle name="Normal 2 2 5 33" xfId="4937" xr:uid="{00000000-0005-0000-0000-00009F160000}"/>
    <cellStyle name="Normal 2 2 5 34" xfId="4938" xr:uid="{00000000-0005-0000-0000-0000A0160000}"/>
    <cellStyle name="Normal 2 2 5 35" xfId="4939" xr:uid="{00000000-0005-0000-0000-0000A1160000}"/>
    <cellStyle name="Normal 2 2 5 36" xfId="4940" xr:uid="{00000000-0005-0000-0000-0000A2160000}"/>
    <cellStyle name="Normal 2 2 5 37" xfId="4941" xr:uid="{00000000-0005-0000-0000-0000A3160000}"/>
    <cellStyle name="Normal 2 2 5 38" xfId="4942" xr:uid="{00000000-0005-0000-0000-0000A4160000}"/>
    <cellStyle name="Normal 2 2 5 39" xfId="4943" xr:uid="{00000000-0005-0000-0000-0000A5160000}"/>
    <cellStyle name="Normal 2 2 5 4" xfId="4944" xr:uid="{00000000-0005-0000-0000-0000A6160000}"/>
    <cellStyle name="Normal 2 2 5 40" xfId="4945" xr:uid="{00000000-0005-0000-0000-0000A7160000}"/>
    <cellStyle name="Normal 2 2 5 41" xfId="4946" xr:uid="{00000000-0005-0000-0000-0000A8160000}"/>
    <cellStyle name="Normal 2 2 5 42" xfId="4947" xr:uid="{00000000-0005-0000-0000-0000A9160000}"/>
    <cellStyle name="Normal 2 2 5 43" xfId="4948" xr:uid="{00000000-0005-0000-0000-0000AA160000}"/>
    <cellStyle name="Normal 2 2 5 44" xfId="4949" xr:uid="{00000000-0005-0000-0000-0000AB160000}"/>
    <cellStyle name="Normal 2 2 5 45" xfId="4950" xr:uid="{00000000-0005-0000-0000-0000AC160000}"/>
    <cellStyle name="Normal 2 2 5 46" xfId="4951" xr:uid="{00000000-0005-0000-0000-0000AD160000}"/>
    <cellStyle name="Normal 2 2 5 47" xfId="4952" xr:uid="{00000000-0005-0000-0000-0000AE160000}"/>
    <cellStyle name="Normal 2 2 5 48" xfId="4953" xr:uid="{00000000-0005-0000-0000-0000AF160000}"/>
    <cellStyle name="Normal 2 2 5 49" xfId="4954" xr:uid="{00000000-0005-0000-0000-0000B0160000}"/>
    <cellStyle name="Normal 2 2 5 5" xfId="4955" xr:uid="{00000000-0005-0000-0000-0000B1160000}"/>
    <cellStyle name="Normal 2 2 5 50" xfId="4956" xr:uid="{00000000-0005-0000-0000-0000B2160000}"/>
    <cellStyle name="Normal 2 2 5 51" xfId="4957" xr:uid="{00000000-0005-0000-0000-0000B3160000}"/>
    <cellStyle name="Normal 2 2 5 52" xfId="4958" xr:uid="{00000000-0005-0000-0000-0000B4160000}"/>
    <cellStyle name="Normal 2 2 5 53" xfId="4959" xr:uid="{00000000-0005-0000-0000-0000B5160000}"/>
    <cellStyle name="Normal 2 2 5 54" xfId="4960" xr:uid="{00000000-0005-0000-0000-0000B6160000}"/>
    <cellStyle name="Normal 2 2 5 55" xfId="4961" xr:uid="{00000000-0005-0000-0000-0000B7160000}"/>
    <cellStyle name="Normal 2 2 5 56" xfId="4962" xr:uid="{00000000-0005-0000-0000-0000B8160000}"/>
    <cellStyle name="Normal 2 2 5 57" xfId="4963" xr:uid="{00000000-0005-0000-0000-0000B9160000}"/>
    <cellStyle name="Normal 2 2 5 58" xfId="4964" xr:uid="{00000000-0005-0000-0000-0000BA160000}"/>
    <cellStyle name="Normal 2 2 5 59" xfId="4965" xr:uid="{00000000-0005-0000-0000-0000BB160000}"/>
    <cellStyle name="Normal 2 2 5 6" xfId="4966" xr:uid="{00000000-0005-0000-0000-0000BC160000}"/>
    <cellStyle name="Normal 2 2 5 60" xfId="4967" xr:uid="{00000000-0005-0000-0000-0000BD160000}"/>
    <cellStyle name="Normal 2 2 5 61" xfId="4968" xr:uid="{00000000-0005-0000-0000-0000BE160000}"/>
    <cellStyle name="Normal 2 2 5 62" xfId="4969" xr:uid="{00000000-0005-0000-0000-0000BF160000}"/>
    <cellStyle name="Normal 2 2 5 63" xfId="4970" xr:uid="{00000000-0005-0000-0000-0000C0160000}"/>
    <cellStyle name="Normal 2 2 5 64" xfId="4971" xr:uid="{00000000-0005-0000-0000-0000C1160000}"/>
    <cellStyle name="Normal 2 2 5 65" xfId="4972" xr:uid="{00000000-0005-0000-0000-0000C2160000}"/>
    <cellStyle name="Normal 2 2 5 66" xfId="4973" xr:uid="{00000000-0005-0000-0000-0000C3160000}"/>
    <cellStyle name="Normal 2 2 5 67" xfId="4974" xr:uid="{00000000-0005-0000-0000-0000C4160000}"/>
    <cellStyle name="Normal 2 2 5 68" xfId="4975" xr:uid="{00000000-0005-0000-0000-0000C5160000}"/>
    <cellStyle name="Normal 2 2 5 69" xfId="4976" xr:uid="{00000000-0005-0000-0000-0000C6160000}"/>
    <cellStyle name="Normal 2 2 5 7" xfId="4977" xr:uid="{00000000-0005-0000-0000-0000C7160000}"/>
    <cellStyle name="Normal 2 2 5 70" xfId="4978" xr:uid="{00000000-0005-0000-0000-0000C8160000}"/>
    <cellStyle name="Normal 2 2 5 71" xfId="4979" xr:uid="{00000000-0005-0000-0000-0000C9160000}"/>
    <cellStyle name="Normal 2 2 5 72" xfId="4980" xr:uid="{00000000-0005-0000-0000-0000CA160000}"/>
    <cellStyle name="Normal 2 2 5 73" xfId="4981" xr:uid="{00000000-0005-0000-0000-0000CB160000}"/>
    <cellStyle name="Normal 2 2 5 74" xfId="4982" xr:uid="{00000000-0005-0000-0000-0000CC160000}"/>
    <cellStyle name="Normal 2 2 5 75" xfId="4983" xr:uid="{00000000-0005-0000-0000-0000CD160000}"/>
    <cellStyle name="Normal 2 2 5 76" xfId="4984" xr:uid="{00000000-0005-0000-0000-0000CE160000}"/>
    <cellStyle name="Normal 2 2 5 77" xfId="4985" xr:uid="{00000000-0005-0000-0000-0000CF160000}"/>
    <cellStyle name="Normal 2 2 5 78" xfId="4986" xr:uid="{00000000-0005-0000-0000-0000D0160000}"/>
    <cellStyle name="Normal 2 2 5 79" xfId="4987" xr:uid="{00000000-0005-0000-0000-0000D1160000}"/>
    <cellStyle name="Normal 2 2 5 8" xfId="4988" xr:uid="{00000000-0005-0000-0000-0000D2160000}"/>
    <cellStyle name="Normal 2 2 5 80" xfId="4989" xr:uid="{00000000-0005-0000-0000-0000D3160000}"/>
    <cellStyle name="Normal 2 2 5 81" xfId="4990" xr:uid="{00000000-0005-0000-0000-0000D4160000}"/>
    <cellStyle name="Normal 2 2 5 82" xfId="4991" xr:uid="{00000000-0005-0000-0000-0000D5160000}"/>
    <cellStyle name="Normal 2 2 5 83" xfId="4992" xr:uid="{00000000-0005-0000-0000-0000D6160000}"/>
    <cellStyle name="Normal 2 2 5 84" xfId="4993" xr:uid="{00000000-0005-0000-0000-0000D7160000}"/>
    <cellStyle name="Normal 2 2 5 85" xfId="4994" xr:uid="{00000000-0005-0000-0000-0000D8160000}"/>
    <cellStyle name="Normal 2 2 5 86" xfId="4995" xr:uid="{00000000-0005-0000-0000-0000D9160000}"/>
    <cellStyle name="Normal 2 2 5 87" xfId="4996" xr:uid="{00000000-0005-0000-0000-0000DA160000}"/>
    <cellStyle name="Normal 2 2 5 88" xfId="4997" xr:uid="{00000000-0005-0000-0000-0000DB160000}"/>
    <cellStyle name="Normal 2 2 5 89" xfId="4998" xr:uid="{00000000-0005-0000-0000-0000DC160000}"/>
    <cellStyle name="Normal 2 2 5 9" xfId="4999" xr:uid="{00000000-0005-0000-0000-0000DD160000}"/>
    <cellStyle name="Normal 2 2 5 90" xfId="5000" xr:uid="{00000000-0005-0000-0000-0000DE160000}"/>
    <cellStyle name="Normal 2 2 5 91" xfId="5001" xr:uid="{00000000-0005-0000-0000-0000DF160000}"/>
    <cellStyle name="Normal 2 2 5 92" xfId="11136" xr:uid="{00000000-0005-0000-0000-0000E0160000}"/>
    <cellStyle name="Normal 2 2 50" xfId="5002" xr:uid="{00000000-0005-0000-0000-0000E1160000}"/>
    <cellStyle name="Normal 2 2 50 2" xfId="5003" xr:uid="{00000000-0005-0000-0000-0000E2160000}"/>
    <cellStyle name="Normal 2 2 50 2 2" xfId="5004" xr:uid="{00000000-0005-0000-0000-0000E3160000}"/>
    <cellStyle name="Normal 2 2 50 2 3" xfId="10189" xr:uid="{00000000-0005-0000-0000-0000E4160000}"/>
    <cellStyle name="Normal 2 2 50 3" xfId="5005" xr:uid="{00000000-0005-0000-0000-0000E5160000}"/>
    <cellStyle name="Normal 2 2 50 4" xfId="10188" xr:uid="{00000000-0005-0000-0000-0000E6160000}"/>
    <cellStyle name="Normal 2 2 51" xfId="5006" xr:uid="{00000000-0005-0000-0000-0000E7160000}"/>
    <cellStyle name="Normal 2 2 51 2" xfId="5007" xr:uid="{00000000-0005-0000-0000-0000E8160000}"/>
    <cellStyle name="Normal 2 2 51 2 2" xfId="5008" xr:uid="{00000000-0005-0000-0000-0000E9160000}"/>
    <cellStyle name="Normal 2 2 51 2 3" xfId="10191" xr:uid="{00000000-0005-0000-0000-0000EA160000}"/>
    <cellStyle name="Normal 2 2 51 3" xfId="5009" xr:uid="{00000000-0005-0000-0000-0000EB160000}"/>
    <cellStyle name="Normal 2 2 51 4" xfId="10190" xr:uid="{00000000-0005-0000-0000-0000EC160000}"/>
    <cellStyle name="Normal 2 2 52" xfId="5010" xr:uid="{00000000-0005-0000-0000-0000ED160000}"/>
    <cellStyle name="Normal 2 2 52 2" xfId="5011" xr:uid="{00000000-0005-0000-0000-0000EE160000}"/>
    <cellStyle name="Normal 2 2 52 2 2" xfId="5012" xr:uid="{00000000-0005-0000-0000-0000EF160000}"/>
    <cellStyle name="Normal 2 2 52 2 3" xfId="10193" xr:uid="{00000000-0005-0000-0000-0000F0160000}"/>
    <cellStyle name="Normal 2 2 52 3" xfId="5013" xr:uid="{00000000-0005-0000-0000-0000F1160000}"/>
    <cellStyle name="Normal 2 2 52 4" xfId="10192" xr:uid="{00000000-0005-0000-0000-0000F2160000}"/>
    <cellStyle name="Normal 2 2 53" xfId="5014" xr:uid="{00000000-0005-0000-0000-0000F3160000}"/>
    <cellStyle name="Normal 2 2 53 2" xfId="5015" xr:uid="{00000000-0005-0000-0000-0000F4160000}"/>
    <cellStyle name="Normal 2 2 53 2 2" xfId="5016" xr:uid="{00000000-0005-0000-0000-0000F5160000}"/>
    <cellStyle name="Normal 2 2 53 2 3" xfId="10195" xr:uid="{00000000-0005-0000-0000-0000F6160000}"/>
    <cellStyle name="Normal 2 2 53 3" xfId="5017" xr:uid="{00000000-0005-0000-0000-0000F7160000}"/>
    <cellStyle name="Normal 2 2 53 4" xfId="10194" xr:uid="{00000000-0005-0000-0000-0000F8160000}"/>
    <cellStyle name="Normal 2 2 54" xfId="5018" xr:uid="{00000000-0005-0000-0000-0000F9160000}"/>
    <cellStyle name="Normal 2 2 54 2" xfId="5019" xr:uid="{00000000-0005-0000-0000-0000FA160000}"/>
    <cellStyle name="Normal 2 2 54 2 2" xfId="5020" xr:uid="{00000000-0005-0000-0000-0000FB160000}"/>
    <cellStyle name="Normal 2 2 54 2 3" xfId="10197" xr:uid="{00000000-0005-0000-0000-0000FC160000}"/>
    <cellStyle name="Normal 2 2 54 3" xfId="5021" xr:uid="{00000000-0005-0000-0000-0000FD160000}"/>
    <cellStyle name="Normal 2 2 54 4" xfId="10196" xr:uid="{00000000-0005-0000-0000-0000FE160000}"/>
    <cellStyle name="Normal 2 2 55" xfId="5022" xr:uid="{00000000-0005-0000-0000-0000FF160000}"/>
    <cellStyle name="Normal 2 2 55 2" xfId="5023" xr:uid="{00000000-0005-0000-0000-000000170000}"/>
    <cellStyle name="Normal 2 2 55 2 2" xfId="5024" xr:uid="{00000000-0005-0000-0000-000001170000}"/>
    <cellStyle name="Normal 2 2 55 2 3" xfId="10199" xr:uid="{00000000-0005-0000-0000-000002170000}"/>
    <cellStyle name="Normal 2 2 55 3" xfId="5025" xr:uid="{00000000-0005-0000-0000-000003170000}"/>
    <cellStyle name="Normal 2 2 55 4" xfId="10198" xr:uid="{00000000-0005-0000-0000-000004170000}"/>
    <cellStyle name="Normal 2 2 56" xfId="5026" xr:uid="{00000000-0005-0000-0000-000005170000}"/>
    <cellStyle name="Normal 2 2 56 2" xfId="5027" xr:uid="{00000000-0005-0000-0000-000006170000}"/>
    <cellStyle name="Normal 2 2 56 2 2" xfId="5028" xr:uid="{00000000-0005-0000-0000-000007170000}"/>
    <cellStyle name="Normal 2 2 56 2 3" xfId="10201" xr:uid="{00000000-0005-0000-0000-000008170000}"/>
    <cellStyle name="Normal 2 2 56 3" xfId="5029" xr:uid="{00000000-0005-0000-0000-000009170000}"/>
    <cellStyle name="Normal 2 2 56 4" xfId="10200" xr:uid="{00000000-0005-0000-0000-00000A170000}"/>
    <cellStyle name="Normal 2 2 57" xfId="5030" xr:uid="{00000000-0005-0000-0000-00000B170000}"/>
    <cellStyle name="Normal 2 2 57 2" xfId="5031" xr:uid="{00000000-0005-0000-0000-00000C170000}"/>
    <cellStyle name="Normal 2 2 57 2 2" xfId="5032" xr:uid="{00000000-0005-0000-0000-00000D170000}"/>
    <cellStyle name="Normal 2 2 57 2 3" xfId="10203" xr:uid="{00000000-0005-0000-0000-00000E170000}"/>
    <cellStyle name="Normal 2 2 57 3" xfId="5033" xr:uid="{00000000-0005-0000-0000-00000F170000}"/>
    <cellStyle name="Normal 2 2 57 4" xfId="10202" xr:uid="{00000000-0005-0000-0000-000010170000}"/>
    <cellStyle name="Normal 2 2 58" xfId="5034" xr:uid="{00000000-0005-0000-0000-000011170000}"/>
    <cellStyle name="Normal 2 2 58 2" xfId="5035" xr:uid="{00000000-0005-0000-0000-000012170000}"/>
    <cellStyle name="Normal 2 2 58 2 2" xfId="5036" xr:uid="{00000000-0005-0000-0000-000013170000}"/>
    <cellStyle name="Normal 2 2 58 2 3" xfId="10205" xr:uid="{00000000-0005-0000-0000-000014170000}"/>
    <cellStyle name="Normal 2 2 58 3" xfId="5037" xr:uid="{00000000-0005-0000-0000-000015170000}"/>
    <cellStyle name="Normal 2 2 58 4" xfId="10204" xr:uid="{00000000-0005-0000-0000-000016170000}"/>
    <cellStyle name="Normal 2 2 59" xfId="5038" xr:uid="{00000000-0005-0000-0000-000017170000}"/>
    <cellStyle name="Normal 2 2 59 2" xfId="5039" xr:uid="{00000000-0005-0000-0000-000018170000}"/>
    <cellStyle name="Normal 2 2 59 2 2" xfId="5040" xr:uid="{00000000-0005-0000-0000-000019170000}"/>
    <cellStyle name="Normal 2 2 59 2 3" xfId="10207" xr:uid="{00000000-0005-0000-0000-00001A170000}"/>
    <cellStyle name="Normal 2 2 59 3" xfId="5041" xr:uid="{00000000-0005-0000-0000-00001B170000}"/>
    <cellStyle name="Normal 2 2 59 4" xfId="10206" xr:uid="{00000000-0005-0000-0000-00001C170000}"/>
    <cellStyle name="Normal 2 2 6" xfId="5042" xr:uid="{00000000-0005-0000-0000-00001D170000}"/>
    <cellStyle name="Normal 2 2 6 10" xfId="5043" xr:uid="{00000000-0005-0000-0000-00001E170000}"/>
    <cellStyle name="Normal 2 2 6 11" xfId="5044" xr:uid="{00000000-0005-0000-0000-00001F170000}"/>
    <cellStyle name="Normal 2 2 6 12" xfId="5045" xr:uid="{00000000-0005-0000-0000-000020170000}"/>
    <cellStyle name="Normal 2 2 6 13" xfId="5046" xr:uid="{00000000-0005-0000-0000-000021170000}"/>
    <cellStyle name="Normal 2 2 6 14" xfId="5047" xr:uid="{00000000-0005-0000-0000-000022170000}"/>
    <cellStyle name="Normal 2 2 6 15" xfId="5048" xr:uid="{00000000-0005-0000-0000-000023170000}"/>
    <cellStyle name="Normal 2 2 6 16" xfId="5049" xr:uid="{00000000-0005-0000-0000-000024170000}"/>
    <cellStyle name="Normal 2 2 6 17" xfId="5050" xr:uid="{00000000-0005-0000-0000-000025170000}"/>
    <cellStyle name="Normal 2 2 6 18" xfId="5051" xr:uid="{00000000-0005-0000-0000-000026170000}"/>
    <cellStyle name="Normal 2 2 6 19" xfId="5052" xr:uid="{00000000-0005-0000-0000-000027170000}"/>
    <cellStyle name="Normal 2 2 6 2" xfId="5053" xr:uid="{00000000-0005-0000-0000-000028170000}"/>
    <cellStyle name="Normal 2 2 6 2 2" xfId="5054" xr:uid="{00000000-0005-0000-0000-000029170000}"/>
    <cellStyle name="Normal 2 2 6 20" xfId="5055" xr:uid="{00000000-0005-0000-0000-00002A170000}"/>
    <cellStyle name="Normal 2 2 6 21" xfId="5056" xr:uid="{00000000-0005-0000-0000-00002B170000}"/>
    <cellStyle name="Normal 2 2 6 22" xfId="5057" xr:uid="{00000000-0005-0000-0000-00002C170000}"/>
    <cellStyle name="Normal 2 2 6 23" xfId="5058" xr:uid="{00000000-0005-0000-0000-00002D170000}"/>
    <cellStyle name="Normal 2 2 6 24" xfId="5059" xr:uid="{00000000-0005-0000-0000-00002E170000}"/>
    <cellStyle name="Normal 2 2 6 25" xfId="5060" xr:uid="{00000000-0005-0000-0000-00002F170000}"/>
    <cellStyle name="Normal 2 2 6 26" xfId="5061" xr:uid="{00000000-0005-0000-0000-000030170000}"/>
    <cellStyle name="Normal 2 2 6 27" xfId="5062" xr:uid="{00000000-0005-0000-0000-000031170000}"/>
    <cellStyle name="Normal 2 2 6 28" xfId="5063" xr:uid="{00000000-0005-0000-0000-000032170000}"/>
    <cellStyle name="Normal 2 2 6 29" xfId="5064" xr:uid="{00000000-0005-0000-0000-000033170000}"/>
    <cellStyle name="Normal 2 2 6 3" xfId="5065" xr:uid="{00000000-0005-0000-0000-000034170000}"/>
    <cellStyle name="Normal 2 2 6 3 2" xfId="5066" xr:uid="{00000000-0005-0000-0000-000035170000}"/>
    <cellStyle name="Normal 2 2 6 3 3" xfId="5067" xr:uid="{00000000-0005-0000-0000-000036170000}"/>
    <cellStyle name="Normal 2 2 6 3 4" xfId="10208" xr:uid="{00000000-0005-0000-0000-000037170000}"/>
    <cellStyle name="Normal 2 2 6 30" xfId="5068" xr:uid="{00000000-0005-0000-0000-000038170000}"/>
    <cellStyle name="Normal 2 2 6 31" xfId="5069" xr:uid="{00000000-0005-0000-0000-000039170000}"/>
    <cellStyle name="Normal 2 2 6 32" xfId="5070" xr:uid="{00000000-0005-0000-0000-00003A170000}"/>
    <cellStyle name="Normal 2 2 6 33" xfId="5071" xr:uid="{00000000-0005-0000-0000-00003B170000}"/>
    <cellStyle name="Normal 2 2 6 34" xfId="5072" xr:uid="{00000000-0005-0000-0000-00003C170000}"/>
    <cellStyle name="Normal 2 2 6 35" xfId="5073" xr:uid="{00000000-0005-0000-0000-00003D170000}"/>
    <cellStyle name="Normal 2 2 6 36" xfId="5074" xr:uid="{00000000-0005-0000-0000-00003E170000}"/>
    <cellStyle name="Normal 2 2 6 37" xfId="5075" xr:uid="{00000000-0005-0000-0000-00003F170000}"/>
    <cellStyle name="Normal 2 2 6 38" xfId="5076" xr:uid="{00000000-0005-0000-0000-000040170000}"/>
    <cellStyle name="Normal 2 2 6 39" xfId="5077" xr:uid="{00000000-0005-0000-0000-000041170000}"/>
    <cellStyle name="Normal 2 2 6 4" xfId="5078" xr:uid="{00000000-0005-0000-0000-000042170000}"/>
    <cellStyle name="Normal 2 2 6 40" xfId="5079" xr:uid="{00000000-0005-0000-0000-000043170000}"/>
    <cellStyle name="Normal 2 2 6 41" xfId="5080" xr:uid="{00000000-0005-0000-0000-000044170000}"/>
    <cellStyle name="Normal 2 2 6 42" xfId="5081" xr:uid="{00000000-0005-0000-0000-000045170000}"/>
    <cellStyle name="Normal 2 2 6 5" xfId="5082" xr:uid="{00000000-0005-0000-0000-000046170000}"/>
    <cellStyle name="Normal 2 2 6 6" xfId="5083" xr:uid="{00000000-0005-0000-0000-000047170000}"/>
    <cellStyle name="Normal 2 2 6 7" xfId="5084" xr:uid="{00000000-0005-0000-0000-000048170000}"/>
    <cellStyle name="Normal 2 2 6 8" xfId="5085" xr:uid="{00000000-0005-0000-0000-000049170000}"/>
    <cellStyle name="Normal 2 2 6 9" xfId="5086" xr:uid="{00000000-0005-0000-0000-00004A170000}"/>
    <cellStyle name="Normal 2 2 60" xfId="5087" xr:uid="{00000000-0005-0000-0000-00004B170000}"/>
    <cellStyle name="Normal 2 2 60 2" xfId="5088" xr:uid="{00000000-0005-0000-0000-00004C170000}"/>
    <cellStyle name="Normal 2 2 60 2 2" xfId="5089" xr:uid="{00000000-0005-0000-0000-00004D170000}"/>
    <cellStyle name="Normal 2 2 60 2 3" xfId="10210" xr:uid="{00000000-0005-0000-0000-00004E170000}"/>
    <cellStyle name="Normal 2 2 60 3" xfId="5090" xr:uid="{00000000-0005-0000-0000-00004F170000}"/>
    <cellStyle name="Normal 2 2 60 4" xfId="10209" xr:uid="{00000000-0005-0000-0000-000050170000}"/>
    <cellStyle name="Normal 2 2 61" xfId="5091" xr:uid="{00000000-0005-0000-0000-000051170000}"/>
    <cellStyle name="Normal 2 2 61 2" xfId="5092" xr:uid="{00000000-0005-0000-0000-000052170000}"/>
    <cellStyle name="Normal 2 2 61 2 2" xfId="5093" xr:uid="{00000000-0005-0000-0000-000053170000}"/>
    <cellStyle name="Normal 2 2 61 2 3" xfId="10212" xr:uid="{00000000-0005-0000-0000-000054170000}"/>
    <cellStyle name="Normal 2 2 61 3" xfId="5094" xr:uid="{00000000-0005-0000-0000-000055170000}"/>
    <cellStyle name="Normal 2 2 61 4" xfId="10211" xr:uid="{00000000-0005-0000-0000-000056170000}"/>
    <cellStyle name="Normal 2 2 62" xfId="5095" xr:uid="{00000000-0005-0000-0000-000057170000}"/>
    <cellStyle name="Normal 2 2 62 2" xfId="5096" xr:uid="{00000000-0005-0000-0000-000058170000}"/>
    <cellStyle name="Normal 2 2 62 2 2" xfId="5097" xr:uid="{00000000-0005-0000-0000-000059170000}"/>
    <cellStyle name="Normal 2 2 62 2 3" xfId="10214" xr:uid="{00000000-0005-0000-0000-00005A170000}"/>
    <cellStyle name="Normal 2 2 62 3" xfId="5098" xr:uid="{00000000-0005-0000-0000-00005B170000}"/>
    <cellStyle name="Normal 2 2 62 4" xfId="10213" xr:uid="{00000000-0005-0000-0000-00005C170000}"/>
    <cellStyle name="Normal 2 2 63" xfId="5099" xr:uid="{00000000-0005-0000-0000-00005D170000}"/>
    <cellStyle name="Normal 2 2 63 2" xfId="5100" xr:uid="{00000000-0005-0000-0000-00005E170000}"/>
    <cellStyle name="Normal 2 2 63 2 2" xfId="5101" xr:uid="{00000000-0005-0000-0000-00005F170000}"/>
    <cellStyle name="Normal 2 2 63 2 3" xfId="10216" xr:uid="{00000000-0005-0000-0000-000060170000}"/>
    <cellStyle name="Normal 2 2 63 3" xfId="5102" xr:uid="{00000000-0005-0000-0000-000061170000}"/>
    <cellStyle name="Normal 2 2 63 4" xfId="10215" xr:uid="{00000000-0005-0000-0000-000062170000}"/>
    <cellStyle name="Normal 2 2 64" xfId="5103" xr:uid="{00000000-0005-0000-0000-000063170000}"/>
    <cellStyle name="Normal 2 2 64 2" xfId="5104" xr:uid="{00000000-0005-0000-0000-000064170000}"/>
    <cellStyle name="Normal 2 2 64 2 2" xfId="5105" xr:uid="{00000000-0005-0000-0000-000065170000}"/>
    <cellStyle name="Normal 2 2 64 2 3" xfId="10218" xr:uid="{00000000-0005-0000-0000-000066170000}"/>
    <cellStyle name="Normal 2 2 64 3" xfId="5106" xr:uid="{00000000-0005-0000-0000-000067170000}"/>
    <cellStyle name="Normal 2 2 64 4" xfId="10217" xr:uid="{00000000-0005-0000-0000-000068170000}"/>
    <cellStyle name="Normal 2 2 65" xfId="5107" xr:uid="{00000000-0005-0000-0000-000069170000}"/>
    <cellStyle name="Normal 2 2 65 2" xfId="5108" xr:uid="{00000000-0005-0000-0000-00006A170000}"/>
    <cellStyle name="Normal 2 2 65 3" xfId="10219" xr:uid="{00000000-0005-0000-0000-00006B170000}"/>
    <cellStyle name="Normal 2 2 66" xfId="5109" xr:uid="{00000000-0005-0000-0000-00006C170000}"/>
    <cellStyle name="Normal 2 2 66 2" xfId="5110" xr:uid="{00000000-0005-0000-0000-00006D170000}"/>
    <cellStyle name="Normal 2 2 66 3" xfId="10220" xr:uid="{00000000-0005-0000-0000-00006E170000}"/>
    <cellStyle name="Normal 2 2 67" xfId="5111" xr:uid="{00000000-0005-0000-0000-00006F170000}"/>
    <cellStyle name="Normal 2 2 67 2" xfId="5112" xr:uid="{00000000-0005-0000-0000-000070170000}"/>
    <cellStyle name="Normal 2 2 67 3" xfId="10221" xr:uid="{00000000-0005-0000-0000-000071170000}"/>
    <cellStyle name="Normal 2 2 68" xfId="5113" xr:uid="{00000000-0005-0000-0000-000072170000}"/>
    <cellStyle name="Normal 2 2 68 2" xfId="5114" xr:uid="{00000000-0005-0000-0000-000073170000}"/>
    <cellStyle name="Normal 2 2 68 3" xfId="10222" xr:uid="{00000000-0005-0000-0000-000074170000}"/>
    <cellStyle name="Normal 2 2 69" xfId="5115" xr:uid="{00000000-0005-0000-0000-000075170000}"/>
    <cellStyle name="Normal 2 2 69 2" xfId="5116" xr:uid="{00000000-0005-0000-0000-000076170000}"/>
    <cellStyle name="Normal 2 2 69 3" xfId="10223" xr:uid="{00000000-0005-0000-0000-000077170000}"/>
    <cellStyle name="Normal 2 2 7" xfId="5117" xr:uid="{00000000-0005-0000-0000-000078170000}"/>
    <cellStyle name="Normal 2 2 7 10" xfId="5118" xr:uid="{00000000-0005-0000-0000-000079170000}"/>
    <cellStyle name="Normal 2 2 7 11" xfId="5119" xr:uid="{00000000-0005-0000-0000-00007A170000}"/>
    <cellStyle name="Normal 2 2 7 12" xfId="5120" xr:uid="{00000000-0005-0000-0000-00007B170000}"/>
    <cellStyle name="Normal 2 2 7 13" xfId="5121" xr:uid="{00000000-0005-0000-0000-00007C170000}"/>
    <cellStyle name="Normal 2 2 7 14" xfId="5122" xr:uid="{00000000-0005-0000-0000-00007D170000}"/>
    <cellStyle name="Normal 2 2 7 15" xfId="5123" xr:uid="{00000000-0005-0000-0000-00007E170000}"/>
    <cellStyle name="Normal 2 2 7 16" xfId="5124" xr:uid="{00000000-0005-0000-0000-00007F170000}"/>
    <cellStyle name="Normal 2 2 7 17" xfId="5125" xr:uid="{00000000-0005-0000-0000-000080170000}"/>
    <cellStyle name="Normal 2 2 7 18" xfId="5126" xr:uid="{00000000-0005-0000-0000-000081170000}"/>
    <cellStyle name="Normal 2 2 7 19" xfId="5127" xr:uid="{00000000-0005-0000-0000-000082170000}"/>
    <cellStyle name="Normal 2 2 7 2" xfId="5128" xr:uid="{00000000-0005-0000-0000-000083170000}"/>
    <cellStyle name="Normal 2 2 7 2 2" xfId="5129" xr:uid="{00000000-0005-0000-0000-000084170000}"/>
    <cellStyle name="Normal 2 2 7 20" xfId="5130" xr:uid="{00000000-0005-0000-0000-000085170000}"/>
    <cellStyle name="Normal 2 2 7 21" xfId="5131" xr:uid="{00000000-0005-0000-0000-000086170000}"/>
    <cellStyle name="Normal 2 2 7 22" xfId="5132" xr:uid="{00000000-0005-0000-0000-000087170000}"/>
    <cellStyle name="Normal 2 2 7 3" xfId="5133" xr:uid="{00000000-0005-0000-0000-000088170000}"/>
    <cellStyle name="Normal 2 2 7 3 2" xfId="5134" xr:uid="{00000000-0005-0000-0000-000089170000}"/>
    <cellStyle name="Normal 2 2 7 3 3" xfId="5135" xr:uid="{00000000-0005-0000-0000-00008A170000}"/>
    <cellStyle name="Normal 2 2 7 3 4" xfId="10224" xr:uid="{00000000-0005-0000-0000-00008B170000}"/>
    <cellStyle name="Normal 2 2 7 4" xfId="5136" xr:uid="{00000000-0005-0000-0000-00008C170000}"/>
    <cellStyle name="Normal 2 2 7 5" xfId="5137" xr:uid="{00000000-0005-0000-0000-00008D170000}"/>
    <cellStyle name="Normal 2 2 7 6" xfId="5138" xr:uid="{00000000-0005-0000-0000-00008E170000}"/>
    <cellStyle name="Normal 2 2 7 7" xfId="5139" xr:uid="{00000000-0005-0000-0000-00008F170000}"/>
    <cellStyle name="Normal 2 2 7 8" xfId="5140" xr:uid="{00000000-0005-0000-0000-000090170000}"/>
    <cellStyle name="Normal 2 2 7 9" xfId="5141" xr:uid="{00000000-0005-0000-0000-000091170000}"/>
    <cellStyle name="Normal 2 2 70" xfId="5142" xr:uid="{00000000-0005-0000-0000-000092170000}"/>
    <cellStyle name="Normal 2 2 70 2" xfId="5143" xr:uid="{00000000-0005-0000-0000-000093170000}"/>
    <cellStyle name="Normal 2 2 70 3" xfId="10225" xr:uid="{00000000-0005-0000-0000-000094170000}"/>
    <cellStyle name="Normal 2 2 71" xfId="5144" xr:uid="{00000000-0005-0000-0000-000095170000}"/>
    <cellStyle name="Normal 2 2 71 2" xfId="5145" xr:uid="{00000000-0005-0000-0000-000096170000}"/>
    <cellStyle name="Normal 2 2 71 3" xfId="10226" xr:uid="{00000000-0005-0000-0000-000097170000}"/>
    <cellStyle name="Normal 2 2 72" xfId="5146" xr:uid="{00000000-0005-0000-0000-000098170000}"/>
    <cellStyle name="Normal 2 2 72 2" xfId="5147" xr:uid="{00000000-0005-0000-0000-000099170000}"/>
    <cellStyle name="Normal 2 2 72 3" xfId="10227" xr:uid="{00000000-0005-0000-0000-00009A170000}"/>
    <cellStyle name="Normal 2 2 73" xfId="5148" xr:uid="{00000000-0005-0000-0000-00009B170000}"/>
    <cellStyle name="Normal 2 2 73 2" xfId="5149" xr:uid="{00000000-0005-0000-0000-00009C170000}"/>
    <cellStyle name="Normal 2 2 73 3" xfId="10228" xr:uid="{00000000-0005-0000-0000-00009D170000}"/>
    <cellStyle name="Normal 2 2 74" xfId="5150" xr:uid="{00000000-0005-0000-0000-00009E170000}"/>
    <cellStyle name="Normal 2 2 74 2" xfId="5151" xr:uid="{00000000-0005-0000-0000-00009F170000}"/>
    <cellStyle name="Normal 2 2 74 3" xfId="10229" xr:uid="{00000000-0005-0000-0000-0000A0170000}"/>
    <cellStyle name="Normal 2 2 75" xfId="5152" xr:uid="{00000000-0005-0000-0000-0000A1170000}"/>
    <cellStyle name="Normal 2 2 75 2" xfId="5153" xr:uid="{00000000-0005-0000-0000-0000A2170000}"/>
    <cellStyle name="Normal 2 2 75 3" xfId="10230" xr:uid="{00000000-0005-0000-0000-0000A3170000}"/>
    <cellStyle name="Normal 2 2 76" xfId="5154" xr:uid="{00000000-0005-0000-0000-0000A4170000}"/>
    <cellStyle name="Normal 2 2 76 2" xfId="5155" xr:uid="{00000000-0005-0000-0000-0000A5170000}"/>
    <cellStyle name="Normal 2 2 76 3" xfId="10231" xr:uid="{00000000-0005-0000-0000-0000A6170000}"/>
    <cellStyle name="Normal 2 2 77" xfId="5156" xr:uid="{00000000-0005-0000-0000-0000A7170000}"/>
    <cellStyle name="Normal 2 2 77 2" xfId="5157" xr:uid="{00000000-0005-0000-0000-0000A8170000}"/>
    <cellStyle name="Normal 2 2 77 3" xfId="10232" xr:uid="{00000000-0005-0000-0000-0000A9170000}"/>
    <cellStyle name="Normal 2 2 78" xfId="5158" xr:uid="{00000000-0005-0000-0000-0000AA170000}"/>
    <cellStyle name="Normal 2 2 78 2" xfId="5159" xr:uid="{00000000-0005-0000-0000-0000AB170000}"/>
    <cellStyle name="Normal 2 2 78 3" xfId="10233" xr:uid="{00000000-0005-0000-0000-0000AC170000}"/>
    <cellStyle name="Normal 2 2 79" xfId="5160" xr:uid="{00000000-0005-0000-0000-0000AD170000}"/>
    <cellStyle name="Normal 2 2 79 2" xfId="5161" xr:uid="{00000000-0005-0000-0000-0000AE170000}"/>
    <cellStyle name="Normal 2 2 79 3" xfId="10234" xr:uid="{00000000-0005-0000-0000-0000AF170000}"/>
    <cellStyle name="Normal 2 2 8" xfId="5162" xr:uid="{00000000-0005-0000-0000-0000B0170000}"/>
    <cellStyle name="Normal 2 2 8 2" xfId="5163" xr:uid="{00000000-0005-0000-0000-0000B1170000}"/>
    <cellStyle name="Normal 2 2 8 2 2" xfId="5164" xr:uid="{00000000-0005-0000-0000-0000B2170000}"/>
    <cellStyle name="Normal 2 2 8 2 2 2" xfId="10236" xr:uid="{00000000-0005-0000-0000-0000B3170000}"/>
    <cellStyle name="Normal 2 2 8 2 3" xfId="5165" xr:uid="{00000000-0005-0000-0000-0000B4170000}"/>
    <cellStyle name="Normal 2 2 8 3" xfId="5166" xr:uid="{00000000-0005-0000-0000-0000B5170000}"/>
    <cellStyle name="Normal 2 2 8 4" xfId="5167" xr:uid="{00000000-0005-0000-0000-0000B6170000}"/>
    <cellStyle name="Normal 2 2 8 5" xfId="5168" xr:uid="{00000000-0005-0000-0000-0000B7170000}"/>
    <cellStyle name="Normal 2 2 8 6" xfId="10235" xr:uid="{00000000-0005-0000-0000-0000B8170000}"/>
    <cellStyle name="Normal 2 2 80" xfId="5169" xr:uid="{00000000-0005-0000-0000-0000B9170000}"/>
    <cellStyle name="Normal 2 2 80 2" xfId="5170" xr:uid="{00000000-0005-0000-0000-0000BA170000}"/>
    <cellStyle name="Normal 2 2 80 3" xfId="10237" xr:uid="{00000000-0005-0000-0000-0000BB170000}"/>
    <cellStyle name="Normal 2 2 81" xfId="5171" xr:uid="{00000000-0005-0000-0000-0000BC170000}"/>
    <cellStyle name="Normal 2 2 81 2" xfId="5172" xr:uid="{00000000-0005-0000-0000-0000BD170000}"/>
    <cellStyle name="Normal 2 2 81 3" xfId="10238" xr:uid="{00000000-0005-0000-0000-0000BE170000}"/>
    <cellStyle name="Normal 2 2 82" xfId="5173" xr:uid="{00000000-0005-0000-0000-0000BF170000}"/>
    <cellStyle name="Normal 2 2 82 2" xfId="5174" xr:uid="{00000000-0005-0000-0000-0000C0170000}"/>
    <cellStyle name="Normal 2 2 82 3" xfId="10239" xr:uid="{00000000-0005-0000-0000-0000C1170000}"/>
    <cellStyle name="Normal 2 2 83" xfId="5175" xr:uid="{00000000-0005-0000-0000-0000C2170000}"/>
    <cellStyle name="Normal 2 2 83 2" xfId="5176" xr:uid="{00000000-0005-0000-0000-0000C3170000}"/>
    <cellStyle name="Normal 2 2 83 3" xfId="10240" xr:uid="{00000000-0005-0000-0000-0000C4170000}"/>
    <cellStyle name="Normal 2 2 84" xfId="5177" xr:uid="{00000000-0005-0000-0000-0000C5170000}"/>
    <cellStyle name="Normal 2 2 84 2" xfId="5178" xr:uid="{00000000-0005-0000-0000-0000C6170000}"/>
    <cellStyle name="Normal 2 2 84 3" xfId="10241" xr:uid="{00000000-0005-0000-0000-0000C7170000}"/>
    <cellStyle name="Normal 2 2 85" xfId="5179" xr:uid="{00000000-0005-0000-0000-0000C8170000}"/>
    <cellStyle name="Normal 2 2 85 2" xfId="5180" xr:uid="{00000000-0005-0000-0000-0000C9170000}"/>
    <cellStyle name="Normal 2 2 85 3" xfId="10242" xr:uid="{00000000-0005-0000-0000-0000CA170000}"/>
    <cellStyle name="Normal 2 2 86" xfId="5181" xr:uid="{00000000-0005-0000-0000-0000CB170000}"/>
    <cellStyle name="Normal 2 2 86 2" xfId="5182" xr:uid="{00000000-0005-0000-0000-0000CC170000}"/>
    <cellStyle name="Normal 2 2 86 3" xfId="10243" xr:uid="{00000000-0005-0000-0000-0000CD170000}"/>
    <cellStyle name="Normal 2 2 87" xfId="5183" xr:uid="{00000000-0005-0000-0000-0000CE170000}"/>
    <cellStyle name="Normal 2 2 87 2" xfId="5184" xr:uid="{00000000-0005-0000-0000-0000CF170000}"/>
    <cellStyle name="Normal 2 2 87 3" xfId="10244" xr:uid="{00000000-0005-0000-0000-0000D0170000}"/>
    <cellStyle name="Normal 2 2 88" xfId="5185" xr:uid="{00000000-0005-0000-0000-0000D1170000}"/>
    <cellStyle name="Normal 2 2 88 2" xfId="5186" xr:uid="{00000000-0005-0000-0000-0000D2170000}"/>
    <cellStyle name="Normal 2 2 88 3" xfId="10245" xr:uid="{00000000-0005-0000-0000-0000D3170000}"/>
    <cellStyle name="Normal 2 2 89" xfId="5187" xr:uid="{00000000-0005-0000-0000-0000D4170000}"/>
    <cellStyle name="Normal 2 2 89 2" xfId="5188" xr:uid="{00000000-0005-0000-0000-0000D5170000}"/>
    <cellStyle name="Normal 2 2 89 3" xfId="10246" xr:uid="{00000000-0005-0000-0000-0000D6170000}"/>
    <cellStyle name="Normal 2 2 9" xfId="5189" xr:uid="{00000000-0005-0000-0000-0000D7170000}"/>
    <cellStyle name="Normal 2 2 9 2" xfId="5190" xr:uid="{00000000-0005-0000-0000-0000D8170000}"/>
    <cellStyle name="Normal 2 2 9 2 2" xfId="5191" xr:uid="{00000000-0005-0000-0000-0000D9170000}"/>
    <cellStyle name="Normal 2 2 9 2 3" xfId="10248" xr:uid="{00000000-0005-0000-0000-0000DA170000}"/>
    <cellStyle name="Normal 2 2 9 3" xfId="5192" xr:uid="{00000000-0005-0000-0000-0000DB170000}"/>
    <cellStyle name="Normal 2 2 9 4" xfId="10247" xr:uid="{00000000-0005-0000-0000-0000DC170000}"/>
    <cellStyle name="Normal 2 2 90" xfId="5193" xr:uid="{00000000-0005-0000-0000-0000DD170000}"/>
    <cellStyle name="Normal 2 2 90 2" xfId="5194" xr:uid="{00000000-0005-0000-0000-0000DE170000}"/>
    <cellStyle name="Normal 2 2 90 3" xfId="10249" xr:uid="{00000000-0005-0000-0000-0000DF170000}"/>
    <cellStyle name="Normal 2 2 91" xfId="5195" xr:uid="{00000000-0005-0000-0000-0000E0170000}"/>
    <cellStyle name="Normal 2 2 91 2" xfId="5196" xr:uid="{00000000-0005-0000-0000-0000E1170000}"/>
    <cellStyle name="Normal 2 2 91 3" xfId="10250" xr:uid="{00000000-0005-0000-0000-0000E2170000}"/>
    <cellStyle name="Normal 2 2 92" xfId="5197" xr:uid="{00000000-0005-0000-0000-0000E3170000}"/>
    <cellStyle name="Normal 2 2 92 2" xfId="5198" xr:uid="{00000000-0005-0000-0000-0000E4170000}"/>
    <cellStyle name="Normal 2 2 92 3" xfId="10251" xr:uid="{00000000-0005-0000-0000-0000E5170000}"/>
    <cellStyle name="Normal 2 2 93" xfId="5199" xr:uid="{00000000-0005-0000-0000-0000E6170000}"/>
    <cellStyle name="Normal 2 2 93 2" xfId="5200" xr:uid="{00000000-0005-0000-0000-0000E7170000}"/>
    <cellStyle name="Normal 2 2 93 3" xfId="10252" xr:uid="{00000000-0005-0000-0000-0000E8170000}"/>
    <cellStyle name="Normal 2 2 94" xfId="5201" xr:uid="{00000000-0005-0000-0000-0000E9170000}"/>
    <cellStyle name="Normal 2 2 94 2" xfId="5202" xr:uid="{00000000-0005-0000-0000-0000EA170000}"/>
    <cellStyle name="Normal 2 2 94 3" xfId="10253" xr:uid="{00000000-0005-0000-0000-0000EB170000}"/>
    <cellStyle name="Normal 2 2 95" xfId="5203" xr:uid="{00000000-0005-0000-0000-0000EC170000}"/>
    <cellStyle name="Normal 2 2 95 2" xfId="5204" xr:uid="{00000000-0005-0000-0000-0000ED170000}"/>
    <cellStyle name="Normal 2 2 95 3" xfId="10254" xr:uid="{00000000-0005-0000-0000-0000EE170000}"/>
    <cellStyle name="Normal 2 2 96" xfId="5205" xr:uid="{00000000-0005-0000-0000-0000EF170000}"/>
    <cellStyle name="Normal 2 2 96 2" xfId="5206" xr:uid="{00000000-0005-0000-0000-0000F0170000}"/>
    <cellStyle name="Normal 2 2 96 3" xfId="10255" xr:uid="{00000000-0005-0000-0000-0000F1170000}"/>
    <cellStyle name="Normal 2 2 97" xfId="5207" xr:uid="{00000000-0005-0000-0000-0000F2170000}"/>
    <cellStyle name="Normal 2 2 97 2" xfId="5208" xr:uid="{00000000-0005-0000-0000-0000F3170000}"/>
    <cellStyle name="Normal 2 2 97 3" xfId="10256" xr:uid="{00000000-0005-0000-0000-0000F4170000}"/>
    <cellStyle name="Normal 2 2 98" xfId="5209" xr:uid="{00000000-0005-0000-0000-0000F5170000}"/>
    <cellStyle name="Normal 2 2 98 2" xfId="5210" xr:uid="{00000000-0005-0000-0000-0000F6170000}"/>
    <cellStyle name="Normal 2 2 98 3" xfId="10257" xr:uid="{00000000-0005-0000-0000-0000F7170000}"/>
    <cellStyle name="Normal 2 2 99" xfId="5211" xr:uid="{00000000-0005-0000-0000-0000F8170000}"/>
    <cellStyle name="Normal 2 2 99 2" xfId="5212" xr:uid="{00000000-0005-0000-0000-0000F9170000}"/>
    <cellStyle name="Normal 2 2 99 3" xfId="10258" xr:uid="{00000000-0005-0000-0000-0000FA170000}"/>
    <cellStyle name="Normal 2 20" xfId="5213" xr:uid="{00000000-0005-0000-0000-0000FB170000}"/>
    <cellStyle name="Normal 2 20 2" xfId="5214" xr:uid="{00000000-0005-0000-0000-0000FC170000}"/>
    <cellStyle name="Normal 2 20 2 2" xfId="5215" xr:uid="{00000000-0005-0000-0000-0000FD170000}"/>
    <cellStyle name="Normal 2 20 2 3" xfId="10260" xr:uid="{00000000-0005-0000-0000-0000FE170000}"/>
    <cellStyle name="Normal 2 20 3" xfId="5216" xr:uid="{00000000-0005-0000-0000-0000FF170000}"/>
    <cellStyle name="Normal 2 20 4" xfId="10259" xr:uid="{00000000-0005-0000-0000-000000180000}"/>
    <cellStyle name="Normal 2 21" xfId="5217" xr:uid="{00000000-0005-0000-0000-000001180000}"/>
    <cellStyle name="Normal 2 21 2" xfId="5218" xr:uid="{00000000-0005-0000-0000-000002180000}"/>
    <cellStyle name="Normal 2 21 2 2" xfId="5219" xr:uid="{00000000-0005-0000-0000-000003180000}"/>
    <cellStyle name="Normal 2 21 2 3" xfId="10262" xr:uid="{00000000-0005-0000-0000-000004180000}"/>
    <cellStyle name="Normal 2 21 3" xfId="5220" xr:uid="{00000000-0005-0000-0000-000005180000}"/>
    <cellStyle name="Normal 2 21 4" xfId="10261" xr:uid="{00000000-0005-0000-0000-000006180000}"/>
    <cellStyle name="Normal 2 22" xfId="5221" xr:uid="{00000000-0005-0000-0000-000007180000}"/>
    <cellStyle name="Normal 2 22 2" xfId="5222" xr:uid="{00000000-0005-0000-0000-000008180000}"/>
    <cellStyle name="Normal 2 22 2 2" xfId="5223" xr:uid="{00000000-0005-0000-0000-000009180000}"/>
    <cellStyle name="Normal 2 22 2 3" xfId="10264" xr:uid="{00000000-0005-0000-0000-00000A180000}"/>
    <cellStyle name="Normal 2 22 3" xfId="5224" xr:uid="{00000000-0005-0000-0000-00000B180000}"/>
    <cellStyle name="Normal 2 22 4" xfId="10263" xr:uid="{00000000-0005-0000-0000-00000C180000}"/>
    <cellStyle name="Normal 2 23" xfId="5225" xr:uid="{00000000-0005-0000-0000-00000D180000}"/>
    <cellStyle name="Normal 2 23 2" xfId="5226" xr:uid="{00000000-0005-0000-0000-00000E180000}"/>
    <cellStyle name="Normal 2 23 2 2" xfId="5227" xr:uid="{00000000-0005-0000-0000-00000F180000}"/>
    <cellStyle name="Normal 2 23 2 3" xfId="10266" xr:uid="{00000000-0005-0000-0000-000010180000}"/>
    <cellStyle name="Normal 2 23 3" xfId="5228" xr:uid="{00000000-0005-0000-0000-000011180000}"/>
    <cellStyle name="Normal 2 23 4" xfId="10265" xr:uid="{00000000-0005-0000-0000-000012180000}"/>
    <cellStyle name="Normal 2 24" xfId="5229" xr:uid="{00000000-0005-0000-0000-000013180000}"/>
    <cellStyle name="Normal 2 24 2" xfId="5230" xr:uid="{00000000-0005-0000-0000-000014180000}"/>
    <cellStyle name="Normal 2 24 2 2" xfId="5231" xr:uid="{00000000-0005-0000-0000-000015180000}"/>
    <cellStyle name="Normal 2 24 2 3" xfId="10268" xr:uid="{00000000-0005-0000-0000-000016180000}"/>
    <cellStyle name="Normal 2 24 3" xfId="5232" xr:uid="{00000000-0005-0000-0000-000017180000}"/>
    <cellStyle name="Normal 2 24 4" xfId="10267" xr:uid="{00000000-0005-0000-0000-000018180000}"/>
    <cellStyle name="Normal 2 25" xfId="5233" xr:uid="{00000000-0005-0000-0000-000019180000}"/>
    <cellStyle name="Normal 2 25 2" xfId="5234" xr:uid="{00000000-0005-0000-0000-00001A180000}"/>
    <cellStyle name="Normal 2 25 2 2" xfId="5235" xr:uid="{00000000-0005-0000-0000-00001B180000}"/>
    <cellStyle name="Normal 2 25 2 3" xfId="10270" xr:uid="{00000000-0005-0000-0000-00001C180000}"/>
    <cellStyle name="Normal 2 25 3" xfId="5236" xr:uid="{00000000-0005-0000-0000-00001D180000}"/>
    <cellStyle name="Normal 2 25 4" xfId="10269" xr:uid="{00000000-0005-0000-0000-00001E180000}"/>
    <cellStyle name="Normal 2 26" xfId="5237" xr:uid="{00000000-0005-0000-0000-00001F180000}"/>
    <cellStyle name="Normal 2 26 2" xfId="5238" xr:uid="{00000000-0005-0000-0000-000020180000}"/>
    <cellStyle name="Normal 2 26 2 2" xfId="5239" xr:uid="{00000000-0005-0000-0000-000021180000}"/>
    <cellStyle name="Normal 2 26 2 3" xfId="10272" xr:uid="{00000000-0005-0000-0000-000022180000}"/>
    <cellStyle name="Normal 2 26 3" xfId="5240" xr:uid="{00000000-0005-0000-0000-000023180000}"/>
    <cellStyle name="Normal 2 26 4" xfId="10271" xr:uid="{00000000-0005-0000-0000-000024180000}"/>
    <cellStyle name="Normal 2 27" xfId="5241" xr:uid="{00000000-0005-0000-0000-000025180000}"/>
    <cellStyle name="Normal 2 27 2" xfId="5242" xr:uid="{00000000-0005-0000-0000-000026180000}"/>
    <cellStyle name="Normal 2 27 2 2" xfId="5243" xr:uid="{00000000-0005-0000-0000-000027180000}"/>
    <cellStyle name="Normal 2 27 2 3" xfId="10274" xr:uid="{00000000-0005-0000-0000-000028180000}"/>
    <cellStyle name="Normal 2 27 3" xfId="5244" xr:uid="{00000000-0005-0000-0000-000029180000}"/>
    <cellStyle name="Normal 2 27 4" xfId="10273" xr:uid="{00000000-0005-0000-0000-00002A180000}"/>
    <cellStyle name="Normal 2 28" xfId="5245" xr:uid="{00000000-0005-0000-0000-00002B180000}"/>
    <cellStyle name="Normal 2 28 2" xfId="5246" xr:uid="{00000000-0005-0000-0000-00002C180000}"/>
    <cellStyle name="Normal 2 28 2 2" xfId="5247" xr:uid="{00000000-0005-0000-0000-00002D180000}"/>
    <cellStyle name="Normal 2 28 2 3" xfId="10276" xr:uid="{00000000-0005-0000-0000-00002E180000}"/>
    <cellStyle name="Normal 2 28 3" xfId="5248" xr:uid="{00000000-0005-0000-0000-00002F180000}"/>
    <cellStyle name="Normal 2 28 4" xfId="10275" xr:uid="{00000000-0005-0000-0000-000030180000}"/>
    <cellStyle name="Normal 2 29" xfId="5249" xr:uid="{00000000-0005-0000-0000-000031180000}"/>
    <cellStyle name="Normal 2 29 2" xfId="5250" xr:uid="{00000000-0005-0000-0000-000032180000}"/>
    <cellStyle name="Normal 2 29 2 2" xfId="5251" xr:uid="{00000000-0005-0000-0000-000033180000}"/>
    <cellStyle name="Normal 2 29 2 3" xfId="10278" xr:uid="{00000000-0005-0000-0000-000034180000}"/>
    <cellStyle name="Normal 2 29 3" xfId="5252" xr:uid="{00000000-0005-0000-0000-000035180000}"/>
    <cellStyle name="Normal 2 29 4" xfId="10277" xr:uid="{00000000-0005-0000-0000-000036180000}"/>
    <cellStyle name="Normal 2 3" xfId="16" xr:uid="{00000000-0005-0000-0000-000037180000}"/>
    <cellStyle name="Normal 2 3 10" xfId="5253" xr:uid="{00000000-0005-0000-0000-000038180000}"/>
    <cellStyle name="Normal 2 3 100" xfId="5254" xr:uid="{00000000-0005-0000-0000-000039180000}"/>
    <cellStyle name="Normal 2 3 101" xfId="5255" xr:uid="{00000000-0005-0000-0000-00003A180000}"/>
    <cellStyle name="Normal 2 3 102" xfId="5256" xr:uid="{00000000-0005-0000-0000-00003B180000}"/>
    <cellStyle name="Normal 2 3 103" xfId="5257" xr:uid="{00000000-0005-0000-0000-00003C180000}"/>
    <cellStyle name="Normal 2 3 104" xfId="5258" xr:uid="{00000000-0005-0000-0000-00003D180000}"/>
    <cellStyle name="Normal 2 3 105" xfId="5259" xr:uid="{00000000-0005-0000-0000-00003E180000}"/>
    <cellStyle name="Normal 2 3 106" xfId="5260" xr:uid="{00000000-0005-0000-0000-00003F180000}"/>
    <cellStyle name="Normal 2 3 107" xfId="5261" xr:uid="{00000000-0005-0000-0000-000040180000}"/>
    <cellStyle name="Normal 2 3 108" xfId="5262" xr:uid="{00000000-0005-0000-0000-000041180000}"/>
    <cellStyle name="Normal 2 3 109" xfId="5263" xr:uid="{00000000-0005-0000-0000-000042180000}"/>
    <cellStyle name="Normal 2 3 11" xfId="5264" xr:uid="{00000000-0005-0000-0000-000043180000}"/>
    <cellStyle name="Normal 2 3 110" xfId="5265" xr:uid="{00000000-0005-0000-0000-000044180000}"/>
    <cellStyle name="Normal 2 3 111" xfId="5266" xr:uid="{00000000-0005-0000-0000-000045180000}"/>
    <cellStyle name="Normal 2 3 112" xfId="5267" xr:uid="{00000000-0005-0000-0000-000046180000}"/>
    <cellStyle name="Normal 2 3 113" xfId="5268" xr:uid="{00000000-0005-0000-0000-000047180000}"/>
    <cellStyle name="Normal 2 3 114" xfId="5269" xr:uid="{00000000-0005-0000-0000-000048180000}"/>
    <cellStyle name="Normal 2 3 115" xfId="5270" xr:uid="{00000000-0005-0000-0000-000049180000}"/>
    <cellStyle name="Normal 2 3 116" xfId="5271" xr:uid="{00000000-0005-0000-0000-00004A180000}"/>
    <cellStyle name="Normal 2 3 117" xfId="5272" xr:uid="{00000000-0005-0000-0000-00004B180000}"/>
    <cellStyle name="Normal 2 3 118" xfId="5273" xr:uid="{00000000-0005-0000-0000-00004C180000}"/>
    <cellStyle name="Normal 2 3 119" xfId="5274" xr:uid="{00000000-0005-0000-0000-00004D180000}"/>
    <cellStyle name="Normal 2 3 12" xfId="5275" xr:uid="{00000000-0005-0000-0000-00004E180000}"/>
    <cellStyle name="Normal 2 3 120" xfId="5276" xr:uid="{00000000-0005-0000-0000-00004F180000}"/>
    <cellStyle name="Normal 2 3 121" xfId="5277" xr:uid="{00000000-0005-0000-0000-000050180000}"/>
    <cellStyle name="Normal 2 3 122" xfId="5278" xr:uid="{00000000-0005-0000-0000-000051180000}"/>
    <cellStyle name="Normal 2 3 123" xfId="5279" xr:uid="{00000000-0005-0000-0000-000052180000}"/>
    <cellStyle name="Normal 2 3 124" xfId="5280" xr:uid="{00000000-0005-0000-0000-000053180000}"/>
    <cellStyle name="Normal 2 3 125" xfId="5281" xr:uid="{00000000-0005-0000-0000-000054180000}"/>
    <cellStyle name="Normal 2 3 126" xfId="5282" xr:uid="{00000000-0005-0000-0000-000055180000}"/>
    <cellStyle name="Normal 2 3 127" xfId="5283" xr:uid="{00000000-0005-0000-0000-000056180000}"/>
    <cellStyle name="Normal 2 3 128" xfId="5284" xr:uid="{00000000-0005-0000-0000-000057180000}"/>
    <cellStyle name="Normal 2 3 129" xfId="5285" xr:uid="{00000000-0005-0000-0000-000058180000}"/>
    <cellStyle name="Normal 2 3 13" xfId="5286" xr:uid="{00000000-0005-0000-0000-000059180000}"/>
    <cellStyle name="Normal 2 3 130" xfId="5287" xr:uid="{00000000-0005-0000-0000-00005A180000}"/>
    <cellStyle name="Normal 2 3 131" xfId="5288" xr:uid="{00000000-0005-0000-0000-00005B180000}"/>
    <cellStyle name="Normal 2 3 132" xfId="5289" xr:uid="{00000000-0005-0000-0000-00005C180000}"/>
    <cellStyle name="Normal 2 3 133" xfId="5290" xr:uid="{00000000-0005-0000-0000-00005D180000}"/>
    <cellStyle name="Normal 2 3 134" xfId="5291" xr:uid="{00000000-0005-0000-0000-00005E180000}"/>
    <cellStyle name="Normal 2 3 135" xfId="5292" xr:uid="{00000000-0005-0000-0000-00005F180000}"/>
    <cellStyle name="Normal 2 3 136" xfId="5293" xr:uid="{00000000-0005-0000-0000-000060180000}"/>
    <cellStyle name="Normal 2 3 137" xfId="5294" xr:uid="{00000000-0005-0000-0000-000061180000}"/>
    <cellStyle name="Normal 2 3 138" xfId="5295" xr:uid="{00000000-0005-0000-0000-000062180000}"/>
    <cellStyle name="Normal 2 3 139" xfId="5296" xr:uid="{00000000-0005-0000-0000-000063180000}"/>
    <cellStyle name="Normal 2 3 14" xfId="5297" xr:uid="{00000000-0005-0000-0000-000064180000}"/>
    <cellStyle name="Normal 2 3 140" xfId="5298" xr:uid="{00000000-0005-0000-0000-000065180000}"/>
    <cellStyle name="Normal 2 3 140 2" xfId="10279" xr:uid="{00000000-0005-0000-0000-000066180000}"/>
    <cellStyle name="Normal 2 3 141" xfId="5299" xr:uid="{00000000-0005-0000-0000-000067180000}"/>
    <cellStyle name="Normal 2 3 141 2" xfId="11137" xr:uid="{00000000-0005-0000-0000-000068180000}"/>
    <cellStyle name="Normal 2 3 142" xfId="5300" xr:uid="{00000000-0005-0000-0000-000069180000}"/>
    <cellStyle name="Normal 2 3 143" xfId="5301" xr:uid="{00000000-0005-0000-0000-00006A180000}"/>
    <cellStyle name="Normal 2 3 144" xfId="5302" xr:uid="{00000000-0005-0000-0000-00006B180000}"/>
    <cellStyle name="Normal 2 3 145" xfId="9414" xr:uid="{00000000-0005-0000-0000-00006C180000}"/>
    <cellStyle name="Normal 2 3 15" xfId="5303" xr:uid="{00000000-0005-0000-0000-00006D180000}"/>
    <cellStyle name="Normal 2 3 16" xfId="5304" xr:uid="{00000000-0005-0000-0000-00006E180000}"/>
    <cellStyle name="Normal 2 3 17" xfId="5305" xr:uid="{00000000-0005-0000-0000-00006F180000}"/>
    <cellStyle name="Normal 2 3 18" xfId="5306" xr:uid="{00000000-0005-0000-0000-000070180000}"/>
    <cellStyle name="Normal 2 3 19" xfId="5307" xr:uid="{00000000-0005-0000-0000-000071180000}"/>
    <cellStyle name="Normal 2 3 2" xfId="5308" xr:uid="{00000000-0005-0000-0000-000072180000}"/>
    <cellStyle name="Normal 2 3 2 2" xfId="5309" xr:uid="{00000000-0005-0000-0000-000073180000}"/>
    <cellStyle name="Normal 2 3 2 2 10" xfId="5310" xr:uid="{00000000-0005-0000-0000-000074180000}"/>
    <cellStyle name="Normal 2 3 2 2 11" xfId="10280" xr:uid="{00000000-0005-0000-0000-000075180000}"/>
    <cellStyle name="Normal 2 3 2 2 2" xfId="5311" xr:uid="{00000000-0005-0000-0000-000076180000}"/>
    <cellStyle name="Normal 2 3 2 2 3" xfId="5312" xr:uid="{00000000-0005-0000-0000-000077180000}"/>
    <cellStyle name="Normal 2 3 2 2 4" xfId="5313" xr:uid="{00000000-0005-0000-0000-000078180000}"/>
    <cellStyle name="Normal 2 3 2 2 5" xfId="5314" xr:uid="{00000000-0005-0000-0000-000079180000}"/>
    <cellStyle name="Normal 2 3 2 2 6" xfId="5315" xr:uid="{00000000-0005-0000-0000-00007A180000}"/>
    <cellStyle name="Normal 2 3 2 2 7" xfId="5316" xr:uid="{00000000-0005-0000-0000-00007B180000}"/>
    <cellStyle name="Normal 2 3 2 2 8" xfId="5317" xr:uid="{00000000-0005-0000-0000-00007C180000}"/>
    <cellStyle name="Normal 2 3 2 2 9" xfId="5318" xr:uid="{00000000-0005-0000-0000-00007D180000}"/>
    <cellStyle name="Normal 2 3 2 3" xfId="5319" xr:uid="{00000000-0005-0000-0000-00007E180000}"/>
    <cellStyle name="Normal 2 3 2 3 2" xfId="5320" xr:uid="{00000000-0005-0000-0000-00007F180000}"/>
    <cellStyle name="Normal 2 3 2 3 3" xfId="10281" xr:uid="{00000000-0005-0000-0000-000080180000}"/>
    <cellStyle name="Normal 2 3 2 4" xfId="5321" xr:uid="{00000000-0005-0000-0000-000081180000}"/>
    <cellStyle name="Normal 2 3 2 4 2" xfId="5322" xr:uid="{00000000-0005-0000-0000-000082180000}"/>
    <cellStyle name="Normal 2 3 2 4 3" xfId="10282" xr:uid="{00000000-0005-0000-0000-000083180000}"/>
    <cellStyle name="Normal 2 3 2 5" xfId="5323" xr:uid="{00000000-0005-0000-0000-000084180000}"/>
    <cellStyle name="Normal 2 3 2 5 2" xfId="5324" xr:uid="{00000000-0005-0000-0000-000085180000}"/>
    <cellStyle name="Normal 2 3 2 5 3" xfId="10283" xr:uid="{00000000-0005-0000-0000-000086180000}"/>
    <cellStyle name="Normal 2 3 2 6" xfId="5325" xr:uid="{00000000-0005-0000-0000-000087180000}"/>
    <cellStyle name="Normal 2 3 2 6 2" xfId="5326" xr:uid="{00000000-0005-0000-0000-000088180000}"/>
    <cellStyle name="Normal 2 3 2 6 3" xfId="10284" xr:uid="{00000000-0005-0000-0000-000089180000}"/>
    <cellStyle name="Normal 2 3 2 7" xfId="5327" xr:uid="{00000000-0005-0000-0000-00008A180000}"/>
    <cellStyle name="Normal 2 3 2 7 2" xfId="5328" xr:uid="{00000000-0005-0000-0000-00008B180000}"/>
    <cellStyle name="Normal 2 3 2 7 3" xfId="10285" xr:uid="{00000000-0005-0000-0000-00008C180000}"/>
    <cellStyle name="Normal 2 3 2 8" xfId="5329" xr:uid="{00000000-0005-0000-0000-00008D180000}"/>
    <cellStyle name="Normal 2 3 2 8 2" xfId="5330" xr:uid="{00000000-0005-0000-0000-00008E180000}"/>
    <cellStyle name="Normal 2 3 2 8 3" xfId="10286" xr:uid="{00000000-0005-0000-0000-00008F180000}"/>
    <cellStyle name="Normal 2 3 2 9" xfId="5331" xr:uid="{00000000-0005-0000-0000-000090180000}"/>
    <cellStyle name="Normal 2 3 2 9 2" xfId="5332" xr:uid="{00000000-0005-0000-0000-000091180000}"/>
    <cellStyle name="Normal 2 3 2 9 3" xfId="10287" xr:uid="{00000000-0005-0000-0000-000092180000}"/>
    <cellStyle name="Normal 2 3 20" xfId="5333" xr:uid="{00000000-0005-0000-0000-000093180000}"/>
    <cellStyle name="Normal 2 3 21" xfId="5334" xr:uid="{00000000-0005-0000-0000-000094180000}"/>
    <cellStyle name="Normal 2 3 22" xfId="5335" xr:uid="{00000000-0005-0000-0000-000095180000}"/>
    <cellStyle name="Normal 2 3 23" xfId="5336" xr:uid="{00000000-0005-0000-0000-000096180000}"/>
    <cellStyle name="Normal 2 3 24" xfId="5337" xr:uid="{00000000-0005-0000-0000-000097180000}"/>
    <cellStyle name="Normal 2 3 25" xfId="5338" xr:uid="{00000000-0005-0000-0000-000098180000}"/>
    <cellStyle name="Normal 2 3 26" xfId="5339" xr:uid="{00000000-0005-0000-0000-000099180000}"/>
    <cellStyle name="Normal 2 3 27" xfId="5340" xr:uid="{00000000-0005-0000-0000-00009A180000}"/>
    <cellStyle name="Normal 2 3 28" xfId="5341" xr:uid="{00000000-0005-0000-0000-00009B180000}"/>
    <cellStyle name="Normal 2 3 29" xfId="5342" xr:uid="{00000000-0005-0000-0000-00009C180000}"/>
    <cellStyle name="Normal 2 3 3" xfId="5343" xr:uid="{00000000-0005-0000-0000-00009D180000}"/>
    <cellStyle name="Normal 2 3 3 2" xfId="5344" xr:uid="{00000000-0005-0000-0000-00009E180000}"/>
    <cellStyle name="Normal 2 3 3 2 2" xfId="5345" xr:uid="{00000000-0005-0000-0000-00009F180000}"/>
    <cellStyle name="Normal 2 3 3 2 2 2" xfId="10289" xr:uid="{00000000-0005-0000-0000-0000A0180000}"/>
    <cellStyle name="Normal 2 3 3 2 3" xfId="5346" xr:uid="{00000000-0005-0000-0000-0000A1180000}"/>
    <cellStyle name="Normal 2 3 3 3" xfId="5347" xr:uid="{00000000-0005-0000-0000-0000A2180000}"/>
    <cellStyle name="Normal 2 3 3 4" xfId="5348" xr:uid="{00000000-0005-0000-0000-0000A3180000}"/>
    <cellStyle name="Normal 2 3 3 5" xfId="10288" xr:uid="{00000000-0005-0000-0000-0000A4180000}"/>
    <cellStyle name="Normal 2 3 30" xfId="5349" xr:uid="{00000000-0005-0000-0000-0000A5180000}"/>
    <cellStyle name="Normal 2 3 31" xfId="5350" xr:uid="{00000000-0005-0000-0000-0000A6180000}"/>
    <cellStyle name="Normal 2 3 32" xfId="5351" xr:uid="{00000000-0005-0000-0000-0000A7180000}"/>
    <cellStyle name="Normal 2 3 33" xfId="5352" xr:uid="{00000000-0005-0000-0000-0000A8180000}"/>
    <cellStyle name="Normal 2 3 34" xfId="5353" xr:uid="{00000000-0005-0000-0000-0000A9180000}"/>
    <cellStyle name="Normal 2 3 35" xfId="5354" xr:uid="{00000000-0005-0000-0000-0000AA180000}"/>
    <cellStyle name="Normal 2 3 36" xfId="5355" xr:uid="{00000000-0005-0000-0000-0000AB180000}"/>
    <cellStyle name="Normal 2 3 37" xfId="5356" xr:uid="{00000000-0005-0000-0000-0000AC180000}"/>
    <cellStyle name="Normal 2 3 38" xfId="5357" xr:uid="{00000000-0005-0000-0000-0000AD180000}"/>
    <cellStyle name="Normal 2 3 39" xfId="5358" xr:uid="{00000000-0005-0000-0000-0000AE180000}"/>
    <cellStyle name="Normal 2 3 4" xfId="5359" xr:uid="{00000000-0005-0000-0000-0000AF180000}"/>
    <cellStyle name="Normal 2 3 4 2" xfId="5360" xr:uid="{00000000-0005-0000-0000-0000B0180000}"/>
    <cellStyle name="Normal 2 3 40" xfId="5361" xr:uid="{00000000-0005-0000-0000-0000B1180000}"/>
    <cellStyle name="Normal 2 3 41" xfId="5362" xr:uid="{00000000-0005-0000-0000-0000B2180000}"/>
    <cellStyle name="Normal 2 3 42" xfId="5363" xr:uid="{00000000-0005-0000-0000-0000B3180000}"/>
    <cellStyle name="Normal 2 3 43" xfId="5364" xr:uid="{00000000-0005-0000-0000-0000B4180000}"/>
    <cellStyle name="Normal 2 3 44" xfId="5365" xr:uid="{00000000-0005-0000-0000-0000B5180000}"/>
    <cellStyle name="Normal 2 3 45" xfId="5366" xr:uid="{00000000-0005-0000-0000-0000B6180000}"/>
    <cellStyle name="Normal 2 3 46" xfId="5367" xr:uid="{00000000-0005-0000-0000-0000B7180000}"/>
    <cellStyle name="Normal 2 3 47" xfId="5368" xr:uid="{00000000-0005-0000-0000-0000B8180000}"/>
    <cellStyle name="Normal 2 3 48" xfId="5369" xr:uid="{00000000-0005-0000-0000-0000B9180000}"/>
    <cellStyle name="Normal 2 3 49" xfId="5370" xr:uid="{00000000-0005-0000-0000-0000BA180000}"/>
    <cellStyle name="Normal 2 3 5" xfId="5371" xr:uid="{00000000-0005-0000-0000-0000BB180000}"/>
    <cellStyle name="Normal 2 3 50" xfId="5372" xr:uid="{00000000-0005-0000-0000-0000BC180000}"/>
    <cellStyle name="Normal 2 3 51" xfId="5373" xr:uid="{00000000-0005-0000-0000-0000BD180000}"/>
    <cellStyle name="Normal 2 3 52" xfId="5374" xr:uid="{00000000-0005-0000-0000-0000BE180000}"/>
    <cellStyle name="Normal 2 3 53" xfId="5375" xr:uid="{00000000-0005-0000-0000-0000BF180000}"/>
    <cellStyle name="Normal 2 3 54" xfId="5376" xr:uid="{00000000-0005-0000-0000-0000C0180000}"/>
    <cellStyle name="Normal 2 3 55" xfId="5377" xr:uid="{00000000-0005-0000-0000-0000C1180000}"/>
    <cellStyle name="Normal 2 3 56" xfId="5378" xr:uid="{00000000-0005-0000-0000-0000C2180000}"/>
    <cellStyle name="Normal 2 3 57" xfId="5379" xr:uid="{00000000-0005-0000-0000-0000C3180000}"/>
    <cellStyle name="Normal 2 3 58" xfId="5380" xr:uid="{00000000-0005-0000-0000-0000C4180000}"/>
    <cellStyle name="Normal 2 3 59" xfId="5381" xr:uid="{00000000-0005-0000-0000-0000C5180000}"/>
    <cellStyle name="Normal 2 3 6" xfId="5382" xr:uid="{00000000-0005-0000-0000-0000C6180000}"/>
    <cellStyle name="Normal 2 3 60" xfId="5383" xr:uid="{00000000-0005-0000-0000-0000C7180000}"/>
    <cellStyle name="Normal 2 3 61" xfId="5384" xr:uid="{00000000-0005-0000-0000-0000C8180000}"/>
    <cellStyle name="Normal 2 3 62" xfId="5385" xr:uid="{00000000-0005-0000-0000-0000C9180000}"/>
    <cellStyle name="Normal 2 3 63" xfId="5386" xr:uid="{00000000-0005-0000-0000-0000CA180000}"/>
    <cellStyle name="Normal 2 3 64" xfId="5387" xr:uid="{00000000-0005-0000-0000-0000CB180000}"/>
    <cellStyle name="Normal 2 3 65" xfId="5388" xr:uid="{00000000-0005-0000-0000-0000CC180000}"/>
    <cellStyle name="Normal 2 3 66" xfId="5389" xr:uid="{00000000-0005-0000-0000-0000CD180000}"/>
    <cellStyle name="Normal 2 3 67" xfId="5390" xr:uid="{00000000-0005-0000-0000-0000CE180000}"/>
    <cellStyle name="Normal 2 3 68" xfId="5391" xr:uid="{00000000-0005-0000-0000-0000CF180000}"/>
    <cellStyle name="Normal 2 3 69" xfId="5392" xr:uid="{00000000-0005-0000-0000-0000D0180000}"/>
    <cellStyle name="Normal 2 3 7" xfId="5393" xr:uid="{00000000-0005-0000-0000-0000D1180000}"/>
    <cellStyle name="Normal 2 3 70" xfId="5394" xr:uid="{00000000-0005-0000-0000-0000D2180000}"/>
    <cellStyle name="Normal 2 3 71" xfId="5395" xr:uid="{00000000-0005-0000-0000-0000D3180000}"/>
    <cellStyle name="Normal 2 3 72" xfId="5396" xr:uid="{00000000-0005-0000-0000-0000D4180000}"/>
    <cellStyle name="Normal 2 3 73" xfId="5397" xr:uid="{00000000-0005-0000-0000-0000D5180000}"/>
    <cellStyle name="Normal 2 3 74" xfId="5398" xr:uid="{00000000-0005-0000-0000-0000D6180000}"/>
    <cellStyle name="Normal 2 3 75" xfId="5399" xr:uid="{00000000-0005-0000-0000-0000D7180000}"/>
    <cellStyle name="Normal 2 3 76" xfId="5400" xr:uid="{00000000-0005-0000-0000-0000D8180000}"/>
    <cellStyle name="Normal 2 3 77" xfId="5401" xr:uid="{00000000-0005-0000-0000-0000D9180000}"/>
    <cellStyle name="Normal 2 3 78" xfId="5402" xr:uid="{00000000-0005-0000-0000-0000DA180000}"/>
    <cellStyle name="Normal 2 3 79" xfId="5403" xr:uid="{00000000-0005-0000-0000-0000DB180000}"/>
    <cellStyle name="Normal 2 3 8" xfId="5404" xr:uid="{00000000-0005-0000-0000-0000DC180000}"/>
    <cellStyle name="Normal 2 3 80" xfId="5405" xr:uid="{00000000-0005-0000-0000-0000DD180000}"/>
    <cellStyle name="Normal 2 3 81" xfId="5406" xr:uid="{00000000-0005-0000-0000-0000DE180000}"/>
    <cellStyle name="Normal 2 3 82" xfId="5407" xr:uid="{00000000-0005-0000-0000-0000DF180000}"/>
    <cellStyle name="Normal 2 3 83" xfId="5408" xr:uid="{00000000-0005-0000-0000-0000E0180000}"/>
    <cellStyle name="Normal 2 3 84" xfId="5409" xr:uid="{00000000-0005-0000-0000-0000E1180000}"/>
    <cellStyle name="Normal 2 3 85" xfId="5410" xr:uid="{00000000-0005-0000-0000-0000E2180000}"/>
    <cellStyle name="Normal 2 3 86" xfId="5411" xr:uid="{00000000-0005-0000-0000-0000E3180000}"/>
    <cellStyle name="Normal 2 3 87" xfId="5412" xr:uid="{00000000-0005-0000-0000-0000E4180000}"/>
    <cellStyle name="Normal 2 3 88" xfId="5413" xr:uid="{00000000-0005-0000-0000-0000E5180000}"/>
    <cellStyle name="Normal 2 3 89" xfId="5414" xr:uid="{00000000-0005-0000-0000-0000E6180000}"/>
    <cellStyle name="Normal 2 3 9" xfId="5415" xr:uid="{00000000-0005-0000-0000-0000E7180000}"/>
    <cellStyle name="Normal 2 3 90" xfId="5416" xr:uid="{00000000-0005-0000-0000-0000E8180000}"/>
    <cellStyle name="Normal 2 3 91" xfId="5417" xr:uid="{00000000-0005-0000-0000-0000E9180000}"/>
    <cellStyle name="Normal 2 3 92" xfId="5418" xr:uid="{00000000-0005-0000-0000-0000EA180000}"/>
    <cellStyle name="Normal 2 3 93" xfId="5419" xr:uid="{00000000-0005-0000-0000-0000EB180000}"/>
    <cellStyle name="Normal 2 3 94" xfId="5420" xr:uid="{00000000-0005-0000-0000-0000EC180000}"/>
    <cellStyle name="Normal 2 3 95" xfId="5421" xr:uid="{00000000-0005-0000-0000-0000ED180000}"/>
    <cellStyle name="Normal 2 3 96" xfId="5422" xr:uid="{00000000-0005-0000-0000-0000EE180000}"/>
    <cellStyle name="Normal 2 3 96 2" xfId="5423" xr:uid="{00000000-0005-0000-0000-0000EF180000}"/>
    <cellStyle name="Normal 2 3 96 2 2" xfId="10290" xr:uid="{00000000-0005-0000-0000-0000F0180000}"/>
    <cellStyle name="Normal 2 3 97" xfId="5424" xr:uid="{00000000-0005-0000-0000-0000F1180000}"/>
    <cellStyle name="Normal 2 3 98" xfId="5425" xr:uid="{00000000-0005-0000-0000-0000F2180000}"/>
    <cellStyle name="Normal 2 3 99" xfId="5426" xr:uid="{00000000-0005-0000-0000-0000F3180000}"/>
    <cellStyle name="Normal 2 30" xfId="5427" xr:uid="{00000000-0005-0000-0000-0000F4180000}"/>
    <cellStyle name="Normal 2 30 2" xfId="5428" xr:uid="{00000000-0005-0000-0000-0000F5180000}"/>
    <cellStyle name="Normal 2 30 2 2" xfId="5429" xr:uid="{00000000-0005-0000-0000-0000F6180000}"/>
    <cellStyle name="Normal 2 30 2 3" xfId="10292" xr:uid="{00000000-0005-0000-0000-0000F7180000}"/>
    <cellStyle name="Normal 2 30 3" xfId="5430" xr:uid="{00000000-0005-0000-0000-0000F8180000}"/>
    <cellStyle name="Normal 2 30 4" xfId="10291" xr:uid="{00000000-0005-0000-0000-0000F9180000}"/>
    <cellStyle name="Normal 2 31" xfId="5431" xr:uid="{00000000-0005-0000-0000-0000FA180000}"/>
    <cellStyle name="Normal 2 31 2" xfId="5432" xr:uid="{00000000-0005-0000-0000-0000FB180000}"/>
    <cellStyle name="Normal 2 31 2 2" xfId="5433" xr:uid="{00000000-0005-0000-0000-0000FC180000}"/>
    <cellStyle name="Normal 2 31 2 3" xfId="10294" xr:uid="{00000000-0005-0000-0000-0000FD180000}"/>
    <cellStyle name="Normal 2 31 3" xfId="5434" xr:uid="{00000000-0005-0000-0000-0000FE180000}"/>
    <cellStyle name="Normal 2 31 4" xfId="10293" xr:uid="{00000000-0005-0000-0000-0000FF180000}"/>
    <cellStyle name="Normal 2 32" xfId="5435" xr:uid="{00000000-0005-0000-0000-000000190000}"/>
    <cellStyle name="Normal 2 32 2" xfId="5436" xr:uid="{00000000-0005-0000-0000-000001190000}"/>
    <cellStyle name="Normal 2 32 2 2" xfId="5437" xr:uid="{00000000-0005-0000-0000-000002190000}"/>
    <cellStyle name="Normal 2 32 2 3" xfId="10296" xr:uid="{00000000-0005-0000-0000-000003190000}"/>
    <cellStyle name="Normal 2 32 3" xfId="5438" xr:uid="{00000000-0005-0000-0000-000004190000}"/>
    <cellStyle name="Normal 2 32 4" xfId="10295" xr:uid="{00000000-0005-0000-0000-000005190000}"/>
    <cellStyle name="Normal 2 33" xfId="5439" xr:uid="{00000000-0005-0000-0000-000006190000}"/>
    <cellStyle name="Normal 2 33 2" xfId="5440" xr:uid="{00000000-0005-0000-0000-000007190000}"/>
    <cellStyle name="Normal 2 33 2 2" xfId="5441" xr:uid="{00000000-0005-0000-0000-000008190000}"/>
    <cellStyle name="Normal 2 33 2 3" xfId="10298" xr:uid="{00000000-0005-0000-0000-000009190000}"/>
    <cellStyle name="Normal 2 33 3" xfId="5442" xr:uid="{00000000-0005-0000-0000-00000A190000}"/>
    <cellStyle name="Normal 2 33 4" xfId="10297" xr:uid="{00000000-0005-0000-0000-00000B190000}"/>
    <cellStyle name="Normal 2 34" xfId="5443" xr:uid="{00000000-0005-0000-0000-00000C190000}"/>
    <cellStyle name="Normal 2 34 2" xfId="5444" xr:uid="{00000000-0005-0000-0000-00000D190000}"/>
    <cellStyle name="Normal 2 34 2 2" xfId="5445" xr:uid="{00000000-0005-0000-0000-00000E190000}"/>
    <cellStyle name="Normal 2 34 2 3" xfId="10300" xr:uid="{00000000-0005-0000-0000-00000F190000}"/>
    <cellStyle name="Normal 2 34 3" xfId="5446" xr:uid="{00000000-0005-0000-0000-000010190000}"/>
    <cellStyle name="Normal 2 34 4" xfId="10299" xr:uid="{00000000-0005-0000-0000-000011190000}"/>
    <cellStyle name="Normal 2 35" xfId="5447" xr:uid="{00000000-0005-0000-0000-000012190000}"/>
    <cellStyle name="Normal 2 35 2" xfId="5448" xr:uid="{00000000-0005-0000-0000-000013190000}"/>
    <cellStyle name="Normal 2 35 2 2" xfId="5449" xr:uid="{00000000-0005-0000-0000-000014190000}"/>
    <cellStyle name="Normal 2 35 2 3" xfId="10302" xr:uid="{00000000-0005-0000-0000-000015190000}"/>
    <cellStyle name="Normal 2 35 3" xfId="5450" xr:uid="{00000000-0005-0000-0000-000016190000}"/>
    <cellStyle name="Normal 2 35 4" xfId="10301" xr:uid="{00000000-0005-0000-0000-000017190000}"/>
    <cellStyle name="Normal 2 36" xfId="5451" xr:uid="{00000000-0005-0000-0000-000018190000}"/>
    <cellStyle name="Normal 2 36 2" xfId="5452" xr:uid="{00000000-0005-0000-0000-000019190000}"/>
    <cellStyle name="Normal 2 36 2 2" xfId="5453" xr:uid="{00000000-0005-0000-0000-00001A190000}"/>
    <cellStyle name="Normal 2 36 2 3" xfId="10304" xr:uid="{00000000-0005-0000-0000-00001B190000}"/>
    <cellStyle name="Normal 2 36 3" xfId="5454" xr:uid="{00000000-0005-0000-0000-00001C190000}"/>
    <cellStyle name="Normal 2 36 4" xfId="10303" xr:uid="{00000000-0005-0000-0000-00001D190000}"/>
    <cellStyle name="Normal 2 37" xfId="5455" xr:uid="{00000000-0005-0000-0000-00001E190000}"/>
    <cellStyle name="Normal 2 37 2" xfId="5456" xr:uid="{00000000-0005-0000-0000-00001F190000}"/>
    <cellStyle name="Normal 2 37 2 2" xfId="5457" xr:uid="{00000000-0005-0000-0000-000020190000}"/>
    <cellStyle name="Normal 2 37 2 3" xfId="10306" xr:uid="{00000000-0005-0000-0000-000021190000}"/>
    <cellStyle name="Normal 2 37 3" xfId="5458" xr:uid="{00000000-0005-0000-0000-000022190000}"/>
    <cellStyle name="Normal 2 37 4" xfId="10305" xr:uid="{00000000-0005-0000-0000-000023190000}"/>
    <cellStyle name="Normal 2 38" xfId="5459" xr:uid="{00000000-0005-0000-0000-000024190000}"/>
    <cellStyle name="Normal 2 38 2" xfId="5460" xr:uid="{00000000-0005-0000-0000-000025190000}"/>
    <cellStyle name="Normal 2 38 2 2" xfId="5461" xr:uid="{00000000-0005-0000-0000-000026190000}"/>
    <cellStyle name="Normal 2 38 2 3" xfId="10308" xr:uid="{00000000-0005-0000-0000-000027190000}"/>
    <cellStyle name="Normal 2 38 3" xfId="5462" xr:uid="{00000000-0005-0000-0000-000028190000}"/>
    <cellStyle name="Normal 2 38 4" xfId="10307" xr:uid="{00000000-0005-0000-0000-000029190000}"/>
    <cellStyle name="Normal 2 39" xfId="5463" xr:uid="{00000000-0005-0000-0000-00002A190000}"/>
    <cellStyle name="Normal 2 39 2" xfId="5464" xr:uid="{00000000-0005-0000-0000-00002B190000}"/>
    <cellStyle name="Normal 2 39 2 2" xfId="5465" xr:uid="{00000000-0005-0000-0000-00002C190000}"/>
    <cellStyle name="Normal 2 39 2 3" xfId="10310" xr:uid="{00000000-0005-0000-0000-00002D190000}"/>
    <cellStyle name="Normal 2 39 3" xfId="5466" xr:uid="{00000000-0005-0000-0000-00002E190000}"/>
    <cellStyle name="Normal 2 39 4" xfId="10309" xr:uid="{00000000-0005-0000-0000-00002F190000}"/>
    <cellStyle name="Normal 2 4" xfId="5467" xr:uid="{00000000-0005-0000-0000-000030190000}"/>
    <cellStyle name="Normal 2 4 10" xfId="5468" xr:uid="{00000000-0005-0000-0000-000031190000}"/>
    <cellStyle name="Normal 2 4 11" xfId="5469" xr:uid="{00000000-0005-0000-0000-000032190000}"/>
    <cellStyle name="Normal 2 4 12" xfId="5470" xr:uid="{00000000-0005-0000-0000-000033190000}"/>
    <cellStyle name="Normal 2 4 13" xfId="5471" xr:uid="{00000000-0005-0000-0000-000034190000}"/>
    <cellStyle name="Normal 2 4 2" xfId="5472" xr:uid="{00000000-0005-0000-0000-000035190000}"/>
    <cellStyle name="Normal 2 4 2 2" xfId="5473" xr:uid="{00000000-0005-0000-0000-000036190000}"/>
    <cellStyle name="Normal 2 4 2 2 2" xfId="5474" xr:uid="{00000000-0005-0000-0000-000037190000}"/>
    <cellStyle name="Normal 2 4 2 2 2 2" xfId="5475" xr:uid="{00000000-0005-0000-0000-000038190000}"/>
    <cellStyle name="Normal 2 4 2 2 2 2 2" xfId="5476" xr:uid="{00000000-0005-0000-0000-000039190000}"/>
    <cellStyle name="Normal 2 4 2 2 2 2 3" xfId="10313" xr:uid="{00000000-0005-0000-0000-00003A190000}"/>
    <cellStyle name="Normal 2 4 2 2 2 3" xfId="5477" xr:uid="{00000000-0005-0000-0000-00003B190000}"/>
    <cellStyle name="Normal 2 4 2 2 2 4" xfId="10312" xr:uid="{00000000-0005-0000-0000-00003C190000}"/>
    <cellStyle name="Normal 2 4 2 2 3" xfId="5478" xr:uid="{00000000-0005-0000-0000-00003D190000}"/>
    <cellStyle name="Normal 2 4 2 2 3 2" xfId="5479" xr:uid="{00000000-0005-0000-0000-00003E190000}"/>
    <cellStyle name="Normal 2 4 2 2 3 2 2" xfId="5480" xr:uid="{00000000-0005-0000-0000-00003F190000}"/>
    <cellStyle name="Normal 2 4 2 2 3 2 3" xfId="10315" xr:uid="{00000000-0005-0000-0000-000040190000}"/>
    <cellStyle name="Normal 2 4 2 2 3 3" xfId="5481" xr:uid="{00000000-0005-0000-0000-000041190000}"/>
    <cellStyle name="Normal 2 4 2 2 3 4" xfId="10314" xr:uid="{00000000-0005-0000-0000-000042190000}"/>
    <cellStyle name="Normal 2 4 2 2 4" xfId="5482" xr:uid="{00000000-0005-0000-0000-000043190000}"/>
    <cellStyle name="Normal 2 4 2 2 4 2" xfId="5483" xr:uid="{00000000-0005-0000-0000-000044190000}"/>
    <cellStyle name="Normal 2 4 2 2 4 2 2" xfId="5484" xr:uid="{00000000-0005-0000-0000-000045190000}"/>
    <cellStyle name="Normal 2 4 2 2 4 2 3" xfId="10317" xr:uid="{00000000-0005-0000-0000-000046190000}"/>
    <cellStyle name="Normal 2 4 2 2 4 3" xfId="5485" xr:uid="{00000000-0005-0000-0000-000047190000}"/>
    <cellStyle name="Normal 2 4 2 2 4 4" xfId="10316" xr:uid="{00000000-0005-0000-0000-000048190000}"/>
    <cellStyle name="Normal 2 4 2 2 5" xfId="5486" xr:uid="{00000000-0005-0000-0000-000049190000}"/>
    <cellStyle name="Normal 2 4 2 2 5 2" xfId="5487" xr:uid="{00000000-0005-0000-0000-00004A190000}"/>
    <cellStyle name="Normal 2 4 2 2 5 2 2" xfId="5488" xr:uid="{00000000-0005-0000-0000-00004B190000}"/>
    <cellStyle name="Normal 2 4 2 2 5 2 3" xfId="10319" xr:uid="{00000000-0005-0000-0000-00004C190000}"/>
    <cellStyle name="Normal 2 4 2 2 5 3" xfId="5489" xr:uid="{00000000-0005-0000-0000-00004D190000}"/>
    <cellStyle name="Normal 2 4 2 2 5 4" xfId="10318" xr:uid="{00000000-0005-0000-0000-00004E190000}"/>
    <cellStyle name="Normal 2 4 2 3" xfId="5490" xr:uid="{00000000-0005-0000-0000-00004F190000}"/>
    <cellStyle name="Normal 2 4 2 4" xfId="5491" xr:uid="{00000000-0005-0000-0000-000050190000}"/>
    <cellStyle name="Normal 2 4 2 5" xfId="5492" xr:uid="{00000000-0005-0000-0000-000051190000}"/>
    <cellStyle name="Normal 2 4 2 6" xfId="5493" xr:uid="{00000000-0005-0000-0000-000052190000}"/>
    <cellStyle name="Normal 2 4 2 6 2" xfId="5494" xr:uid="{00000000-0005-0000-0000-000053190000}"/>
    <cellStyle name="Normal 2 4 2 6 3" xfId="10320" xr:uid="{00000000-0005-0000-0000-000054190000}"/>
    <cellStyle name="Normal 2 4 2 7" xfId="5495" xr:uid="{00000000-0005-0000-0000-000055190000}"/>
    <cellStyle name="Normal 2 4 2 8" xfId="5496" xr:uid="{00000000-0005-0000-0000-000056190000}"/>
    <cellStyle name="Normal 2 4 2 9" xfId="10311" xr:uid="{00000000-0005-0000-0000-000057190000}"/>
    <cellStyle name="Normal 2 4 3" xfId="5497" xr:uid="{00000000-0005-0000-0000-000058190000}"/>
    <cellStyle name="Normal 2 4 3 2" xfId="5498" xr:uid="{00000000-0005-0000-0000-000059190000}"/>
    <cellStyle name="Normal 2 4 3 2 2" xfId="5499" xr:uid="{00000000-0005-0000-0000-00005A190000}"/>
    <cellStyle name="Normal 2 4 3 2 3" xfId="10322" xr:uid="{00000000-0005-0000-0000-00005B190000}"/>
    <cellStyle name="Normal 2 4 3 3" xfId="5500" xr:uid="{00000000-0005-0000-0000-00005C190000}"/>
    <cellStyle name="Normal 2 4 3 4" xfId="5501" xr:uid="{00000000-0005-0000-0000-00005D190000}"/>
    <cellStyle name="Normal 2 4 3 5" xfId="5502" xr:uid="{00000000-0005-0000-0000-00005E190000}"/>
    <cellStyle name="Normal 2 4 3 6" xfId="10321" xr:uid="{00000000-0005-0000-0000-00005F190000}"/>
    <cellStyle name="Normal 2 4 4" xfId="5503" xr:uid="{00000000-0005-0000-0000-000060190000}"/>
    <cellStyle name="Normal 2 4 4 2" xfId="5504" xr:uid="{00000000-0005-0000-0000-000061190000}"/>
    <cellStyle name="Normal 2 4 4 2 2" xfId="5505" xr:uid="{00000000-0005-0000-0000-000062190000}"/>
    <cellStyle name="Normal 2 4 4 2 3" xfId="10324" xr:uid="{00000000-0005-0000-0000-000063190000}"/>
    <cellStyle name="Normal 2 4 4 3" xfId="5506" xr:uid="{00000000-0005-0000-0000-000064190000}"/>
    <cellStyle name="Normal 2 4 4 4" xfId="10323" xr:uid="{00000000-0005-0000-0000-000065190000}"/>
    <cellStyle name="Normal 2 4 5" xfId="5507" xr:uid="{00000000-0005-0000-0000-000066190000}"/>
    <cellStyle name="Normal 2 4 5 2" xfId="5508" xr:uid="{00000000-0005-0000-0000-000067190000}"/>
    <cellStyle name="Normal 2 4 5 2 2" xfId="5509" xr:uid="{00000000-0005-0000-0000-000068190000}"/>
    <cellStyle name="Normal 2 4 5 2 3" xfId="10326" xr:uid="{00000000-0005-0000-0000-000069190000}"/>
    <cellStyle name="Normal 2 4 5 3" xfId="5510" xr:uid="{00000000-0005-0000-0000-00006A190000}"/>
    <cellStyle name="Normal 2 4 5 4" xfId="10325" xr:uid="{00000000-0005-0000-0000-00006B190000}"/>
    <cellStyle name="Normal 2 4 6" xfId="5511" xr:uid="{00000000-0005-0000-0000-00006C190000}"/>
    <cellStyle name="Normal 2 4 6 2" xfId="5512" xr:uid="{00000000-0005-0000-0000-00006D190000}"/>
    <cellStyle name="Normal 2 4 6 2 2" xfId="5513" xr:uid="{00000000-0005-0000-0000-00006E190000}"/>
    <cellStyle name="Normal 2 4 6 2 3" xfId="10328" xr:uid="{00000000-0005-0000-0000-00006F190000}"/>
    <cellStyle name="Normal 2 4 6 3" xfId="5514" xr:uid="{00000000-0005-0000-0000-000070190000}"/>
    <cellStyle name="Normal 2 4 6 4" xfId="10327" xr:uid="{00000000-0005-0000-0000-000071190000}"/>
    <cellStyle name="Normal 2 4 7" xfId="5515" xr:uid="{00000000-0005-0000-0000-000072190000}"/>
    <cellStyle name="Normal 2 4 7 2" xfId="5516" xr:uid="{00000000-0005-0000-0000-000073190000}"/>
    <cellStyle name="Normal 2 4 7 2 2" xfId="5517" xr:uid="{00000000-0005-0000-0000-000074190000}"/>
    <cellStyle name="Normal 2 4 7 2 3" xfId="10330" xr:uid="{00000000-0005-0000-0000-000075190000}"/>
    <cellStyle name="Normal 2 4 7 3" xfId="5518" xr:uid="{00000000-0005-0000-0000-000076190000}"/>
    <cellStyle name="Normal 2 4 7 4" xfId="5519" xr:uid="{00000000-0005-0000-0000-000077190000}"/>
    <cellStyle name="Normal 2 4 7 5" xfId="10329" xr:uid="{00000000-0005-0000-0000-000078190000}"/>
    <cellStyle name="Normal 2 4 8" xfId="5520" xr:uid="{00000000-0005-0000-0000-000079190000}"/>
    <cellStyle name="Normal 2 4 8 2" xfId="5521" xr:uid="{00000000-0005-0000-0000-00007A190000}"/>
    <cellStyle name="Normal 2 4 8 3" xfId="10331" xr:uid="{00000000-0005-0000-0000-00007B190000}"/>
    <cellStyle name="Normal 2 4 9" xfId="5522" xr:uid="{00000000-0005-0000-0000-00007C190000}"/>
    <cellStyle name="Normal 2 4 9 2" xfId="10332" xr:uid="{00000000-0005-0000-0000-00007D190000}"/>
    <cellStyle name="Normal 2 40" xfId="5523" xr:uid="{00000000-0005-0000-0000-00007E190000}"/>
    <cellStyle name="Normal 2 40 2" xfId="5524" xr:uid="{00000000-0005-0000-0000-00007F190000}"/>
    <cellStyle name="Normal 2 40 2 2" xfId="5525" xr:uid="{00000000-0005-0000-0000-000080190000}"/>
    <cellStyle name="Normal 2 40 2 3" xfId="10334" xr:uid="{00000000-0005-0000-0000-000081190000}"/>
    <cellStyle name="Normal 2 40 3" xfId="5526" xr:uid="{00000000-0005-0000-0000-000082190000}"/>
    <cellStyle name="Normal 2 40 4" xfId="10333" xr:uid="{00000000-0005-0000-0000-000083190000}"/>
    <cellStyle name="Normal 2 41" xfId="5527" xr:uid="{00000000-0005-0000-0000-000084190000}"/>
    <cellStyle name="Normal 2 41 2" xfId="5528" xr:uid="{00000000-0005-0000-0000-000085190000}"/>
    <cellStyle name="Normal 2 41 2 2" xfId="5529" xr:uid="{00000000-0005-0000-0000-000086190000}"/>
    <cellStyle name="Normal 2 41 2 3" xfId="10336" xr:uid="{00000000-0005-0000-0000-000087190000}"/>
    <cellStyle name="Normal 2 41 3" xfId="5530" xr:uid="{00000000-0005-0000-0000-000088190000}"/>
    <cellStyle name="Normal 2 41 4" xfId="10335" xr:uid="{00000000-0005-0000-0000-000089190000}"/>
    <cellStyle name="Normal 2 42" xfId="5531" xr:uid="{00000000-0005-0000-0000-00008A190000}"/>
    <cellStyle name="Normal 2 42 2" xfId="5532" xr:uid="{00000000-0005-0000-0000-00008B190000}"/>
    <cellStyle name="Normal 2 42 2 2" xfId="5533" xr:uid="{00000000-0005-0000-0000-00008C190000}"/>
    <cellStyle name="Normal 2 42 2 3" xfId="10338" xr:uid="{00000000-0005-0000-0000-00008D190000}"/>
    <cellStyle name="Normal 2 42 3" xfId="5534" xr:uid="{00000000-0005-0000-0000-00008E190000}"/>
    <cellStyle name="Normal 2 42 4" xfId="10337" xr:uid="{00000000-0005-0000-0000-00008F190000}"/>
    <cellStyle name="Normal 2 43" xfId="5535" xr:uid="{00000000-0005-0000-0000-000090190000}"/>
    <cellStyle name="Normal 2 43 2" xfId="5536" xr:uid="{00000000-0005-0000-0000-000091190000}"/>
    <cellStyle name="Normal 2 43 2 2" xfId="5537" xr:uid="{00000000-0005-0000-0000-000092190000}"/>
    <cellStyle name="Normal 2 43 2 3" xfId="10340" xr:uid="{00000000-0005-0000-0000-000093190000}"/>
    <cellStyle name="Normal 2 43 3" xfId="5538" xr:uid="{00000000-0005-0000-0000-000094190000}"/>
    <cellStyle name="Normal 2 43 4" xfId="10339" xr:uid="{00000000-0005-0000-0000-000095190000}"/>
    <cellStyle name="Normal 2 44" xfId="5539" xr:uid="{00000000-0005-0000-0000-000096190000}"/>
    <cellStyle name="Normal 2 44 2" xfId="5540" xr:uid="{00000000-0005-0000-0000-000097190000}"/>
    <cellStyle name="Normal 2 44 2 2" xfId="5541" xr:uid="{00000000-0005-0000-0000-000098190000}"/>
    <cellStyle name="Normal 2 44 2 3" xfId="10342" xr:uid="{00000000-0005-0000-0000-000099190000}"/>
    <cellStyle name="Normal 2 44 3" xfId="5542" xr:uid="{00000000-0005-0000-0000-00009A190000}"/>
    <cellStyle name="Normal 2 44 4" xfId="10341" xr:uid="{00000000-0005-0000-0000-00009B190000}"/>
    <cellStyle name="Normal 2 45" xfId="5543" xr:uid="{00000000-0005-0000-0000-00009C190000}"/>
    <cellStyle name="Normal 2 45 2" xfId="5544" xr:uid="{00000000-0005-0000-0000-00009D190000}"/>
    <cellStyle name="Normal 2 45 2 2" xfId="5545" xr:uid="{00000000-0005-0000-0000-00009E190000}"/>
    <cellStyle name="Normal 2 45 2 3" xfId="10344" xr:uid="{00000000-0005-0000-0000-00009F190000}"/>
    <cellStyle name="Normal 2 45 3" xfId="5546" xr:uid="{00000000-0005-0000-0000-0000A0190000}"/>
    <cellStyle name="Normal 2 45 4" xfId="10343" xr:uid="{00000000-0005-0000-0000-0000A1190000}"/>
    <cellStyle name="Normal 2 46" xfId="5547" xr:uid="{00000000-0005-0000-0000-0000A2190000}"/>
    <cellStyle name="Normal 2 46 2" xfId="5548" xr:uid="{00000000-0005-0000-0000-0000A3190000}"/>
    <cellStyle name="Normal 2 46 2 2" xfId="5549" xr:uid="{00000000-0005-0000-0000-0000A4190000}"/>
    <cellStyle name="Normal 2 46 2 3" xfId="10346" xr:uid="{00000000-0005-0000-0000-0000A5190000}"/>
    <cellStyle name="Normal 2 46 3" xfId="5550" xr:uid="{00000000-0005-0000-0000-0000A6190000}"/>
    <cellStyle name="Normal 2 46 4" xfId="10345" xr:uid="{00000000-0005-0000-0000-0000A7190000}"/>
    <cellStyle name="Normal 2 47" xfId="5551" xr:uid="{00000000-0005-0000-0000-0000A8190000}"/>
    <cellStyle name="Normal 2 47 2" xfId="5552" xr:uid="{00000000-0005-0000-0000-0000A9190000}"/>
    <cellStyle name="Normal 2 47 2 2" xfId="5553" xr:uid="{00000000-0005-0000-0000-0000AA190000}"/>
    <cellStyle name="Normal 2 47 2 3" xfId="10348" xr:uid="{00000000-0005-0000-0000-0000AB190000}"/>
    <cellStyle name="Normal 2 47 3" xfId="5554" xr:uid="{00000000-0005-0000-0000-0000AC190000}"/>
    <cellStyle name="Normal 2 47 4" xfId="10347" xr:uid="{00000000-0005-0000-0000-0000AD190000}"/>
    <cellStyle name="Normal 2 48" xfId="5555" xr:uid="{00000000-0005-0000-0000-0000AE190000}"/>
    <cellStyle name="Normal 2 48 2" xfId="5556" xr:uid="{00000000-0005-0000-0000-0000AF190000}"/>
    <cellStyle name="Normal 2 48 2 2" xfId="5557" xr:uid="{00000000-0005-0000-0000-0000B0190000}"/>
    <cellStyle name="Normal 2 48 2 3" xfId="10350" xr:uid="{00000000-0005-0000-0000-0000B1190000}"/>
    <cellStyle name="Normal 2 48 3" xfId="5558" xr:uid="{00000000-0005-0000-0000-0000B2190000}"/>
    <cellStyle name="Normal 2 48 4" xfId="10349" xr:uid="{00000000-0005-0000-0000-0000B3190000}"/>
    <cellStyle name="Normal 2 49" xfId="5559" xr:uid="{00000000-0005-0000-0000-0000B4190000}"/>
    <cellStyle name="Normal 2 49 2" xfId="5560" xr:uid="{00000000-0005-0000-0000-0000B5190000}"/>
    <cellStyle name="Normal 2 49 2 2" xfId="5561" xr:uid="{00000000-0005-0000-0000-0000B6190000}"/>
    <cellStyle name="Normal 2 49 2 3" xfId="10352" xr:uid="{00000000-0005-0000-0000-0000B7190000}"/>
    <cellStyle name="Normal 2 49 3" xfId="5562" xr:uid="{00000000-0005-0000-0000-0000B8190000}"/>
    <cellStyle name="Normal 2 49 4" xfId="10351" xr:uid="{00000000-0005-0000-0000-0000B9190000}"/>
    <cellStyle name="Normal 2 5" xfId="5563" xr:uid="{00000000-0005-0000-0000-0000BA190000}"/>
    <cellStyle name="Normal 2 5 10" xfId="5564" xr:uid="{00000000-0005-0000-0000-0000BB190000}"/>
    <cellStyle name="Normal 2 5 11" xfId="5565" xr:uid="{00000000-0005-0000-0000-0000BC190000}"/>
    <cellStyle name="Normal 2 5 12" xfId="5566" xr:uid="{00000000-0005-0000-0000-0000BD190000}"/>
    <cellStyle name="Normal 2 5 13" xfId="5567" xr:uid="{00000000-0005-0000-0000-0000BE190000}"/>
    <cellStyle name="Normal 2 5 2" xfId="5568" xr:uid="{00000000-0005-0000-0000-0000BF190000}"/>
    <cellStyle name="Normal 2 5 2 2" xfId="5569" xr:uid="{00000000-0005-0000-0000-0000C0190000}"/>
    <cellStyle name="Normal 2 5 2 2 2" xfId="5570" xr:uid="{00000000-0005-0000-0000-0000C1190000}"/>
    <cellStyle name="Normal 2 5 2 2 2 2" xfId="5571" xr:uid="{00000000-0005-0000-0000-0000C2190000}"/>
    <cellStyle name="Normal 2 5 2 2 2 2 2" xfId="5572" xr:uid="{00000000-0005-0000-0000-0000C3190000}"/>
    <cellStyle name="Normal 2 5 2 2 2 2 3" xfId="10355" xr:uid="{00000000-0005-0000-0000-0000C4190000}"/>
    <cellStyle name="Normal 2 5 2 2 2 3" xfId="5573" xr:uid="{00000000-0005-0000-0000-0000C5190000}"/>
    <cellStyle name="Normal 2 5 2 2 2 4" xfId="10354" xr:uid="{00000000-0005-0000-0000-0000C6190000}"/>
    <cellStyle name="Normal 2 5 2 2 3" xfId="5574" xr:uid="{00000000-0005-0000-0000-0000C7190000}"/>
    <cellStyle name="Normal 2 5 2 2 3 2" xfId="5575" xr:uid="{00000000-0005-0000-0000-0000C8190000}"/>
    <cellStyle name="Normal 2 5 2 2 3 2 2" xfId="5576" xr:uid="{00000000-0005-0000-0000-0000C9190000}"/>
    <cellStyle name="Normal 2 5 2 2 3 2 3" xfId="10357" xr:uid="{00000000-0005-0000-0000-0000CA190000}"/>
    <cellStyle name="Normal 2 5 2 2 3 3" xfId="5577" xr:uid="{00000000-0005-0000-0000-0000CB190000}"/>
    <cellStyle name="Normal 2 5 2 2 3 4" xfId="10356" xr:uid="{00000000-0005-0000-0000-0000CC190000}"/>
    <cellStyle name="Normal 2 5 2 2 4" xfId="5578" xr:uid="{00000000-0005-0000-0000-0000CD190000}"/>
    <cellStyle name="Normal 2 5 2 2 4 2" xfId="5579" xr:uid="{00000000-0005-0000-0000-0000CE190000}"/>
    <cellStyle name="Normal 2 5 2 2 4 2 2" xfId="5580" xr:uid="{00000000-0005-0000-0000-0000CF190000}"/>
    <cellStyle name="Normal 2 5 2 2 4 2 3" xfId="10359" xr:uid="{00000000-0005-0000-0000-0000D0190000}"/>
    <cellStyle name="Normal 2 5 2 2 4 3" xfId="5581" xr:uid="{00000000-0005-0000-0000-0000D1190000}"/>
    <cellStyle name="Normal 2 5 2 2 4 4" xfId="10358" xr:uid="{00000000-0005-0000-0000-0000D2190000}"/>
    <cellStyle name="Normal 2 5 2 2 5" xfId="5582" xr:uid="{00000000-0005-0000-0000-0000D3190000}"/>
    <cellStyle name="Normal 2 5 2 2 5 2" xfId="5583" xr:uid="{00000000-0005-0000-0000-0000D4190000}"/>
    <cellStyle name="Normal 2 5 2 2 5 2 2" xfId="5584" xr:uid="{00000000-0005-0000-0000-0000D5190000}"/>
    <cellStyle name="Normal 2 5 2 2 5 2 3" xfId="10361" xr:uid="{00000000-0005-0000-0000-0000D6190000}"/>
    <cellStyle name="Normal 2 5 2 2 5 3" xfId="5585" xr:uid="{00000000-0005-0000-0000-0000D7190000}"/>
    <cellStyle name="Normal 2 5 2 2 5 4" xfId="10360" xr:uid="{00000000-0005-0000-0000-0000D8190000}"/>
    <cellStyle name="Normal 2 5 2 3" xfId="5586" xr:uid="{00000000-0005-0000-0000-0000D9190000}"/>
    <cellStyle name="Normal 2 5 2 4" xfId="5587" xr:uid="{00000000-0005-0000-0000-0000DA190000}"/>
    <cellStyle name="Normal 2 5 2 5" xfId="5588" xr:uid="{00000000-0005-0000-0000-0000DB190000}"/>
    <cellStyle name="Normal 2 5 2 6" xfId="5589" xr:uid="{00000000-0005-0000-0000-0000DC190000}"/>
    <cellStyle name="Normal 2 5 2 6 2" xfId="5590" xr:uid="{00000000-0005-0000-0000-0000DD190000}"/>
    <cellStyle name="Normal 2 5 2 6 3" xfId="10362" xr:uid="{00000000-0005-0000-0000-0000DE190000}"/>
    <cellStyle name="Normal 2 5 2 7" xfId="5591" xr:uid="{00000000-0005-0000-0000-0000DF190000}"/>
    <cellStyle name="Normal 2 5 2 8" xfId="5592" xr:uid="{00000000-0005-0000-0000-0000E0190000}"/>
    <cellStyle name="Normal 2 5 2 9" xfId="10353" xr:uid="{00000000-0005-0000-0000-0000E1190000}"/>
    <cellStyle name="Normal 2 5 3" xfId="5593" xr:uid="{00000000-0005-0000-0000-0000E2190000}"/>
    <cellStyle name="Normal 2 5 3 2" xfId="5594" xr:uid="{00000000-0005-0000-0000-0000E3190000}"/>
    <cellStyle name="Normal 2 5 3 2 2" xfId="5595" xr:uid="{00000000-0005-0000-0000-0000E4190000}"/>
    <cellStyle name="Normal 2 5 3 2 3" xfId="10364" xr:uid="{00000000-0005-0000-0000-0000E5190000}"/>
    <cellStyle name="Normal 2 5 3 3" xfId="5596" xr:uid="{00000000-0005-0000-0000-0000E6190000}"/>
    <cellStyle name="Normal 2 5 3 4" xfId="5597" xr:uid="{00000000-0005-0000-0000-0000E7190000}"/>
    <cellStyle name="Normal 2 5 3 5" xfId="5598" xr:uid="{00000000-0005-0000-0000-0000E8190000}"/>
    <cellStyle name="Normal 2 5 3 6" xfId="10363" xr:uid="{00000000-0005-0000-0000-0000E9190000}"/>
    <cellStyle name="Normal 2 5 4" xfId="5599" xr:uid="{00000000-0005-0000-0000-0000EA190000}"/>
    <cellStyle name="Normal 2 5 4 2" xfId="5600" xr:uid="{00000000-0005-0000-0000-0000EB190000}"/>
    <cellStyle name="Normal 2 5 4 2 2" xfId="5601" xr:uid="{00000000-0005-0000-0000-0000EC190000}"/>
    <cellStyle name="Normal 2 5 4 2 3" xfId="10366" xr:uid="{00000000-0005-0000-0000-0000ED190000}"/>
    <cellStyle name="Normal 2 5 4 3" xfId="5602" xr:uid="{00000000-0005-0000-0000-0000EE190000}"/>
    <cellStyle name="Normal 2 5 4 4" xfId="10365" xr:uid="{00000000-0005-0000-0000-0000EF190000}"/>
    <cellStyle name="Normal 2 5 5" xfId="5603" xr:uid="{00000000-0005-0000-0000-0000F0190000}"/>
    <cellStyle name="Normal 2 5 5 2" xfId="5604" xr:uid="{00000000-0005-0000-0000-0000F1190000}"/>
    <cellStyle name="Normal 2 5 5 2 2" xfId="5605" xr:uid="{00000000-0005-0000-0000-0000F2190000}"/>
    <cellStyle name="Normal 2 5 5 2 3" xfId="10368" xr:uid="{00000000-0005-0000-0000-0000F3190000}"/>
    <cellStyle name="Normal 2 5 5 3" xfId="5606" xr:uid="{00000000-0005-0000-0000-0000F4190000}"/>
    <cellStyle name="Normal 2 5 5 4" xfId="10367" xr:uid="{00000000-0005-0000-0000-0000F5190000}"/>
    <cellStyle name="Normal 2 5 6" xfId="5607" xr:uid="{00000000-0005-0000-0000-0000F6190000}"/>
    <cellStyle name="Normal 2 5 6 2" xfId="5608" xr:uid="{00000000-0005-0000-0000-0000F7190000}"/>
    <cellStyle name="Normal 2 5 6 2 2" xfId="5609" xr:uid="{00000000-0005-0000-0000-0000F8190000}"/>
    <cellStyle name="Normal 2 5 6 2 3" xfId="10370" xr:uid="{00000000-0005-0000-0000-0000F9190000}"/>
    <cellStyle name="Normal 2 5 6 3" xfId="5610" xr:uid="{00000000-0005-0000-0000-0000FA190000}"/>
    <cellStyle name="Normal 2 5 6 4" xfId="10369" xr:uid="{00000000-0005-0000-0000-0000FB190000}"/>
    <cellStyle name="Normal 2 5 7" xfId="5611" xr:uid="{00000000-0005-0000-0000-0000FC190000}"/>
    <cellStyle name="Normal 2 5 7 2" xfId="5612" xr:uid="{00000000-0005-0000-0000-0000FD190000}"/>
    <cellStyle name="Normal 2 5 7 2 2" xfId="5613" xr:uid="{00000000-0005-0000-0000-0000FE190000}"/>
    <cellStyle name="Normal 2 5 7 2 3" xfId="10372" xr:uid="{00000000-0005-0000-0000-0000FF190000}"/>
    <cellStyle name="Normal 2 5 7 3" xfId="5614" xr:uid="{00000000-0005-0000-0000-0000001A0000}"/>
    <cellStyle name="Normal 2 5 7 4" xfId="5615" xr:uid="{00000000-0005-0000-0000-0000011A0000}"/>
    <cellStyle name="Normal 2 5 7 5" xfId="10371" xr:uid="{00000000-0005-0000-0000-0000021A0000}"/>
    <cellStyle name="Normal 2 5 8" xfId="5616" xr:uid="{00000000-0005-0000-0000-0000031A0000}"/>
    <cellStyle name="Normal 2 5 8 2" xfId="5617" xr:uid="{00000000-0005-0000-0000-0000041A0000}"/>
    <cellStyle name="Normal 2 5 8 3" xfId="10373" xr:uid="{00000000-0005-0000-0000-0000051A0000}"/>
    <cellStyle name="Normal 2 5 9" xfId="5618" xr:uid="{00000000-0005-0000-0000-0000061A0000}"/>
    <cellStyle name="Normal 2 5 9 2" xfId="10374" xr:uid="{00000000-0005-0000-0000-0000071A0000}"/>
    <cellStyle name="Normal 2 50" xfId="5619" xr:uid="{00000000-0005-0000-0000-0000081A0000}"/>
    <cellStyle name="Normal 2 50 2" xfId="5620" xr:uid="{00000000-0005-0000-0000-0000091A0000}"/>
    <cellStyle name="Normal 2 50 2 2" xfId="5621" xr:uid="{00000000-0005-0000-0000-00000A1A0000}"/>
    <cellStyle name="Normal 2 50 2 3" xfId="10376" xr:uid="{00000000-0005-0000-0000-00000B1A0000}"/>
    <cellStyle name="Normal 2 50 3" xfId="5622" xr:uid="{00000000-0005-0000-0000-00000C1A0000}"/>
    <cellStyle name="Normal 2 50 4" xfId="10375" xr:uid="{00000000-0005-0000-0000-00000D1A0000}"/>
    <cellStyle name="Normal 2 51" xfId="5623" xr:uid="{00000000-0005-0000-0000-00000E1A0000}"/>
    <cellStyle name="Normal 2 51 2" xfId="5624" xr:uid="{00000000-0005-0000-0000-00000F1A0000}"/>
    <cellStyle name="Normal 2 51 2 2" xfId="5625" xr:uid="{00000000-0005-0000-0000-0000101A0000}"/>
    <cellStyle name="Normal 2 51 2 3" xfId="10378" xr:uid="{00000000-0005-0000-0000-0000111A0000}"/>
    <cellStyle name="Normal 2 51 3" xfId="5626" xr:uid="{00000000-0005-0000-0000-0000121A0000}"/>
    <cellStyle name="Normal 2 51 4" xfId="10377" xr:uid="{00000000-0005-0000-0000-0000131A0000}"/>
    <cellStyle name="Normal 2 52" xfId="5627" xr:uid="{00000000-0005-0000-0000-0000141A0000}"/>
    <cellStyle name="Normal 2 52 2" xfId="5628" xr:uid="{00000000-0005-0000-0000-0000151A0000}"/>
    <cellStyle name="Normal 2 52 2 2" xfId="5629" xr:uid="{00000000-0005-0000-0000-0000161A0000}"/>
    <cellStyle name="Normal 2 52 2 3" xfId="10380" xr:uid="{00000000-0005-0000-0000-0000171A0000}"/>
    <cellStyle name="Normal 2 52 3" xfId="5630" xr:uid="{00000000-0005-0000-0000-0000181A0000}"/>
    <cellStyle name="Normal 2 52 4" xfId="10379" xr:uid="{00000000-0005-0000-0000-0000191A0000}"/>
    <cellStyle name="Normal 2 53" xfId="5631" xr:uid="{00000000-0005-0000-0000-00001A1A0000}"/>
    <cellStyle name="Normal 2 53 2" xfId="5632" xr:uid="{00000000-0005-0000-0000-00001B1A0000}"/>
    <cellStyle name="Normal 2 53 2 2" xfId="5633" xr:uid="{00000000-0005-0000-0000-00001C1A0000}"/>
    <cellStyle name="Normal 2 53 2 3" xfId="10382" xr:uid="{00000000-0005-0000-0000-00001D1A0000}"/>
    <cellStyle name="Normal 2 53 3" xfId="5634" xr:uid="{00000000-0005-0000-0000-00001E1A0000}"/>
    <cellStyle name="Normal 2 53 4" xfId="10381" xr:uid="{00000000-0005-0000-0000-00001F1A0000}"/>
    <cellStyle name="Normal 2 54" xfId="5635" xr:uid="{00000000-0005-0000-0000-0000201A0000}"/>
    <cellStyle name="Normal 2 54 2" xfId="5636" xr:uid="{00000000-0005-0000-0000-0000211A0000}"/>
    <cellStyle name="Normal 2 54 2 2" xfId="5637" xr:uid="{00000000-0005-0000-0000-0000221A0000}"/>
    <cellStyle name="Normal 2 54 2 3" xfId="10384" xr:uid="{00000000-0005-0000-0000-0000231A0000}"/>
    <cellStyle name="Normal 2 54 3" xfId="5638" xr:uid="{00000000-0005-0000-0000-0000241A0000}"/>
    <cellStyle name="Normal 2 54 4" xfId="10383" xr:uid="{00000000-0005-0000-0000-0000251A0000}"/>
    <cellStyle name="Normal 2 55" xfId="5639" xr:uid="{00000000-0005-0000-0000-0000261A0000}"/>
    <cellStyle name="Normal 2 55 2" xfId="5640" xr:uid="{00000000-0005-0000-0000-0000271A0000}"/>
    <cellStyle name="Normal 2 55 2 2" xfId="5641" xr:uid="{00000000-0005-0000-0000-0000281A0000}"/>
    <cellStyle name="Normal 2 55 2 3" xfId="10386" xr:uid="{00000000-0005-0000-0000-0000291A0000}"/>
    <cellStyle name="Normal 2 55 3" xfId="5642" xr:uid="{00000000-0005-0000-0000-00002A1A0000}"/>
    <cellStyle name="Normal 2 55 4" xfId="10385" xr:uid="{00000000-0005-0000-0000-00002B1A0000}"/>
    <cellStyle name="Normal 2 56" xfId="5643" xr:uid="{00000000-0005-0000-0000-00002C1A0000}"/>
    <cellStyle name="Normal 2 56 2" xfId="5644" xr:uid="{00000000-0005-0000-0000-00002D1A0000}"/>
    <cellStyle name="Normal 2 56 2 2" xfId="5645" xr:uid="{00000000-0005-0000-0000-00002E1A0000}"/>
    <cellStyle name="Normal 2 56 2 3" xfId="10388" xr:uid="{00000000-0005-0000-0000-00002F1A0000}"/>
    <cellStyle name="Normal 2 56 3" xfId="5646" xr:uid="{00000000-0005-0000-0000-0000301A0000}"/>
    <cellStyle name="Normal 2 56 4" xfId="10387" xr:uid="{00000000-0005-0000-0000-0000311A0000}"/>
    <cellStyle name="Normal 2 57" xfId="5647" xr:uid="{00000000-0005-0000-0000-0000321A0000}"/>
    <cellStyle name="Normal 2 57 2" xfId="5648" xr:uid="{00000000-0005-0000-0000-0000331A0000}"/>
    <cellStyle name="Normal 2 57 2 2" xfId="5649" xr:uid="{00000000-0005-0000-0000-0000341A0000}"/>
    <cellStyle name="Normal 2 57 2 3" xfId="10390" xr:uid="{00000000-0005-0000-0000-0000351A0000}"/>
    <cellStyle name="Normal 2 57 3" xfId="5650" xr:uid="{00000000-0005-0000-0000-0000361A0000}"/>
    <cellStyle name="Normal 2 57 4" xfId="10389" xr:uid="{00000000-0005-0000-0000-0000371A0000}"/>
    <cellStyle name="Normal 2 58" xfId="5651" xr:uid="{00000000-0005-0000-0000-0000381A0000}"/>
    <cellStyle name="Normal 2 58 2" xfId="5652" xr:uid="{00000000-0005-0000-0000-0000391A0000}"/>
    <cellStyle name="Normal 2 58 2 2" xfId="5653" xr:uid="{00000000-0005-0000-0000-00003A1A0000}"/>
    <cellStyle name="Normal 2 58 2 3" xfId="10392" xr:uid="{00000000-0005-0000-0000-00003B1A0000}"/>
    <cellStyle name="Normal 2 58 3" xfId="5654" xr:uid="{00000000-0005-0000-0000-00003C1A0000}"/>
    <cellStyle name="Normal 2 58 4" xfId="10391" xr:uid="{00000000-0005-0000-0000-00003D1A0000}"/>
    <cellStyle name="Normal 2 59" xfId="5655" xr:uid="{00000000-0005-0000-0000-00003E1A0000}"/>
    <cellStyle name="Normal 2 59 2" xfId="5656" xr:uid="{00000000-0005-0000-0000-00003F1A0000}"/>
    <cellStyle name="Normal 2 59 2 2" xfId="5657" xr:uid="{00000000-0005-0000-0000-0000401A0000}"/>
    <cellStyle name="Normal 2 59 2 3" xfId="10394" xr:uid="{00000000-0005-0000-0000-0000411A0000}"/>
    <cellStyle name="Normal 2 59 3" xfId="5658" xr:uid="{00000000-0005-0000-0000-0000421A0000}"/>
    <cellStyle name="Normal 2 59 4" xfId="10393" xr:uid="{00000000-0005-0000-0000-0000431A0000}"/>
    <cellStyle name="Normal 2 6" xfId="5659" xr:uid="{00000000-0005-0000-0000-0000441A0000}"/>
    <cellStyle name="Normal 2 6 10" xfId="5660" xr:uid="{00000000-0005-0000-0000-0000451A0000}"/>
    <cellStyle name="Normal 2 6 11" xfId="9416" xr:uid="{00000000-0005-0000-0000-0000461A0000}"/>
    <cellStyle name="Normal 2 6 2" xfId="5661" xr:uid="{00000000-0005-0000-0000-0000471A0000}"/>
    <cellStyle name="Normal 2 6 2 2" xfId="5662" xr:uid="{00000000-0005-0000-0000-0000481A0000}"/>
    <cellStyle name="Normal 2 6 2 3" xfId="5663" xr:uid="{00000000-0005-0000-0000-0000491A0000}"/>
    <cellStyle name="Normal 2 6 2 4" xfId="5664" xr:uid="{00000000-0005-0000-0000-00004A1A0000}"/>
    <cellStyle name="Normal 2 6 2 5" xfId="10395" xr:uid="{00000000-0005-0000-0000-00004B1A0000}"/>
    <cellStyle name="Normal 2 6 3" xfId="5665" xr:uid="{00000000-0005-0000-0000-00004C1A0000}"/>
    <cellStyle name="Normal 2 6 3 2" xfId="5666" xr:uid="{00000000-0005-0000-0000-00004D1A0000}"/>
    <cellStyle name="Normal 2 6 3 3" xfId="5667" xr:uid="{00000000-0005-0000-0000-00004E1A0000}"/>
    <cellStyle name="Normal 2 6 3 4" xfId="10396" xr:uid="{00000000-0005-0000-0000-00004F1A0000}"/>
    <cellStyle name="Normal 2 6 4" xfId="5668" xr:uid="{00000000-0005-0000-0000-0000501A0000}"/>
    <cellStyle name="Normal 2 6 4 2" xfId="5669" xr:uid="{00000000-0005-0000-0000-0000511A0000}"/>
    <cellStyle name="Normal 2 6 4 3" xfId="10397" xr:uid="{00000000-0005-0000-0000-0000521A0000}"/>
    <cellStyle name="Normal 2 6 5" xfId="5670" xr:uid="{00000000-0005-0000-0000-0000531A0000}"/>
    <cellStyle name="Normal 2 6 5 2" xfId="5671" xr:uid="{00000000-0005-0000-0000-0000541A0000}"/>
    <cellStyle name="Normal 2 6 5 3" xfId="10398" xr:uid="{00000000-0005-0000-0000-0000551A0000}"/>
    <cellStyle name="Normal 2 6 6" xfId="5672" xr:uid="{00000000-0005-0000-0000-0000561A0000}"/>
    <cellStyle name="Normal 2 6 6 2" xfId="5673" xr:uid="{00000000-0005-0000-0000-0000571A0000}"/>
    <cellStyle name="Normal 2 6 6 3" xfId="5674" xr:uid="{00000000-0005-0000-0000-0000581A0000}"/>
    <cellStyle name="Normal 2 6 6 4" xfId="11138" xr:uid="{00000000-0005-0000-0000-0000591A0000}"/>
    <cellStyle name="Normal 2 6 7" xfId="5675" xr:uid="{00000000-0005-0000-0000-00005A1A0000}"/>
    <cellStyle name="Normal 2 6 8" xfId="5676" xr:uid="{00000000-0005-0000-0000-00005B1A0000}"/>
    <cellStyle name="Normal 2 6 9" xfId="5677" xr:uid="{00000000-0005-0000-0000-00005C1A0000}"/>
    <cellStyle name="Normal 2 60" xfId="5678" xr:uid="{00000000-0005-0000-0000-00005D1A0000}"/>
    <cellStyle name="Normal 2 60 2" xfId="5679" xr:uid="{00000000-0005-0000-0000-00005E1A0000}"/>
    <cellStyle name="Normal 2 60 2 2" xfId="5680" xr:uid="{00000000-0005-0000-0000-00005F1A0000}"/>
    <cellStyle name="Normal 2 60 2 3" xfId="10400" xr:uid="{00000000-0005-0000-0000-0000601A0000}"/>
    <cellStyle name="Normal 2 60 3" xfId="5681" xr:uid="{00000000-0005-0000-0000-0000611A0000}"/>
    <cellStyle name="Normal 2 60 4" xfId="10399" xr:uid="{00000000-0005-0000-0000-0000621A0000}"/>
    <cellStyle name="Normal 2 61" xfId="5682" xr:uid="{00000000-0005-0000-0000-0000631A0000}"/>
    <cellStyle name="Normal 2 61 2" xfId="5683" xr:uid="{00000000-0005-0000-0000-0000641A0000}"/>
    <cellStyle name="Normal 2 61 2 2" xfId="5684" xr:uid="{00000000-0005-0000-0000-0000651A0000}"/>
    <cellStyle name="Normal 2 61 2 3" xfId="10402" xr:uid="{00000000-0005-0000-0000-0000661A0000}"/>
    <cellStyle name="Normal 2 61 3" xfId="5685" xr:uid="{00000000-0005-0000-0000-0000671A0000}"/>
    <cellStyle name="Normal 2 61 4" xfId="10401" xr:uid="{00000000-0005-0000-0000-0000681A0000}"/>
    <cellStyle name="Normal 2 62" xfId="5686" xr:uid="{00000000-0005-0000-0000-0000691A0000}"/>
    <cellStyle name="Normal 2 62 2" xfId="5687" xr:uid="{00000000-0005-0000-0000-00006A1A0000}"/>
    <cellStyle name="Normal 2 62 2 2" xfId="5688" xr:uid="{00000000-0005-0000-0000-00006B1A0000}"/>
    <cellStyle name="Normal 2 62 2 3" xfId="10404" xr:uid="{00000000-0005-0000-0000-00006C1A0000}"/>
    <cellStyle name="Normal 2 62 3" xfId="5689" xr:uid="{00000000-0005-0000-0000-00006D1A0000}"/>
    <cellStyle name="Normal 2 62 4" xfId="10403" xr:uid="{00000000-0005-0000-0000-00006E1A0000}"/>
    <cellStyle name="Normal 2 63" xfId="5690" xr:uid="{00000000-0005-0000-0000-00006F1A0000}"/>
    <cellStyle name="Normal 2 63 2" xfId="5691" xr:uid="{00000000-0005-0000-0000-0000701A0000}"/>
    <cellStyle name="Normal 2 63 2 2" xfId="5692" xr:uid="{00000000-0005-0000-0000-0000711A0000}"/>
    <cellStyle name="Normal 2 63 2 3" xfId="10406" xr:uid="{00000000-0005-0000-0000-0000721A0000}"/>
    <cellStyle name="Normal 2 63 3" xfId="5693" xr:uid="{00000000-0005-0000-0000-0000731A0000}"/>
    <cellStyle name="Normal 2 63 4" xfId="10405" xr:uid="{00000000-0005-0000-0000-0000741A0000}"/>
    <cellStyle name="Normal 2 64" xfId="5694" xr:uid="{00000000-0005-0000-0000-0000751A0000}"/>
    <cellStyle name="Normal 2 64 2" xfId="5695" xr:uid="{00000000-0005-0000-0000-0000761A0000}"/>
    <cellStyle name="Normal 2 64 2 2" xfId="5696" xr:uid="{00000000-0005-0000-0000-0000771A0000}"/>
    <cellStyle name="Normal 2 64 2 3" xfId="10408" xr:uid="{00000000-0005-0000-0000-0000781A0000}"/>
    <cellStyle name="Normal 2 64 3" xfId="5697" xr:uid="{00000000-0005-0000-0000-0000791A0000}"/>
    <cellStyle name="Normal 2 64 4" xfId="10407" xr:uid="{00000000-0005-0000-0000-00007A1A0000}"/>
    <cellStyle name="Normal 2 65" xfId="5698" xr:uid="{00000000-0005-0000-0000-00007B1A0000}"/>
    <cellStyle name="Normal 2 66" xfId="5699" xr:uid="{00000000-0005-0000-0000-00007C1A0000}"/>
    <cellStyle name="Normal 2 67" xfId="5700" xr:uid="{00000000-0005-0000-0000-00007D1A0000}"/>
    <cellStyle name="Normal 2 68" xfId="5701" xr:uid="{00000000-0005-0000-0000-00007E1A0000}"/>
    <cellStyle name="Normal 2 69" xfId="5702" xr:uid="{00000000-0005-0000-0000-00007F1A0000}"/>
    <cellStyle name="Normal 2 7" xfId="5703" xr:uid="{00000000-0005-0000-0000-0000801A0000}"/>
    <cellStyle name="Normal 2 7 10" xfId="5704" xr:uid="{00000000-0005-0000-0000-0000811A0000}"/>
    <cellStyle name="Normal 2 7 11" xfId="5705" xr:uid="{00000000-0005-0000-0000-0000821A0000}"/>
    <cellStyle name="Normal 2 7 12" xfId="5706" xr:uid="{00000000-0005-0000-0000-0000831A0000}"/>
    <cellStyle name="Normal 2 7 13" xfId="5707" xr:uid="{00000000-0005-0000-0000-0000841A0000}"/>
    <cellStyle name="Normal 2 7 14" xfId="10409" xr:uid="{00000000-0005-0000-0000-0000851A0000}"/>
    <cellStyle name="Normal 2 7 2" xfId="5708" xr:uid="{00000000-0005-0000-0000-0000861A0000}"/>
    <cellStyle name="Normal 2 7 2 2" xfId="5709" xr:uid="{00000000-0005-0000-0000-0000871A0000}"/>
    <cellStyle name="Normal 2 7 2 3" xfId="5710" xr:uid="{00000000-0005-0000-0000-0000881A0000}"/>
    <cellStyle name="Normal 2 7 2 4" xfId="5711" xr:uid="{00000000-0005-0000-0000-0000891A0000}"/>
    <cellStyle name="Normal 2 7 2 5" xfId="5712" xr:uid="{00000000-0005-0000-0000-00008A1A0000}"/>
    <cellStyle name="Normal 2 7 2 6" xfId="10410" xr:uid="{00000000-0005-0000-0000-00008B1A0000}"/>
    <cellStyle name="Normal 2 7 3" xfId="5713" xr:uid="{00000000-0005-0000-0000-00008C1A0000}"/>
    <cellStyle name="Normal 2 7 3 2" xfId="5714" xr:uid="{00000000-0005-0000-0000-00008D1A0000}"/>
    <cellStyle name="Normal 2 7 3 3" xfId="5715" xr:uid="{00000000-0005-0000-0000-00008E1A0000}"/>
    <cellStyle name="Normal 2 7 3 4" xfId="10411" xr:uid="{00000000-0005-0000-0000-00008F1A0000}"/>
    <cellStyle name="Normal 2 7 4" xfId="5716" xr:uid="{00000000-0005-0000-0000-0000901A0000}"/>
    <cellStyle name="Normal 2 7 4 2" xfId="5717" xr:uid="{00000000-0005-0000-0000-0000911A0000}"/>
    <cellStyle name="Normal 2 7 4 3" xfId="10412" xr:uid="{00000000-0005-0000-0000-0000921A0000}"/>
    <cellStyle name="Normal 2 7 5" xfId="5718" xr:uid="{00000000-0005-0000-0000-0000931A0000}"/>
    <cellStyle name="Normal 2 7 6" xfId="5719" xr:uid="{00000000-0005-0000-0000-0000941A0000}"/>
    <cellStyle name="Normal 2 7 7" xfId="5720" xr:uid="{00000000-0005-0000-0000-0000951A0000}"/>
    <cellStyle name="Normal 2 7 8" xfId="5721" xr:uid="{00000000-0005-0000-0000-0000961A0000}"/>
    <cellStyle name="Normal 2 7 9" xfId="5722" xr:uid="{00000000-0005-0000-0000-0000971A0000}"/>
    <cellStyle name="Normal 2 70" xfId="5723" xr:uid="{00000000-0005-0000-0000-0000981A0000}"/>
    <cellStyle name="Normal 2 71" xfId="5724" xr:uid="{00000000-0005-0000-0000-0000991A0000}"/>
    <cellStyle name="Normal 2 71 2" xfId="5725" xr:uid="{00000000-0005-0000-0000-00009A1A0000}"/>
    <cellStyle name="Normal 2 71 3" xfId="10413" xr:uid="{00000000-0005-0000-0000-00009B1A0000}"/>
    <cellStyle name="Normal 2 72" xfId="5726" xr:uid="{00000000-0005-0000-0000-00009C1A0000}"/>
    <cellStyle name="Normal 2 72 2" xfId="5727" xr:uid="{00000000-0005-0000-0000-00009D1A0000}"/>
    <cellStyle name="Normal 2 72 3" xfId="10414" xr:uid="{00000000-0005-0000-0000-00009E1A0000}"/>
    <cellStyle name="Normal 2 73" xfId="5728" xr:uid="{00000000-0005-0000-0000-00009F1A0000}"/>
    <cellStyle name="Normal 2 74" xfId="5729" xr:uid="{00000000-0005-0000-0000-0000A01A0000}"/>
    <cellStyle name="Normal 2 74 2" xfId="5730" xr:uid="{00000000-0005-0000-0000-0000A11A0000}"/>
    <cellStyle name="Normal 2 74 3" xfId="10415" xr:uid="{00000000-0005-0000-0000-0000A21A0000}"/>
    <cellStyle name="Normal 2 75" xfId="5731" xr:uid="{00000000-0005-0000-0000-0000A31A0000}"/>
    <cellStyle name="Normal 2 75 2" xfId="5732" xr:uid="{00000000-0005-0000-0000-0000A41A0000}"/>
    <cellStyle name="Normal 2 75 3" xfId="10416" xr:uid="{00000000-0005-0000-0000-0000A51A0000}"/>
    <cellStyle name="Normal 2 76" xfId="5733" xr:uid="{00000000-0005-0000-0000-0000A61A0000}"/>
    <cellStyle name="Normal 2 76 2" xfId="5734" xr:uid="{00000000-0005-0000-0000-0000A71A0000}"/>
    <cellStyle name="Normal 2 76 3" xfId="10417" xr:uid="{00000000-0005-0000-0000-0000A81A0000}"/>
    <cellStyle name="Normal 2 77" xfId="5735" xr:uid="{00000000-0005-0000-0000-0000A91A0000}"/>
    <cellStyle name="Normal 2 77 2" xfId="5736" xr:uid="{00000000-0005-0000-0000-0000AA1A0000}"/>
    <cellStyle name="Normal 2 77 3" xfId="10418" xr:uid="{00000000-0005-0000-0000-0000AB1A0000}"/>
    <cellStyle name="Normal 2 78" xfId="5737" xr:uid="{00000000-0005-0000-0000-0000AC1A0000}"/>
    <cellStyle name="Normal 2 78 2" xfId="5738" xr:uid="{00000000-0005-0000-0000-0000AD1A0000}"/>
    <cellStyle name="Normal 2 78 3" xfId="10419" xr:uid="{00000000-0005-0000-0000-0000AE1A0000}"/>
    <cellStyle name="Normal 2 79" xfId="5739" xr:uid="{00000000-0005-0000-0000-0000AF1A0000}"/>
    <cellStyle name="Normal 2 79 2" xfId="5740" xr:uid="{00000000-0005-0000-0000-0000B01A0000}"/>
    <cellStyle name="Normal 2 79 3" xfId="10420" xr:uid="{00000000-0005-0000-0000-0000B11A0000}"/>
    <cellStyle name="Normal 2 8" xfId="5741" xr:uid="{00000000-0005-0000-0000-0000B21A0000}"/>
    <cellStyle name="Normal 2 8 2" xfId="5742" xr:uid="{00000000-0005-0000-0000-0000B31A0000}"/>
    <cellStyle name="Normal 2 8 2 2" xfId="5743" xr:uid="{00000000-0005-0000-0000-0000B41A0000}"/>
    <cellStyle name="Normal 2 8 2 3" xfId="5744" xr:uid="{00000000-0005-0000-0000-0000B51A0000}"/>
    <cellStyle name="Normal 2 8 2 4" xfId="10422" xr:uid="{00000000-0005-0000-0000-0000B61A0000}"/>
    <cellStyle name="Normal 2 8 3" xfId="5745" xr:uid="{00000000-0005-0000-0000-0000B71A0000}"/>
    <cellStyle name="Normal 2 8 4" xfId="5746" xr:uid="{00000000-0005-0000-0000-0000B81A0000}"/>
    <cellStyle name="Normal 2 8 4 2" xfId="5747" xr:uid="{00000000-0005-0000-0000-0000B91A0000}"/>
    <cellStyle name="Normal 2 8 4 3" xfId="10423" xr:uid="{00000000-0005-0000-0000-0000BA1A0000}"/>
    <cellStyle name="Normal 2 8 5" xfId="5748" xr:uid="{00000000-0005-0000-0000-0000BB1A0000}"/>
    <cellStyle name="Normal 2 8 6" xfId="5749" xr:uid="{00000000-0005-0000-0000-0000BC1A0000}"/>
    <cellStyle name="Normal 2 8 7" xfId="5750" xr:uid="{00000000-0005-0000-0000-0000BD1A0000}"/>
    <cellStyle name="Normal 2 8 8" xfId="5751" xr:uid="{00000000-0005-0000-0000-0000BE1A0000}"/>
    <cellStyle name="Normal 2 8 9" xfId="10421" xr:uid="{00000000-0005-0000-0000-0000BF1A0000}"/>
    <cellStyle name="Normal 2 80" xfId="5752" xr:uid="{00000000-0005-0000-0000-0000C01A0000}"/>
    <cellStyle name="Normal 2 80 2" xfId="5753" xr:uid="{00000000-0005-0000-0000-0000C11A0000}"/>
    <cellStyle name="Normal 2 80 3" xfId="10424" xr:uid="{00000000-0005-0000-0000-0000C21A0000}"/>
    <cellStyle name="Normal 2 81" xfId="5754" xr:uid="{00000000-0005-0000-0000-0000C31A0000}"/>
    <cellStyle name="Normal 2 81 2" xfId="5755" xr:uid="{00000000-0005-0000-0000-0000C41A0000}"/>
    <cellStyle name="Normal 2 81 3" xfId="10425" xr:uid="{00000000-0005-0000-0000-0000C51A0000}"/>
    <cellStyle name="Normal 2 82" xfId="5756" xr:uid="{00000000-0005-0000-0000-0000C61A0000}"/>
    <cellStyle name="Normal 2 82 2" xfId="5757" xr:uid="{00000000-0005-0000-0000-0000C71A0000}"/>
    <cellStyle name="Normal 2 82 3" xfId="10426" xr:uid="{00000000-0005-0000-0000-0000C81A0000}"/>
    <cellStyle name="Normal 2 83" xfId="5758" xr:uid="{00000000-0005-0000-0000-0000C91A0000}"/>
    <cellStyle name="Normal 2 83 2" xfId="5759" xr:uid="{00000000-0005-0000-0000-0000CA1A0000}"/>
    <cellStyle name="Normal 2 83 3" xfId="10427" xr:uid="{00000000-0005-0000-0000-0000CB1A0000}"/>
    <cellStyle name="Normal 2 84" xfId="5760" xr:uid="{00000000-0005-0000-0000-0000CC1A0000}"/>
    <cellStyle name="Normal 2 84 2" xfId="5761" xr:uid="{00000000-0005-0000-0000-0000CD1A0000}"/>
    <cellStyle name="Normal 2 84 3" xfId="10428" xr:uid="{00000000-0005-0000-0000-0000CE1A0000}"/>
    <cellStyle name="Normal 2 85" xfId="5762" xr:uid="{00000000-0005-0000-0000-0000CF1A0000}"/>
    <cellStyle name="Normal 2 85 2" xfId="5763" xr:uid="{00000000-0005-0000-0000-0000D01A0000}"/>
    <cellStyle name="Normal 2 85 3" xfId="10429" xr:uid="{00000000-0005-0000-0000-0000D11A0000}"/>
    <cellStyle name="Normal 2 86" xfId="5764" xr:uid="{00000000-0005-0000-0000-0000D21A0000}"/>
    <cellStyle name="Normal 2 86 2" xfId="5765" xr:uid="{00000000-0005-0000-0000-0000D31A0000}"/>
    <cellStyle name="Normal 2 86 3" xfId="10430" xr:uid="{00000000-0005-0000-0000-0000D41A0000}"/>
    <cellStyle name="Normal 2 87" xfId="5766" xr:uid="{00000000-0005-0000-0000-0000D51A0000}"/>
    <cellStyle name="Normal 2 87 2" xfId="5767" xr:uid="{00000000-0005-0000-0000-0000D61A0000}"/>
    <cellStyle name="Normal 2 87 3" xfId="10431" xr:uid="{00000000-0005-0000-0000-0000D71A0000}"/>
    <cellStyle name="Normal 2 88" xfId="5768" xr:uid="{00000000-0005-0000-0000-0000D81A0000}"/>
    <cellStyle name="Normal 2 89" xfId="5769" xr:uid="{00000000-0005-0000-0000-0000D91A0000}"/>
    <cellStyle name="Normal 2 9" xfId="5770" xr:uid="{00000000-0005-0000-0000-0000DA1A0000}"/>
    <cellStyle name="Normal 2 9 2" xfId="5771" xr:uid="{00000000-0005-0000-0000-0000DB1A0000}"/>
    <cellStyle name="Normal 2 9 3" xfId="5772" xr:uid="{00000000-0005-0000-0000-0000DC1A0000}"/>
    <cellStyle name="Normal 2 9 4" xfId="5773" xr:uid="{00000000-0005-0000-0000-0000DD1A0000}"/>
    <cellStyle name="Normal 2 9 4 2" xfId="5774" xr:uid="{00000000-0005-0000-0000-0000DE1A0000}"/>
    <cellStyle name="Normal 2 9 4 3" xfId="10433" xr:uid="{00000000-0005-0000-0000-0000DF1A0000}"/>
    <cellStyle name="Normal 2 9 5" xfId="5775" xr:uid="{00000000-0005-0000-0000-0000E01A0000}"/>
    <cellStyle name="Normal 2 9 6" xfId="5776" xr:uid="{00000000-0005-0000-0000-0000E11A0000}"/>
    <cellStyle name="Normal 2 9 7" xfId="10432" xr:uid="{00000000-0005-0000-0000-0000E21A0000}"/>
    <cellStyle name="Normal 2 90" xfId="5777" xr:uid="{00000000-0005-0000-0000-0000E31A0000}"/>
    <cellStyle name="Normal 2 90 2" xfId="5778" xr:uid="{00000000-0005-0000-0000-0000E41A0000}"/>
    <cellStyle name="Normal 2 90 3" xfId="10434" xr:uid="{00000000-0005-0000-0000-0000E51A0000}"/>
    <cellStyle name="Normal 2 91" xfId="5779" xr:uid="{00000000-0005-0000-0000-0000E61A0000}"/>
    <cellStyle name="Normal 2 91 2" xfId="5780" xr:uid="{00000000-0005-0000-0000-0000E71A0000}"/>
    <cellStyle name="Normal 2 91 3" xfId="10435" xr:uid="{00000000-0005-0000-0000-0000E81A0000}"/>
    <cellStyle name="Normal 2 92" xfId="5781" xr:uid="{00000000-0005-0000-0000-0000E91A0000}"/>
    <cellStyle name="Normal 2 92 2" xfId="5782" xr:uid="{00000000-0005-0000-0000-0000EA1A0000}"/>
    <cellStyle name="Normal 2 92 3" xfId="10436" xr:uid="{00000000-0005-0000-0000-0000EB1A0000}"/>
    <cellStyle name="Normal 2 93" xfId="5783" xr:uid="{00000000-0005-0000-0000-0000EC1A0000}"/>
    <cellStyle name="Normal 2 93 2" xfId="5784" xr:uid="{00000000-0005-0000-0000-0000ED1A0000}"/>
    <cellStyle name="Normal 2 93 3" xfId="10437" xr:uid="{00000000-0005-0000-0000-0000EE1A0000}"/>
    <cellStyle name="Normal 2 94" xfId="5785" xr:uid="{00000000-0005-0000-0000-0000EF1A0000}"/>
    <cellStyle name="Normal 2 94 2" xfId="5786" xr:uid="{00000000-0005-0000-0000-0000F01A0000}"/>
    <cellStyle name="Normal 2 94 3" xfId="10438" xr:uid="{00000000-0005-0000-0000-0000F11A0000}"/>
    <cellStyle name="Normal 2 95" xfId="5787" xr:uid="{00000000-0005-0000-0000-0000F21A0000}"/>
    <cellStyle name="Normal 2 95 2" xfId="5788" xr:uid="{00000000-0005-0000-0000-0000F31A0000}"/>
    <cellStyle name="Normal 2 95 3" xfId="5789" xr:uid="{00000000-0005-0000-0000-0000F41A0000}"/>
    <cellStyle name="Normal 2 95 4" xfId="10439" xr:uid="{00000000-0005-0000-0000-0000F51A0000}"/>
    <cellStyle name="Normal 2 96" xfId="5790" xr:uid="{00000000-0005-0000-0000-0000F61A0000}"/>
    <cellStyle name="Normal 2 96 2" xfId="5791" xr:uid="{00000000-0005-0000-0000-0000F71A0000}"/>
    <cellStyle name="Normal 2 96 3" xfId="10440" xr:uid="{00000000-0005-0000-0000-0000F81A0000}"/>
    <cellStyle name="Normal 2 97" xfId="5792" xr:uid="{00000000-0005-0000-0000-0000F91A0000}"/>
    <cellStyle name="Normal 2 97 2" xfId="5793" xr:uid="{00000000-0005-0000-0000-0000FA1A0000}"/>
    <cellStyle name="Normal 2 97 3" xfId="10441" xr:uid="{00000000-0005-0000-0000-0000FB1A0000}"/>
    <cellStyle name="Normal 2 98" xfId="5794" xr:uid="{00000000-0005-0000-0000-0000FC1A0000}"/>
    <cellStyle name="Normal 2 98 2" xfId="5795" xr:uid="{00000000-0005-0000-0000-0000FD1A0000}"/>
    <cellStyle name="Normal 2 98 3" xfId="10442" xr:uid="{00000000-0005-0000-0000-0000FE1A0000}"/>
    <cellStyle name="Normal 2 99" xfId="5796" xr:uid="{00000000-0005-0000-0000-0000FF1A0000}"/>
    <cellStyle name="Normal 2 99 2" xfId="5797" xr:uid="{00000000-0005-0000-0000-0000001B0000}"/>
    <cellStyle name="Normal 2 99 3" xfId="10443" xr:uid="{00000000-0005-0000-0000-0000011B0000}"/>
    <cellStyle name="Normal 20" xfId="5798" xr:uid="{00000000-0005-0000-0000-0000021B0000}"/>
    <cellStyle name="Normal 20 2" xfId="5799" xr:uid="{00000000-0005-0000-0000-0000031B0000}"/>
    <cellStyle name="Normal 20 2 2" xfId="5800" xr:uid="{00000000-0005-0000-0000-0000041B0000}"/>
    <cellStyle name="Normal 20 2 2 2" xfId="10445" xr:uid="{00000000-0005-0000-0000-0000051B0000}"/>
    <cellStyle name="Normal 20 2 3" xfId="5801" xr:uid="{00000000-0005-0000-0000-0000061B0000}"/>
    <cellStyle name="Normal 20 3" xfId="5802" xr:uid="{00000000-0005-0000-0000-0000071B0000}"/>
    <cellStyle name="Normal 20 4" xfId="5803" xr:uid="{00000000-0005-0000-0000-0000081B0000}"/>
    <cellStyle name="Normal 20 5" xfId="10444" xr:uid="{00000000-0005-0000-0000-0000091B0000}"/>
    <cellStyle name="Normal 200" xfId="5804" xr:uid="{00000000-0005-0000-0000-00000A1B0000}"/>
    <cellStyle name="Normal 200 2" xfId="11187" xr:uid="{00000000-0005-0000-0000-00000B1B0000}"/>
    <cellStyle name="Normal 201" xfId="5805" xr:uid="{00000000-0005-0000-0000-00000C1B0000}"/>
    <cellStyle name="Normal 201 2" xfId="5806" xr:uid="{00000000-0005-0000-0000-00000D1B0000}"/>
    <cellStyle name="Normal 201 3" xfId="11190" xr:uid="{00000000-0005-0000-0000-00000E1B0000}"/>
    <cellStyle name="Normal 201 4" xfId="11207" xr:uid="{00000000-0005-0000-0000-00000F1B0000}"/>
    <cellStyle name="Normal 202" xfId="5807" xr:uid="{00000000-0005-0000-0000-0000101B0000}"/>
    <cellStyle name="Normal 203" xfId="5808" xr:uid="{00000000-0005-0000-0000-0000111B0000}"/>
    <cellStyle name="Normal 204" xfId="5809" xr:uid="{00000000-0005-0000-0000-0000121B0000}"/>
    <cellStyle name="Normal 205" xfId="5810" xr:uid="{00000000-0005-0000-0000-0000131B0000}"/>
    <cellStyle name="Normal 206" xfId="5811" xr:uid="{00000000-0005-0000-0000-0000141B0000}"/>
    <cellStyle name="Normal 207" xfId="5812" xr:uid="{00000000-0005-0000-0000-0000151B0000}"/>
    <cellStyle name="Normal 208" xfId="5813" xr:uid="{00000000-0005-0000-0000-0000161B0000}"/>
    <cellStyle name="Normal 209" xfId="5814" xr:uid="{00000000-0005-0000-0000-0000171B0000}"/>
    <cellStyle name="Normal 21" xfId="5815" xr:uid="{00000000-0005-0000-0000-0000181B0000}"/>
    <cellStyle name="Normal 21 2" xfId="5816" xr:uid="{00000000-0005-0000-0000-0000191B0000}"/>
    <cellStyle name="Normal 21 2 2" xfId="5817" xr:uid="{00000000-0005-0000-0000-00001A1B0000}"/>
    <cellStyle name="Normal 21 2 2 2" xfId="10447" xr:uid="{00000000-0005-0000-0000-00001B1B0000}"/>
    <cellStyle name="Normal 21 2 3" xfId="5818" xr:uid="{00000000-0005-0000-0000-00001C1B0000}"/>
    <cellStyle name="Normal 21 3" xfId="5819" xr:uid="{00000000-0005-0000-0000-00001D1B0000}"/>
    <cellStyle name="Normal 21 4" xfId="5820" xr:uid="{00000000-0005-0000-0000-00001E1B0000}"/>
    <cellStyle name="Normal 21 5" xfId="10446" xr:uid="{00000000-0005-0000-0000-00001F1B0000}"/>
    <cellStyle name="Normal 210" xfId="5821" xr:uid="{00000000-0005-0000-0000-0000201B0000}"/>
    <cellStyle name="Normal 211" xfId="5822" xr:uid="{00000000-0005-0000-0000-0000211B0000}"/>
    <cellStyle name="Normal 212" xfId="5823" xr:uid="{00000000-0005-0000-0000-0000221B0000}"/>
    <cellStyle name="Normal 213" xfId="5824" xr:uid="{00000000-0005-0000-0000-0000231B0000}"/>
    <cellStyle name="Normal 214" xfId="5825" xr:uid="{00000000-0005-0000-0000-0000241B0000}"/>
    <cellStyle name="Normal 215" xfId="5826" xr:uid="{00000000-0005-0000-0000-0000251B0000}"/>
    <cellStyle name="Normal 216" xfId="5827" xr:uid="{00000000-0005-0000-0000-0000261B0000}"/>
    <cellStyle name="Normal 217" xfId="5828" xr:uid="{00000000-0005-0000-0000-0000271B0000}"/>
    <cellStyle name="Normal 218" xfId="5829" xr:uid="{00000000-0005-0000-0000-0000281B0000}"/>
    <cellStyle name="Normal 219" xfId="5830" xr:uid="{00000000-0005-0000-0000-0000291B0000}"/>
    <cellStyle name="Normal 22" xfId="5831" xr:uid="{00000000-0005-0000-0000-00002A1B0000}"/>
    <cellStyle name="Normal 22 2" xfId="5832" xr:uid="{00000000-0005-0000-0000-00002B1B0000}"/>
    <cellStyle name="Normal 22 2 2" xfId="5833" xr:uid="{00000000-0005-0000-0000-00002C1B0000}"/>
    <cellStyle name="Normal 22 2 2 2" xfId="10449" xr:uid="{00000000-0005-0000-0000-00002D1B0000}"/>
    <cellStyle name="Normal 22 2 3" xfId="5834" xr:uid="{00000000-0005-0000-0000-00002E1B0000}"/>
    <cellStyle name="Normal 22 3" xfId="5835" xr:uid="{00000000-0005-0000-0000-00002F1B0000}"/>
    <cellStyle name="Normal 22 4" xfId="5836" xr:uid="{00000000-0005-0000-0000-0000301B0000}"/>
    <cellStyle name="Normal 22 5" xfId="10448" xr:uid="{00000000-0005-0000-0000-0000311B0000}"/>
    <cellStyle name="Normal 220" xfId="5837" xr:uid="{00000000-0005-0000-0000-0000321B0000}"/>
    <cellStyle name="Normal 221" xfId="5838" xr:uid="{00000000-0005-0000-0000-0000331B0000}"/>
    <cellStyle name="Normal 222" xfId="5839" xr:uid="{00000000-0005-0000-0000-0000341B0000}"/>
    <cellStyle name="Normal 223" xfId="5840" xr:uid="{00000000-0005-0000-0000-0000351B0000}"/>
    <cellStyle name="Normal 224" xfId="5841" xr:uid="{00000000-0005-0000-0000-0000361B0000}"/>
    <cellStyle name="Normal 225" xfId="5842" xr:uid="{00000000-0005-0000-0000-0000371B0000}"/>
    <cellStyle name="Normal 226" xfId="5843" xr:uid="{00000000-0005-0000-0000-0000381B0000}"/>
    <cellStyle name="Normal 227" xfId="5844" xr:uid="{00000000-0005-0000-0000-0000391B0000}"/>
    <cellStyle name="Normal 228" xfId="5845" xr:uid="{00000000-0005-0000-0000-00003A1B0000}"/>
    <cellStyle name="Normal 229" xfId="5846" xr:uid="{00000000-0005-0000-0000-00003B1B0000}"/>
    <cellStyle name="Normal 23" xfId="5847" xr:uid="{00000000-0005-0000-0000-00003C1B0000}"/>
    <cellStyle name="Normal 23 2" xfId="5848" xr:uid="{00000000-0005-0000-0000-00003D1B0000}"/>
    <cellStyle name="Normal 23 2 2" xfId="5849" xr:uid="{00000000-0005-0000-0000-00003E1B0000}"/>
    <cellStyle name="Normal 23 2 2 2" xfId="10452" xr:uid="{00000000-0005-0000-0000-00003F1B0000}"/>
    <cellStyle name="Normal 23 2 3" xfId="5850" xr:uid="{00000000-0005-0000-0000-0000401B0000}"/>
    <cellStyle name="Normal 23 2 4" xfId="10451" xr:uid="{00000000-0005-0000-0000-0000411B0000}"/>
    <cellStyle name="Normal 23 3" xfId="5851" xr:uid="{00000000-0005-0000-0000-0000421B0000}"/>
    <cellStyle name="Normal 23 4" xfId="10450" xr:uid="{00000000-0005-0000-0000-0000431B0000}"/>
    <cellStyle name="Normal 230" xfId="5852" xr:uid="{00000000-0005-0000-0000-0000441B0000}"/>
    <cellStyle name="Normal 231" xfId="5853" xr:uid="{00000000-0005-0000-0000-0000451B0000}"/>
    <cellStyle name="Normal 232" xfId="5854" xr:uid="{00000000-0005-0000-0000-0000461B0000}"/>
    <cellStyle name="Normal 233" xfId="5855" xr:uid="{00000000-0005-0000-0000-0000471B0000}"/>
    <cellStyle name="Normal 234" xfId="5856" xr:uid="{00000000-0005-0000-0000-0000481B0000}"/>
    <cellStyle name="Normal 234 2" xfId="5857" xr:uid="{00000000-0005-0000-0000-0000491B0000}"/>
    <cellStyle name="Normal 235" xfId="5858" xr:uid="{00000000-0005-0000-0000-00004A1B0000}"/>
    <cellStyle name="Normal 236" xfId="5859" xr:uid="{00000000-0005-0000-0000-00004B1B0000}"/>
    <cellStyle name="Normal 237" xfId="5860" xr:uid="{00000000-0005-0000-0000-00004C1B0000}"/>
    <cellStyle name="Normal 238" xfId="5861" xr:uid="{00000000-0005-0000-0000-00004D1B0000}"/>
    <cellStyle name="Normal 239" xfId="5862" xr:uid="{00000000-0005-0000-0000-00004E1B0000}"/>
    <cellStyle name="Normal 24" xfId="5863" xr:uid="{00000000-0005-0000-0000-00004F1B0000}"/>
    <cellStyle name="Normal 24 2" xfId="5864" xr:uid="{00000000-0005-0000-0000-0000501B0000}"/>
    <cellStyle name="Normal 24 2 2" xfId="5865" xr:uid="{00000000-0005-0000-0000-0000511B0000}"/>
    <cellStyle name="Normal 24 2 2 2" xfId="10455" xr:uid="{00000000-0005-0000-0000-0000521B0000}"/>
    <cellStyle name="Normal 24 2 3" xfId="5866" xr:uid="{00000000-0005-0000-0000-0000531B0000}"/>
    <cellStyle name="Normal 24 2 4" xfId="10454" xr:uid="{00000000-0005-0000-0000-0000541B0000}"/>
    <cellStyle name="Normal 24 3" xfId="5867" xr:uid="{00000000-0005-0000-0000-0000551B0000}"/>
    <cellStyle name="Normal 24 4" xfId="10453" xr:uid="{00000000-0005-0000-0000-0000561B0000}"/>
    <cellStyle name="Normal 240" xfId="5868" xr:uid="{00000000-0005-0000-0000-0000571B0000}"/>
    <cellStyle name="Normal 241" xfId="5869" xr:uid="{00000000-0005-0000-0000-0000581B0000}"/>
    <cellStyle name="Normal 242" xfId="5870" xr:uid="{00000000-0005-0000-0000-0000591B0000}"/>
    <cellStyle name="Normal 243" xfId="5871" xr:uid="{00000000-0005-0000-0000-00005A1B0000}"/>
    <cellStyle name="Normal 244" xfId="9376" xr:uid="{00000000-0005-0000-0000-00005B1B0000}"/>
    <cellStyle name="Normal 245" xfId="9382" xr:uid="{00000000-0005-0000-0000-00005C1B0000}"/>
    <cellStyle name="Normal 245 2" xfId="9389" xr:uid="{00000000-0005-0000-0000-00005D1B0000}"/>
    <cellStyle name="Normal 246" xfId="9387" xr:uid="{00000000-0005-0000-0000-00005E1B0000}"/>
    <cellStyle name="Normal 246 2" xfId="9394" xr:uid="{00000000-0005-0000-0000-00005F1B0000}"/>
    <cellStyle name="Normal 247" xfId="9391" xr:uid="{00000000-0005-0000-0000-0000601B0000}"/>
    <cellStyle name="Normal 248" xfId="9393" xr:uid="{00000000-0005-0000-0000-0000611B0000}"/>
    <cellStyle name="Normal 249" xfId="9398" xr:uid="{00000000-0005-0000-0000-0000621B0000}"/>
    <cellStyle name="Normal 25" xfId="5872" xr:uid="{00000000-0005-0000-0000-0000631B0000}"/>
    <cellStyle name="Normal 25 2" xfId="5873" xr:uid="{00000000-0005-0000-0000-0000641B0000}"/>
    <cellStyle name="Normal 25 2 2" xfId="5874" xr:uid="{00000000-0005-0000-0000-0000651B0000}"/>
    <cellStyle name="Normal 25 2 2 2" xfId="10458" xr:uid="{00000000-0005-0000-0000-0000661B0000}"/>
    <cellStyle name="Normal 25 2 3" xfId="5875" xr:uid="{00000000-0005-0000-0000-0000671B0000}"/>
    <cellStyle name="Normal 25 2 4" xfId="10457" xr:uid="{00000000-0005-0000-0000-0000681B0000}"/>
    <cellStyle name="Normal 25 3" xfId="5876" xr:uid="{00000000-0005-0000-0000-0000691B0000}"/>
    <cellStyle name="Normal 25 4" xfId="10456" xr:uid="{00000000-0005-0000-0000-00006A1B0000}"/>
    <cellStyle name="Normal 250" xfId="9402" xr:uid="{00000000-0005-0000-0000-00006B1B0000}"/>
    <cellStyle name="Normal 251" xfId="11165" xr:uid="{00000000-0005-0000-0000-00006C1B0000}"/>
    <cellStyle name="Normal 252" xfId="9410" xr:uid="{00000000-0005-0000-0000-00006D1B0000}"/>
    <cellStyle name="Normal 253" xfId="11060" xr:uid="{00000000-0005-0000-0000-00006E1B0000}"/>
    <cellStyle name="Normal 254" xfId="11198" xr:uid="{00000000-0005-0000-0000-00006F1B0000}"/>
    <cellStyle name="Normal 255" xfId="11043" xr:uid="{00000000-0005-0000-0000-0000701B0000}"/>
    <cellStyle name="Normal 256" xfId="11197" xr:uid="{00000000-0005-0000-0000-0000711B0000}"/>
    <cellStyle name="Normal 257" xfId="10996" xr:uid="{00000000-0005-0000-0000-0000721B0000}"/>
    <cellStyle name="Normal 258" xfId="11193" xr:uid="{00000000-0005-0000-0000-0000731B0000}"/>
    <cellStyle name="Normal 259" xfId="10960" xr:uid="{00000000-0005-0000-0000-0000741B0000}"/>
    <cellStyle name="Normal 26" xfId="5877" xr:uid="{00000000-0005-0000-0000-0000751B0000}"/>
    <cellStyle name="Normal 26 2" xfId="5878" xr:uid="{00000000-0005-0000-0000-0000761B0000}"/>
    <cellStyle name="Normal 26 2 2" xfId="5879" xr:uid="{00000000-0005-0000-0000-0000771B0000}"/>
    <cellStyle name="Normal 26 2 2 2" xfId="10461" xr:uid="{00000000-0005-0000-0000-0000781B0000}"/>
    <cellStyle name="Normal 26 2 3" xfId="5880" xr:uid="{00000000-0005-0000-0000-0000791B0000}"/>
    <cellStyle name="Normal 26 2 4" xfId="10460" xr:uid="{00000000-0005-0000-0000-00007A1B0000}"/>
    <cellStyle name="Normal 26 3" xfId="5881" xr:uid="{00000000-0005-0000-0000-00007B1B0000}"/>
    <cellStyle name="Normal 26 4" xfId="10459" xr:uid="{00000000-0005-0000-0000-00007C1B0000}"/>
    <cellStyle name="Normal 260" xfId="11195" xr:uid="{00000000-0005-0000-0000-00007D1B0000}"/>
    <cellStyle name="Normal 261" xfId="10958" xr:uid="{00000000-0005-0000-0000-00007E1B0000}"/>
    <cellStyle name="Normal 262" xfId="10957" xr:uid="{00000000-0005-0000-0000-00007F1B0000}"/>
    <cellStyle name="Normal 263" xfId="11196" xr:uid="{00000000-0005-0000-0000-0000801B0000}"/>
    <cellStyle name="Normal 264" xfId="11194" xr:uid="{00000000-0005-0000-0000-0000811B0000}"/>
    <cellStyle name="Normal 27" xfId="5882" xr:uid="{00000000-0005-0000-0000-0000821B0000}"/>
    <cellStyle name="Normal 27 2" xfId="5883" xr:uid="{00000000-0005-0000-0000-0000831B0000}"/>
    <cellStyle name="Normal 27 2 2" xfId="5884" xr:uid="{00000000-0005-0000-0000-0000841B0000}"/>
    <cellStyle name="Normal 27 2 2 2" xfId="10464" xr:uid="{00000000-0005-0000-0000-0000851B0000}"/>
    <cellStyle name="Normal 27 2 3" xfId="5885" xr:uid="{00000000-0005-0000-0000-0000861B0000}"/>
    <cellStyle name="Normal 27 2 4" xfId="10463" xr:uid="{00000000-0005-0000-0000-0000871B0000}"/>
    <cellStyle name="Normal 27 3" xfId="5886" xr:uid="{00000000-0005-0000-0000-0000881B0000}"/>
    <cellStyle name="Normal 27 4" xfId="10462" xr:uid="{00000000-0005-0000-0000-0000891B0000}"/>
    <cellStyle name="Normal 28" xfId="5887" xr:uid="{00000000-0005-0000-0000-00008A1B0000}"/>
    <cellStyle name="Normal 28 2" xfId="5888" xr:uid="{00000000-0005-0000-0000-00008B1B0000}"/>
    <cellStyle name="Normal 28 2 2" xfId="5889" xr:uid="{00000000-0005-0000-0000-00008C1B0000}"/>
    <cellStyle name="Normal 28 2 2 2" xfId="10467" xr:uid="{00000000-0005-0000-0000-00008D1B0000}"/>
    <cellStyle name="Normal 28 2 3" xfId="5890" xr:uid="{00000000-0005-0000-0000-00008E1B0000}"/>
    <cellStyle name="Normal 28 2 4" xfId="10466" xr:uid="{00000000-0005-0000-0000-00008F1B0000}"/>
    <cellStyle name="Normal 28 3" xfId="5891" xr:uid="{00000000-0005-0000-0000-0000901B0000}"/>
    <cellStyle name="Normal 28 4" xfId="10465" xr:uid="{00000000-0005-0000-0000-0000911B0000}"/>
    <cellStyle name="Normal 29" xfId="5892" xr:uid="{00000000-0005-0000-0000-0000921B0000}"/>
    <cellStyle name="Normal 29 2" xfId="5893" xr:uid="{00000000-0005-0000-0000-0000931B0000}"/>
    <cellStyle name="Normal 3" xfId="11" xr:uid="{00000000-0005-0000-0000-0000941B0000}"/>
    <cellStyle name="Normal 3 10" xfId="5894" xr:uid="{00000000-0005-0000-0000-0000951B0000}"/>
    <cellStyle name="Normal 3 10 2" xfId="5895" xr:uid="{00000000-0005-0000-0000-0000961B0000}"/>
    <cellStyle name="Normal 3 10 3" xfId="5896" xr:uid="{00000000-0005-0000-0000-0000971B0000}"/>
    <cellStyle name="Normal 3 10 4" xfId="5897" xr:uid="{00000000-0005-0000-0000-0000981B0000}"/>
    <cellStyle name="Normal 3 10 4 2" xfId="5898" xr:uid="{00000000-0005-0000-0000-0000991B0000}"/>
    <cellStyle name="Normal 3 10 5" xfId="5899" xr:uid="{00000000-0005-0000-0000-00009A1B0000}"/>
    <cellStyle name="Normal 3 100" xfId="5900" xr:uid="{00000000-0005-0000-0000-00009B1B0000}"/>
    <cellStyle name="Normal 3 101" xfId="5901" xr:uid="{00000000-0005-0000-0000-00009C1B0000}"/>
    <cellStyle name="Normal 3 102" xfId="5902" xr:uid="{00000000-0005-0000-0000-00009D1B0000}"/>
    <cellStyle name="Normal 3 103" xfId="5903" xr:uid="{00000000-0005-0000-0000-00009E1B0000}"/>
    <cellStyle name="Normal 3 104" xfId="5904" xr:uid="{00000000-0005-0000-0000-00009F1B0000}"/>
    <cellStyle name="Normal 3 105" xfId="5905" xr:uid="{00000000-0005-0000-0000-0000A01B0000}"/>
    <cellStyle name="Normal 3 106" xfId="5906" xr:uid="{00000000-0005-0000-0000-0000A11B0000}"/>
    <cellStyle name="Normal 3 107" xfId="5907" xr:uid="{00000000-0005-0000-0000-0000A21B0000}"/>
    <cellStyle name="Normal 3 107 2" xfId="5908" xr:uid="{00000000-0005-0000-0000-0000A31B0000}"/>
    <cellStyle name="Normal 3 107 3" xfId="10468" xr:uid="{00000000-0005-0000-0000-0000A41B0000}"/>
    <cellStyle name="Normal 3 108" xfId="5909" xr:uid="{00000000-0005-0000-0000-0000A51B0000}"/>
    <cellStyle name="Normal 3 109" xfId="5910" xr:uid="{00000000-0005-0000-0000-0000A61B0000}"/>
    <cellStyle name="Normal 3 109 2" xfId="5911" xr:uid="{00000000-0005-0000-0000-0000A71B0000}"/>
    <cellStyle name="Normal 3 109 3" xfId="10469" xr:uid="{00000000-0005-0000-0000-0000A81B0000}"/>
    <cellStyle name="Normal 3 11" xfId="5912" xr:uid="{00000000-0005-0000-0000-0000A91B0000}"/>
    <cellStyle name="Normal 3 11 2" xfId="5913" xr:uid="{00000000-0005-0000-0000-0000AA1B0000}"/>
    <cellStyle name="Normal 3 11 3" xfId="5914" xr:uid="{00000000-0005-0000-0000-0000AB1B0000}"/>
    <cellStyle name="Normal 3 11 4" xfId="5915" xr:uid="{00000000-0005-0000-0000-0000AC1B0000}"/>
    <cellStyle name="Normal 3 11 4 2" xfId="5916" xr:uid="{00000000-0005-0000-0000-0000AD1B0000}"/>
    <cellStyle name="Normal 3 11 5" xfId="5917" xr:uid="{00000000-0005-0000-0000-0000AE1B0000}"/>
    <cellStyle name="Normal 3 110" xfId="5918" xr:uid="{00000000-0005-0000-0000-0000AF1B0000}"/>
    <cellStyle name="Normal 3 110 2" xfId="5919" xr:uid="{00000000-0005-0000-0000-0000B01B0000}"/>
    <cellStyle name="Normal 3 110 3" xfId="5920" xr:uid="{00000000-0005-0000-0000-0000B11B0000}"/>
    <cellStyle name="Normal 3 111" xfId="5921" xr:uid="{00000000-0005-0000-0000-0000B21B0000}"/>
    <cellStyle name="Normal 3 112" xfId="5922" xr:uid="{00000000-0005-0000-0000-0000B31B0000}"/>
    <cellStyle name="Normal 3 113" xfId="5923" xr:uid="{00000000-0005-0000-0000-0000B41B0000}"/>
    <cellStyle name="Normal 3 114" xfId="5924" xr:uid="{00000000-0005-0000-0000-0000B51B0000}"/>
    <cellStyle name="Normal 3 12" xfId="5925" xr:uid="{00000000-0005-0000-0000-0000B61B0000}"/>
    <cellStyle name="Normal 3 12 2" xfId="5926" xr:uid="{00000000-0005-0000-0000-0000B71B0000}"/>
    <cellStyle name="Normal 3 12 3" xfId="5927" xr:uid="{00000000-0005-0000-0000-0000B81B0000}"/>
    <cellStyle name="Normal 3 12 4" xfId="5928" xr:uid="{00000000-0005-0000-0000-0000B91B0000}"/>
    <cellStyle name="Normal 3 13" xfId="5929" xr:uid="{00000000-0005-0000-0000-0000BA1B0000}"/>
    <cellStyle name="Normal 3 13 2" xfId="5930" xr:uid="{00000000-0005-0000-0000-0000BB1B0000}"/>
    <cellStyle name="Normal 3 13 3" xfId="5931" xr:uid="{00000000-0005-0000-0000-0000BC1B0000}"/>
    <cellStyle name="Normal 3 13 4" xfId="5932" xr:uid="{00000000-0005-0000-0000-0000BD1B0000}"/>
    <cellStyle name="Normal 3 14" xfId="5933" xr:uid="{00000000-0005-0000-0000-0000BE1B0000}"/>
    <cellStyle name="Normal 3 14 2" xfId="5934" xr:uid="{00000000-0005-0000-0000-0000BF1B0000}"/>
    <cellStyle name="Normal 3 14 3" xfId="5935" xr:uid="{00000000-0005-0000-0000-0000C01B0000}"/>
    <cellStyle name="Normal 3 14 4" xfId="5936" xr:uid="{00000000-0005-0000-0000-0000C11B0000}"/>
    <cellStyle name="Normal 3 15" xfId="5937" xr:uid="{00000000-0005-0000-0000-0000C21B0000}"/>
    <cellStyle name="Normal 3 15 2" xfId="5938" xr:uid="{00000000-0005-0000-0000-0000C31B0000}"/>
    <cellStyle name="Normal 3 15 3" xfId="5939" xr:uid="{00000000-0005-0000-0000-0000C41B0000}"/>
    <cellStyle name="Normal 3 15 4" xfId="5940" xr:uid="{00000000-0005-0000-0000-0000C51B0000}"/>
    <cellStyle name="Normal 3 16" xfId="5941" xr:uid="{00000000-0005-0000-0000-0000C61B0000}"/>
    <cellStyle name="Normal 3 16 2" xfId="5942" xr:uid="{00000000-0005-0000-0000-0000C71B0000}"/>
    <cellStyle name="Normal 3 16 3" xfId="5943" xr:uid="{00000000-0005-0000-0000-0000C81B0000}"/>
    <cellStyle name="Normal 3 16 4" xfId="5944" xr:uid="{00000000-0005-0000-0000-0000C91B0000}"/>
    <cellStyle name="Normal 3 17" xfId="5945" xr:uid="{00000000-0005-0000-0000-0000CA1B0000}"/>
    <cellStyle name="Normal 3 17 2" xfId="5946" xr:uid="{00000000-0005-0000-0000-0000CB1B0000}"/>
    <cellStyle name="Normal 3 17 3" xfId="5947" xr:uid="{00000000-0005-0000-0000-0000CC1B0000}"/>
    <cellStyle name="Normal 3 17 4" xfId="5948" xr:uid="{00000000-0005-0000-0000-0000CD1B0000}"/>
    <cellStyle name="Normal 3 18" xfId="5949" xr:uid="{00000000-0005-0000-0000-0000CE1B0000}"/>
    <cellStyle name="Normal 3 18 2" xfId="5950" xr:uid="{00000000-0005-0000-0000-0000CF1B0000}"/>
    <cellStyle name="Normal 3 18 3" xfId="5951" xr:uid="{00000000-0005-0000-0000-0000D01B0000}"/>
    <cellStyle name="Normal 3 18 4" xfId="5952" xr:uid="{00000000-0005-0000-0000-0000D11B0000}"/>
    <cellStyle name="Normal 3 19" xfId="5953" xr:uid="{00000000-0005-0000-0000-0000D21B0000}"/>
    <cellStyle name="Normal 3 19 2" xfId="5954" xr:uid="{00000000-0005-0000-0000-0000D31B0000}"/>
    <cellStyle name="Normal 3 19 3" xfId="5955" xr:uid="{00000000-0005-0000-0000-0000D41B0000}"/>
    <cellStyle name="Normal 3 19 4" xfId="5956" xr:uid="{00000000-0005-0000-0000-0000D51B0000}"/>
    <cellStyle name="Normal 3 2" xfId="17" xr:uid="{00000000-0005-0000-0000-0000D61B0000}"/>
    <cellStyle name="Normal 3 2 10" xfId="5957" xr:uid="{00000000-0005-0000-0000-0000D71B0000}"/>
    <cellStyle name="Normal 3 2 10 2" xfId="5958" xr:uid="{00000000-0005-0000-0000-0000D81B0000}"/>
    <cellStyle name="Normal 3 2 10 2 2" xfId="5959" xr:uid="{00000000-0005-0000-0000-0000D91B0000}"/>
    <cellStyle name="Normal 3 2 10 2 3" xfId="10471" xr:uid="{00000000-0005-0000-0000-0000DA1B0000}"/>
    <cellStyle name="Normal 3 2 10 3" xfId="5960" xr:uid="{00000000-0005-0000-0000-0000DB1B0000}"/>
    <cellStyle name="Normal 3 2 10 4" xfId="5961" xr:uid="{00000000-0005-0000-0000-0000DC1B0000}"/>
    <cellStyle name="Normal 3 2 10 5" xfId="10470" xr:uid="{00000000-0005-0000-0000-0000DD1B0000}"/>
    <cellStyle name="Normal 3 2 11" xfId="5962" xr:uid="{00000000-0005-0000-0000-0000DE1B0000}"/>
    <cellStyle name="Normal 3 2 11 2" xfId="5963" xr:uid="{00000000-0005-0000-0000-0000DF1B0000}"/>
    <cellStyle name="Normal 3 2 11 2 2" xfId="5964" xr:uid="{00000000-0005-0000-0000-0000E01B0000}"/>
    <cellStyle name="Normal 3 2 11 2 3" xfId="10473" xr:uid="{00000000-0005-0000-0000-0000E11B0000}"/>
    <cellStyle name="Normal 3 2 11 3" xfId="5965" xr:uid="{00000000-0005-0000-0000-0000E21B0000}"/>
    <cellStyle name="Normal 3 2 11 4" xfId="5966" xr:uid="{00000000-0005-0000-0000-0000E31B0000}"/>
    <cellStyle name="Normal 3 2 11 5" xfId="5967" xr:uid="{00000000-0005-0000-0000-0000E41B0000}"/>
    <cellStyle name="Normal 3 2 11 6" xfId="10472" xr:uid="{00000000-0005-0000-0000-0000E51B0000}"/>
    <cellStyle name="Normal 3 2 12" xfId="5968" xr:uid="{00000000-0005-0000-0000-0000E61B0000}"/>
    <cellStyle name="Normal 3 2 12 2" xfId="5969" xr:uid="{00000000-0005-0000-0000-0000E71B0000}"/>
    <cellStyle name="Normal 3 2 12 2 2" xfId="5970" xr:uid="{00000000-0005-0000-0000-0000E81B0000}"/>
    <cellStyle name="Normal 3 2 12 2 3" xfId="10475" xr:uid="{00000000-0005-0000-0000-0000E91B0000}"/>
    <cellStyle name="Normal 3 2 12 3" xfId="5971" xr:uid="{00000000-0005-0000-0000-0000EA1B0000}"/>
    <cellStyle name="Normal 3 2 12 4" xfId="10474" xr:uid="{00000000-0005-0000-0000-0000EB1B0000}"/>
    <cellStyle name="Normal 3 2 13" xfId="5972" xr:uid="{00000000-0005-0000-0000-0000EC1B0000}"/>
    <cellStyle name="Normal 3 2 13 2" xfId="5973" xr:uid="{00000000-0005-0000-0000-0000ED1B0000}"/>
    <cellStyle name="Normal 3 2 13 2 2" xfId="5974" xr:uid="{00000000-0005-0000-0000-0000EE1B0000}"/>
    <cellStyle name="Normal 3 2 13 2 3" xfId="10477" xr:uid="{00000000-0005-0000-0000-0000EF1B0000}"/>
    <cellStyle name="Normal 3 2 13 3" xfId="5975" xr:uid="{00000000-0005-0000-0000-0000F01B0000}"/>
    <cellStyle name="Normal 3 2 13 4" xfId="10476" xr:uid="{00000000-0005-0000-0000-0000F11B0000}"/>
    <cellStyle name="Normal 3 2 14" xfId="5976" xr:uid="{00000000-0005-0000-0000-0000F21B0000}"/>
    <cellStyle name="Normal 3 2 14 2" xfId="5977" xr:uid="{00000000-0005-0000-0000-0000F31B0000}"/>
    <cellStyle name="Normal 3 2 14 2 2" xfId="5978" xr:uid="{00000000-0005-0000-0000-0000F41B0000}"/>
    <cellStyle name="Normal 3 2 14 2 3" xfId="10479" xr:uid="{00000000-0005-0000-0000-0000F51B0000}"/>
    <cellStyle name="Normal 3 2 14 3" xfId="5979" xr:uid="{00000000-0005-0000-0000-0000F61B0000}"/>
    <cellStyle name="Normal 3 2 14 4" xfId="10478" xr:uid="{00000000-0005-0000-0000-0000F71B0000}"/>
    <cellStyle name="Normal 3 2 15" xfId="5980" xr:uid="{00000000-0005-0000-0000-0000F81B0000}"/>
    <cellStyle name="Normal 3 2 15 2" xfId="5981" xr:uid="{00000000-0005-0000-0000-0000F91B0000}"/>
    <cellStyle name="Normal 3 2 15 2 2" xfId="5982" xr:uid="{00000000-0005-0000-0000-0000FA1B0000}"/>
    <cellStyle name="Normal 3 2 15 2 3" xfId="10481" xr:uid="{00000000-0005-0000-0000-0000FB1B0000}"/>
    <cellStyle name="Normal 3 2 15 3" xfId="5983" xr:uid="{00000000-0005-0000-0000-0000FC1B0000}"/>
    <cellStyle name="Normal 3 2 15 4" xfId="10480" xr:uid="{00000000-0005-0000-0000-0000FD1B0000}"/>
    <cellStyle name="Normal 3 2 16" xfId="5984" xr:uid="{00000000-0005-0000-0000-0000FE1B0000}"/>
    <cellStyle name="Normal 3 2 16 2" xfId="5985" xr:uid="{00000000-0005-0000-0000-0000FF1B0000}"/>
    <cellStyle name="Normal 3 2 16 2 2" xfId="5986" xr:uid="{00000000-0005-0000-0000-0000001C0000}"/>
    <cellStyle name="Normal 3 2 16 2 3" xfId="10483" xr:uid="{00000000-0005-0000-0000-0000011C0000}"/>
    <cellStyle name="Normal 3 2 16 3" xfId="5987" xr:uid="{00000000-0005-0000-0000-0000021C0000}"/>
    <cellStyle name="Normal 3 2 16 4" xfId="10482" xr:uid="{00000000-0005-0000-0000-0000031C0000}"/>
    <cellStyle name="Normal 3 2 17" xfId="5988" xr:uid="{00000000-0005-0000-0000-0000041C0000}"/>
    <cellStyle name="Normal 3 2 17 2" xfId="5989" xr:uid="{00000000-0005-0000-0000-0000051C0000}"/>
    <cellStyle name="Normal 3 2 17 2 2" xfId="5990" xr:uid="{00000000-0005-0000-0000-0000061C0000}"/>
    <cellStyle name="Normal 3 2 17 2 3" xfId="10485" xr:uid="{00000000-0005-0000-0000-0000071C0000}"/>
    <cellStyle name="Normal 3 2 17 3" xfId="5991" xr:uid="{00000000-0005-0000-0000-0000081C0000}"/>
    <cellStyle name="Normal 3 2 17 4" xfId="10484" xr:uid="{00000000-0005-0000-0000-0000091C0000}"/>
    <cellStyle name="Normal 3 2 18" xfId="5992" xr:uid="{00000000-0005-0000-0000-00000A1C0000}"/>
    <cellStyle name="Normal 3 2 18 2" xfId="5993" xr:uid="{00000000-0005-0000-0000-00000B1C0000}"/>
    <cellStyle name="Normal 3 2 18 3" xfId="10486" xr:uid="{00000000-0005-0000-0000-00000C1C0000}"/>
    <cellStyle name="Normal 3 2 19" xfId="5994" xr:uid="{00000000-0005-0000-0000-00000D1C0000}"/>
    <cellStyle name="Normal 3 2 19 2" xfId="5995" xr:uid="{00000000-0005-0000-0000-00000E1C0000}"/>
    <cellStyle name="Normal 3 2 19 3" xfId="10487" xr:uid="{00000000-0005-0000-0000-00000F1C0000}"/>
    <cellStyle name="Normal 3 2 2" xfId="5996" xr:uid="{00000000-0005-0000-0000-0000101C0000}"/>
    <cellStyle name="Normal 3 2 2 10" xfId="5997" xr:uid="{00000000-0005-0000-0000-0000111C0000}"/>
    <cellStyle name="Normal 3 2 2 11" xfId="5998" xr:uid="{00000000-0005-0000-0000-0000121C0000}"/>
    <cellStyle name="Normal 3 2 2 12" xfId="5999" xr:uid="{00000000-0005-0000-0000-0000131C0000}"/>
    <cellStyle name="Normal 3 2 2 13" xfId="6000" xr:uid="{00000000-0005-0000-0000-0000141C0000}"/>
    <cellStyle name="Normal 3 2 2 14" xfId="6001" xr:uid="{00000000-0005-0000-0000-0000151C0000}"/>
    <cellStyle name="Normal 3 2 2 15" xfId="6002" xr:uid="{00000000-0005-0000-0000-0000161C0000}"/>
    <cellStyle name="Normal 3 2 2 16" xfId="6003" xr:uid="{00000000-0005-0000-0000-0000171C0000}"/>
    <cellStyle name="Normal 3 2 2 17" xfId="6004" xr:uid="{00000000-0005-0000-0000-0000181C0000}"/>
    <cellStyle name="Normal 3 2 2 18" xfId="6005" xr:uid="{00000000-0005-0000-0000-0000191C0000}"/>
    <cellStyle name="Normal 3 2 2 19" xfId="10488" xr:uid="{00000000-0005-0000-0000-00001A1C0000}"/>
    <cellStyle name="Normal 3 2 2 2" xfId="6006" xr:uid="{00000000-0005-0000-0000-00001B1C0000}"/>
    <cellStyle name="Normal 3 2 2 2 10" xfId="6007" xr:uid="{00000000-0005-0000-0000-00001C1C0000}"/>
    <cellStyle name="Normal 3 2 2 2 10 2" xfId="6008" xr:uid="{00000000-0005-0000-0000-00001D1C0000}"/>
    <cellStyle name="Normal 3 2 2 2 10 2 2" xfId="6009" xr:uid="{00000000-0005-0000-0000-00001E1C0000}"/>
    <cellStyle name="Normal 3 2 2 2 10 2 3" xfId="10490" xr:uid="{00000000-0005-0000-0000-00001F1C0000}"/>
    <cellStyle name="Normal 3 2 2 2 10 3" xfId="6010" xr:uid="{00000000-0005-0000-0000-0000201C0000}"/>
    <cellStyle name="Normal 3 2 2 2 10 4" xfId="10489" xr:uid="{00000000-0005-0000-0000-0000211C0000}"/>
    <cellStyle name="Normal 3 2 2 2 11" xfId="6011" xr:uid="{00000000-0005-0000-0000-0000221C0000}"/>
    <cellStyle name="Normal 3 2 2 2 11 2" xfId="6012" xr:uid="{00000000-0005-0000-0000-0000231C0000}"/>
    <cellStyle name="Normal 3 2 2 2 11 2 2" xfId="6013" xr:uid="{00000000-0005-0000-0000-0000241C0000}"/>
    <cellStyle name="Normal 3 2 2 2 11 2 3" xfId="10492" xr:uid="{00000000-0005-0000-0000-0000251C0000}"/>
    <cellStyle name="Normal 3 2 2 2 11 3" xfId="6014" xr:uid="{00000000-0005-0000-0000-0000261C0000}"/>
    <cellStyle name="Normal 3 2 2 2 11 4" xfId="10491" xr:uid="{00000000-0005-0000-0000-0000271C0000}"/>
    <cellStyle name="Normal 3 2 2 2 12" xfId="6015" xr:uid="{00000000-0005-0000-0000-0000281C0000}"/>
    <cellStyle name="Normal 3 2 2 2 12 2" xfId="6016" xr:uid="{00000000-0005-0000-0000-0000291C0000}"/>
    <cellStyle name="Normal 3 2 2 2 12 2 2" xfId="6017" xr:uid="{00000000-0005-0000-0000-00002A1C0000}"/>
    <cellStyle name="Normal 3 2 2 2 12 2 3" xfId="10494" xr:uid="{00000000-0005-0000-0000-00002B1C0000}"/>
    <cellStyle name="Normal 3 2 2 2 12 3" xfId="6018" xr:uid="{00000000-0005-0000-0000-00002C1C0000}"/>
    <cellStyle name="Normal 3 2 2 2 12 4" xfId="10493" xr:uid="{00000000-0005-0000-0000-00002D1C0000}"/>
    <cellStyle name="Normal 3 2 2 2 13" xfId="6019" xr:uid="{00000000-0005-0000-0000-00002E1C0000}"/>
    <cellStyle name="Normal 3 2 2 2 13 2" xfId="6020" xr:uid="{00000000-0005-0000-0000-00002F1C0000}"/>
    <cellStyle name="Normal 3 2 2 2 13 2 2" xfId="6021" xr:uid="{00000000-0005-0000-0000-0000301C0000}"/>
    <cellStyle name="Normal 3 2 2 2 13 2 3" xfId="10496" xr:uid="{00000000-0005-0000-0000-0000311C0000}"/>
    <cellStyle name="Normal 3 2 2 2 13 3" xfId="6022" xr:uid="{00000000-0005-0000-0000-0000321C0000}"/>
    <cellStyle name="Normal 3 2 2 2 13 4" xfId="10495" xr:uid="{00000000-0005-0000-0000-0000331C0000}"/>
    <cellStyle name="Normal 3 2 2 2 14" xfId="6023" xr:uid="{00000000-0005-0000-0000-0000341C0000}"/>
    <cellStyle name="Normal 3 2 2 2 14 2" xfId="6024" xr:uid="{00000000-0005-0000-0000-0000351C0000}"/>
    <cellStyle name="Normal 3 2 2 2 14 2 2" xfId="6025" xr:uid="{00000000-0005-0000-0000-0000361C0000}"/>
    <cellStyle name="Normal 3 2 2 2 14 2 3" xfId="10498" xr:uid="{00000000-0005-0000-0000-0000371C0000}"/>
    <cellStyle name="Normal 3 2 2 2 14 3" xfId="6026" xr:uid="{00000000-0005-0000-0000-0000381C0000}"/>
    <cellStyle name="Normal 3 2 2 2 14 4" xfId="10497" xr:uid="{00000000-0005-0000-0000-0000391C0000}"/>
    <cellStyle name="Normal 3 2 2 2 15" xfId="6027" xr:uid="{00000000-0005-0000-0000-00003A1C0000}"/>
    <cellStyle name="Normal 3 2 2 2 15 2" xfId="6028" xr:uid="{00000000-0005-0000-0000-00003B1C0000}"/>
    <cellStyle name="Normal 3 2 2 2 15 2 2" xfId="6029" xr:uid="{00000000-0005-0000-0000-00003C1C0000}"/>
    <cellStyle name="Normal 3 2 2 2 15 2 3" xfId="10500" xr:uid="{00000000-0005-0000-0000-00003D1C0000}"/>
    <cellStyle name="Normal 3 2 2 2 15 3" xfId="6030" xr:uid="{00000000-0005-0000-0000-00003E1C0000}"/>
    <cellStyle name="Normal 3 2 2 2 15 4" xfId="10499" xr:uid="{00000000-0005-0000-0000-00003F1C0000}"/>
    <cellStyle name="Normal 3 2 2 2 16" xfId="6031" xr:uid="{00000000-0005-0000-0000-0000401C0000}"/>
    <cellStyle name="Normal 3 2 2 2 16 2" xfId="6032" xr:uid="{00000000-0005-0000-0000-0000411C0000}"/>
    <cellStyle name="Normal 3 2 2 2 16 3" xfId="10501" xr:uid="{00000000-0005-0000-0000-0000421C0000}"/>
    <cellStyle name="Normal 3 2 2 2 17" xfId="6033" xr:uid="{00000000-0005-0000-0000-0000431C0000}"/>
    <cellStyle name="Normal 3 2 2 2 17 2" xfId="6034" xr:uid="{00000000-0005-0000-0000-0000441C0000}"/>
    <cellStyle name="Normal 3 2 2 2 17 3" xfId="10502" xr:uid="{00000000-0005-0000-0000-0000451C0000}"/>
    <cellStyle name="Normal 3 2 2 2 2" xfId="6035" xr:uid="{00000000-0005-0000-0000-0000461C0000}"/>
    <cellStyle name="Normal 3 2 2 2 2 2" xfId="6036" xr:uid="{00000000-0005-0000-0000-0000471C0000}"/>
    <cellStyle name="Normal 3 2 2 2 2 2 2" xfId="6037" xr:uid="{00000000-0005-0000-0000-0000481C0000}"/>
    <cellStyle name="Normal 3 2 2 2 2 2 2 2" xfId="6038" xr:uid="{00000000-0005-0000-0000-0000491C0000}"/>
    <cellStyle name="Normal 3 2 2 2 2 2 2 2 2" xfId="6039" xr:uid="{00000000-0005-0000-0000-00004A1C0000}"/>
    <cellStyle name="Normal 3 2 2 2 2 2 2 2 3" xfId="10505" xr:uid="{00000000-0005-0000-0000-00004B1C0000}"/>
    <cellStyle name="Normal 3 2 2 2 2 2 2 3" xfId="6040" xr:uid="{00000000-0005-0000-0000-00004C1C0000}"/>
    <cellStyle name="Normal 3 2 2 2 2 2 2 4" xfId="10504" xr:uid="{00000000-0005-0000-0000-00004D1C0000}"/>
    <cellStyle name="Normal 3 2 2 2 2 2 3" xfId="6041" xr:uid="{00000000-0005-0000-0000-00004E1C0000}"/>
    <cellStyle name="Normal 3 2 2 2 2 2 3 2" xfId="6042" xr:uid="{00000000-0005-0000-0000-00004F1C0000}"/>
    <cellStyle name="Normal 3 2 2 2 2 2 3 2 2" xfId="6043" xr:uid="{00000000-0005-0000-0000-0000501C0000}"/>
    <cellStyle name="Normal 3 2 2 2 2 2 3 2 3" xfId="10507" xr:uid="{00000000-0005-0000-0000-0000511C0000}"/>
    <cellStyle name="Normal 3 2 2 2 2 2 3 3" xfId="6044" xr:uid="{00000000-0005-0000-0000-0000521C0000}"/>
    <cellStyle name="Normal 3 2 2 2 2 2 3 4" xfId="10506" xr:uid="{00000000-0005-0000-0000-0000531C0000}"/>
    <cellStyle name="Normal 3 2 2 2 2 2 4" xfId="6045" xr:uid="{00000000-0005-0000-0000-0000541C0000}"/>
    <cellStyle name="Normal 3 2 2 2 2 2 4 2" xfId="6046" xr:uid="{00000000-0005-0000-0000-0000551C0000}"/>
    <cellStyle name="Normal 3 2 2 2 2 2 4 2 2" xfId="6047" xr:uid="{00000000-0005-0000-0000-0000561C0000}"/>
    <cellStyle name="Normal 3 2 2 2 2 2 4 2 3" xfId="10509" xr:uid="{00000000-0005-0000-0000-0000571C0000}"/>
    <cellStyle name="Normal 3 2 2 2 2 2 4 3" xfId="6048" xr:uid="{00000000-0005-0000-0000-0000581C0000}"/>
    <cellStyle name="Normal 3 2 2 2 2 2 4 4" xfId="10508" xr:uid="{00000000-0005-0000-0000-0000591C0000}"/>
    <cellStyle name="Normal 3 2 2 2 2 2 5" xfId="6049" xr:uid="{00000000-0005-0000-0000-00005A1C0000}"/>
    <cellStyle name="Normal 3 2 2 2 2 2 5 2" xfId="6050" xr:uid="{00000000-0005-0000-0000-00005B1C0000}"/>
    <cellStyle name="Normal 3 2 2 2 2 2 5 2 2" xfId="6051" xr:uid="{00000000-0005-0000-0000-00005C1C0000}"/>
    <cellStyle name="Normal 3 2 2 2 2 2 5 2 3" xfId="10511" xr:uid="{00000000-0005-0000-0000-00005D1C0000}"/>
    <cellStyle name="Normal 3 2 2 2 2 2 5 3" xfId="6052" xr:uid="{00000000-0005-0000-0000-00005E1C0000}"/>
    <cellStyle name="Normal 3 2 2 2 2 2 5 4" xfId="10510" xr:uid="{00000000-0005-0000-0000-00005F1C0000}"/>
    <cellStyle name="Normal 3 2 2 2 2 3" xfId="6053" xr:uid="{00000000-0005-0000-0000-0000601C0000}"/>
    <cellStyle name="Normal 3 2 2 2 2 4" xfId="6054" xr:uid="{00000000-0005-0000-0000-0000611C0000}"/>
    <cellStyle name="Normal 3 2 2 2 2 5" xfId="6055" xr:uid="{00000000-0005-0000-0000-0000621C0000}"/>
    <cellStyle name="Normal 3 2 2 2 2 6" xfId="6056" xr:uid="{00000000-0005-0000-0000-0000631C0000}"/>
    <cellStyle name="Normal 3 2 2 2 2 6 2" xfId="6057" xr:uid="{00000000-0005-0000-0000-0000641C0000}"/>
    <cellStyle name="Normal 3 2 2 2 2 6 3" xfId="10512" xr:uid="{00000000-0005-0000-0000-0000651C0000}"/>
    <cellStyle name="Normal 3 2 2 2 2 7" xfId="6058" xr:uid="{00000000-0005-0000-0000-0000661C0000}"/>
    <cellStyle name="Normal 3 2 2 2 2 8" xfId="10503" xr:uid="{00000000-0005-0000-0000-0000671C0000}"/>
    <cellStyle name="Normal 3 2 2 2 3" xfId="6059" xr:uid="{00000000-0005-0000-0000-0000681C0000}"/>
    <cellStyle name="Normal 3 2 2 2 3 2" xfId="6060" xr:uid="{00000000-0005-0000-0000-0000691C0000}"/>
    <cellStyle name="Normal 3 2 2 2 3 2 2" xfId="6061" xr:uid="{00000000-0005-0000-0000-00006A1C0000}"/>
    <cellStyle name="Normal 3 2 2 2 3 2 3" xfId="10514" xr:uid="{00000000-0005-0000-0000-00006B1C0000}"/>
    <cellStyle name="Normal 3 2 2 2 3 3" xfId="6062" xr:uid="{00000000-0005-0000-0000-00006C1C0000}"/>
    <cellStyle name="Normal 3 2 2 2 3 4" xfId="10513" xr:uid="{00000000-0005-0000-0000-00006D1C0000}"/>
    <cellStyle name="Normal 3 2 2 2 4" xfId="6063" xr:uid="{00000000-0005-0000-0000-00006E1C0000}"/>
    <cellStyle name="Normal 3 2 2 2 4 2" xfId="6064" xr:uid="{00000000-0005-0000-0000-00006F1C0000}"/>
    <cellStyle name="Normal 3 2 2 2 4 2 2" xfId="6065" xr:uid="{00000000-0005-0000-0000-0000701C0000}"/>
    <cellStyle name="Normal 3 2 2 2 4 2 3" xfId="10516" xr:uid="{00000000-0005-0000-0000-0000711C0000}"/>
    <cellStyle name="Normal 3 2 2 2 4 3" xfId="6066" xr:uid="{00000000-0005-0000-0000-0000721C0000}"/>
    <cellStyle name="Normal 3 2 2 2 4 4" xfId="10515" xr:uid="{00000000-0005-0000-0000-0000731C0000}"/>
    <cellStyle name="Normal 3 2 2 2 5" xfId="6067" xr:uid="{00000000-0005-0000-0000-0000741C0000}"/>
    <cellStyle name="Normal 3 2 2 2 5 2" xfId="6068" xr:uid="{00000000-0005-0000-0000-0000751C0000}"/>
    <cellStyle name="Normal 3 2 2 2 5 2 2" xfId="6069" xr:uid="{00000000-0005-0000-0000-0000761C0000}"/>
    <cellStyle name="Normal 3 2 2 2 5 2 3" xfId="10518" xr:uid="{00000000-0005-0000-0000-0000771C0000}"/>
    <cellStyle name="Normal 3 2 2 2 5 3" xfId="6070" xr:uid="{00000000-0005-0000-0000-0000781C0000}"/>
    <cellStyle name="Normal 3 2 2 2 5 4" xfId="10517" xr:uid="{00000000-0005-0000-0000-0000791C0000}"/>
    <cellStyle name="Normal 3 2 2 2 6" xfId="6071" xr:uid="{00000000-0005-0000-0000-00007A1C0000}"/>
    <cellStyle name="Normal 3 2 2 2 6 2" xfId="6072" xr:uid="{00000000-0005-0000-0000-00007B1C0000}"/>
    <cellStyle name="Normal 3 2 2 2 6 2 2" xfId="6073" xr:uid="{00000000-0005-0000-0000-00007C1C0000}"/>
    <cellStyle name="Normal 3 2 2 2 6 2 3" xfId="10520" xr:uid="{00000000-0005-0000-0000-00007D1C0000}"/>
    <cellStyle name="Normal 3 2 2 2 6 3" xfId="6074" xr:uid="{00000000-0005-0000-0000-00007E1C0000}"/>
    <cellStyle name="Normal 3 2 2 2 6 4" xfId="10519" xr:uid="{00000000-0005-0000-0000-00007F1C0000}"/>
    <cellStyle name="Normal 3 2 2 2 7" xfId="6075" xr:uid="{00000000-0005-0000-0000-0000801C0000}"/>
    <cellStyle name="Normal 3 2 2 2 7 2" xfId="6076" xr:uid="{00000000-0005-0000-0000-0000811C0000}"/>
    <cellStyle name="Normal 3 2 2 2 7 2 2" xfId="6077" xr:uid="{00000000-0005-0000-0000-0000821C0000}"/>
    <cellStyle name="Normal 3 2 2 2 7 2 3" xfId="10522" xr:uid="{00000000-0005-0000-0000-0000831C0000}"/>
    <cellStyle name="Normal 3 2 2 2 7 3" xfId="6078" xr:uid="{00000000-0005-0000-0000-0000841C0000}"/>
    <cellStyle name="Normal 3 2 2 2 7 4" xfId="10521" xr:uid="{00000000-0005-0000-0000-0000851C0000}"/>
    <cellStyle name="Normal 3 2 2 2 8" xfId="6079" xr:uid="{00000000-0005-0000-0000-0000861C0000}"/>
    <cellStyle name="Normal 3 2 2 2 8 2" xfId="6080" xr:uid="{00000000-0005-0000-0000-0000871C0000}"/>
    <cellStyle name="Normal 3 2 2 2 8 2 2" xfId="6081" xr:uid="{00000000-0005-0000-0000-0000881C0000}"/>
    <cellStyle name="Normal 3 2 2 2 8 2 3" xfId="10524" xr:uid="{00000000-0005-0000-0000-0000891C0000}"/>
    <cellStyle name="Normal 3 2 2 2 8 3" xfId="6082" xr:uid="{00000000-0005-0000-0000-00008A1C0000}"/>
    <cellStyle name="Normal 3 2 2 2 8 4" xfId="10523" xr:uid="{00000000-0005-0000-0000-00008B1C0000}"/>
    <cellStyle name="Normal 3 2 2 2 9" xfId="6083" xr:uid="{00000000-0005-0000-0000-00008C1C0000}"/>
    <cellStyle name="Normal 3 2 2 2 9 2" xfId="6084" xr:uid="{00000000-0005-0000-0000-00008D1C0000}"/>
    <cellStyle name="Normal 3 2 2 2 9 2 2" xfId="6085" xr:uid="{00000000-0005-0000-0000-00008E1C0000}"/>
    <cellStyle name="Normal 3 2 2 2 9 2 3" xfId="10526" xr:uid="{00000000-0005-0000-0000-00008F1C0000}"/>
    <cellStyle name="Normal 3 2 2 2 9 3" xfId="6086" xr:uid="{00000000-0005-0000-0000-0000901C0000}"/>
    <cellStyle name="Normal 3 2 2 2 9 4" xfId="10525" xr:uid="{00000000-0005-0000-0000-0000911C0000}"/>
    <cellStyle name="Normal 3 2 2 3" xfId="6087" xr:uid="{00000000-0005-0000-0000-0000921C0000}"/>
    <cellStyle name="Normal 3 2 2 3 2" xfId="6088" xr:uid="{00000000-0005-0000-0000-0000931C0000}"/>
    <cellStyle name="Normal 3 2 2 3 3" xfId="6089" xr:uid="{00000000-0005-0000-0000-0000941C0000}"/>
    <cellStyle name="Normal 3 2 2 3 3 2" xfId="6090" xr:uid="{00000000-0005-0000-0000-0000951C0000}"/>
    <cellStyle name="Normal 3 2 2 3 3 3" xfId="10527" xr:uid="{00000000-0005-0000-0000-0000961C0000}"/>
    <cellStyle name="Normal 3 2 2 3 4" xfId="6091" xr:uid="{00000000-0005-0000-0000-0000971C0000}"/>
    <cellStyle name="Normal 3 2 2 3 4 2" xfId="10528" xr:uid="{00000000-0005-0000-0000-0000981C0000}"/>
    <cellStyle name="Normal 3 2 2 4" xfId="6092" xr:uid="{00000000-0005-0000-0000-0000991C0000}"/>
    <cellStyle name="Normal 3 2 2 4 2" xfId="6093" xr:uid="{00000000-0005-0000-0000-00009A1C0000}"/>
    <cellStyle name="Normal 3 2 2 5" xfId="6094" xr:uid="{00000000-0005-0000-0000-00009B1C0000}"/>
    <cellStyle name="Normal 3 2 2 6" xfId="6095" xr:uid="{00000000-0005-0000-0000-00009C1C0000}"/>
    <cellStyle name="Normal 3 2 2 7" xfId="6096" xr:uid="{00000000-0005-0000-0000-00009D1C0000}"/>
    <cellStyle name="Normal 3 2 2 8" xfId="6097" xr:uid="{00000000-0005-0000-0000-00009E1C0000}"/>
    <cellStyle name="Normal 3 2 2 9" xfId="6098" xr:uid="{00000000-0005-0000-0000-00009F1C0000}"/>
    <cellStyle name="Normal 3 2 20" xfId="6099" xr:uid="{00000000-0005-0000-0000-0000A01C0000}"/>
    <cellStyle name="Normal 3 2 21" xfId="6100" xr:uid="{00000000-0005-0000-0000-0000A11C0000}"/>
    <cellStyle name="Normal 3 2 21 2" xfId="11069" xr:uid="{00000000-0005-0000-0000-0000A21C0000}"/>
    <cellStyle name="Normal 3 2 22" xfId="6101" xr:uid="{00000000-0005-0000-0000-0000A31C0000}"/>
    <cellStyle name="Normal 3 2 23" xfId="9417" xr:uid="{00000000-0005-0000-0000-0000A41C0000}"/>
    <cellStyle name="Normal 3 2 3" xfId="6102" xr:uid="{00000000-0005-0000-0000-0000A51C0000}"/>
    <cellStyle name="Normal 3 2 3 2" xfId="6103" xr:uid="{00000000-0005-0000-0000-0000A61C0000}"/>
    <cellStyle name="Normal 3 2 3 2 2" xfId="6104" xr:uid="{00000000-0005-0000-0000-0000A71C0000}"/>
    <cellStyle name="Normal 3 2 3 2 3" xfId="10530" xr:uid="{00000000-0005-0000-0000-0000A81C0000}"/>
    <cellStyle name="Normal 3 2 3 3" xfId="6105" xr:uid="{00000000-0005-0000-0000-0000A91C0000}"/>
    <cellStyle name="Normal 3 2 3 4" xfId="10529" xr:uid="{00000000-0005-0000-0000-0000AA1C0000}"/>
    <cellStyle name="Normal 3 2 4" xfId="6106" xr:uid="{00000000-0005-0000-0000-0000AB1C0000}"/>
    <cellStyle name="Normal 3 2 4 2" xfId="6107" xr:uid="{00000000-0005-0000-0000-0000AC1C0000}"/>
    <cellStyle name="Normal 3 2 4 2 2" xfId="6108" xr:uid="{00000000-0005-0000-0000-0000AD1C0000}"/>
    <cellStyle name="Normal 3 2 4 2 3" xfId="10532" xr:uid="{00000000-0005-0000-0000-0000AE1C0000}"/>
    <cellStyle name="Normal 3 2 4 3" xfId="6109" xr:uid="{00000000-0005-0000-0000-0000AF1C0000}"/>
    <cellStyle name="Normal 3 2 4 4" xfId="10531" xr:uid="{00000000-0005-0000-0000-0000B01C0000}"/>
    <cellStyle name="Normal 3 2 5" xfId="6110" xr:uid="{00000000-0005-0000-0000-0000B11C0000}"/>
    <cellStyle name="Normal 3 2 5 2" xfId="6111" xr:uid="{00000000-0005-0000-0000-0000B21C0000}"/>
    <cellStyle name="Normal 3 2 5 2 2" xfId="6112" xr:uid="{00000000-0005-0000-0000-0000B31C0000}"/>
    <cellStyle name="Normal 3 2 5 2 3" xfId="10534" xr:uid="{00000000-0005-0000-0000-0000B41C0000}"/>
    <cellStyle name="Normal 3 2 5 3" xfId="6113" xr:uid="{00000000-0005-0000-0000-0000B51C0000}"/>
    <cellStyle name="Normal 3 2 5 4" xfId="10533" xr:uid="{00000000-0005-0000-0000-0000B61C0000}"/>
    <cellStyle name="Normal 3 2 6" xfId="6114" xr:uid="{00000000-0005-0000-0000-0000B71C0000}"/>
    <cellStyle name="Normal 3 2 6 2" xfId="6115" xr:uid="{00000000-0005-0000-0000-0000B81C0000}"/>
    <cellStyle name="Normal 3 2 6 2 2" xfId="6116" xr:uid="{00000000-0005-0000-0000-0000B91C0000}"/>
    <cellStyle name="Normal 3 2 6 2 3" xfId="10536" xr:uid="{00000000-0005-0000-0000-0000BA1C0000}"/>
    <cellStyle name="Normal 3 2 6 3" xfId="6117" xr:uid="{00000000-0005-0000-0000-0000BB1C0000}"/>
    <cellStyle name="Normal 3 2 6 4" xfId="10535" xr:uid="{00000000-0005-0000-0000-0000BC1C0000}"/>
    <cellStyle name="Normal 3 2 7" xfId="6118" xr:uid="{00000000-0005-0000-0000-0000BD1C0000}"/>
    <cellStyle name="Normal 3 2 7 2" xfId="6119" xr:uid="{00000000-0005-0000-0000-0000BE1C0000}"/>
    <cellStyle name="Normal 3 2 7 2 2" xfId="6120" xr:uid="{00000000-0005-0000-0000-0000BF1C0000}"/>
    <cellStyle name="Normal 3 2 7 2 3" xfId="10538" xr:uid="{00000000-0005-0000-0000-0000C01C0000}"/>
    <cellStyle name="Normal 3 2 7 3" xfId="6121" xr:uid="{00000000-0005-0000-0000-0000C11C0000}"/>
    <cellStyle name="Normal 3 2 7 4" xfId="10537" xr:uid="{00000000-0005-0000-0000-0000C21C0000}"/>
    <cellStyle name="Normal 3 2 8" xfId="6122" xr:uid="{00000000-0005-0000-0000-0000C31C0000}"/>
    <cellStyle name="Normal 3 2 8 2" xfId="6123" xr:uid="{00000000-0005-0000-0000-0000C41C0000}"/>
    <cellStyle name="Normal 3 2 8 2 2" xfId="6124" xr:uid="{00000000-0005-0000-0000-0000C51C0000}"/>
    <cellStyle name="Normal 3 2 8 2 3" xfId="10540" xr:uid="{00000000-0005-0000-0000-0000C61C0000}"/>
    <cellStyle name="Normal 3 2 8 3" xfId="6125" xr:uid="{00000000-0005-0000-0000-0000C71C0000}"/>
    <cellStyle name="Normal 3 2 8 4" xfId="10539" xr:uid="{00000000-0005-0000-0000-0000C81C0000}"/>
    <cellStyle name="Normal 3 2 9" xfId="6126" xr:uid="{00000000-0005-0000-0000-0000C91C0000}"/>
    <cellStyle name="Normal 3 2 9 2" xfId="6127" xr:uid="{00000000-0005-0000-0000-0000CA1C0000}"/>
    <cellStyle name="Normal 3 2 9 2 2" xfId="6128" xr:uid="{00000000-0005-0000-0000-0000CB1C0000}"/>
    <cellStyle name="Normal 3 2 9 2 3" xfId="10542" xr:uid="{00000000-0005-0000-0000-0000CC1C0000}"/>
    <cellStyle name="Normal 3 2 9 3" xfId="6129" xr:uid="{00000000-0005-0000-0000-0000CD1C0000}"/>
    <cellStyle name="Normal 3 2 9 4" xfId="10541" xr:uid="{00000000-0005-0000-0000-0000CE1C0000}"/>
    <cellStyle name="Normal 3 20" xfId="6130" xr:uid="{00000000-0005-0000-0000-0000CF1C0000}"/>
    <cellStyle name="Normal 3 20 2" xfId="6131" xr:uid="{00000000-0005-0000-0000-0000D01C0000}"/>
    <cellStyle name="Normal 3 20 3" xfId="6132" xr:uid="{00000000-0005-0000-0000-0000D11C0000}"/>
    <cellStyle name="Normal 3 20 4" xfId="6133" xr:uid="{00000000-0005-0000-0000-0000D21C0000}"/>
    <cellStyle name="Normal 3 21" xfId="6134" xr:uid="{00000000-0005-0000-0000-0000D31C0000}"/>
    <cellStyle name="Normal 3 21 2" xfId="6135" xr:uid="{00000000-0005-0000-0000-0000D41C0000}"/>
    <cellStyle name="Normal 3 21 3" xfId="6136" xr:uid="{00000000-0005-0000-0000-0000D51C0000}"/>
    <cellStyle name="Normal 3 22" xfId="6137" xr:uid="{00000000-0005-0000-0000-0000D61C0000}"/>
    <cellStyle name="Normal 3 22 2" xfId="6138" xr:uid="{00000000-0005-0000-0000-0000D71C0000}"/>
    <cellStyle name="Normal 3 23" xfId="6139" xr:uid="{00000000-0005-0000-0000-0000D81C0000}"/>
    <cellStyle name="Normal 3 24" xfId="6140" xr:uid="{00000000-0005-0000-0000-0000D91C0000}"/>
    <cellStyle name="Normal 3 25" xfId="6141" xr:uid="{00000000-0005-0000-0000-0000DA1C0000}"/>
    <cellStyle name="Normal 3 26" xfId="6142" xr:uid="{00000000-0005-0000-0000-0000DB1C0000}"/>
    <cellStyle name="Normal 3 27" xfId="6143" xr:uid="{00000000-0005-0000-0000-0000DC1C0000}"/>
    <cellStyle name="Normal 3 28" xfId="6144" xr:uid="{00000000-0005-0000-0000-0000DD1C0000}"/>
    <cellStyle name="Normal 3 29" xfId="6145" xr:uid="{00000000-0005-0000-0000-0000DE1C0000}"/>
    <cellStyle name="Normal 3 3" xfId="6146" xr:uid="{00000000-0005-0000-0000-0000DF1C0000}"/>
    <cellStyle name="Normal 3 3 10" xfId="10543" xr:uid="{00000000-0005-0000-0000-0000E01C0000}"/>
    <cellStyle name="Normal 3 3 2" xfId="6147" xr:uid="{00000000-0005-0000-0000-0000E11C0000}"/>
    <cellStyle name="Normal 3 3 2 2" xfId="6148" xr:uid="{00000000-0005-0000-0000-0000E21C0000}"/>
    <cellStyle name="Normal 3 3 2 2 2" xfId="6149" xr:uid="{00000000-0005-0000-0000-0000E31C0000}"/>
    <cellStyle name="Normal 3 3 2 2 2 2" xfId="6150" xr:uid="{00000000-0005-0000-0000-0000E41C0000}"/>
    <cellStyle name="Normal 3 3 2 2 3" xfId="6151" xr:uid="{00000000-0005-0000-0000-0000E51C0000}"/>
    <cellStyle name="Normal 3 3 2 2 4" xfId="6152" xr:uid="{00000000-0005-0000-0000-0000E61C0000}"/>
    <cellStyle name="Normal 3 3 2 2 5" xfId="6153" xr:uid="{00000000-0005-0000-0000-0000E71C0000}"/>
    <cellStyle name="Normal 3 3 2 2 6" xfId="6154" xr:uid="{00000000-0005-0000-0000-0000E81C0000}"/>
    <cellStyle name="Normal 3 3 2 2 6 2" xfId="6155" xr:uid="{00000000-0005-0000-0000-0000E91C0000}"/>
    <cellStyle name="Normal 3 3 2 2 6 3" xfId="10545" xr:uid="{00000000-0005-0000-0000-0000EA1C0000}"/>
    <cellStyle name="Normal 3 3 2 2 7" xfId="6156" xr:uid="{00000000-0005-0000-0000-0000EB1C0000}"/>
    <cellStyle name="Normal 3 3 2 2 8" xfId="10544" xr:uid="{00000000-0005-0000-0000-0000EC1C0000}"/>
    <cellStyle name="Normal 3 3 2 3" xfId="6157" xr:uid="{00000000-0005-0000-0000-0000ED1C0000}"/>
    <cellStyle name="Normal 3 3 2 3 2" xfId="6158" xr:uid="{00000000-0005-0000-0000-0000EE1C0000}"/>
    <cellStyle name="Normal 3 3 2 3 2 2" xfId="6159" xr:uid="{00000000-0005-0000-0000-0000EF1C0000}"/>
    <cellStyle name="Normal 3 3 2 3 2 3" xfId="10547" xr:uid="{00000000-0005-0000-0000-0000F01C0000}"/>
    <cellStyle name="Normal 3 3 2 3 3" xfId="6160" xr:uid="{00000000-0005-0000-0000-0000F11C0000}"/>
    <cellStyle name="Normal 3 3 2 3 4" xfId="10546" xr:uid="{00000000-0005-0000-0000-0000F21C0000}"/>
    <cellStyle name="Normal 3 3 2 4" xfId="6161" xr:uid="{00000000-0005-0000-0000-0000F31C0000}"/>
    <cellStyle name="Normal 3 3 2 4 2" xfId="6162" xr:uid="{00000000-0005-0000-0000-0000F41C0000}"/>
    <cellStyle name="Normal 3 3 2 4 2 2" xfId="6163" xr:uid="{00000000-0005-0000-0000-0000F51C0000}"/>
    <cellStyle name="Normal 3 3 2 4 2 3" xfId="10549" xr:uid="{00000000-0005-0000-0000-0000F61C0000}"/>
    <cellStyle name="Normal 3 3 2 4 3" xfId="6164" xr:uid="{00000000-0005-0000-0000-0000F71C0000}"/>
    <cellStyle name="Normal 3 3 2 4 4" xfId="10548" xr:uid="{00000000-0005-0000-0000-0000F81C0000}"/>
    <cellStyle name="Normal 3 3 2 5" xfId="6165" xr:uid="{00000000-0005-0000-0000-0000F91C0000}"/>
    <cellStyle name="Normal 3 3 2 5 2" xfId="6166" xr:uid="{00000000-0005-0000-0000-0000FA1C0000}"/>
    <cellStyle name="Normal 3 3 2 5 2 2" xfId="6167" xr:uid="{00000000-0005-0000-0000-0000FB1C0000}"/>
    <cellStyle name="Normal 3 3 2 5 2 3" xfId="10551" xr:uid="{00000000-0005-0000-0000-0000FC1C0000}"/>
    <cellStyle name="Normal 3 3 2 5 3" xfId="6168" xr:uid="{00000000-0005-0000-0000-0000FD1C0000}"/>
    <cellStyle name="Normal 3 3 2 5 4" xfId="10550" xr:uid="{00000000-0005-0000-0000-0000FE1C0000}"/>
    <cellStyle name="Normal 3 3 2 6" xfId="6169" xr:uid="{00000000-0005-0000-0000-0000FF1C0000}"/>
    <cellStyle name="Normal 3 3 2 6 2" xfId="6170" xr:uid="{00000000-0005-0000-0000-0000001D0000}"/>
    <cellStyle name="Normal 3 3 2 6 3" xfId="6171" xr:uid="{00000000-0005-0000-0000-0000011D0000}"/>
    <cellStyle name="Normal 3 3 2 6 4" xfId="10552" xr:uid="{00000000-0005-0000-0000-0000021D0000}"/>
    <cellStyle name="Normal 3 3 3" xfId="6172" xr:uid="{00000000-0005-0000-0000-0000031D0000}"/>
    <cellStyle name="Normal 3 3 3 2" xfId="6173" xr:uid="{00000000-0005-0000-0000-0000041D0000}"/>
    <cellStyle name="Normal 3 3 3 3" xfId="6174" xr:uid="{00000000-0005-0000-0000-0000051D0000}"/>
    <cellStyle name="Normal 3 3 3 3 2" xfId="6175" xr:uid="{00000000-0005-0000-0000-0000061D0000}"/>
    <cellStyle name="Normal 3 3 3 3 3" xfId="10553" xr:uid="{00000000-0005-0000-0000-0000071D0000}"/>
    <cellStyle name="Normal 3 3 3 4" xfId="6176" xr:uid="{00000000-0005-0000-0000-0000081D0000}"/>
    <cellStyle name="Normal 3 3 3 4 2" xfId="10554" xr:uid="{00000000-0005-0000-0000-0000091D0000}"/>
    <cellStyle name="Normal 3 3 4" xfId="6177" xr:uid="{00000000-0005-0000-0000-00000A1D0000}"/>
    <cellStyle name="Normal 3 3 4 2" xfId="6178" xr:uid="{00000000-0005-0000-0000-00000B1D0000}"/>
    <cellStyle name="Normal 3 3 5" xfId="6179" xr:uid="{00000000-0005-0000-0000-00000C1D0000}"/>
    <cellStyle name="Normal 3 3 6" xfId="6180" xr:uid="{00000000-0005-0000-0000-00000D1D0000}"/>
    <cellStyle name="Normal 3 3 7" xfId="6181" xr:uid="{00000000-0005-0000-0000-00000E1D0000}"/>
    <cellStyle name="Normal 3 3 8" xfId="6182" xr:uid="{00000000-0005-0000-0000-00000F1D0000}"/>
    <cellStyle name="Normal 3 3 8 2" xfId="11064" xr:uid="{00000000-0005-0000-0000-0000101D0000}"/>
    <cellStyle name="Normal 3 3 9" xfId="6183" xr:uid="{00000000-0005-0000-0000-0000111D0000}"/>
    <cellStyle name="Normal 3 3 9 2" xfId="11071" xr:uid="{00000000-0005-0000-0000-0000121D0000}"/>
    <cellStyle name="Normal 3 30" xfId="6184" xr:uid="{00000000-0005-0000-0000-0000131D0000}"/>
    <cellStyle name="Normal 3 31" xfId="6185" xr:uid="{00000000-0005-0000-0000-0000141D0000}"/>
    <cellStyle name="Normal 3 32" xfId="6186" xr:uid="{00000000-0005-0000-0000-0000151D0000}"/>
    <cellStyle name="Normal 3 33" xfId="6187" xr:uid="{00000000-0005-0000-0000-0000161D0000}"/>
    <cellStyle name="Normal 3 34" xfId="6188" xr:uid="{00000000-0005-0000-0000-0000171D0000}"/>
    <cellStyle name="Normal 3 35" xfId="6189" xr:uid="{00000000-0005-0000-0000-0000181D0000}"/>
    <cellStyle name="Normal 3 36" xfId="6190" xr:uid="{00000000-0005-0000-0000-0000191D0000}"/>
    <cellStyle name="Normal 3 37" xfId="6191" xr:uid="{00000000-0005-0000-0000-00001A1D0000}"/>
    <cellStyle name="Normal 3 38" xfId="6192" xr:uid="{00000000-0005-0000-0000-00001B1D0000}"/>
    <cellStyle name="Normal 3 39" xfId="6193" xr:uid="{00000000-0005-0000-0000-00001C1D0000}"/>
    <cellStyle name="Normal 3 4" xfId="6194" xr:uid="{00000000-0005-0000-0000-00001D1D0000}"/>
    <cellStyle name="Normal 3 4 10" xfId="6195" xr:uid="{00000000-0005-0000-0000-00001E1D0000}"/>
    <cellStyle name="Normal 3 4 11" xfId="6196" xr:uid="{00000000-0005-0000-0000-00001F1D0000}"/>
    <cellStyle name="Normal 3 4 12" xfId="11139" xr:uid="{00000000-0005-0000-0000-0000201D0000}"/>
    <cellStyle name="Normal 3 4 2" xfId="6197" xr:uid="{00000000-0005-0000-0000-0000211D0000}"/>
    <cellStyle name="Normal 3 4 2 2" xfId="6198" xr:uid="{00000000-0005-0000-0000-0000221D0000}"/>
    <cellStyle name="Normal 3 4 3" xfId="6199" xr:uid="{00000000-0005-0000-0000-0000231D0000}"/>
    <cellStyle name="Normal 3 4 3 2" xfId="6200" xr:uid="{00000000-0005-0000-0000-0000241D0000}"/>
    <cellStyle name="Normal 3 4 4" xfId="6201" xr:uid="{00000000-0005-0000-0000-0000251D0000}"/>
    <cellStyle name="Normal 3 4 5" xfId="6202" xr:uid="{00000000-0005-0000-0000-0000261D0000}"/>
    <cellStyle name="Normal 3 4 6" xfId="6203" xr:uid="{00000000-0005-0000-0000-0000271D0000}"/>
    <cellStyle name="Normal 3 4 7" xfId="6204" xr:uid="{00000000-0005-0000-0000-0000281D0000}"/>
    <cellStyle name="Normal 3 4 8" xfId="6205" xr:uid="{00000000-0005-0000-0000-0000291D0000}"/>
    <cellStyle name="Normal 3 4 9" xfId="6206" xr:uid="{00000000-0005-0000-0000-00002A1D0000}"/>
    <cellStyle name="Normal 3 40" xfId="6207" xr:uid="{00000000-0005-0000-0000-00002B1D0000}"/>
    <cellStyle name="Normal 3 41" xfId="6208" xr:uid="{00000000-0005-0000-0000-00002C1D0000}"/>
    <cellStyle name="Normal 3 42" xfId="6209" xr:uid="{00000000-0005-0000-0000-00002D1D0000}"/>
    <cellStyle name="Normal 3 43" xfId="6210" xr:uid="{00000000-0005-0000-0000-00002E1D0000}"/>
    <cellStyle name="Normal 3 43 2" xfId="6211" xr:uid="{00000000-0005-0000-0000-00002F1D0000}"/>
    <cellStyle name="Normal 3 43 3" xfId="10555" xr:uid="{00000000-0005-0000-0000-0000301D0000}"/>
    <cellStyle name="Normal 3 44" xfId="6212" xr:uid="{00000000-0005-0000-0000-0000311D0000}"/>
    <cellStyle name="Normal 3 44 2" xfId="6213" xr:uid="{00000000-0005-0000-0000-0000321D0000}"/>
    <cellStyle name="Normal 3 44 3" xfId="10556" xr:uid="{00000000-0005-0000-0000-0000331D0000}"/>
    <cellStyle name="Normal 3 45" xfId="6214" xr:uid="{00000000-0005-0000-0000-0000341D0000}"/>
    <cellStyle name="Normal 3 46" xfId="6215" xr:uid="{00000000-0005-0000-0000-0000351D0000}"/>
    <cellStyle name="Normal 3 47" xfId="6216" xr:uid="{00000000-0005-0000-0000-0000361D0000}"/>
    <cellStyle name="Normal 3 48" xfId="6217" xr:uid="{00000000-0005-0000-0000-0000371D0000}"/>
    <cellStyle name="Normal 3 49" xfId="6218" xr:uid="{00000000-0005-0000-0000-0000381D0000}"/>
    <cellStyle name="Normal 3 5" xfId="6219" xr:uid="{00000000-0005-0000-0000-0000391D0000}"/>
    <cellStyle name="Normal 3 5 10" xfId="6220" xr:uid="{00000000-0005-0000-0000-00003A1D0000}"/>
    <cellStyle name="Normal 3 5 11" xfId="6221" xr:uid="{00000000-0005-0000-0000-00003B1D0000}"/>
    <cellStyle name="Normal 3 5 12" xfId="6222" xr:uid="{00000000-0005-0000-0000-00003C1D0000}"/>
    <cellStyle name="Normal 3 5 13" xfId="6223" xr:uid="{00000000-0005-0000-0000-00003D1D0000}"/>
    <cellStyle name="Normal 3 5 14" xfId="6224" xr:uid="{00000000-0005-0000-0000-00003E1D0000}"/>
    <cellStyle name="Normal 3 5 15" xfId="6225" xr:uid="{00000000-0005-0000-0000-00003F1D0000}"/>
    <cellStyle name="Normal 3 5 16" xfId="6226" xr:uid="{00000000-0005-0000-0000-0000401D0000}"/>
    <cellStyle name="Normal 3 5 16 2" xfId="6227" xr:uid="{00000000-0005-0000-0000-0000411D0000}"/>
    <cellStyle name="Normal 3 5 17" xfId="6228" xr:uid="{00000000-0005-0000-0000-0000421D0000}"/>
    <cellStyle name="Normal 3 5 18" xfId="6229" xr:uid="{00000000-0005-0000-0000-0000431D0000}"/>
    <cellStyle name="Normal 3 5 2" xfId="6230" xr:uid="{00000000-0005-0000-0000-0000441D0000}"/>
    <cellStyle name="Normal 3 5 2 2" xfId="6231" xr:uid="{00000000-0005-0000-0000-0000451D0000}"/>
    <cellStyle name="Normal 3 5 2 2 2" xfId="6232" xr:uid="{00000000-0005-0000-0000-0000461D0000}"/>
    <cellStyle name="Normal 3 5 2 2 2 2" xfId="6233" xr:uid="{00000000-0005-0000-0000-0000471D0000}"/>
    <cellStyle name="Normal 3 5 2 2 3" xfId="6234" xr:uid="{00000000-0005-0000-0000-0000481D0000}"/>
    <cellStyle name="Normal 3 5 2 2 4" xfId="6235" xr:uid="{00000000-0005-0000-0000-0000491D0000}"/>
    <cellStyle name="Normal 3 5 2 2 5" xfId="6236" xr:uid="{00000000-0005-0000-0000-00004A1D0000}"/>
    <cellStyle name="Normal 3 5 2 3" xfId="6237" xr:uid="{00000000-0005-0000-0000-00004B1D0000}"/>
    <cellStyle name="Normal 3 5 2 4" xfId="6238" xr:uid="{00000000-0005-0000-0000-00004C1D0000}"/>
    <cellStyle name="Normal 3 5 2 5" xfId="6239" xr:uid="{00000000-0005-0000-0000-00004D1D0000}"/>
    <cellStyle name="Normal 3 5 3" xfId="6240" xr:uid="{00000000-0005-0000-0000-00004E1D0000}"/>
    <cellStyle name="Normal 3 5 3 2" xfId="6241" xr:uid="{00000000-0005-0000-0000-00004F1D0000}"/>
    <cellStyle name="Normal 3 5 3 3" xfId="6242" xr:uid="{00000000-0005-0000-0000-0000501D0000}"/>
    <cellStyle name="Normal 3 5 3 4" xfId="6243" xr:uid="{00000000-0005-0000-0000-0000511D0000}"/>
    <cellStyle name="Normal 3 5 4" xfId="6244" xr:uid="{00000000-0005-0000-0000-0000521D0000}"/>
    <cellStyle name="Normal 3 5 4 2" xfId="6245" xr:uid="{00000000-0005-0000-0000-0000531D0000}"/>
    <cellStyle name="Normal 3 5 5" xfId="6246" xr:uid="{00000000-0005-0000-0000-0000541D0000}"/>
    <cellStyle name="Normal 3 5 6" xfId="6247" xr:uid="{00000000-0005-0000-0000-0000551D0000}"/>
    <cellStyle name="Normal 3 5 7" xfId="6248" xr:uid="{00000000-0005-0000-0000-0000561D0000}"/>
    <cellStyle name="Normal 3 5 8" xfId="6249" xr:uid="{00000000-0005-0000-0000-0000571D0000}"/>
    <cellStyle name="Normal 3 5 9" xfId="6250" xr:uid="{00000000-0005-0000-0000-0000581D0000}"/>
    <cellStyle name="Normal 3 50" xfId="6251" xr:uid="{00000000-0005-0000-0000-0000591D0000}"/>
    <cellStyle name="Normal 3 51" xfId="6252" xr:uid="{00000000-0005-0000-0000-00005A1D0000}"/>
    <cellStyle name="Normal 3 52" xfId="6253" xr:uid="{00000000-0005-0000-0000-00005B1D0000}"/>
    <cellStyle name="Normal 3 53" xfId="6254" xr:uid="{00000000-0005-0000-0000-00005C1D0000}"/>
    <cellStyle name="Normal 3 54" xfId="6255" xr:uid="{00000000-0005-0000-0000-00005D1D0000}"/>
    <cellStyle name="Normal 3 55" xfId="6256" xr:uid="{00000000-0005-0000-0000-00005E1D0000}"/>
    <cellStyle name="Normal 3 56" xfId="6257" xr:uid="{00000000-0005-0000-0000-00005F1D0000}"/>
    <cellStyle name="Normal 3 57" xfId="6258" xr:uid="{00000000-0005-0000-0000-0000601D0000}"/>
    <cellStyle name="Normal 3 58" xfId="6259" xr:uid="{00000000-0005-0000-0000-0000611D0000}"/>
    <cellStyle name="Normal 3 59" xfId="6260" xr:uid="{00000000-0005-0000-0000-0000621D0000}"/>
    <cellStyle name="Normal 3 6" xfId="6261" xr:uid="{00000000-0005-0000-0000-0000631D0000}"/>
    <cellStyle name="Normal 3 6 2" xfId="6262" xr:uid="{00000000-0005-0000-0000-0000641D0000}"/>
    <cellStyle name="Normal 3 6 3" xfId="6263" xr:uid="{00000000-0005-0000-0000-0000651D0000}"/>
    <cellStyle name="Normal 3 6 4" xfId="6264" xr:uid="{00000000-0005-0000-0000-0000661D0000}"/>
    <cellStyle name="Normal 3 6 4 2" xfId="6265" xr:uid="{00000000-0005-0000-0000-0000671D0000}"/>
    <cellStyle name="Normal 3 6 5" xfId="6266" xr:uid="{00000000-0005-0000-0000-0000681D0000}"/>
    <cellStyle name="Normal 3 60" xfId="6267" xr:uid="{00000000-0005-0000-0000-0000691D0000}"/>
    <cellStyle name="Normal 3 61" xfId="6268" xr:uid="{00000000-0005-0000-0000-00006A1D0000}"/>
    <cellStyle name="Normal 3 62" xfId="6269" xr:uid="{00000000-0005-0000-0000-00006B1D0000}"/>
    <cellStyle name="Normal 3 63" xfId="6270" xr:uid="{00000000-0005-0000-0000-00006C1D0000}"/>
    <cellStyle name="Normal 3 64" xfId="6271" xr:uid="{00000000-0005-0000-0000-00006D1D0000}"/>
    <cellStyle name="Normal 3 65" xfId="6272" xr:uid="{00000000-0005-0000-0000-00006E1D0000}"/>
    <cellStyle name="Normal 3 66" xfId="6273" xr:uid="{00000000-0005-0000-0000-00006F1D0000}"/>
    <cellStyle name="Normal 3 67" xfId="6274" xr:uid="{00000000-0005-0000-0000-0000701D0000}"/>
    <cellStyle name="Normal 3 68" xfId="6275" xr:uid="{00000000-0005-0000-0000-0000711D0000}"/>
    <cellStyle name="Normal 3 69" xfId="6276" xr:uid="{00000000-0005-0000-0000-0000721D0000}"/>
    <cellStyle name="Normal 3 7" xfId="6277" xr:uid="{00000000-0005-0000-0000-0000731D0000}"/>
    <cellStyle name="Normal 3 70" xfId="6278" xr:uid="{00000000-0005-0000-0000-0000741D0000}"/>
    <cellStyle name="Normal 3 71" xfId="6279" xr:uid="{00000000-0005-0000-0000-0000751D0000}"/>
    <cellStyle name="Normal 3 72" xfId="6280" xr:uid="{00000000-0005-0000-0000-0000761D0000}"/>
    <cellStyle name="Normal 3 73" xfId="6281" xr:uid="{00000000-0005-0000-0000-0000771D0000}"/>
    <cellStyle name="Normal 3 74" xfId="6282" xr:uid="{00000000-0005-0000-0000-0000781D0000}"/>
    <cellStyle name="Normal 3 75" xfId="6283" xr:uid="{00000000-0005-0000-0000-0000791D0000}"/>
    <cellStyle name="Normal 3 76" xfId="6284" xr:uid="{00000000-0005-0000-0000-00007A1D0000}"/>
    <cellStyle name="Normal 3 77" xfId="6285" xr:uid="{00000000-0005-0000-0000-00007B1D0000}"/>
    <cellStyle name="Normal 3 78" xfId="6286" xr:uid="{00000000-0005-0000-0000-00007C1D0000}"/>
    <cellStyle name="Normal 3 79" xfId="6287" xr:uid="{00000000-0005-0000-0000-00007D1D0000}"/>
    <cellStyle name="Normal 3 8" xfId="6288" xr:uid="{00000000-0005-0000-0000-00007E1D0000}"/>
    <cellStyle name="Normal 3 8 2" xfId="6289" xr:uid="{00000000-0005-0000-0000-00007F1D0000}"/>
    <cellStyle name="Normal 3 8 3" xfId="6290" xr:uid="{00000000-0005-0000-0000-0000801D0000}"/>
    <cellStyle name="Normal 3 8 4" xfId="6291" xr:uid="{00000000-0005-0000-0000-0000811D0000}"/>
    <cellStyle name="Normal 3 8 4 2" xfId="6292" xr:uid="{00000000-0005-0000-0000-0000821D0000}"/>
    <cellStyle name="Normal 3 8 5" xfId="6293" xr:uid="{00000000-0005-0000-0000-0000831D0000}"/>
    <cellStyle name="Normal 3 80" xfId="6294" xr:uid="{00000000-0005-0000-0000-0000841D0000}"/>
    <cellStyle name="Normal 3 81" xfId="6295" xr:uid="{00000000-0005-0000-0000-0000851D0000}"/>
    <cellStyle name="Normal 3 82" xfId="6296" xr:uid="{00000000-0005-0000-0000-0000861D0000}"/>
    <cellStyle name="Normal 3 83" xfId="6297" xr:uid="{00000000-0005-0000-0000-0000871D0000}"/>
    <cellStyle name="Normal 3 84" xfId="6298" xr:uid="{00000000-0005-0000-0000-0000881D0000}"/>
    <cellStyle name="Normal 3 85" xfId="6299" xr:uid="{00000000-0005-0000-0000-0000891D0000}"/>
    <cellStyle name="Normal 3 86" xfId="6300" xr:uid="{00000000-0005-0000-0000-00008A1D0000}"/>
    <cellStyle name="Normal 3 87" xfId="6301" xr:uid="{00000000-0005-0000-0000-00008B1D0000}"/>
    <cellStyle name="Normal 3 88" xfId="6302" xr:uid="{00000000-0005-0000-0000-00008C1D0000}"/>
    <cellStyle name="Normal 3 89" xfId="6303" xr:uid="{00000000-0005-0000-0000-00008D1D0000}"/>
    <cellStyle name="Normal 3 9" xfId="6304" xr:uid="{00000000-0005-0000-0000-00008E1D0000}"/>
    <cellStyle name="Normal 3 9 2" xfId="6305" xr:uid="{00000000-0005-0000-0000-00008F1D0000}"/>
    <cellStyle name="Normal 3 9 3" xfId="6306" xr:uid="{00000000-0005-0000-0000-0000901D0000}"/>
    <cellStyle name="Normal 3 9 4" xfId="6307" xr:uid="{00000000-0005-0000-0000-0000911D0000}"/>
    <cellStyle name="Normal 3 9 4 2" xfId="6308" xr:uid="{00000000-0005-0000-0000-0000921D0000}"/>
    <cellStyle name="Normal 3 9 5" xfId="6309" xr:uid="{00000000-0005-0000-0000-0000931D0000}"/>
    <cellStyle name="Normal 3 90" xfId="6310" xr:uid="{00000000-0005-0000-0000-0000941D0000}"/>
    <cellStyle name="Normal 3 91" xfId="6311" xr:uid="{00000000-0005-0000-0000-0000951D0000}"/>
    <cellStyle name="Normal 3 92" xfId="6312" xr:uid="{00000000-0005-0000-0000-0000961D0000}"/>
    <cellStyle name="Normal 3 93" xfId="6313" xr:uid="{00000000-0005-0000-0000-0000971D0000}"/>
    <cellStyle name="Normal 3 94" xfId="6314" xr:uid="{00000000-0005-0000-0000-0000981D0000}"/>
    <cellStyle name="Normal 3 95" xfId="6315" xr:uid="{00000000-0005-0000-0000-0000991D0000}"/>
    <cellStyle name="Normal 3 96" xfId="6316" xr:uid="{00000000-0005-0000-0000-00009A1D0000}"/>
    <cellStyle name="Normal 3 97" xfId="6317" xr:uid="{00000000-0005-0000-0000-00009B1D0000}"/>
    <cellStyle name="Normal 3 98" xfId="6318" xr:uid="{00000000-0005-0000-0000-00009C1D0000}"/>
    <cellStyle name="Normal 3 99" xfId="6319" xr:uid="{00000000-0005-0000-0000-00009D1D0000}"/>
    <cellStyle name="Normal 30" xfId="6320" xr:uid="{00000000-0005-0000-0000-00009E1D0000}"/>
    <cellStyle name="Normal 31" xfId="6321" xr:uid="{00000000-0005-0000-0000-00009F1D0000}"/>
    <cellStyle name="Normal 31 2" xfId="6322" xr:uid="{00000000-0005-0000-0000-0000A01D0000}"/>
    <cellStyle name="Normal 31 3" xfId="6323" xr:uid="{00000000-0005-0000-0000-0000A11D0000}"/>
    <cellStyle name="Normal 32" xfId="6324" xr:uid="{00000000-0005-0000-0000-0000A21D0000}"/>
    <cellStyle name="Normal 32 2" xfId="6325" xr:uid="{00000000-0005-0000-0000-0000A31D0000}"/>
    <cellStyle name="Normal 33" xfId="6326" xr:uid="{00000000-0005-0000-0000-0000A41D0000}"/>
    <cellStyle name="Normal 34" xfId="6327" xr:uid="{00000000-0005-0000-0000-0000A51D0000}"/>
    <cellStyle name="Normal 35" xfId="6328" xr:uid="{00000000-0005-0000-0000-0000A61D0000}"/>
    <cellStyle name="Normal 36" xfId="6329" xr:uid="{00000000-0005-0000-0000-0000A71D0000}"/>
    <cellStyle name="Normal 37" xfId="6330" xr:uid="{00000000-0005-0000-0000-0000A81D0000}"/>
    <cellStyle name="Normal 38" xfId="6331" xr:uid="{00000000-0005-0000-0000-0000A91D0000}"/>
    <cellStyle name="Normal 39" xfId="6332" xr:uid="{00000000-0005-0000-0000-0000AA1D0000}"/>
    <cellStyle name="Normal 4" xfId="14" xr:uid="{00000000-0005-0000-0000-0000AB1D0000}"/>
    <cellStyle name="Normal 4 10" xfId="6333" xr:uid="{00000000-0005-0000-0000-0000AC1D0000}"/>
    <cellStyle name="Normal 4 10 2" xfId="6334" xr:uid="{00000000-0005-0000-0000-0000AD1D0000}"/>
    <cellStyle name="Normal 4 10 3" xfId="6335" xr:uid="{00000000-0005-0000-0000-0000AE1D0000}"/>
    <cellStyle name="Normal 4 100" xfId="6336" xr:uid="{00000000-0005-0000-0000-0000AF1D0000}"/>
    <cellStyle name="Normal 4 101" xfId="6337" xr:uid="{00000000-0005-0000-0000-0000B01D0000}"/>
    <cellStyle name="Normal 4 102" xfId="6338" xr:uid="{00000000-0005-0000-0000-0000B11D0000}"/>
    <cellStyle name="Normal 4 103" xfId="6339" xr:uid="{00000000-0005-0000-0000-0000B21D0000}"/>
    <cellStyle name="Normal 4 104" xfId="6340" xr:uid="{00000000-0005-0000-0000-0000B31D0000}"/>
    <cellStyle name="Normal 4 105" xfId="6341" xr:uid="{00000000-0005-0000-0000-0000B41D0000}"/>
    <cellStyle name="Normal 4 106" xfId="6342" xr:uid="{00000000-0005-0000-0000-0000B51D0000}"/>
    <cellStyle name="Normal 4 107" xfId="6343" xr:uid="{00000000-0005-0000-0000-0000B61D0000}"/>
    <cellStyle name="Normal 4 108" xfId="6344" xr:uid="{00000000-0005-0000-0000-0000B71D0000}"/>
    <cellStyle name="Normal 4 109" xfId="6345" xr:uid="{00000000-0005-0000-0000-0000B81D0000}"/>
    <cellStyle name="Normal 4 11" xfId="6346" xr:uid="{00000000-0005-0000-0000-0000B91D0000}"/>
    <cellStyle name="Normal 4 11 2" xfId="6347" xr:uid="{00000000-0005-0000-0000-0000BA1D0000}"/>
    <cellStyle name="Normal 4 11 3" xfId="6348" xr:uid="{00000000-0005-0000-0000-0000BB1D0000}"/>
    <cellStyle name="Normal 4 110" xfId="6349" xr:uid="{00000000-0005-0000-0000-0000BC1D0000}"/>
    <cellStyle name="Normal 4 111" xfId="6350" xr:uid="{00000000-0005-0000-0000-0000BD1D0000}"/>
    <cellStyle name="Normal 4 112" xfId="6351" xr:uid="{00000000-0005-0000-0000-0000BE1D0000}"/>
    <cellStyle name="Normal 4 113" xfId="6352" xr:uid="{00000000-0005-0000-0000-0000BF1D0000}"/>
    <cellStyle name="Normal 4 114" xfId="6353" xr:uid="{00000000-0005-0000-0000-0000C01D0000}"/>
    <cellStyle name="Normal 4 115" xfId="6354" xr:uid="{00000000-0005-0000-0000-0000C11D0000}"/>
    <cellStyle name="Normal 4 116" xfId="6355" xr:uid="{00000000-0005-0000-0000-0000C21D0000}"/>
    <cellStyle name="Normal 4 117" xfId="6356" xr:uid="{00000000-0005-0000-0000-0000C31D0000}"/>
    <cellStyle name="Normal 4 118" xfId="6357" xr:uid="{00000000-0005-0000-0000-0000C41D0000}"/>
    <cellStyle name="Normal 4 119" xfId="6358" xr:uid="{00000000-0005-0000-0000-0000C51D0000}"/>
    <cellStyle name="Normal 4 12" xfId="6359" xr:uid="{00000000-0005-0000-0000-0000C61D0000}"/>
    <cellStyle name="Normal 4 12 2" xfId="6360" xr:uid="{00000000-0005-0000-0000-0000C71D0000}"/>
    <cellStyle name="Normal 4 120" xfId="6361" xr:uid="{00000000-0005-0000-0000-0000C81D0000}"/>
    <cellStyle name="Normal 4 121" xfId="6362" xr:uid="{00000000-0005-0000-0000-0000C91D0000}"/>
    <cellStyle name="Normal 4 122" xfId="6363" xr:uid="{00000000-0005-0000-0000-0000CA1D0000}"/>
    <cellStyle name="Normal 4 123" xfId="6364" xr:uid="{00000000-0005-0000-0000-0000CB1D0000}"/>
    <cellStyle name="Normal 4 124" xfId="6365" xr:uid="{00000000-0005-0000-0000-0000CC1D0000}"/>
    <cellStyle name="Normal 4 125" xfId="6366" xr:uid="{00000000-0005-0000-0000-0000CD1D0000}"/>
    <cellStyle name="Normal 4 126" xfId="6367" xr:uid="{00000000-0005-0000-0000-0000CE1D0000}"/>
    <cellStyle name="Normal 4 127" xfId="6368" xr:uid="{00000000-0005-0000-0000-0000CF1D0000}"/>
    <cellStyle name="Normal 4 128" xfId="6369" xr:uid="{00000000-0005-0000-0000-0000D01D0000}"/>
    <cellStyle name="Normal 4 129" xfId="6370" xr:uid="{00000000-0005-0000-0000-0000D11D0000}"/>
    <cellStyle name="Normal 4 13" xfId="6371" xr:uid="{00000000-0005-0000-0000-0000D21D0000}"/>
    <cellStyle name="Normal 4 13 2" xfId="6372" xr:uid="{00000000-0005-0000-0000-0000D31D0000}"/>
    <cellStyle name="Normal 4 130" xfId="6373" xr:uid="{00000000-0005-0000-0000-0000D41D0000}"/>
    <cellStyle name="Normal 4 131" xfId="6374" xr:uid="{00000000-0005-0000-0000-0000D51D0000}"/>
    <cellStyle name="Normal 4 132" xfId="6375" xr:uid="{00000000-0005-0000-0000-0000D61D0000}"/>
    <cellStyle name="Normal 4 133" xfId="6376" xr:uid="{00000000-0005-0000-0000-0000D71D0000}"/>
    <cellStyle name="Normal 4 134" xfId="6377" xr:uid="{00000000-0005-0000-0000-0000D81D0000}"/>
    <cellStyle name="Normal 4 135" xfId="6378" xr:uid="{00000000-0005-0000-0000-0000D91D0000}"/>
    <cellStyle name="Normal 4 136" xfId="6379" xr:uid="{00000000-0005-0000-0000-0000DA1D0000}"/>
    <cellStyle name="Normal 4 137" xfId="6380" xr:uid="{00000000-0005-0000-0000-0000DB1D0000}"/>
    <cellStyle name="Normal 4 138" xfId="6381" xr:uid="{00000000-0005-0000-0000-0000DC1D0000}"/>
    <cellStyle name="Normal 4 139" xfId="6382" xr:uid="{00000000-0005-0000-0000-0000DD1D0000}"/>
    <cellStyle name="Normal 4 14" xfId="6383" xr:uid="{00000000-0005-0000-0000-0000DE1D0000}"/>
    <cellStyle name="Normal 4 14 2" xfId="6384" xr:uid="{00000000-0005-0000-0000-0000DF1D0000}"/>
    <cellStyle name="Normal 4 140" xfId="6385" xr:uid="{00000000-0005-0000-0000-0000E01D0000}"/>
    <cellStyle name="Normal 4 141" xfId="6386" xr:uid="{00000000-0005-0000-0000-0000E11D0000}"/>
    <cellStyle name="Normal 4 142" xfId="6387" xr:uid="{00000000-0005-0000-0000-0000E21D0000}"/>
    <cellStyle name="Normal 4 143" xfId="6388" xr:uid="{00000000-0005-0000-0000-0000E31D0000}"/>
    <cellStyle name="Normal 4 144" xfId="6389" xr:uid="{00000000-0005-0000-0000-0000E41D0000}"/>
    <cellStyle name="Normal 4 145" xfId="6390" xr:uid="{00000000-0005-0000-0000-0000E51D0000}"/>
    <cellStyle name="Normal 4 146" xfId="6391" xr:uid="{00000000-0005-0000-0000-0000E61D0000}"/>
    <cellStyle name="Normal 4 147" xfId="6392" xr:uid="{00000000-0005-0000-0000-0000E71D0000}"/>
    <cellStyle name="Normal 4 148" xfId="6393" xr:uid="{00000000-0005-0000-0000-0000E81D0000}"/>
    <cellStyle name="Normal 4 149" xfId="6394" xr:uid="{00000000-0005-0000-0000-0000E91D0000}"/>
    <cellStyle name="Normal 4 15" xfId="6395" xr:uid="{00000000-0005-0000-0000-0000EA1D0000}"/>
    <cellStyle name="Normal 4 15 2" xfId="6396" xr:uid="{00000000-0005-0000-0000-0000EB1D0000}"/>
    <cellStyle name="Normal 4 150" xfId="6397" xr:uid="{00000000-0005-0000-0000-0000EC1D0000}"/>
    <cellStyle name="Normal 4 151" xfId="6398" xr:uid="{00000000-0005-0000-0000-0000ED1D0000}"/>
    <cellStyle name="Normal 4 152" xfId="6399" xr:uid="{00000000-0005-0000-0000-0000EE1D0000}"/>
    <cellStyle name="Normal 4 153" xfId="6400" xr:uid="{00000000-0005-0000-0000-0000EF1D0000}"/>
    <cellStyle name="Normal 4 154" xfId="6401" xr:uid="{00000000-0005-0000-0000-0000F01D0000}"/>
    <cellStyle name="Normal 4 155" xfId="6402" xr:uid="{00000000-0005-0000-0000-0000F11D0000}"/>
    <cellStyle name="Normal 4 156" xfId="6403" xr:uid="{00000000-0005-0000-0000-0000F21D0000}"/>
    <cellStyle name="Normal 4 157" xfId="6404" xr:uid="{00000000-0005-0000-0000-0000F31D0000}"/>
    <cellStyle name="Normal 4 158" xfId="6405" xr:uid="{00000000-0005-0000-0000-0000F41D0000}"/>
    <cellStyle name="Normal 4 159" xfId="6406" xr:uid="{00000000-0005-0000-0000-0000F51D0000}"/>
    <cellStyle name="Normal 4 16" xfId="6407" xr:uid="{00000000-0005-0000-0000-0000F61D0000}"/>
    <cellStyle name="Normal 4 16 2" xfId="6408" xr:uid="{00000000-0005-0000-0000-0000F71D0000}"/>
    <cellStyle name="Normal 4 17" xfId="6409" xr:uid="{00000000-0005-0000-0000-0000F81D0000}"/>
    <cellStyle name="Normal 4 17 2" xfId="6410" xr:uid="{00000000-0005-0000-0000-0000F91D0000}"/>
    <cellStyle name="Normal 4 18" xfId="6411" xr:uid="{00000000-0005-0000-0000-0000FA1D0000}"/>
    <cellStyle name="Normal 4 18 2" xfId="6412" xr:uid="{00000000-0005-0000-0000-0000FB1D0000}"/>
    <cellStyle name="Normal 4 19" xfId="6413" xr:uid="{00000000-0005-0000-0000-0000FC1D0000}"/>
    <cellStyle name="Normal 4 19 2" xfId="6414" xr:uid="{00000000-0005-0000-0000-0000FD1D0000}"/>
    <cellStyle name="Normal 4 2" xfId="6415" xr:uid="{00000000-0005-0000-0000-0000FE1D0000}"/>
    <cellStyle name="Normal 4 2 10" xfId="6416" xr:uid="{00000000-0005-0000-0000-0000FF1D0000}"/>
    <cellStyle name="Normal 4 2 11" xfId="6417" xr:uid="{00000000-0005-0000-0000-0000001E0000}"/>
    <cellStyle name="Normal 4 2 12" xfId="6418" xr:uid="{00000000-0005-0000-0000-0000011E0000}"/>
    <cellStyle name="Normal 4 2 13" xfId="6419" xr:uid="{00000000-0005-0000-0000-0000021E0000}"/>
    <cellStyle name="Normal 4 2 14" xfId="6420" xr:uid="{00000000-0005-0000-0000-0000031E0000}"/>
    <cellStyle name="Normal 4 2 15" xfId="6421" xr:uid="{00000000-0005-0000-0000-0000041E0000}"/>
    <cellStyle name="Normal 4 2 16" xfId="6422" xr:uid="{00000000-0005-0000-0000-0000051E0000}"/>
    <cellStyle name="Normal 4 2 17" xfId="6423" xr:uid="{00000000-0005-0000-0000-0000061E0000}"/>
    <cellStyle name="Normal 4 2 18" xfId="6424" xr:uid="{00000000-0005-0000-0000-0000071E0000}"/>
    <cellStyle name="Normal 4 2 2" xfId="6425" xr:uid="{00000000-0005-0000-0000-0000081E0000}"/>
    <cellStyle name="Normal 4 2 2 10" xfId="6426" xr:uid="{00000000-0005-0000-0000-0000091E0000}"/>
    <cellStyle name="Normal 4 2 2 11" xfId="6427" xr:uid="{00000000-0005-0000-0000-00000A1E0000}"/>
    <cellStyle name="Normal 4 2 2 2" xfId="6428" xr:uid="{00000000-0005-0000-0000-00000B1E0000}"/>
    <cellStyle name="Normal 4 2 2 2 2" xfId="6429" xr:uid="{00000000-0005-0000-0000-00000C1E0000}"/>
    <cellStyle name="Normal 4 2 2 3" xfId="6430" xr:uid="{00000000-0005-0000-0000-00000D1E0000}"/>
    <cellStyle name="Normal 4 2 2 4" xfId="6431" xr:uid="{00000000-0005-0000-0000-00000E1E0000}"/>
    <cellStyle name="Normal 4 2 2 5" xfId="6432" xr:uid="{00000000-0005-0000-0000-00000F1E0000}"/>
    <cellStyle name="Normal 4 2 2 6" xfId="6433" xr:uid="{00000000-0005-0000-0000-0000101E0000}"/>
    <cellStyle name="Normal 4 2 2 7" xfId="6434" xr:uid="{00000000-0005-0000-0000-0000111E0000}"/>
    <cellStyle name="Normal 4 2 2 8" xfId="6435" xr:uid="{00000000-0005-0000-0000-0000121E0000}"/>
    <cellStyle name="Normal 4 2 2 9" xfId="6436" xr:uid="{00000000-0005-0000-0000-0000131E0000}"/>
    <cellStyle name="Normal 4 2 3" xfId="6437" xr:uid="{00000000-0005-0000-0000-0000141E0000}"/>
    <cellStyle name="Normal 4 2 4" xfId="6438" xr:uid="{00000000-0005-0000-0000-0000151E0000}"/>
    <cellStyle name="Normal 4 2 5" xfId="6439" xr:uid="{00000000-0005-0000-0000-0000161E0000}"/>
    <cellStyle name="Normal 4 2 5 2" xfId="6440" xr:uid="{00000000-0005-0000-0000-0000171E0000}"/>
    <cellStyle name="Normal 4 2 6" xfId="6441" xr:uid="{00000000-0005-0000-0000-0000181E0000}"/>
    <cellStyle name="Normal 4 2 7" xfId="6442" xr:uid="{00000000-0005-0000-0000-0000191E0000}"/>
    <cellStyle name="Normal 4 2 8" xfId="6443" xr:uid="{00000000-0005-0000-0000-00001A1E0000}"/>
    <cellStyle name="Normal 4 2 9" xfId="6444" xr:uid="{00000000-0005-0000-0000-00001B1E0000}"/>
    <cellStyle name="Normal 4 20" xfId="6445" xr:uid="{00000000-0005-0000-0000-00001C1E0000}"/>
    <cellStyle name="Normal 4 20 2" xfId="6446" xr:uid="{00000000-0005-0000-0000-00001D1E0000}"/>
    <cellStyle name="Normal 4 21" xfId="6447" xr:uid="{00000000-0005-0000-0000-00001E1E0000}"/>
    <cellStyle name="Normal 4 21 2" xfId="6448" xr:uid="{00000000-0005-0000-0000-00001F1E0000}"/>
    <cellStyle name="Normal 4 22" xfId="6449" xr:uid="{00000000-0005-0000-0000-0000201E0000}"/>
    <cellStyle name="Normal 4 22 2" xfId="6450" xr:uid="{00000000-0005-0000-0000-0000211E0000}"/>
    <cellStyle name="Normal 4 23" xfId="6451" xr:uid="{00000000-0005-0000-0000-0000221E0000}"/>
    <cellStyle name="Normal 4 23 2" xfId="6452" xr:uid="{00000000-0005-0000-0000-0000231E0000}"/>
    <cellStyle name="Normal 4 24" xfId="6453" xr:uid="{00000000-0005-0000-0000-0000241E0000}"/>
    <cellStyle name="Normal 4 24 2" xfId="6454" xr:uid="{00000000-0005-0000-0000-0000251E0000}"/>
    <cellStyle name="Normal 4 25" xfId="6455" xr:uid="{00000000-0005-0000-0000-0000261E0000}"/>
    <cellStyle name="Normal 4 25 2" xfId="6456" xr:uid="{00000000-0005-0000-0000-0000271E0000}"/>
    <cellStyle name="Normal 4 26" xfId="6457" xr:uid="{00000000-0005-0000-0000-0000281E0000}"/>
    <cellStyle name="Normal 4 26 2" xfId="6458" xr:uid="{00000000-0005-0000-0000-0000291E0000}"/>
    <cellStyle name="Normal 4 27" xfId="6459" xr:uid="{00000000-0005-0000-0000-00002A1E0000}"/>
    <cellStyle name="Normal 4 27 2" xfId="6460" xr:uid="{00000000-0005-0000-0000-00002B1E0000}"/>
    <cellStyle name="Normal 4 28" xfId="6461" xr:uid="{00000000-0005-0000-0000-00002C1E0000}"/>
    <cellStyle name="Normal 4 28 2" xfId="6462" xr:uid="{00000000-0005-0000-0000-00002D1E0000}"/>
    <cellStyle name="Normal 4 29" xfId="6463" xr:uid="{00000000-0005-0000-0000-00002E1E0000}"/>
    <cellStyle name="Normal 4 29 2" xfId="6464" xr:uid="{00000000-0005-0000-0000-00002F1E0000}"/>
    <cellStyle name="Normal 4 3" xfId="6465" xr:uid="{00000000-0005-0000-0000-0000301E0000}"/>
    <cellStyle name="Normal 4 3 10" xfId="6466" xr:uid="{00000000-0005-0000-0000-0000311E0000}"/>
    <cellStyle name="Normal 4 3 11" xfId="6467" xr:uid="{00000000-0005-0000-0000-0000321E0000}"/>
    <cellStyle name="Normal 4 3 12" xfId="11140" xr:uid="{00000000-0005-0000-0000-0000331E0000}"/>
    <cellStyle name="Normal 4 3 2" xfId="6468" xr:uid="{00000000-0005-0000-0000-0000341E0000}"/>
    <cellStyle name="Normal 4 3 2 2" xfId="6469" xr:uid="{00000000-0005-0000-0000-0000351E0000}"/>
    <cellStyle name="Normal 4 3 3" xfId="6470" xr:uid="{00000000-0005-0000-0000-0000361E0000}"/>
    <cellStyle name="Normal 4 3 3 2" xfId="6471" xr:uid="{00000000-0005-0000-0000-0000371E0000}"/>
    <cellStyle name="Normal 4 3 4" xfId="6472" xr:uid="{00000000-0005-0000-0000-0000381E0000}"/>
    <cellStyle name="Normal 4 3 5" xfId="6473" xr:uid="{00000000-0005-0000-0000-0000391E0000}"/>
    <cellStyle name="Normal 4 3 6" xfId="6474" xr:uid="{00000000-0005-0000-0000-00003A1E0000}"/>
    <cellStyle name="Normal 4 3 7" xfId="6475" xr:uid="{00000000-0005-0000-0000-00003B1E0000}"/>
    <cellStyle name="Normal 4 3 8" xfId="6476" xr:uid="{00000000-0005-0000-0000-00003C1E0000}"/>
    <cellStyle name="Normal 4 3 9" xfId="6477" xr:uid="{00000000-0005-0000-0000-00003D1E0000}"/>
    <cellStyle name="Normal 4 30" xfId="6478" xr:uid="{00000000-0005-0000-0000-00003E1E0000}"/>
    <cellStyle name="Normal 4 30 2" xfId="6479" xr:uid="{00000000-0005-0000-0000-00003F1E0000}"/>
    <cellStyle name="Normal 4 31" xfId="6480" xr:uid="{00000000-0005-0000-0000-0000401E0000}"/>
    <cellStyle name="Normal 4 31 2" xfId="6481" xr:uid="{00000000-0005-0000-0000-0000411E0000}"/>
    <cellStyle name="Normal 4 32" xfId="6482" xr:uid="{00000000-0005-0000-0000-0000421E0000}"/>
    <cellStyle name="Normal 4 32 2" xfId="6483" xr:uid="{00000000-0005-0000-0000-0000431E0000}"/>
    <cellStyle name="Normal 4 33" xfId="6484" xr:uid="{00000000-0005-0000-0000-0000441E0000}"/>
    <cellStyle name="Normal 4 33 2" xfId="6485" xr:uid="{00000000-0005-0000-0000-0000451E0000}"/>
    <cellStyle name="Normal 4 34" xfId="6486" xr:uid="{00000000-0005-0000-0000-0000461E0000}"/>
    <cellStyle name="Normal 4 34 2" xfId="6487" xr:uid="{00000000-0005-0000-0000-0000471E0000}"/>
    <cellStyle name="Normal 4 35" xfId="6488" xr:uid="{00000000-0005-0000-0000-0000481E0000}"/>
    <cellStyle name="Normal 4 35 2" xfId="6489" xr:uid="{00000000-0005-0000-0000-0000491E0000}"/>
    <cellStyle name="Normal 4 36" xfId="6490" xr:uid="{00000000-0005-0000-0000-00004A1E0000}"/>
    <cellStyle name="Normal 4 36 2" xfId="6491" xr:uid="{00000000-0005-0000-0000-00004B1E0000}"/>
    <cellStyle name="Normal 4 37" xfId="6492" xr:uid="{00000000-0005-0000-0000-00004C1E0000}"/>
    <cellStyle name="Normal 4 37 2" xfId="6493" xr:uid="{00000000-0005-0000-0000-00004D1E0000}"/>
    <cellStyle name="Normal 4 38" xfId="6494" xr:uid="{00000000-0005-0000-0000-00004E1E0000}"/>
    <cellStyle name="Normal 4 38 2" xfId="6495" xr:uid="{00000000-0005-0000-0000-00004F1E0000}"/>
    <cellStyle name="Normal 4 39" xfId="6496" xr:uid="{00000000-0005-0000-0000-0000501E0000}"/>
    <cellStyle name="Normal 4 39 2" xfId="6497" xr:uid="{00000000-0005-0000-0000-0000511E0000}"/>
    <cellStyle name="Normal 4 4" xfId="6498" xr:uid="{00000000-0005-0000-0000-0000521E0000}"/>
    <cellStyle name="Normal 4 4 2" xfId="6499" xr:uid="{00000000-0005-0000-0000-0000531E0000}"/>
    <cellStyle name="Normal 4 4 2 2" xfId="6500" xr:uid="{00000000-0005-0000-0000-0000541E0000}"/>
    <cellStyle name="Normal 4 4 2 3" xfId="6501" xr:uid="{00000000-0005-0000-0000-0000551E0000}"/>
    <cellStyle name="Normal 4 4 2 4" xfId="6502" xr:uid="{00000000-0005-0000-0000-0000561E0000}"/>
    <cellStyle name="Normal 4 4 2 5" xfId="6503" xr:uid="{00000000-0005-0000-0000-0000571E0000}"/>
    <cellStyle name="Normal 4 4 3" xfId="6504" xr:uid="{00000000-0005-0000-0000-0000581E0000}"/>
    <cellStyle name="Normal 4 4 4" xfId="6505" xr:uid="{00000000-0005-0000-0000-0000591E0000}"/>
    <cellStyle name="Normal 4 4 4 2" xfId="6506" xr:uid="{00000000-0005-0000-0000-00005A1E0000}"/>
    <cellStyle name="Normal 4 4 5" xfId="6507" xr:uid="{00000000-0005-0000-0000-00005B1E0000}"/>
    <cellStyle name="Normal 4 4 6" xfId="6508" xr:uid="{00000000-0005-0000-0000-00005C1E0000}"/>
    <cellStyle name="Normal 4 4 6 2" xfId="6509" xr:uid="{00000000-0005-0000-0000-00005D1E0000}"/>
    <cellStyle name="Normal 4 4 7" xfId="11174" xr:uid="{00000000-0005-0000-0000-00005E1E0000}"/>
    <cellStyle name="Normal 4 40" xfId="6510" xr:uid="{00000000-0005-0000-0000-00005F1E0000}"/>
    <cellStyle name="Normal 4 40 2" xfId="6511" xr:uid="{00000000-0005-0000-0000-0000601E0000}"/>
    <cellStyle name="Normal 4 41" xfId="6512" xr:uid="{00000000-0005-0000-0000-0000611E0000}"/>
    <cellStyle name="Normal 4 41 2" xfId="6513" xr:uid="{00000000-0005-0000-0000-0000621E0000}"/>
    <cellStyle name="Normal 4 42" xfId="6514" xr:uid="{00000000-0005-0000-0000-0000631E0000}"/>
    <cellStyle name="Normal 4 42 2" xfId="6515" xr:uid="{00000000-0005-0000-0000-0000641E0000}"/>
    <cellStyle name="Normal 4 43" xfId="6516" xr:uid="{00000000-0005-0000-0000-0000651E0000}"/>
    <cellStyle name="Normal 4 43 2" xfId="6517" xr:uid="{00000000-0005-0000-0000-0000661E0000}"/>
    <cellStyle name="Normal 4 44" xfId="6518" xr:uid="{00000000-0005-0000-0000-0000671E0000}"/>
    <cellStyle name="Normal 4 44 2" xfId="6519" xr:uid="{00000000-0005-0000-0000-0000681E0000}"/>
    <cellStyle name="Normal 4 45" xfId="6520" xr:uid="{00000000-0005-0000-0000-0000691E0000}"/>
    <cellStyle name="Normal 4 45 2" xfId="6521" xr:uid="{00000000-0005-0000-0000-00006A1E0000}"/>
    <cellStyle name="Normal 4 46" xfId="6522" xr:uid="{00000000-0005-0000-0000-00006B1E0000}"/>
    <cellStyle name="Normal 4 46 2" xfId="6523" xr:uid="{00000000-0005-0000-0000-00006C1E0000}"/>
    <cellStyle name="Normal 4 47" xfId="6524" xr:uid="{00000000-0005-0000-0000-00006D1E0000}"/>
    <cellStyle name="Normal 4 47 2" xfId="6525" xr:uid="{00000000-0005-0000-0000-00006E1E0000}"/>
    <cellStyle name="Normal 4 48" xfId="6526" xr:uid="{00000000-0005-0000-0000-00006F1E0000}"/>
    <cellStyle name="Normal 4 48 2" xfId="6527" xr:uid="{00000000-0005-0000-0000-0000701E0000}"/>
    <cellStyle name="Normal 4 49" xfId="6528" xr:uid="{00000000-0005-0000-0000-0000711E0000}"/>
    <cellStyle name="Normal 4 49 2" xfId="6529" xr:uid="{00000000-0005-0000-0000-0000721E0000}"/>
    <cellStyle name="Normal 4 5" xfId="6530" xr:uid="{00000000-0005-0000-0000-0000731E0000}"/>
    <cellStyle name="Normal 4 5 2" xfId="6531" xr:uid="{00000000-0005-0000-0000-0000741E0000}"/>
    <cellStyle name="Normal 4 5 2 2" xfId="6532" xr:uid="{00000000-0005-0000-0000-0000751E0000}"/>
    <cellStyle name="Normal 4 5 2 3" xfId="6533" xr:uid="{00000000-0005-0000-0000-0000761E0000}"/>
    <cellStyle name="Normal 4 5 3" xfId="6534" xr:uid="{00000000-0005-0000-0000-0000771E0000}"/>
    <cellStyle name="Normal 4 5 4" xfId="6535" xr:uid="{00000000-0005-0000-0000-0000781E0000}"/>
    <cellStyle name="Normal 4 5 5" xfId="6536" xr:uid="{00000000-0005-0000-0000-0000791E0000}"/>
    <cellStyle name="Normal 4 50" xfId="6537" xr:uid="{00000000-0005-0000-0000-00007A1E0000}"/>
    <cellStyle name="Normal 4 50 2" xfId="6538" xr:uid="{00000000-0005-0000-0000-00007B1E0000}"/>
    <cellStyle name="Normal 4 51" xfId="6539" xr:uid="{00000000-0005-0000-0000-00007C1E0000}"/>
    <cellStyle name="Normal 4 51 2" xfId="6540" xr:uid="{00000000-0005-0000-0000-00007D1E0000}"/>
    <cellStyle name="Normal 4 52" xfId="6541" xr:uid="{00000000-0005-0000-0000-00007E1E0000}"/>
    <cellStyle name="Normal 4 52 2" xfId="6542" xr:uid="{00000000-0005-0000-0000-00007F1E0000}"/>
    <cellStyle name="Normal 4 53" xfId="6543" xr:uid="{00000000-0005-0000-0000-0000801E0000}"/>
    <cellStyle name="Normal 4 53 2" xfId="6544" xr:uid="{00000000-0005-0000-0000-0000811E0000}"/>
    <cellStyle name="Normal 4 54" xfId="6545" xr:uid="{00000000-0005-0000-0000-0000821E0000}"/>
    <cellStyle name="Normal 4 54 2" xfId="6546" xr:uid="{00000000-0005-0000-0000-0000831E0000}"/>
    <cellStyle name="Normal 4 55" xfId="6547" xr:uid="{00000000-0005-0000-0000-0000841E0000}"/>
    <cellStyle name="Normal 4 55 2" xfId="6548" xr:uid="{00000000-0005-0000-0000-0000851E0000}"/>
    <cellStyle name="Normal 4 56" xfId="6549" xr:uid="{00000000-0005-0000-0000-0000861E0000}"/>
    <cellStyle name="Normal 4 56 2" xfId="6550" xr:uid="{00000000-0005-0000-0000-0000871E0000}"/>
    <cellStyle name="Normal 4 57" xfId="6551" xr:uid="{00000000-0005-0000-0000-0000881E0000}"/>
    <cellStyle name="Normal 4 57 2" xfId="6552" xr:uid="{00000000-0005-0000-0000-0000891E0000}"/>
    <cellStyle name="Normal 4 58" xfId="6553" xr:uid="{00000000-0005-0000-0000-00008A1E0000}"/>
    <cellStyle name="Normal 4 58 2" xfId="6554" xr:uid="{00000000-0005-0000-0000-00008B1E0000}"/>
    <cellStyle name="Normal 4 59" xfId="6555" xr:uid="{00000000-0005-0000-0000-00008C1E0000}"/>
    <cellStyle name="Normal 4 59 2" xfId="6556" xr:uid="{00000000-0005-0000-0000-00008D1E0000}"/>
    <cellStyle name="Normal 4 6" xfId="6557" xr:uid="{00000000-0005-0000-0000-00008E1E0000}"/>
    <cellStyle name="Normal 4 6 2" xfId="6558" xr:uid="{00000000-0005-0000-0000-00008F1E0000}"/>
    <cellStyle name="Normal 4 6 2 2" xfId="6559" xr:uid="{00000000-0005-0000-0000-0000901E0000}"/>
    <cellStyle name="Normal 4 6 2 3" xfId="6560" xr:uid="{00000000-0005-0000-0000-0000911E0000}"/>
    <cellStyle name="Normal 4 6 3" xfId="6561" xr:uid="{00000000-0005-0000-0000-0000921E0000}"/>
    <cellStyle name="Normal 4 6 4" xfId="6562" xr:uid="{00000000-0005-0000-0000-0000931E0000}"/>
    <cellStyle name="Normal 4 6 5" xfId="6563" xr:uid="{00000000-0005-0000-0000-0000941E0000}"/>
    <cellStyle name="Normal 4 60" xfId="6564" xr:uid="{00000000-0005-0000-0000-0000951E0000}"/>
    <cellStyle name="Normal 4 60 2" xfId="6565" xr:uid="{00000000-0005-0000-0000-0000961E0000}"/>
    <cellStyle name="Normal 4 61" xfId="6566" xr:uid="{00000000-0005-0000-0000-0000971E0000}"/>
    <cellStyle name="Normal 4 61 2" xfId="6567" xr:uid="{00000000-0005-0000-0000-0000981E0000}"/>
    <cellStyle name="Normal 4 62" xfId="6568" xr:uid="{00000000-0005-0000-0000-0000991E0000}"/>
    <cellStyle name="Normal 4 63" xfId="6569" xr:uid="{00000000-0005-0000-0000-00009A1E0000}"/>
    <cellStyle name="Normal 4 64" xfId="6570" xr:uid="{00000000-0005-0000-0000-00009B1E0000}"/>
    <cellStyle name="Normal 4 65" xfId="6571" xr:uid="{00000000-0005-0000-0000-00009C1E0000}"/>
    <cellStyle name="Normal 4 66" xfId="6572" xr:uid="{00000000-0005-0000-0000-00009D1E0000}"/>
    <cellStyle name="Normal 4 67" xfId="6573" xr:uid="{00000000-0005-0000-0000-00009E1E0000}"/>
    <cellStyle name="Normal 4 68" xfId="6574" xr:uid="{00000000-0005-0000-0000-00009F1E0000}"/>
    <cellStyle name="Normal 4 69" xfId="6575" xr:uid="{00000000-0005-0000-0000-0000A01E0000}"/>
    <cellStyle name="Normal 4 7" xfId="6576" xr:uid="{00000000-0005-0000-0000-0000A11E0000}"/>
    <cellStyle name="Normal 4 7 2" xfId="6577" xr:uid="{00000000-0005-0000-0000-0000A21E0000}"/>
    <cellStyle name="Normal 4 7 2 2" xfId="6578" xr:uid="{00000000-0005-0000-0000-0000A31E0000}"/>
    <cellStyle name="Normal 4 7 2 3" xfId="6579" xr:uid="{00000000-0005-0000-0000-0000A41E0000}"/>
    <cellStyle name="Normal 4 7 3" xfId="6580" xr:uid="{00000000-0005-0000-0000-0000A51E0000}"/>
    <cellStyle name="Normal 4 7 4" xfId="6581" xr:uid="{00000000-0005-0000-0000-0000A61E0000}"/>
    <cellStyle name="Normal 4 7 5" xfId="6582" xr:uid="{00000000-0005-0000-0000-0000A71E0000}"/>
    <cellStyle name="Normal 4 70" xfId="6583" xr:uid="{00000000-0005-0000-0000-0000A81E0000}"/>
    <cellStyle name="Normal 4 71" xfId="6584" xr:uid="{00000000-0005-0000-0000-0000A91E0000}"/>
    <cellStyle name="Normal 4 72" xfId="6585" xr:uid="{00000000-0005-0000-0000-0000AA1E0000}"/>
    <cellStyle name="Normal 4 73" xfId="6586" xr:uid="{00000000-0005-0000-0000-0000AB1E0000}"/>
    <cellStyle name="Normal 4 74" xfId="6587" xr:uid="{00000000-0005-0000-0000-0000AC1E0000}"/>
    <cellStyle name="Normal 4 75" xfId="6588" xr:uid="{00000000-0005-0000-0000-0000AD1E0000}"/>
    <cellStyle name="Normal 4 76" xfId="6589" xr:uid="{00000000-0005-0000-0000-0000AE1E0000}"/>
    <cellStyle name="Normal 4 77" xfId="6590" xr:uid="{00000000-0005-0000-0000-0000AF1E0000}"/>
    <cellStyle name="Normal 4 78" xfId="6591" xr:uid="{00000000-0005-0000-0000-0000B01E0000}"/>
    <cellStyle name="Normal 4 79" xfId="6592" xr:uid="{00000000-0005-0000-0000-0000B11E0000}"/>
    <cellStyle name="Normal 4 8" xfId="6593" xr:uid="{00000000-0005-0000-0000-0000B21E0000}"/>
    <cellStyle name="Normal 4 8 2" xfId="6594" xr:uid="{00000000-0005-0000-0000-0000B31E0000}"/>
    <cellStyle name="Normal 4 8 2 2" xfId="6595" xr:uid="{00000000-0005-0000-0000-0000B41E0000}"/>
    <cellStyle name="Normal 4 8 2 3" xfId="6596" xr:uid="{00000000-0005-0000-0000-0000B51E0000}"/>
    <cellStyle name="Normal 4 8 3" xfId="6597" xr:uid="{00000000-0005-0000-0000-0000B61E0000}"/>
    <cellStyle name="Normal 4 8 4" xfId="6598" xr:uid="{00000000-0005-0000-0000-0000B71E0000}"/>
    <cellStyle name="Normal 4 8 5" xfId="6599" xr:uid="{00000000-0005-0000-0000-0000B81E0000}"/>
    <cellStyle name="Normal 4 80" xfId="6600" xr:uid="{00000000-0005-0000-0000-0000B91E0000}"/>
    <cellStyle name="Normal 4 81" xfId="6601" xr:uid="{00000000-0005-0000-0000-0000BA1E0000}"/>
    <cellStyle name="Normal 4 82" xfId="6602" xr:uid="{00000000-0005-0000-0000-0000BB1E0000}"/>
    <cellStyle name="Normal 4 83" xfId="6603" xr:uid="{00000000-0005-0000-0000-0000BC1E0000}"/>
    <cellStyle name="Normal 4 84" xfId="6604" xr:uid="{00000000-0005-0000-0000-0000BD1E0000}"/>
    <cellStyle name="Normal 4 85" xfId="6605" xr:uid="{00000000-0005-0000-0000-0000BE1E0000}"/>
    <cellStyle name="Normal 4 86" xfId="6606" xr:uid="{00000000-0005-0000-0000-0000BF1E0000}"/>
    <cellStyle name="Normal 4 87" xfId="6607" xr:uid="{00000000-0005-0000-0000-0000C01E0000}"/>
    <cellStyle name="Normal 4 88" xfId="6608" xr:uid="{00000000-0005-0000-0000-0000C11E0000}"/>
    <cellStyle name="Normal 4 89" xfId="6609" xr:uid="{00000000-0005-0000-0000-0000C21E0000}"/>
    <cellStyle name="Normal 4 9" xfId="6610" xr:uid="{00000000-0005-0000-0000-0000C31E0000}"/>
    <cellStyle name="Normal 4 9 2" xfId="6611" xr:uid="{00000000-0005-0000-0000-0000C41E0000}"/>
    <cellStyle name="Normal 4 9 3" xfId="6612" xr:uid="{00000000-0005-0000-0000-0000C51E0000}"/>
    <cellStyle name="Normal 4 90" xfId="6613" xr:uid="{00000000-0005-0000-0000-0000C61E0000}"/>
    <cellStyle name="Normal 4 91" xfId="6614" xr:uid="{00000000-0005-0000-0000-0000C71E0000}"/>
    <cellStyle name="Normal 4 92" xfId="6615" xr:uid="{00000000-0005-0000-0000-0000C81E0000}"/>
    <cellStyle name="Normal 4 93" xfId="6616" xr:uid="{00000000-0005-0000-0000-0000C91E0000}"/>
    <cellStyle name="Normal 4 94" xfId="6617" xr:uid="{00000000-0005-0000-0000-0000CA1E0000}"/>
    <cellStyle name="Normal 4 95" xfId="6618" xr:uid="{00000000-0005-0000-0000-0000CB1E0000}"/>
    <cellStyle name="Normal 4 96" xfId="6619" xr:uid="{00000000-0005-0000-0000-0000CC1E0000}"/>
    <cellStyle name="Normal 4 97" xfId="6620" xr:uid="{00000000-0005-0000-0000-0000CD1E0000}"/>
    <cellStyle name="Normal 4 98" xfId="6621" xr:uid="{00000000-0005-0000-0000-0000CE1E0000}"/>
    <cellStyle name="Normal 4 99" xfId="6622" xr:uid="{00000000-0005-0000-0000-0000CF1E0000}"/>
    <cellStyle name="Normal 40" xfId="6623" xr:uid="{00000000-0005-0000-0000-0000D01E0000}"/>
    <cellStyle name="Normal 41" xfId="18" xr:uid="{00000000-0005-0000-0000-0000D11E0000}"/>
    <cellStyle name="Normal 42" xfId="6624" xr:uid="{00000000-0005-0000-0000-0000D21E0000}"/>
    <cellStyle name="Normal 42 2" xfId="6625" xr:uid="{00000000-0005-0000-0000-0000D31E0000}"/>
    <cellStyle name="Normal 42 3" xfId="6626" xr:uid="{00000000-0005-0000-0000-0000D41E0000}"/>
    <cellStyle name="Normal 42 4" xfId="10557" xr:uid="{00000000-0005-0000-0000-0000D51E0000}"/>
    <cellStyle name="Normal 43" xfId="6627" xr:uid="{00000000-0005-0000-0000-0000D61E0000}"/>
    <cellStyle name="Normal 43 2" xfId="6628" xr:uid="{00000000-0005-0000-0000-0000D71E0000}"/>
    <cellStyle name="Normal 43 2 2" xfId="6629" xr:uid="{00000000-0005-0000-0000-0000D81E0000}"/>
    <cellStyle name="Normal 43 2 3" xfId="10558" xr:uid="{00000000-0005-0000-0000-0000D91E0000}"/>
    <cellStyle name="Normal 44" xfId="6630" xr:uid="{00000000-0005-0000-0000-0000DA1E0000}"/>
    <cellStyle name="Normal 45" xfId="6631" xr:uid="{00000000-0005-0000-0000-0000DB1E0000}"/>
    <cellStyle name="Normal 46" xfId="6632" xr:uid="{00000000-0005-0000-0000-0000DC1E0000}"/>
    <cellStyle name="Normal 47" xfId="6633" xr:uid="{00000000-0005-0000-0000-0000DD1E0000}"/>
    <cellStyle name="Normal 48" xfId="6634" xr:uid="{00000000-0005-0000-0000-0000DE1E0000}"/>
    <cellStyle name="Normal 49" xfId="6635" xr:uid="{00000000-0005-0000-0000-0000DF1E0000}"/>
    <cellStyle name="Normal 5" xfId="6636" xr:uid="{00000000-0005-0000-0000-0000E01E0000}"/>
    <cellStyle name="Normal 5 10" xfId="6637" xr:uid="{00000000-0005-0000-0000-0000E11E0000}"/>
    <cellStyle name="Normal 5 10 2" xfId="6638" xr:uid="{00000000-0005-0000-0000-0000E21E0000}"/>
    <cellStyle name="Normal 5 10 2 2" xfId="6639" xr:uid="{00000000-0005-0000-0000-0000E31E0000}"/>
    <cellStyle name="Normal 5 10 2 3" xfId="10560" xr:uid="{00000000-0005-0000-0000-0000E41E0000}"/>
    <cellStyle name="Normal 5 10 3" xfId="6640" xr:uid="{00000000-0005-0000-0000-0000E51E0000}"/>
    <cellStyle name="Normal 5 10 4" xfId="10559" xr:uid="{00000000-0005-0000-0000-0000E61E0000}"/>
    <cellStyle name="Normal 5 100" xfId="6641" xr:uid="{00000000-0005-0000-0000-0000E71E0000}"/>
    <cellStyle name="Normal 5 100 2" xfId="6642" xr:uid="{00000000-0005-0000-0000-0000E81E0000}"/>
    <cellStyle name="Normal 5 100 3" xfId="10561" xr:uid="{00000000-0005-0000-0000-0000E91E0000}"/>
    <cellStyle name="Normal 5 101" xfId="6643" xr:uid="{00000000-0005-0000-0000-0000EA1E0000}"/>
    <cellStyle name="Normal 5 102" xfId="6644" xr:uid="{00000000-0005-0000-0000-0000EB1E0000}"/>
    <cellStyle name="Normal 5 103" xfId="6645" xr:uid="{00000000-0005-0000-0000-0000EC1E0000}"/>
    <cellStyle name="Normal 5 104" xfId="6646" xr:uid="{00000000-0005-0000-0000-0000ED1E0000}"/>
    <cellStyle name="Normal 5 105" xfId="6647" xr:uid="{00000000-0005-0000-0000-0000EE1E0000}"/>
    <cellStyle name="Normal 5 106" xfId="6648" xr:uid="{00000000-0005-0000-0000-0000EF1E0000}"/>
    <cellStyle name="Normal 5 107" xfId="6649" xr:uid="{00000000-0005-0000-0000-0000F01E0000}"/>
    <cellStyle name="Normal 5 107 2" xfId="6650" xr:uid="{00000000-0005-0000-0000-0000F11E0000}"/>
    <cellStyle name="Normal 5 107 3" xfId="10562" xr:uid="{00000000-0005-0000-0000-0000F21E0000}"/>
    <cellStyle name="Normal 5 108" xfId="6651" xr:uid="{00000000-0005-0000-0000-0000F31E0000}"/>
    <cellStyle name="Normal 5 108 2" xfId="6652" xr:uid="{00000000-0005-0000-0000-0000F41E0000}"/>
    <cellStyle name="Normal 5 108 3" xfId="10563" xr:uid="{00000000-0005-0000-0000-0000F51E0000}"/>
    <cellStyle name="Normal 5 109" xfId="6653" xr:uid="{00000000-0005-0000-0000-0000F61E0000}"/>
    <cellStyle name="Normal 5 109 2" xfId="6654" xr:uid="{00000000-0005-0000-0000-0000F71E0000}"/>
    <cellStyle name="Normal 5 109 3" xfId="10564" xr:uid="{00000000-0005-0000-0000-0000F81E0000}"/>
    <cellStyle name="Normal 5 11" xfId="6655" xr:uid="{00000000-0005-0000-0000-0000F91E0000}"/>
    <cellStyle name="Normal 5 11 2" xfId="6656" xr:uid="{00000000-0005-0000-0000-0000FA1E0000}"/>
    <cellStyle name="Normal 5 11 2 2" xfId="6657" xr:uid="{00000000-0005-0000-0000-0000FB1E0000}"/>
    <cellStyle name="Normal 5 11 2 3" xfId="10566" xr:uid="{00000000-0005-0000-0000-0000FC1E0000}"/>
    <cellStyle name="Normal 5 11 3" xfId="6658" xr:uid="{00000000-0005-0000-0000-0000FD1E0000}"/>
    <cellStyle name="Normal 5 11 4" xfId="10565" xr:uid="{00000000-0005-0000-0000-0000FE1E0000}"/>
    <cellStyle name="Normal 5 110" xfId="6659" xr:uid="{00000000-0005-0000-0000-0000FF1E0000}"/>
    <cellStyle name="Normal 5 110 2" xfId="6660" xr:uid="{00000000-0005-0000-0000-0000001F0000}"/>
    <cellStyle name="Normal 5 110 3" xfId="10567" xr:uid="{00000000-0005-0000-0000-0000011F0000}"/>
    <cellStyle name="Normal 5 111" xfId="6661" xr:uid="{00000000-0005-0000-0000-0000021F0000}"/>
    <cellStyle name="Normal 5 111 2" xfId="6662" xr:uid="{00000000-0005-0000-0000-0000031F0000}"/>
    <cellStyle name="Normal 5 111 3" xfId="10568" xr:uid="{00000000-0005-0000-0000-0000041F0000}"/>
    <cellStyle name="Normal 5 112" xfId="6663" xr:uid="{00000000-0005-0000-0000-0000051F0000}"/>
    <cellStyle name="Normal 5 112 2" xfId="6664" xr:uid="{00000000-0005-0000-0000-0000061F0000}"/>
    <cellStyle name="Normal 5 112 3" xfId="10569" xr:uid="{00000000-0005-0000-0000-0000071F0000}"/>
    <cellStyle name="Normal 5 113" xfId="6665" xr:uid="{00000000-0005-0000-0000-0000081F0000}"/>
    <cellStyle name="Normal 5 113 2" xfId="6666" xr:uid="{00000000-0005-0000-0000-0000091F0000}"/>
    <cellStyle name="Normal 5 113 3" xfId="10570" xr:uid="{00000000-0005-0000-0000-00000A1F0000}"/>
    <cellStyle name="Normal 5 114" xfId="6667" xr:uid="{00000000-0005-0000-0000-00000B1F0000}"/>
    <cellStyle name="Normal 5 114 2" xfId="6668" xr:uid="{00000000-0005-0000-0000-00000C1F0000}"/>
    <cellStyle name="Normal 5 114 3" xfId="10571" xr:uid="{00000000-0005-0000-0000-00000D1F0000}"/>
    <cellStyle name="Normal 5 115" xfId="6669" xr:uid="{00000000-0005-0000-0000-00000E1F0000}"/>
    <cellStyle name="Normal 5 115 2" xfId="6670" xr:uid="{00000000-0005-0000-0000-00000F1F0000}"/>
    <cellStyle name="Normal 5 115 3" xfId="10572" xr:uid="{00000000-0005-0000-0000-0000101F0000}"/>
    <cellStyle name="Normal 5 116" xfId="6671" xr:uid="{00000000-0005-0000-0000-0000111F0000}"/>
    <cellStyle name="Normal 5 116 2" xfId="6672" xr:uid="{00000000-0005-0000-0000-0000121F0000}"/>
    <cellStyle name="Normal 5 116 3" xfId="10573" xr:uid="{00000000-0005-0000-0000-0000131F0000}"/>
    <cellStyle name="Normal 5 117" xfId="6673" xr:uid="{00000000-0005-0000-0000-0000141F0000}"/>
    <cellStyle name="Normal 5 117 2" xfId="6674" xr:uid="{00000000-0005-0000-0000-0000151F0000}"/>
    <cellStyle name="Normal 5 117 3" xfId="10574" xr:uid="{00000000-0005-0000-0000-0000161F0000}"/>
    <cellStyle name="Normal 5 118" xfId="6675" xr:uid="{00000000-0005-0000-0000-0000171F0000}"/>
    <cellStyle name="Normal 5 118 2" xfId="6676" xr:uid="{00000000-0005-0000-0000-0000181F0000}"/>
    <cellStyle name="Normal 5 118 3" xfId="10575" xr:uid="{00000000-0005-0000-0000-0000191F0000}"/>
    <cellStyle name="Normal 5 119" xfId="6677" xr:uid="{00000000-0005-0000-0000-00001A1F0000}"/>
    <cellStyle name="Normal 5 12" xfId="6678" xr:uid="{00000000-0005-0000-0000-00001B1F0000}"/>
    <cellStyle name="Normal 5 12 2" xfId="6679" xr:uid="{00000000-0005-0000-0000-00001C1F0000}"/>
    <cellStyle name="Normal 5 12 2 2" xfId="6680" xr:uid="{00000000-0005-0000-0000-00001D1F0000}"/>
    <cellStyle name="Normal 5 12 2 3" xfId="10577" xr:uid="{00000000-0005-0000-0000-00001E1F0000}"/>
    <cellStyle name="Normal 5 12 3" xfId="6681" xr:uid="{00000000-0005-0000-0000-00001F1F0000}"/>
    <cellStyle name="Normal 5 12 4" xfId="10576" xr:uid="{00000000-0005-0000-0000-0000201F0000}"/>
    <cellStyle name="Normal 5 120" xfId="6682" xr:uid="{00000000-0005-0000-0000-0000211F0000}"/>
    <cellStyle name="Normal 5 121" xfId="6683" xr:uid="{00000000-0005-0000-0000-0000221F0000}"/>
    <cellStyle name="Normal 5 122" xfId="6684" xr:uid="{00000000-0005-0000-0000-0000231F0000}"/>
    <cellStyle name="Normal 5 123" xfId="6685" xr:uid="{00000000-0005-0000-0000-0000241F0000}"/>
    <cellStyle name="Normal 5 123 2" xfId="6686" xr:uid="{00000000-0005-0000-0000-0000251F0000}"/>
    <cellStyle name="Normal 5 123 3" xfId="10578" xr:uid="{00000000-0005-0000-0000-0000261F0000}"/>
    <cellStyle name="Normal 5 124" xfId="6687" xr:uid="{00000000-0005-0000-0000-0000271F0000}"/>
    <cellStyle name="Normal 5 124 2" xfId="6688" xr:uid="{00000000-0005-0000-0000-0000281F0000}"/>
    <cellStyle name="Normal 5 124 3" xfId="10579" xr:uid="{00000000-0005-0000-0000-0000291F0000}"/>
    <cellStyle name="Normal 5 125" xfId="6689" xr:uid="{00000000-0005-0000-0000-00002A1F0000}"/>
    <cellStyle name="Normal 5 125 2" xfId="6690" xr:uid="{00000000-0005-0000-0000-00002B1F0000}"/>
    <cellStyle name="Normal 5 125 3" xfId="10580" xr:uid="{00000000-0005-0000-0000-00002C1F0000}"/>
    <cellStyle name="Normal 5 126" xfId="6691" xr:uid="{00000000-0005-0000-0000-00002D1F0000}"/>
    <cellStyle name="Normal 5 126 2" xfId="6692" xr:uid="{00000000-0005-0000-0000-00002E1F0000}"/>
    <cellStyle name="Normal 5 126 3" xfId="10581" xr:uid="{00000000-0005-0000-0000-00002F1F0000}"/>
    <cellStyle name="Normal 5 127" xfId="6693" xr:uid="{00000000-0005-0000-0000-0000301F0000}"/>
    <cellStyle name="Normal 5 127 2" xfId="6694" xr:uid="{00000000-0005-0000-0000-0000311F0000}"/>
    <cellStyle name="Normal 5 127 3" xfId="10582" xr:uid="{00000000-0005-0000-0000-0000321F0000}"/>
    <cellStyle name="Normal 5 128" xfId="6695" xr:uid="{00000000-0005-0000-0000-0000331F0000}"/>
    <cellStyle name="Normal 5 128 2" xfId="6696" xr:uid="{00000000-0005-0000-0000-0000341F0000}"/>
    <cellStyle name="Normal 5 128 3" xfId="10583" xr:uid="{00000000-0005-0000-0000-0000351F0000}"/>
    <cellStyle name="Normal 5 129" xfId="6697" xr:uid="{00000000-0005-0000-0000-0000361F0000}"/>
    <cellStyle name="Normal 5 129 2" xfId="6698" xr:uid="{00000000-0005-0000-0000-0000371F0000}"/>
    <cellStyle name="Normal 5 129 3" xfId="10584" xr:uid="{00000000-0005-0000-0000-0000381F0000}"/>
    <cellStyle name="Normal 5 13" xfId="6699" xr:uid="{00000000-0005-0000-0000-0000391F0000}"/>
    <cellStyle name="Normal 5 13 2" xfId="6700" xr:uid="{00000000-0005-0000-0000-00003A1F0000}"/>
    <cellStyle name="Normal 5 13 2 2" xfId="6701" xr:uid="{00000000-0005-0000-0000-00003B1F0000}"/>
    <cellStyle name="Normal 5 13 2 3" xfId="10586" xr:uid="{00000000-0005-0000-0000-00003C1F0000}"/>
    <cellStyle name="Normal 5 13 3" xfId="6702" xr:uid="{00000000-0005-0000-0000-00003D1F0000}"/>
    <cellStyle name="Normal 5 13 4" xfId="10585" xr:uid="{00000000-0005-0000-0000-00003E1F0000}"/>
    <cellStyle name="Normal 5 130" xfId="6703" xr:uid="{00000000-0005-0000-0000-00003F1F0000}"/>
    <cellStyle name="Normal 5 130 2" xfId="6704" xr:uid="{00000000-0005-0000-0000-0000401F0000}"/>
    <cellStyle name="Normal 5 130 3" xfId="10587" xr:uid="{00000000-0005-0000-0000-0000411F0000}"/>
    <cellStyle name="Normal 5 131" xfId="6705" xr:uid="{00000000-0005-0000-0000-0000421F0000}"/>
    <cellStyle name="Normal 5 131 2" xfId="6706" xr:uid="{00000000-0005-0000-0000-0000431F0000}"/>
    <cellStyle name="Normal 5 131 3" xfId="10588" xr:uid="{00000000-0005-0000-0000-0000441F0000}"/>
    <cellStyle name="Normal 5 132" xfId="6707" xr:uid="{00000000-0005-0000-0000-0000451F0000}"/>
    <cellStyle name="Normal 5 132 2" xfId="6708" xr:uid="{00000000-0005-0000-0000-0000461F0000}"/>
    <cellStyle name="Normal 5 132 3" xfId="10589" xr:uid="{00000000-0005-0000-0000-0000471F0000}"/>
    <cellStyle name="Normal 5 133" xfId="6709" xr:uid="{00000000-0005-0000-0000-0000481F0000}"/>
    <cellStyle name="Normal 5 133 2" xfId="6710" xr:uid="{00000000-0005-0000-0000-0000491F0000}"/>
    <cellStyle name="Normal 5 133 3" xfId="10590" xr:uid="{00000000-0005-0000-0000-00004A1F0000}"/>
    <cellStyle name="Normal 5 134" xfId="6711" xr:uid="{00000000-0005-0000-0000-00004B1F0000}"/>
    <cellStyle name="Normal 5 134 2" xfId="6712" xr:uid="{00000000-0005-0000-0000-00004C1F0000}"/>
    <cellStyle name="Normal 5 134 3" xfId="10591" xr:uid="{00000000-0005-0000-0000-00004D1F0000}"/>
    <cellStyle name="Normal 5 135" xfId="6713" xr:uid="{00000000-0005-0000-0000-00004E1F0000}"/>
    <cellStyle name="Normal 5 135 2" xfId="6714" xr:uid="{00000000-0005-0000-0000-00004F1F0000}"/>
    <cellStyle name="Normal 5 135 3" xfId="10592" xr:uid="{00000000-0005-0000-0000-0000501F0000}"/>
    <cellStyle name="Normal 5 136" xfId="6715" xr:uid="{00000000-0005-0000-0000-0000511F0000}"/>
    <cellStyle name="Normal 5 136 2" xfId="6716" xr:uid="{00000000-0005-0000-0000-0000521F0000}"/>
    <cellStyle name="Normal 5 136 3" xfId="10593" xr:uid="{00000000-0005-0000-0000-0000531F0000}"/>
    <cellStyle name="Normal 5 137" xfId="6717" xr:uid="{00000000-0005-0000-0000-0000541F0000}"/>
    <cellStyle name="Normal 5 137 2" xfId="6718" xr:uid="{00000000-0005-0000-0000-0000551F0000}"/>
    <cellStyle name="Normal 5 137 3" xfId="10594" xr:uid="{00000000-0005-0000-0000-0000561F0000}"/>
    <cellStyle name="Normal 5 138" xfId="6719" xr:uid="{00000000-0005-0000-0000-0000571F0000}"/>
    <cellStyle name="Normal 5 138 2" xfId="6720" xr:uid="{00000000-0005-0000-0000-0000581F0000}"/>
    <cellStyle name="Normal 5 138 3" xfId="10595" xr:uid="{00000000-0005-0000-0000-0000591F0000}"/>
    <cellStyle name="Normal 5 139" xfId="6721" xr:uid="{00000000-0005-0000-0000-00005A1F0000}"/>
    <cellStyle name="Normal 5 139 2" xfId="6722" xr:uid="{00000000-0005-0000-0000-00005B1F0000}"/>
    <cellStyle name="Normal 5 139 3" xfId="10596" xr:uid="{00000000-0005-0000-0000-00005C1F0000}"/>
    <cellStyle name="Normal 5 14" xfId="6723" xr:uid="{00000000-0005-0000-0000-00005D1F0000}"/>
    <cellStyle name="Normal 5 14 2" xfId="6724" xr:uid="{00000000-0005-0000-0000-00005E1F0000}"/>
    <cellStyle name="Normal 5 14 2 2" xfId="6725" xr:uid="{00000000-0005-0000-0000-00005F1F0000}"/>
    <cellStyle name="Normal 5 14 2 3" xfId="10598" xr:uid="{00000000-0005-0000-0000-0000601F0000}"/>
    <cellStyle name="Normal 5 14 3" xfId="6726" xr:uid="{00000000-0005-0000-0000-0000611F0000}"/>
    <cellStyle name="Normal 5 14 4" xfId="10597" xr:uid="{00000000-0005-0000-0000-0000621F0000}"/>
    <cellStyle name="Normal 5 140" xfId="6727" xr:uid="{00000000-0005-0000-0000-0000631F0000}"/>
    <cellStyle name="Normal 5 140 2" xfId="6728" xr:uid="{00000000-0005-0000-0000-0000641F0000}"/>
    <cellStyle name="Normal 5 140 3" xfId="10599" xr:uid="{00000000-0005-0000-0000-0000651F0000}"/>
    <cellStyle name="Normal 5 141" xfId="6729" xr:uid="{00000000-0005-0000-0000-0000661F0000}"/>
    <cellStyle name="Normal 5 141 2" xfId="6730" xr:uid="{00000000-0005-0000-0000-0000671F0000}"/>
    <cellStyle name="Normal 5 141 3" xfId="10600" xr:uid="{00000000-0005-0000-0000-0000681F0000}"/>
    <cellStyle name="Normal 5 142" xfId="6731" xr:uid="{00000000-0005-0000-0000-0000691F0000}"/>
    <cellStyle name="Normal 5 142 2" xfId="6732" xr:uid="{00000000-0005-0000-0000-00006A1F0000}"/>
    <cellStyle name="Normal 5 142 3" xfId="10601" xr:uid="{00000000-0005-0000-0000-00006B1F0000}"/>
    <cellStyle name="Normal 5 143" xfId="6733" xr:uid="{00000000-0005-0000-0000-00006C1F0000}"/>
    <cellStyle name="Normal 5 143 2" xfId="6734" xr:uid="{00000000-0005-0000-0000-00006D1F0000}"/>
    <cellStyle name="Normal 5 143 3" xfId="10602" xr:uid="{00000000-0005-0000-0000-00006E1F0000}"/>
    <cellStyle name="Normal 5 144" xfId="6735" xr:uid="{00000000-0005-0000-0000-00006F1F0000}"/>
    <cellStyle name="Normal 5 144 2" xfId="6736" xr:uid="{00000000-0005-0000-0000-0000701F0000}"/>
    <cellStyle name="Normal 5 144 3" xfId="10603" xr:uid="{00000000-0005-0000-0000-0000711F0000}"/>
    <cellStyle name="Normal 5 145" xfId="6737" xr:uid="{00000000-0005-0000-0000-0000721F0000}"/>
    <cellStyle name="Normal 5 146" xfId="6738" xr:uid="{00000000-0005-0000-0000-0000731F0000}"/>
    <cellStyle name="Normal 5 147" xfId="6739" xr:uid="{00000000-0005-0000-0000-0000741F0000}"/>
    <cellStyle name="Normal 5 147 2" xfId="6740" xr:uid="{00000000-0005-0000-0000-0000751F0000}"/>
    <cellStyle name="Normal 5 147 3" xfId="10604" xr:uid="{00000000-0005-0000-0000-0000761F0000}"/>
    <cellStyle name="Normal 5 148" xfId="6741" xr:uid="{00000000-0005-0000-0000-0000771F0000}"/>
    <cellStyle name="Normal 5 148 2" xfId="6742" xr:uid="{00000000-0005-0000-0000-0000781F0000}"/>
    <cellStyle name="Normal 5 148 3" xfId="10605" xr:uid="{00000000-0005-0000-0000-0000791F0000}"/>
    <cellStyle name="Normal 5 149" xfId="6743" xr:uid="{00000000-0005-0000-0000-00007A1F0000}"/>
    <cellStyle name="Normal 5 149 2" xfId="6744" xr:uid="{00000000-0005-0000-0000-00007B1F0000}"/>
    <cellStyle name="Normal 5 149 3" xfId="10606" xr:uid="{00000000-0005-0000-0000-00007C1F0000}"/>
    <cellStyle name="Normal 5 15" xfId="6745" xr:uid="{00000000-0005-0000-0000-00007D1F0000}"/>
    <cellStyle name="Normal 5 15 2" xfId="6746" xr:uid="{00000000-0005-0000-0000-00007E1F0000}"/>
    <cellStyle name="Normal 5 15 2 2" xfId="6747" xr:uid="{00000000-0005-0000-0000-00007F1F0000}"/>
    <cellStyle name="Normal 5 15 2 3" xfId="10608" xr:uid="{00000000-0005-0000-0000-0000801F0000}"/>
    <cellStyle name="Normal 5 15 3" xfId="6748" xr:uid="{00000000-0005-0000-0000-0000811F0000}"/>
    <cellStyle name="Normal 5 15 4" xfId="10607" xr:uid="{00000000-0005-0000-0000-0000821F0000}"/>
    <cellStyle name="Normal 5 150" xfId="6749" xr:uid="{00000000-0005-0000-0000-0000831F0000}"/>
    <cellStyle name="Normal 5 150 2" xfId="6750" xr:uid="{00000000-0005-0000-0000-0000841F0000}"/>
    <cellStyle name="Normal 5 150 3" xfId="10609" xr:uid="{00000000-0005-0000-0000-0000851F0000}"/>
    <cellStyle name="Normal 5 151" xfId="6751" xr:uid="{00000000-0005-0000-0000-0000861F0000}"/>
    <cellStyle name="Normal 5 151 2" xfId="6752" xr:uid="{00000000-0005-0000-0000-0000871F0000}"/>
    <cellStyle name="Normal 5 151 3" xfId="10610" xr:uid="{00000000-0005-0000-0000-0000881F0000}"/>
    <cellStyle name="Normal 5 152" xfId="6753" xr:uid="{00000000-0005-0000-0000-0000891F0000}"/>
    <cellStyle name="Normal 5 152 2" xfId="6754" xr:uid="{00000000-0005-0000-0000-00008A1F0000}"/>
    <cellStyle name="Normal 5 152 3" xfId="10611" xr:uid="{00000000-0005-0000-0000-00008B1F0000}"/>
    <cellStyle name="Normal 5 153" xfId="6755" xr:uid="{00000000-0005-0000-0000-00008C1F0000}"/>
    <cellStyle name="Normal 5 154" xfId="6756" xr:uid="{00000000-0005-0000-0000-00008D1F0000}"/>
    <cellStyle name="Normal 5 154 2" xfId="10612" xr:uid="{00000000-0005-0000-0000-00008E1F0000}"/>
    <cellStyle name="Normal 5 155" xfId="6757" xr:uid="{00000000-0005-0000-0000-00008F1F0000}"/>
    <cellStyle name="Normal 5 155 2" xfId="11157" xr:uid="{00000000-0005-0000-0000-0000901F0000}"/>
    <cellStyle name="Normal 5 155 3" xfId="11063" xr:uid="{00000000-0005-0000-0000-0000911F0000}"/>
    <cellStyle name="Normal 5 156" xfId="6758" xr:uid="{00000000-0005-0000-0000-0000921F0000}"/>
    <cellStyle name="Normal 5 156 2" xfId="11070" xr:uid="{00000000-0005-0000-0000-0000931F0000}"/>
    <cellStyle name="Normal 5 157" xfId="6759" xr:uid="{00000000-0005-0000-0000-0000941F0000}"/>
    <cellStyle name="Normal 5 158" xfId="6760" xr:uid="{00000000-0005-0000-0000-0000951F0000}"/>
    <cellStyle name="Normal 5 159" xfId="6761" xr:uid="{00000000-0005-0000-0000-0000961F0000}"/>
    <cellStyle name="Normal 5 16" xfId="6762" xr:uid="{00000000-0005-0000-0000-0000971F0000}"/>
    <cellStyle name="Normal 5 16 2" xfId="6763" xr:uid="{00000000-0005-0000-0000-0000981F0000}"/>
    <cellStyle name="Normal 5 16 2 2" xfId="6764" xr:uid="{00000000-0005-0000-0000-0000991F0000}"/>
    <cellStyle name="Normal 5 16 2 3" xfId="10614" xr:uid="{00000000-0005-0000-0000-00009A1F0000}"/>
    <cellStyle name="Normal 5 16 3" xfId="6765" xr:uid="{00000000-0005-0000-0000-00009B1F0000}"/>
    <cellStyle name="Normal 5 16 4" xfId="10613" xr:uid="{00000000-0005-0000-0000-00009C1F0000}"/>
    <cellStyle name="Normal 5 160" xfId="9413" xr:uid="{00000000-0005-0000-0000-00009D1F0000}"/>
    <cellStyle name="Normal 5 17" xfId="6766" xr:uid="{00000000-0005-0000-0000-00009E1F0000}"/>
    <cellStyle name="Normal 5 17 2" xfId="6767" xr:uid="{00000000-0005-0000-0000-00009F1F0000}"/>
    <cellStyle name="Normal 5 17 2 2" xfId="6768" xr:uid="{00000000-0005-0000-0000-0000A01F0000}"/>
    <cellStyle name="Normal 5 17 2 3" xfId="10616" xr:uid="{00000000-0005-0000-0000-0000A11F0000}"/>
    <cellStyle name="Normal 5 17 3" xfId="6769" xr:uid="{00000000-0005-0000-0000-0000A21F0000}"/>
    <cellStyle name="Normal 5 17 4" xfId="10615" xr:uid="{00000000-0005-0000-0000-0000A31F0000}"/>
    <cellStyle name="Normal 5 18" xfId="6770" xr:uid="{00000000-0005-0000-0000-0000A41F0000}"/>
    <cellStyle name="Normal 5 18 2" xfId="6771" xr:uid="{00000000-0005-0000-0000-0000A51F0000}"/>
    <cellStyle name="Normal 5 18 2 2" xfId="6772" xr:uid="{00000000-0005-0000-0000-0000A61F0000}"/>
    <cellStyle name="Normal 5 18 2 3" xfId="10618" xr:uid="{00000000-0005-0000-0000-0000A71F0000}"/>
    <cellStyle name="Normal 5 18 3" xfId="6773" xr:uid="{00000000-0005-0000-0000-0000A81F0000}"/>
    <cellStyle name="Normal 5 18 4" xfId="10617" xr:uid="{00000000-0005-0000-0000-0000A91F0000}"/>
    <cellStyle name="Normal 5 19" xfId="6774" xr:uid="{00000000-0005-0000-0000-0000AA1F0000}"/>
    <cellStyle name="Normal 5 19 2" xfId="6775" xr:uid="{00000000-0005-0000-0000-0000AB1F0000}"/>
    <cellStyle name="Normal 5 19 2 2" xfId="6776" xr:uid="{00000000-0005-0000-0000-0000AC1F0000}"/>
    <cellStyle name="Normal 5 19 2 3" xfId="10620" xr:uid="{00000000-0005-0000-0000-0000AD1F0000}"/>
    <cellStyle name="Normal 5 19 3" xfId="6777" xr:uid="{00000000-0005-0000-0000-0000AE1F0000}"/>
    <cellStyle name="Normal 5 19 4" xfId="10619" xr:uid="{00000000-0005-0000-0000-0000AF1F0000}"/>
    <cellStyle name="Normal 5 2" xfId="6778" xr:uid="{00000000-0005-0000-0000-0000B01F0000}"/>
    <cellStyle name="Normal 5 2 2" xfId="6779" xr:uid="{00000000-0005-0000-0000-0000B11F0000}"/>
    <cellStyle name="Normal 5 2 2 2" xfId="6780" xr:uid="{00000000-0005-0000-0000-0000B21F0000}"/>
    <cellStyle name="Normal 5 2 2 3" xfId="6781" xr:uid="{00000000-0005-0000-0000-0000B31F0000}"/>
    <cellStyle name="Normal 5 2 2 4" xfId="10622" xr:uid="{00000000-0005-0000-0000-0000B41F0000}"/>
    <cellStyle name="Normal 5 2 3" xfId="6782" xr:uid="{00000000-0005-0000-0000-0000B51F0000}"/>
    <cellStyle name="Normal 5 2 3 2" xfId="6783" xr:uid="{00000000-0005-0000-0000-0000B61F0000}"/>
    <cellStyle name="Normal 5 2 3 3" xfId="10623" xr:uid="{00000000-0005-0000-0000-0000B71F0000}"/>
    <cellStyle name="Normal 5 2 4" xfId="6784" xr:uid="{00000000-0005-0000-0000-0000B81F0000}"/>
    <cellStyle name="Normal 5 2 4 2" xfId="10624" xr:uid="{00000000-0005-0000-0000-0000B91F0000}"/>
    <cellStyle name="Normal 5 2 5" xfId="6785" xr:uid="{00000000-0005-0000-0000-0000BA1F0000}"/>
    <cellStyle name="Normal 5 2 5 2" xfId="11141" xr:uid="{00000000-0005-0000-0000-0000BB1F0000}"/>
    <cellStyle name="Normal 5 2 6" xfId="6786" xr:uid="{00000000-0005-0000-0000-0000BC1F0000}"/>
    <cellStyle name="Normal 5 2 7" xfId="6787" xr:uid="{00000000-0005-0000-0000-0000BD1F0000}"/>
    <cellStyle name="Normal 5 2 8" xfId="10621" xr:uid="{00000000-0005-0000-0000-0000BE1F0000}"/>
    <cellStyle name="Normal 5 20" xfId="6788" xr:uid="{00000000-0005-0000-0000-0000BF1F0000}"/>
    <cellStyle name="Normal 5 20 2" xfId="6789" xr:uid="{00000000-0005-0000-0000-0000C01F0000}"/>
    <cellStyle name="Normal 5 20 2 2" xfId="6790" xr:uid="{00000000-0005-0000-0000-0000C11F0000}"/>
    <cellStyle name="Normal 5 20 2 3" xfId="10626" xr:uid="{00000000-0005-0000-0000-0000C21F0000}"/>
    <cellStyle name="Normal 5 20 3" xfId="6791" xr:uid="{00000000-0005-0000-0000-0000C31F0000}"/>
    <cellStyle name="Normal 5 20 4" xfId="10625" xr:uid="{00000000-0005-0000-0000-0000C41F0000}"/>
    <cellStyle name="Normal 5 21" xfId="6792" xr:uid="{00000000-0005-0000-0000-0000C51F0000}"/>
    <cellStyle name="Normal 5 21 2" xfId="6793" xr:uid="{00000000-0005-0000-0000-0000C61F0000}"/>
    <cellStyle name="Normal 5 21 2 2" xfId="6794" xr:uid="{00000000-0005-0000-0000-0000C71F0000}"/>
    <cellStyle name="Normal 5 21 2 3" xfId="10628" xr:uid="{00000000-0005-0000-0000-0000C81F0000}"/>
    <cellStyle name="Normal 5 21 3" xfId="6795" xr:uid="{00000000-0005-0000-0000-0000C91F0000}"/>
    <cellStyle name="Normal 5 21 4" xfId="10627" xr:uid="{00000000-0005-0000-0000-0000CA1F0000}"/>
    <cellStyle name="Normal 5 22" xfId="6796" xr:uid="{00000000-0005-0000-0000-0000CB1F0000}"/>
    <cellStyle name="Normal 5 22 2" xfId="6797" xr:uid="{00000000-0005-0000-0000-0000CC1F0000}"/>
    <cellStyle name="Normal 5 22 2 2" xfId="6798" xr:uid="{00000000-0005-0000-0000-0000CD1F0000}"/>
    <cellStyle name="Normal 5 22 2 3" xfId="10630" xr:uid="{00000000-0005-0000-0000-0000CE1F0000}"/>
    <cellStyle name="Normal 5 22 3" xfId="6799" xr:uid="{00000000-0005-0000-0000-0000CF1F0000}"/>
    <cellStyle name="Normal 5 22 4" xfId="10629" xr:uid="{00000000-0005-0000-0000-0000D01F0000}"/>
    <cellStyle name="Normal 5 23" xfId="6800" xr:uid="{00000000-0005-0000-0000-0000D11F0000}"/>
    <cellStyle name="Normal 5 23 2" xfId="6801" xr:uid="{00000000-0005-0000-0000-0000D21F0000}"/>
    <cellStyle name="Normal 5 23 2 2" xfId="6802" xr:uid="{00000000-0005-0000-0000-0000D31F0000}"/>
    <cellStyle name="Normal 5 23 2 3" xfId="10632" xr:uid="{00000000-0005-0000-0000-0000D41F0000}"/>
    <cellStyle name="Normal 5 23 3" xfId="6803" xr:uid="{00000000-0005-0000-0000-0000D51F0000}"/>
    <cellStyle name="Normal 5 23 4" xfId="10631" xr:uid="{00000000-0005-0000-0000-0000D61F0000}"/>
    <cellStyle name="Normal 5 24" xfId="6804" xr:uid="{00000000-0005-0000-0000-0000D71F0000}"/>
    <cellStyle name="Normal 5 24 2" xfId="6805" xr:uid="{00000000-0005-0000-0000-0000D81F0000}"/>
    <cellStyle name="Normal 5 24 2 2" xfId="6806" xr:uid="{00000000-0005-0000-0000-0000D91F0000}"/>
    <cellStyle name="Normal 5 24 2 3" xfId="10634" xr:uid="{00000000-0005-0000-0000-0000DA1F0000}"/>
    <cellStyle name="Normal 5 24 3" xfId="6807" xr:uid="{00000000-0005-0000-0000-0000DB1F0000}"/>
    <cellStyle name="Normal 5 24 4" xfId="10633" xr:uid="{00000000-0005-0000-0000-0000DC1F0000}"/>
    <cellStyle name="Normal 5 25" xfId="6808" xr:uid="{00000000-0005-0000-0000-0000DD1F0000}"/>
    <cellStyle name="Normal 5 25 2" xfId="6809" xr:uid="{00000000-0005-0000-0000-0000DE1F0000}"/>
    <cellStyle name="Normal 5 25 2 2" xfId="6810" xr:uid="{00000000-0005-0000-0000-0000DF1F0000}"/>
    <cellStyle name="Normal 5 25 2 3" xfId="10636" xr:uid="{00000000-0005-0000-0000-0000E01F0000}"/>
    <cellStyle name="Normal 5 25 3" xfId="6811" xr:uid="{00000000-0005-0000-0000-0000E11F0000}"/>
    <cellStyle name="Normal 5 25 4" xfId="10635" xr:uid="{00000000-0005-0000-0000-0000E21F0000}"/>
    <cellStyle name="Normal 5 26" xfId="6812" xr:uid="{00000000-0005-0000-0000-0000E31F0000}"/>
    <cellStyle name="Normal 5 26 2" xfId="6813" xr:uid="{00000000-0005-0000-0000-0000E41F0000}"/>
    <cellStyle name="Normal 5 26 2 2" xfId="6814" xr:uid="{00000000-0005-0000-0000-0000E51F0000}"/>
    <cellStyle name="Normal 5 26 2 3" xfId="10638" xr:uid="{00000000-0005-0000-0000-0000E61F0000}"/>
    <cellStyle name="Normal 5 26 3" xfId="6815" xr:uid="{00000000-0005-0000-0000-0000E71F0000}"/>
    <cellStyle name="Normal 5 26 4" xfId="10637" xr:uid="{00000000-0005-0000-0000-0000E81F0000}"/>
    <cellStyle name="Normal 5 27" xfId="6816" xr:uid="{00000000-0005-0000-0000-0000E91F0000}"/>
    <cellStyle name="Normal 5 27 2" xfId="6817" xr:uid="{00000000-0005-0000-0000-0000EA1F0000}"/>
    <cellStyle name="Normal 5 27 2 2" xfId="6818" xr:uid="{00000000-0005-0000-0000-0000EB1F0000}"/>
    <cellStyle name="Normal 5 27 2 3" xfId="10640" xr:uid="{00000000-0005-0000-0000-0000EC1F0000}"/>
    <cellStyle name="Normal 5 27 3" xfId="6819" xr:uid="{00000000-0005-0000-0000-0000ED1F0000}"/>
    <cellStyle name="Normal 5 27 4" xfId="10639" xr:uid="{00000000-0005-0000-0000-0000EE1F0000}"/>
    <cellStyle name="Normal 5 28" xfId="6820" xr:uid="{00000000-0005-0000-0000-0000EF1F0000}"/>
    <cellStyle name="Normal 5 28 2" xfId="6821" xr:uid="{00000000-0005-0000-0000-0000F01F0000}"/>
    <cellStyle name="Normal 5 28 2 2" xfId="6822" xr:uid="{00000000-0005-0000-0000-0000F11F0000}"/>
    <cellStyle name="Normal 5 28 2 3" xfId="10642" xr:uid="{00000000-0005-0000-0000-0000F21F0000}"/>
    <cellStyle name="Normal 5 28 3" xfId="6823" xr:uid="{00000000-0005-0000-0000-0000F31F0000}"/>
    <cellStyle name="Normal 5 28 4" xfId="10641" xr:uid="{00000000-0005-0000-0000-0000F41F0000}"/>
    <cellStyle name="Normal 5 29" xfId="6824" xr:uid="{00000000-0005-0000-0000-0000F51F0000}"/>
    <cellStyle name="Normal 5 29 2" xfId="6825" xr:uid="{00000000-0005-0000-0000-0000F61F0000}"/>
    <cellStyle name="Normal 5 29 2 2" xfId="6826" xr:uid="{00000000-0005-0000-0000-0000F71F0000}"/>
    <cellStyle name="Normal 5 29 2 3" xfId="10644" xr:uid="{00000000-0005-0000-0000-0000F81F0000}"/>
    <cellStyle name="Normal 5 29 3" xfId="6827" xr:uid="{00000000-0005-0000-0000-0000F91F0000}"/>
    <cellStyle name="Normal 5 29 4" xfId="10643" xr:uid="{00000000-0005-0000-0000-0000FA1F0000}"/>
    <cellStyle name="Normal 5 3" xfId="6828" xr:uid="{00000000-0005-0000-0000-0000FB1F0000}"/>
    <cellStyle name="Normal 5 3 10" xfId="6829" xr:uid="{00000000-0005-0000-0000-0000FC1F0000}"/>
    <cellStyle name="Normal 5 3 11" xfId="6830" xr:uid="{00000000-0005-0000-0000-0000FD1F0000}"/>
    <cellStyle name="Normal 5 3 2" xfId="6831" xr:uid="{00000000-0005-0000-0000-0000FE1F0000}"/>
    <cellStyle name="Normal 5 3 2 2" xfId="6832" xr:uid="{00000000-0005-0000-0000-0000FF1F0000}"/>
    <cellStyle name="Normal 5 3 2 2 2" xfId="6833" xr:uid="{00000000-0005-0000-0000-000000200000}"/>
    <cellStyle name="Normal 5 3 2 2 2 2" xfId="6834" xr:uid="{00000000-0005-0000-0000-000001200000}"/>
    <cellStyle name="Normal 5 3 2 2 3" xfId="6835" xr:uid="{00000000-0005-0000-0000-000002200000}"/>
    <cellStyle name="Normal 5 3 2 3" xfId="6836" xr:uid="{00000000-0005-0000-0000-000003200000}"/>
    <cellStyle name="Normal 5 3 2 3 2" xfId="6837" xr:uid="{00000000-0005-0000-0000-000004200000}"/>
    <cellStyle name="Normal 5 3 2 3 2 2" xfId="6838" xr:uid="{00000000-0005-0000-0000-000005200000}"/>
    <cellStyle name="Normal 5 3 2 3 3" xfId="6839" xr:uid="{00000000-0005-0000-0000-000006200000}"/>
    <cellStyle name="Normal 5 3 2 4" xfId="6840" xr:uid="{00000000-0005-0000-0000-000007200000}"/>
    <cellStyle name="Normal 5 3 2 4 2" xfId="6841" xr:uid="{00000000-0005-0000-0000-000008200000}"/>
    <cellStyle name="Normal 5 3 2 4 2 2" xfId="6842" xr:uid="{00000000-0005-0000-0000-000009200000}"/>
    <cellStyle name="Normal 5 3 2 4 3" xfId="6843" xr:uid="{00000000-0005-0000-0000-00000A200000}"/>
    <cellStyle name="Normal 5 3 2 5" xfId="6844" xr:uid="{00000000-0005-0000-0000-00000B200000}"/>
    <cellStyle name="Normal 5 3 2 5 2" xfId="6845" xr:uid="{00000000-0005-0000-0000-00000C200000}"/>
    <cellStyle name="Normal 5 3 2 5 2 2" xfId="6846" xr:uid="{00000000-0005-0000-0000-00000D200000}"/>
    <cellStyle name="Normal 5 3 2 5 3" xfId="6847" xr:uid="{00000000-0005-0000-0000-00000E200000}"/>
    <cellStyle name="Normal 5 3 2 6" xfId="6848" xr:uid="{00000000-0005-0000-0000-00000F200000}"/>
    <cellStyle name="Normal 5 3 2 6 2" xfId="6849" xr:uid="{00000000-0005-0000-0000-000010200000}"/>
    <cellStyle name="Normal 5 3 2 6 3" xfId="10646" xr:uid="{00000000-0005-0000-0000-000011200000}"/>
    <cellStyle name="Normal 5 3 2 7" xfId="6850" xr:uid="{00000000-0005-0000-0000-000012200000}"/>
    <cellStyle name="Normal 5 3 2 8" xfId="10645" xr:uid="{00000000-0005-0000-0000-000013200000}"/>
    <cellStyle name="Normal 5 3 3" xfId="6851" xr:uid="{00000000-0005-0000-0000-000014200000}"/>
    <cellStyle name="Normal 5 3 3 2" xfId="6852" xr:uid="{00000000-0005-0000-0000-000015200000}"/>
    <cellStyle name="Normal 5 3 3 2 2" xfId="6853" xr:uid="{00000000-0005-0000-0000-000016200000}"/>
    <cellStyle name="Normal 5 3 3 2 3" xfId="10648" xr:uid="{00000000-0005-0000-0000-000017200000}"/>
    <cellStyle name="Normal 5 3 3 3" xfId="6854" xr:uid="{00000000-0005-0000-0000-000018200000}"/>
    <cellStyle name="Normal 5 3 3 4" xfId="10647" xr:uid="{00000000-0005-0000-0000-000019200000}"/>
    <cellStyle name="Normal 5 3 4" xfId="6855" xr:uid="{00000000-0005-0000-0000-00001A200000}"/>
    <cellStyle name="Normal 5 3 4 2" xfId="6856" xr:uid="{00000000-0005-0000-0000-00001B200000}"/>
    <cellStyle name="Normal 5 3 4 2 2" xfId="6857" xr:uid="{00000000-0005-0000-0000-00001C200000}"/>
    <cellStyle name="Normal 5 3 4 2 3" xfId="10650" xr:uid="{00000000-0005-0000-0000-00001D200000}"/>
    <cellStyle name="Normal 5 3 4 3" xfId="6858" xr:uid="{00000000-0005-0000-0000-00001E200000}"/>
    <cellStyle name="Normal 5 3 4 4" xfId="10649" xr:uid="{00000000-0005-0000-0000-00001F200000}"/>
    <cellStyle name="Normal 5 3 5" xfId="6859" xr:uid="{00000000-0005-0000-0000-000020200000}"/>
    <cellStyle name="Normal 5 3 5 2" xfId="6860" xr:uid="{00000000-0005-0000-0000-000021200000}"/>
    <cellStyle name="Normal 5 3 5 2 2" xfId="6861" xr:uid="{00000000-0005-0000-0000-000022200000}"/>
    <cellStyle name="Normal 5 3 5 2 3" xfId="10652" xr:uid="{00000000-0005-0000-0000-000023200000}"/>
    <cellStyle name="Normal 5 3 5 3" xfId="6862" xr:uid="{00000000-0005-0000-0000-000024200000}"/>
    <cellStyle name="Normal 5 3 5 4" xfId="10651" xr:uid="{00000000-0005-0000-0000-000025200000}"/>
    <cellStyle name="Normal 5 3 6" xfId="6863" xr:uid="{00000000-0005-0000-0000-000026200000}"/>
    <cellStyle name="Normal 5 3 6 2" xfId="6864" xr:uid="{00000000-0005-0000-0000-000027200000}"/>
    <cellStyle name="Normal 5 3 6 3" xfId="6865" xr:uid="{00000000-0005-0000-0000-000028200000}"/>
    <cellStyle name="Normal 5 3 6 3 2" xfId="10653" xr:uid="{00000000-0005-0000-0000-000029200000}"/>
    <cellStyle name="Normal 5 3 7" xfId="6866" xr:uid="{00000000-0005-0000-0000-00002A200000}"/>
    <cellStyle name="Normal 5 3 8" xfId="6867" xr:uid="{00000000-0005-0000-0000-00002B200000}"/>
    <cellStyle name="Normal 5 3 9" xfId="6868" xr:uid="{00000000-0005-0000-0000-00002C200000}"/>
    <cellStyle name="Normal 5 30" xfId="6869" xr:uid="{00000000-0005-0000-0000-00002D200000}"/>
    <cellStyle name="Normal 5 30 2" xfId="6870" xr:uid="{00000000-0005-0000-0000-00002E200000}"/>
    <cellStyle name="Normal 5 30 2 2" xfId="6871" xr:uid="{00000000-0005-0000-0000-00002F200000}"/>
    <cellStyle name="Normal 5 30 2 3" xfId="10655" xr:uid="{00000000-0005-0000-0000-000030200000}"/>
    <cellStyle name="Normal 5 30 3" xfId="6872" xr:uid="{00000000-0005-0000-0000-000031200000}"/>
    <cellStyle name="Normal 5 30 4" xfId="10654" xr:uid="{00000000-0005-0000-0000-000032200000}"/>
    <cellStyle name="Normal 5 31" xfId="6873" xr:uid="{00000000-0005-0000-0000-000033200000}"/>
    <cellStyle name="Normal 5 31 2" xfId="6874" xr:uid="{00000000-0005-0000-0000-000034200000}"/>
    <cellStyle name="Normal 5 31 2 2" xfId="6875" xr:uid="{00000000-0005-0000-0000-000035200000}"/>
    <cellStyle name="Normal 5 31 2 3" xfId="10657" xr:uid="{00000000-0005-0000-0000-000036200000}"/>
    <cellStyle name="Normal 5 31 3" xfId="6876" xr:uid="{00000000-0005-0000-0000-000037200000}"/>
    <cellStyle name="Normal 5 31 4" xfId="10656" xr:uid="{00000000-0005-0000-0000-000038200000}"/>
    <cellStyle name="Normal 5 32" xfId="6877" xr:uid="{00000000-0005-0000-0000-000039200000}"/>
    <cellStyle name="Normal 5 32 2" xfId="6878" xr:uid="{00000000-0005-0000-0000-00003A200000}"/>
    <cellStyle name="Normal 5 32 2 2" xfId="6879" xr:uid="{00000000-0005-0000-0000-00003B200000}"/>
    <cellStyle name="Normal 5 32 2 3" xfId="10659" xr:uid="{00000000-0005-0000-0000-00003C200000}"/>
    <cellStyle name="Normal 5 32 3" xfId="6880" xr:uid="{00000000-0005-0000-0000-00003D200000}"/>
    <cellStyle name="Normal 5 32 4" xfId="10658" xr:uid="{00000000-0005-0000-0000-00003E200000}"/>
    <cellStyle name="Normal 5 33" xfId="6881" xr:uid="{00000000-0005-0000-0000-00003F200000}"/>
    <cellStyle name="Normal 5 33 2" xfId="6882" xr:uid="{00000000-0005-0000-0000-000040200000}"/>
    <cellStyle name="Normal 5 33 2 2" xfId="6883" xr:uid="{00000000-0005-0000-0000-000041200000}"/>
    <cellStyle name="Normal 5 33 2 3" xfId="10661" xr:uid="{00000000-0005-0000-0000-000042200000}"/>
    <cellStyle name="Normal 5 33 3" xfId="6884" xr:uid="{00000000-0005-0000-0000-000043200000}"/>
    <cellStyle name="Normal 5 33 4" xfId="10660" xr:uid="{00000000-0005-0000-0000-000044200000}"/>
    <cellStyle name="Normal 5 34" xfId="6885" xr:uid="{00000000-0005-0000-0000-000045200000}"/>
    <cellStyle name="Normal 5 34 2" xfId="6886" xr:uid="{00000000-0005-0000-0000-000046200000}"/>
    <cellStyle name="Normal 5 34 2 2" xfId="6887" xr:uid="{00000000-0005-0000-0000-000047200000}"/>
    <cellStyle name="Normal 5 34 2 3" xfId="10663" xr:uid="{00000000-0005-0000-0000-000048200000}"/>
    <cellStyle name="Normal 5 34 3" xfId="6888" xr:uid="{00000000-0005-0000-0000-000049200000}"/>
    <cellStyle name="Normal 5 34 4" xfId="10662" xr:uid="{00000000-0005-0000-0000-00004A200000}"/>
    <cellStyle name="Normal 5 35" xfId="6889" xr:uid="{00000000-0005-0000-0000-00004B200000}"/>
    <cellStyle name="Normal 5 35 2" xfId="6890" xr:uid="{00000000-0005-0000-0000-00004C200000}"/>
    <cellStyle name="Normal 5 35 2 2" xfId="6891" xr:uid="{00000000-0005-0000-0000-00004D200000}"/>
    <cellStyle name="Normal 5 35 2 3" xfId="10665" xr:uid="{00000000-0005-0000-0000-00004E200000}"/>
    <cellStyle name="Normal 5 35 3" xfId="6892" xr:uid="{00000000-0005-0000-0000-00004F200000}"/>
    <cellStyle name="Normal 5 35 4" xfId="10664" xr:uid="{00000000-0005-0000-0000-000050200000}"/>
    <cellStyle name="Normal 5 36" xfId="6893" xr:uid="{00000000-0005-0000-0000-000051200000}"/>
    <cellStyle name="Normal 5 36 2" xfId="6894" xr:uid="{00000000-0005-0000-0000-000052200000}"/>
    <cellStyle name="Normal 5 36 2 2" xfId="6895" xr:uid="{00000000-0005-0000-0000-000053200000}"/>
    <cellStyle name="Normal 5 36 2 3" xfId="10667" xr:uid="{00000000-0005-0000-0000-000054200000}"/>
    <cellStyle name="Normal 5 36 3" xfId="6896" xr:uid="{00000000-0005-0000-0000-000055200000}"/>
    <cellStyle name="Normal 5 36 4" xfId="10666" xr:uid="{00000000-0005-0000-0000-000056200000}"/>
    <cellStyle name="Normal 5 37" xfId="6897" xr:uid="{00000000-0005-0000-0000-000057200000}"/>
    <cellStyle name="Normal 5 37 2" xfId="6898" xr:uid="{00000000-0005-0000-0000-000058200000}"/>
    <cellStyle name="Normal 5 37 2 2" xfId="6899" xr:uid="{00000000-0005-0000-0000-000059200000}"/>
    <cellStyle name="Normal 5 37 2 3" xfId="10669" xr:uid="{00000000-0005-0000-0000-00005A200000}"/>
    <cellStyle name="Normal 5 37 3" xfId="6900" xr:uid="{00000000-0005-0000-0000-00005B200000}"/>
    <cellStyle name="Normal 5 37 4" xfId="10668" xr:uid="{00000000-0005-0000-0000-00005C200000}"/>
    <cellStyle name="Normal 5 38" xfId="6901" xr:uid="{00000000-0005-0000-0000-00005D200000}"/>
    <cellStyle name="Normal 5 38 2" xfId="6902" xr:uid="{00000000-0005-0000-0000-00005E200000}"/>
    <cellStyle name="Normal 5 38 2 2" xfId="6903" xr:uid="{00000000-0005-0000-0000-00005F200000}"/>
    <cellStyle name="Normal 5 38 2 3" xfId="10671" xr:uid="{00000000-0005-0000-0000-000060200000}"/>
    <cellStyle name="Normal 5 38 3" xfId="6904" xr:uid="{00000000-0005-0000-0000-000061200000}"/>
    <cellStyle name="Normal 5 38 4" xfId="10670" xr:uid="{00000000-0005-0000-0000-000062200000}"/>
    <cellStyle name="Normal 5 39" xfId="6905" xr:uid="{00000000-0005-0000-0000-000063200000}"/>
    <cellStyle name="Normal 5 39 2" xfId="6906" xr:uid="{00000000-0005-0000-0000-000064200000}"/>
    <cellStyle name="Normal 5 39 2 2" xfId="6907" xr:uid="{00000000-0005-0000-0000-000065200000}"/>
    <cellStyle name="Normal 5 39 2 3" xfId="10673" xr:uid="{00000000-0005-0000-0000-000066200000}"/>
    <cellStyle name="Normal 5 39 3" xfId="6908" xr:uid="{00000000-0005-0000-0000-000067200000}"/>
    <cellStyle name="Normal 5 39 4" xfId="10672" xr:uid="{00000000-0005-0000-0000-000068200000}"/>
    <cellStyle name="Normal 5 4" xfId="6909" xr:uid="{00000000-0005-0000-0000-000069200000}"/>
    <cellStyle name="Normal 5 4 2" xfId="6910" xr:uid="{00000000-0005-0000-0000-00006A200000}"/>
    <cellStyle name="Normal 5 4 2 2" xfId="6911" xr:uid="{00000000-0005-0000-0000-00006B200000}"/>
    <cellStyle name="Normal 5 4 2 3" xfId="6912" xr:uid="{00000000-0005-0000-0000-00006C200000}"/>
    <cellStyle name="Normal 5 4 2 4" xfId="10674" xr:uid="{00000000-0005-0000-0000-00006D200000}"/>
    <cellStyle name="Normal 5 4 3" xfId="6913" xr:uid="{00000000-0005-0000-0000-00006E200000}"/>
    <cellStyle name="Normal 5 4 3 2" xfId="6914" xr:uid="{00000000-0005-0000-0000-00006F200000}"/>
    <cellStyle name="Normal 5 4 3 3" xfId="10675" xr:uid="{00000000-0005-0000-0000-000070200000}"/>
    <cellStyle name="Normal 5 40" xfId="6915" xr:uid="{00000000-0005-0000-0000-000071200000}"/>
    <cellStyle name="Normal 5 40 2" xfId="6916" xr:uid="{00000000-0005-0000-0000-000072200000}"/>
    <cellStyle name="Normal 5 40 2 2" xfId="6917" xr:uid="{00000000-0005-0000-0000-000073200000}"/>
    <cellStyle name="Normal 5 40 2 3" xfId="10677" xr:uid="{00000000-0005-0000-0000-000074200000}"/>
    <cellStyle name="Normal 5 40 3" xfId="6918" xr:uid="{00000000-0005-0000-0000-000075200000}"/>
    <cellStyle name="Normal 5 40 4" xfId="10676" xr:uid="{00000000-0005-0000-0000-000076200000}"/>
    <cellStyle name="Normal 5 41" xfId="6919" xr:uid="{00000000-0005-0000-0000-000077200000}"/>
    <cellStyle name="Normal 5 41 2" xfId="6920" xr:uid="{00000000-0005-0000-0000-000078200000}"/>
    <cellStyle name="Normal 5 41 2 2" xfId="6921" xr:uid="{00000000-0005-0000-0000-000079200000}"/>
    <cellStyle name="Normal 5 41 2 3" xfId="10679" xr:uid="{00000000-0005-0000-0000-00007A200000}"/>
    <cellStyle name="Normal 5 41 3" xfId="6922" xr:uid="{00000000-0005-0000-0000-00007B200000}"/>
    <cellStyle name="Normal 5 41 4" xfId="10678" xr:uid="{00000000-0005-0000-0000-00007C200000}"/>
    <cellStyle name="Normal 5 42" xfId="6923" xr:uid="{00000000-0005-0000-0000-00007D200000}"/>
    <cellStyle name="Normal 5 42 2" xfId="6924" xr:uid="{00000000-0005-0000-0000-00007E200000}"/>
    <cellStyle name="Normal 5 42 2 2" xfId="6925" xr:uid="{00000000-0005-0000-0000-00007F200000}"/>
    <cellStyle name="Normal 5 42 2 3" xfId="10681" xr:uid="{00000000-0005-0000-0000-000080200000}"/>
    <cellStyle name="Normal 5 42 3" xfId="6926" xr:uid="{00000000-0005-0000-0000-000081200000}"/>
    <cellStyle name="Normal 5 42 4" xfId="10680" xr:uid="{00000000-0005-0000-0000-000082200000}"/>
    <cellStyle name="Normal 5 43" xfId="6927" xr:uid="{00000000-0005-0000-0000-000083200000}"/>
    <cellStyle name="Normal 5 43 2" xfId="6928" xr:uid="{00000000-0005-0000-0000-000084200000}"/>
    <cellStyle name="Normal 5 43 2 2" xfId="6929" xr:uid="{00000000-0005-0000-0000-000085200000}"/>
    <cellStyle name="Normal 5 43 2 3" xfId="10683" xr:uid="{00000000-0005-0000-0000-000086200000}"/>
    <cellStyle name="Normal 5 43 3" xfId="6930" xr:uid="{00000000-0005-0000-0000-000087200000}"/>
    <cellStyle name="Normal 5 43 4" xfId="10682" xr:uid="{00000000-0005-0000-0000-000088200000}"/>
    <cellStyle name="Normal 5 44" xfId="6931" xr:uid="{00000000-0005-0000-0000-000089200000}"/>
    <cellStyle name="Normal 5 44 2" xfId="6932" xr:uid="{00000000-0005-0000-0000-00008A200000}"/>
    <cellStyle name="Normal 5 44 2 2" xfId="6933" xr:uid="{00000000-0005-0000-0000-00008B200000}"/>
    <cellStyle name="Normal 5 44 2 3" xfId="10685" xr:uid="{00000000-0005-0000-0000-00008C200000}"/>
    <cellStyle name="Normal 5 44 3" xfId="6934" xr:uid="{00000000-0005-0000-0000-00008D200000}"/>
    <cellStyle name="Normal 5 44 4" xfId="10684" xr:uid="{00000000-0005-0000-0000-00008E200000}"/>
    <cellStyle name="Normal 5 45" xfId="6935" xr:uid="{00000000-0005-0000-0000-00008F200000}"/>
    <cellStyle name="Normal 5 45 2" xfId="6936" xr:uid="{00000000-0005-0000-0000-000090200000}"/>
    <cellStyle name="Normal 5 45 2 2" xfId="6937" xr:uid="{00000000-0005-0000-0000-000091200000}"/>
    <cellStyle name="Normal 5 45 2 3" xfId="10687" xr:uid="{00000000-0005-0000-0000-000092200000}"/>
    <cellStyle name="Normal 5 45 3" xfId="6938" xr:uid="{00000000-0005-0000-0000-000093200000}"/>
    <cellStyle name="Normal 5 45 4" xfId="10686" xr:uid="{00000000-0005-0000-0000-000094200000}"/>
    <cellStyle name="Normal 5 46" xfId="6939" xr:uid="{00000000-0005-0000-0000-000095200000}"/>
    <cellStyle name="Normal 5 46 2" xfId="6940" xr:uid="{00000000-0005-0000-0000-000096200000}"/>
    <cellStyle name="Normal 5 46 2 2" xfId="6941" xr:uid="{00000000-0005-0000-0000-000097200000}"/>
    <cellStyle name="Normal 5 46 2 3" xfId="10689" xr:uid="{00000000-0005-0000-0000-000098200000}"/>
    <cellStyle name="Normal 5 46 3" xfId="6942" xr:uid="{00000000-0005-0000-0000-000099200000}"/>
    <cellStyle name="Normal 5 46 4" xfId="10688" xr:uid="{00000000-0005-0000-0000-00009A200000}"/>
    <cellStyle name="Normal 5 47" xfId="6943" xr:uid="{00000000-0005-0000-0000-00009B200000}"/>
    <cellStyle name="Normal 5 47 2" xfId="6944" xr:uid="{00000000-0005-0000-0000-00009C200000}"/>
    <cellStyle name="Normal 5 47 2 2" xfId="6945" xr:uid="{00000000-0005-0000-0000-00009D200000}"/>
    <cellStyle name="Normal 5 47 2 3" xfId="10691" xr:uid="{00000000-0005-0000-0000-00009E200000}"/>
    <cellStyle name="Normal 5 47 3" xfId="6946" xr:uid="{00000000-0005-0000-0000-00009F200000}"/>
    <cellStyle name="Normal 5 47 4" xfId="10690" xr:uid="{00000000-0005-0000-0000-0000A0200000}"/>
    <cellStyle name="Normal 5 48" xfId="6947" xr:uid="{00000000-0005-0000-0000-0000A1200000}"/>
    <cellStyle name="Normal 5 48 2" xfId="6948" xr:uid="{00000000-0005-0000-0000-0000A2200000}"/>
    <cellStyle name="Normal 5 48 2 2" xfId="6949" xr:uid="{00000000-0005-0000-0000-0000A3200000}"/>
    <cellStyle name="Normal 5 48 2 3" xfId="10693" xr:uid="{00000000-0005-0000-0000-0000A4200000}"/>
    <cellStyle name="Normal 5 48 3" xfId="6950" xr:uid="{00000000-0005-0000-0000-0000A5200000}"/>
    <cellStyle name="Normal 5 48 4" xfId="10692" xr:uid="{00000000-0005-0000-0000-0000A6200000}"/>
    <cellStyle name="Normal 5 49" xfId="6951" xr:uid="{00000000-0005-0000-0000-0000A7200000}"/>
    <cellStyle name="Normal 5 49 2" xfId="6952" xr:uid="{00000000-0005-0000-0000-0000A8200000}"/>
    <cellStyle name="Normal 5 49 2 2" xfId="6953" xr:uid="{00000000-0005-0000-0000-0000A9200000}"/>
    <cellStyle name="Normal 5 49 2 3" xfId="10695" xr:uid="{00000000-0005-0000-0000-0000AA200000}"/>
    <cellStyle name="Normal 5 49 3" xfId="6954" xr:uid="{00000000-0005-0000-0000-0000AB200000}"/>
    <cellStyle name="Normal 5 49 4" xfId="10694" xr:uid="{00000000-0005-0000-0000-0000AC200000}"/>
    <cellStyle name="Normal 5 5" xfId="6955" xr:uid="{00000000-0005-0000-0000-0000AD200000}"/>
    <cellStyle name="Normal 5 5 2" xfId="6956" xr:uid="{00000000-0005-0000-0000-0000AE200000}"/>
    <cellStyle name="Normal 5 5 2 2" xfId="6957" xr:uid="{00000000-0005-0000-0000-0000AF200000}"/>
    <cellStyle name="Normal 5 5 2 3" xfId="6958" xr:uid="{00000000-0005-0000-0000-0000B0200000}"/>
    <cellStyle name="Normal 5 5 2 4" xfId="10696" xr:uid="{00000000-0005-0000-0000-0000B1200000}"/>
    <cellStyle name="Normal 5 5 3" xfId="6959" xr:uid="{00000000-0005-0000-0000-0000B2200000}"/>
    <cellStyle name="Normal 5 5 3 2" xfId="6960" xr:uid="{00000000-0005-0000-0000-0000B3200000}"/>
    <cellStyle name="Normal 5 5 3 3" xfId="10697" xr:uid="{00000000-0005-0000-0000-0000B4200000}"/>
    <cellStyle name="Normal 5 50" xfId="6961" xr:uid="{00000000-0005-0000-0000-0000B5200000}"/>
    <cellStyle name="Normal 5 50 2" xfId="6962" xr:uid="{00000000-0005-0000-0000-0000B6200000}"/>
    <cellStyle name="Normal 5 50 2 2" xfId="6963" xr:uid="{00000000-0005-0000-0000-0000B7200000}"/>
    <cellStyle name="Normal 5 50 2 3" xfId="10699" xr:uid="{00000000-0005-0000-0000-0000B8200000}"/>
    <cellStyle name="Normal 5 50 3" xfId="6964" xr:uid="{00000000-0005-0000-0000-0000B9200000}"/>
    <cellStyle name="Normal 5 50 4" xfId="10698" xr:uid="{00000000-0005-0000-0000-0000BA200000}"/>
    <cellStyle name="Normal 5 51" xfId="6965" xr:uid="{00000000-0005-0000-0000-0000BB200000}"/>
    <cellStyle name="Normal 5 51 2" xfId="6966" xr:uid="{00000000-0005-0000-0000-0000BC200000}"/>
    <cellStyle name="Normal 5 51 2 2" xfId="6967" xr:uid="{00000000-0005-0000-0000-0000BD200000}"/>
    <cellStyle name="Normal 5 51 2 3" xfId="10701" xr:uid="{00000000-0005-0000-0000-0000BE200000}"/>
    <cellStyle name="Normal 5 51 3" xfId="6968" xr:uid="{00000000-0005-0000-0000-0000BF200000}"/>
    <cellStyle name="Normal 5 51 4" xfId="10700" xr:uid="{00000000-0005-0000-0000-0000C0200000}"/>
    <cellStyle name="Normal 5 52" xfId="6969" xr:uid="{00000000-0005-0000-0000-0000C1200000}"/>
    <cellStyle name="Normal 5 52 2" xfId="6970" xr:uid="{00000000-0005-0000-0000-0000C2200000}"/>
    <cellStyle name="Normal 5 52 2 2" xfId="6971" xr:uid="{00000000-0005-0000-0000-0000C3200000}"/>
    <cellStyle name="Normal 5 52 2 3" xfId="10703" xr:uid="{00000000-0005-0000-0000-0000C4200000}"/>
    <cellStyle name="Normal 5 52 3" xfId="6972" xr:uid="{00000000-0005-0000-0000-0000C5200000}"/>
    <cellStyle name="Normal 5 52 4" xfId="10702" xr:uid="{00000000-0005-0000-0000-0000C6200000}"/>
    <cellStyle name="Normal 5 53" xfId="6973" xr:uid="{00000000-0005-0000-0000-0000C7200000}"/>
    <cellStyle name="Normal 5 53 2" xfId="6974" xr:uid="{00000000-0005-0000-0000-0000C8200000}"/>
    <cellStyle name="Normal 5 53 2 2" xfId="6975" xr:uid="{00000000-0005-0000-0000-0000C9200000}"/>
    <cellStyle name="Normal 5 53 2 3" xfId="10705" xr:uid="{00000000-0005-0000-0000-0000CA200000}"/>
    <cellStyle name="Normal 5 53 3" xfId="6976" xr:uid="{00000000-0005-0000-0000-0000CB200000}"/>
    <cellStyle name="Normal 5 53 4" xfId="10704" xr:uid="{00000000-0005-0000-0000-0000CC200000}"/>
    <cellStyle name="Normal 5 54" xfId="6977" xr:uid="{00000000-0005-0000-0000-0000CD200000}"/>
    <cellStyle name="Normal 5 54 2" xfId="6978" xr:uid="{00000000-0005-0000-0000-0000CE200000}"/>
    <cellStyle name="Normal 5 54 2 2" xfId="6979" xr:uid="{00000000-0005-0000-0000-0000CF200000}"/>
    <cellStyle name="Normal 5 54 2 3" xfId="10707" xr:uid="{00000000-0005-0000-0000-0000D0200000}"/>
    <cellStyle name="Normal 5 54 3" xfId="6980" xr:uid="{00000000-0005-0000-0000-0000D1200000}"/>
    <cellStyle name="Normal 5 54 4" xfId="10706" xr:uid="{00000000-0005-0000-0000-0000D2200000}"/>
    <cellStyle name="Normal 5 55" xfId="6981" xr:uid="{00000000-0005-0000-0000-0000D3200000}"/>
    <cellStyle name="Normal 5 55 2" xfId="6982" xr:uid="{00000000-0005-0000-0000-0000D4200000}"/>
    <cellStyle name="Normal 5 55 2 2" xfId="6983" xr:uid="{00000000-0005-0000-0000-0000D5200000}"/>
    <cellStyle name="Normal 5 55 2 3" xfId="10709" xr:uid="{00000000-0005-0000-0000-0000D6200000}"/>
    <cellStyle name="Normal 5 55 3" xfId="6984" xr:uid="{00000000-0005-0000-0000-0000D7200000}"/>
    <cellStyle name="Normal 5 55 4" xfId="10708" xr:uid="{00000000-0005-0000-0000-0000D8200000}"/>
    <cellStyle name="Normal 5 56" xfId="6985" xr:uid="{00000000-0005-0000-0000-0000D9200000}"/>
    <cellStyle name="Normal 5 56 2" xfId="6986" xr:uid="{00000000-0005-0000-0000-0000DA200000}"/>
    <cellStyle name="Normal 5 56 2 2" xfId="6987" xr:uid="{00000000-0005-0000-0000-0000DB200000}"/>
    <cellStyle name="Normal 5 56 2 3" xfId="10711" xr:uid="{00000000-0005-0000-0000-0000DC200000}"/>
    <cellStyle name="Normal 5 56 3" xfId="6988" xr:uid="{00000000-0005-0000-0000-0000DD200000}"/>
    <cellStyle name="Normal 5 56 4" xfId="10710" xr:uid="{00000000-0005-0000-0000-0000DE200000}"/>
    <cellStyle name="Normal 5 57" xfId="6989" xr:uid="{00000000-0005-0000-0000-0000DF200000}"/>
    <cellStyle name="Normal 5 57 2" xfId="6990" xr:uid="{00000000-0005-0000-0000-0000E0200000}"/>
    <cellStyle name="Normal 5 57 2 2" xfId="6991" xr:uid="{00000000-0005-0000-0000-0000E1200000}"/>
    <cellStyle name="Normal 5 57 2 3" xfId="10713" xr:uid="{00000000-0005-0000-0000-0000E2200000}"/>
    <cellStyle name="Normal 5 57 3" xfId="6992" xr:uid="{00000000-0005-0000-0000-0000E3200000}"/>
    <cellStyle name="Normal 5 57 4" xfId="10712" xr:uid="{00000000-0005-0000-0000-0000E4200000}"/>
    <cellStyle name="Normal 5 58" xfId="6993" xr:uid="{00000000-0005-0000-0000-0000E5200000}"/>
    <cellStyle name="Normal 5 58 2" xfId="6994" xr:uid="{00000000-0005-0000-0000-0000E6200000}"/>
    <cellStyle name="Normal 5 58 2 2" xfId="6995" xr:uid="{00000000-0005-0000-0000-0000E7200000}"/>
    <cellStyle name="Normal 5 58 2 3" xfId="10715" xr:uid="{00000000-0005-0000-0000-0000E8200000}"/>
    <cellStyle name="Normal 5 58 3" xfId="6996" xr:uid="{00000000-0005-0000-0000-0000E9200000}"/>
    <cellStyle name="Normal 5 58 4" xfId="10714" xr:uid="{00000000-0005-0000-0000-0000EA200000}"/>
    <cellStyle name="Normal 5 59" xfId="6997" xr:uid="{00000000-0005-0000-0000-0000EB200000}"/>
    <cellStyle name="Normal 5 59 2" xfId="6998" xr:uid="{00000000-0005-0000-0000-0000EC200000}"/>
    <cellStyle name="Normal 5 59 2 2" xfId="6999" xr:uid="{00000000-0005-0000-0000-0000ED200000}"/>
    <cellStyle name="Normal 5 59 2 3" xfId="10717" xr:uid="{00000000-0005-0000-0000-0000EE200000}"/>
    <cellStyle name="Normal 5 59 3" xfId="7000" xr:uid="{00000000-0005-0000-0000-0000EF200000}"/>
    <cellStyle name="Normal 5 59 4" xfId="10716" xr:uid="{00000000-0005-0000-0000-0000F0200000}"/>
    <cellStyle name="Normal 5 6" xfId="7001" xr:uid="{00000000-0005-0000-0000-0000F1200000}"/>
    <cellStyle name="Normal 5 6 2" xfId="7002" xr:uid="{00000000-0005-0000-0000-0000F2200000}"/>
    <cellStyle name="Normal 5 6 2 2" xfId="7003" xr:uid="{00000000-0005-0000-0000-0000F3200000}"/>
    <cellStyle name="Normal 5 6 2 3" xfId="7004" xr:uid="{00000000-0005-0000-0000-0000F4200000}"/>
    <cellStyle name="Normal 5 6 2 4" xfId="10718" xr:uid="{00000000-0005-0000-0000-0000F5200000}"/>
    <cellStyle name="Normal 5 6 3" xfId="7005" xr:uid="{00000000-0005-0000-0000-0000F6200000}"/>
    <cellStyle name="Normal 5 6 3 2" xfId="7006" xr:uid="{00000000-0005-0000-0000-0000F7200000}"/>
    <cellStyle name="Normal 5 6 3 3" xfId="10719" xr:uid="{00000000-0005-0000-0000-0000F8200000}"/>
    <cellStyle name="Normal 5 60" xfId="7007" xr:uid="{00000000-0005-0000-0000-0000F9200000}"/>
    <cellStyle name="Normal 5 60 2" xfId="7008" xr:uid="{00000000-0005-0000-0000-0000FA200000}"/>
    <cellStyle name="Normal 5 60 2 2" xfId="7009" xr:uid="{00000000-0005-0000-0000-0000FB200000}"/>
    <cellStyle name="Normal 5 60 2 3" xfId="10721" xr:uid="{00000000-0005-0000-0000-0000FC200000}"/>
    <cellStyle name="Normal 5 60 3" xfId="7010" xr:uid="{00000000-0005-0000-0000-0000FD200000}"/>
    <cellStyle name="Normal 5 60 4" xfId="10720" xr:uid="{00000000-0005-0000-0000-0000FE200000}"/>
    <cellStyle name="Normal 5 61" xfId="7011" xr:uid="{00000000-0005-0000-0000-0000FF200000}"/>
    <cellStyle name="Normal 5 61 2" xfId="7012" xr:uid="{00000000-0005-0000-0000-000000210000}"/>
    <cellStyle name="Normal 5 61 2 2" xfId="7013" xr:uid="{00000000-0005-0000-0000-000001210000}"/>
    <cellStyle name="Normal 5 61 2 3" xfId="10723" xr:uid="{00000000-0005-0000-0000-000002210000}"/>
    <cellStyle name="Normal 5 61 3" xfId="7014" xr:uid="{00000000-0005-0000-0000-000003210000}"/>
    <cellStyle name="Normal 5 61 4" xfId="10722" xr:uid="{00000000-0005-0000-0000-000004210000}"/>
    <cellStyle name="Normal 5 62" xfId="7015" xr:uid="{00000000-0005-0000-0000-000005210000}"/>
    <cellStyle name="Normal 5 62 2" xfId="7016" xr:uid="{00000000-0005-0000-0000-000006210000}"/>
    <cellStyle name="Normal 5 62 3" xfId="10724" xr:uid="{00000000-0005-0000-0000-000007210000}"/>
    <cellStyle name="Normal 5 63" xfId="7017" xr:uid="{00000000-0005-0000-0000-000008210000}"/>
    <cellStyle name="Normal 5 63 2" xfId="7018" xr:uid="{00000000-0005-0000-0000-000009210000}"/>
    <cellStyle name="Normal 5 63 3" xfId="10725" xr:uid="{00000000-0005-0000-0000-00000A210000}"/>
    <cellStyle name="Normal 5 64" xfId="7019" xr:uid="{00000000-0005-0000-0000-00000B210000}"/>
    <cellStyle name="Normal 5 64 2" xfId="7020" xr:uid="{00000000-0005-0000-0000-00000C210000}"/>
    <cellStyle name="Normal 5 64 3" xfId="10726" xr:uid="{00000000-0005-0000-0000-00000D210000}"/>
    <cellStyle name="Normal 5 65" xfId="7021" xr:uid="{00000000-0005-0000-0000-00000E210000}"/>
    <cellStyle name="Normal 5 65 2" xfId="7022" xr:uid="{00000000-0005-0000-0000-00000F210000}"/>
    <cellStyle name="Normal 5 65 3" xfId="10727" xr:uid="{00000000-0005-0000-0000-000010210000}"/>
    <cellStyle name="Normal 5 66" xfId="7023" xr:uid="{00000000-0005-0000-0000-000011210000}"/>
    <cellStyle name="Normal 5 66 2" xfId="7024" xr:uid="{00000000-0005-0000-0000-000012210000}"/>
    <cellStyle name="Normal 5 66 3" xfId="10728" xr:uid="{00000000-0005-0000-0000-000013210000}"/>
    <cellStyle name="Normal 5 67" xfId="7025" xr:uid="{00000000-0005-0000-0000-000014210000}"/>
    <cellStyle name="Normal 5 67 2" xfId="7026" xr:uid="{00000000-0005-0000-0000-000015210000}"/>
    <cellStyle name="Normal 5 67 3" xfId="10729" xr:uid="{00000000-0005-0000-0000-000016210000}"/>
    <cellStyle name="Normal 5 68" xfId="7027" xr:uid="{00000000-0005-0000-0000-000017210000}"/>
    <cellStyle name="Normal 5 68 2" xfId="7028" xr:uid="{00000000-0005-0000-0000-000018210000}"/>
    <cellStyle name="Normal 5 68 3" xfId="10730" xr:uid="{00000000-0005-0000-0000-000019210000}"/>
    <cellStyle name="Normal 5 69" xfId="7029" xr:uid="{00000000-0005-0000-0000-00001A210000}"/>
    <cellStyle name="Normal 5 69 2" xfId="7030" xr:uid="{00000000-0005-0000-0000-00001B210000}"/>
    <cellStyle name="Normal 5 69 3" xfId="10731" xr:uid="{00000000-0005-0000-0000-00001C210000}"/>
    <cellStyle name="Normal 5 7" xfId="7031" xr:uid="{00000000-0005-0000-0000-00001D210000}"/>
    <cellStyle name="Normal 5 7 2" xfId="7032" xr:uid="{00000000-0005-0000-0000-00001E210000}"/>
    <cellStyle name="Normal 5 7 2 2" xfId="7033" xr:uid="{00000000-0005-0000-0000-00001F210000}"/>
    <cellStyle name="Normal 5 7 2 3" xfId="7034" xr:uid="{00000000-0005-0000-0000-000020210000}"/>
    <cellStyle name="Normal 5 7 2 4" xfId="10732" xr:uid="{00000000-0005-0000-0000-000021210000}"/>
    <cellStyle name="Normal 5 7 3" xfId="7035" xr:uid="{00000000-0005-0000-0000-000022210000}"/>
    <cellStyle name="Normal 5 7 3 2" xfId="7036" xr:uid="{00000000-0005-0000-0000-000023210000}"/>
    <cellStyle name="Normal 5 7 3 3" xfId="10733" xr:uid="{00000000-0005-0000-0000-000024210000}"/>
    <cellStyle name="Normal 5 70" xfId="7037" xr:uid="{00000000-0005-0000-0000-000025210000}"/>
    <cellStyle name="Normal 5 70 2" xfId="7038" xr:uid="{00000000-0005-0000-0000-000026210000}"/>
    <cellStyle name="Normal 5 70 3" xfId="10734" xr:uid="{00000000-0005-0000-0000-000027210000}"/>
    <cellStyle name="Normal 5 71" xfId="7039" xr:uid="{00000000-0005-0000-0000-000028210000}"/>
    <cellStyle name="Normal 5 71 2" xfId="7040" xr:uid="{00000000-0005-0000-0000-000029210000}"/>
    <cellStyle name="Normal 5 71 3" xfId="10735" xr:uid="{00000000-0005-0000-0000-00002A210000}"/>
    <cellStyle name="Normal 5 72" xfId="7041" xr:uid="{00000000-0005-0000-0000-00002B210000}"/>
    <cellStyle name="Normal 5 72 2" xfId="7042" xr:uid="{00000000-0005-0000-0000-00002C210000}"/>
    <cellStyle name="Normal 5 72 3" xfId="10736" xr:uid="{00000000-0005-0000-0000-00002D210000}"/>
    <cellStyle name="Normal 5 73" xfId="7043" xr:uid="{00000000-0005-0000-0000-00002E210000}"/>
    <cellStyle name="Normal 5 73 2" xfId="7044" xr:uid="{00000000-0005-0000-0000-00002F210000}"/>
    <cellStyle name="Normal 5 73 3" xfId="10737" xr:uid="{00000000-0005-0000-0000-000030210000}"/>
    <cellStyle name="Normal 5 74" xfId="7045" xr:uid="{00000000-0005-0000-0000-000031210000}"/>
    <cellStyle name="Normal 5 74 2" xfId="7046" xr:uid="{00000000-0005-0000-0000-000032210000}"/>
    <cellStyle name="Normal 5 74 3" xfId="10738" xr:uid="{00000000-0005-0000-0000-000033210000}"/>
    <cellStyle name="Normal 5 75" xfId="7047" xr:uid="{00000000-0005-0000-0000-000034210000}"/>
    <cellStyle name="Normal 5 75 2" xfId="7048" xr:uid="{00000000-0005-0000-0000-000035210000}"/>
    <cellStyle name="Normal 5 75 3" xfId="10739" xr:uid="{00000000-0005-0000-0000-000036210000}"/>
    <cellStyle name="Normal 5 76" xfId="7049" xr:uid="{00000000-0005-0000-0000-000037210000}"/>
    <cellStyle name="Normal 5 76 2" xfId="7050" xr:uid="{00000000-0005-0000-0000-000038210000}"/>
    <cellStyle name="Normal 5 76 3" xfId="10740" xr:uid="{00000000-0005-0000-0000-000039210000}"/>
    <cellStyle name="Normal 5 77" xfId="7051" xr:uid="{00000000-0005-0000-0000-00003A210000}"/>
    <cellStyle name="Normal 5 77 2" xfId="7052" xr:uid="{00000000-0005-0000-0000-00003B210000}"/>
    <cellStyle name="Normal 5 77 3" xfId="10741" xr:uid="{00000000-0005-0000-0000-00003C210000}"/>
    <cellStyle name="Normal 5 78" xfId="7053" xr:uid="{00000000-0005-0000-0000-00003D210000}"/>
    <cellStyle name="Normal 5 78 2" xfId="7054" xr:uid="{00000000-0005-0000-0000-00003E210000}"/>
    <cellStyle name="Normal 5 78 3" xfId="10742" xr:uid="{00000000-0005-0000-0000-00003F210000}"/>
    <cellStyle name="Normal 5 79" xfId="7055" xr:uid="{00000000-0005-0000-0000-000040210000}"/>
    <cellStyle name="Normal 5 79 2" xfId="7056" xr:uid="{00000000-0005-0000-0000-000041210000}"/>
    <cellStyle name="Normal 5 79 3" xfId="10743" xr:uid="{00000000-0005-0000-0000-000042210000}"/>
    <cellStyle name="Normal 5 8" xfId="7057" xr:uid="{00000000-0005-0000-0000-000043210000}"/>
    <cellStyle name="Normal 5 8 2" xfId="7058" xr:uid="{00000000-0005-0000-0000-000044210000}"/>
    <cellStyle name="Normal 5 8 2 2" xfId="7059" xr:uid="{00000000-0005-0000-0000-000045210000}"/>
    <cellStyle name="Normal 5 8 2 3" xfId="10745" xr:uid="{00000000-0005-0000-0000-000046210000}"/>
    <cellStyle name="Normal 5 8 3" xfId="7060" xr:uid="{00000000-0005-0000-0000-000047210000}"/>
    <cellStyle name="Normal 5 8 4" xfId="10744" xr:uid="{00000000-0005-0000-0000-000048210000}"/>
    <cellStyle name="Normal 5 80" xfId="7061" xr:uid="{00000000-0005-0000-0000-000049210000}"/>
    <cellStyle name="Normal 5 80 2" xfId="7062" xr:uid="{00000000-0005-0000-0000-00004A210000}"/>
    <cellStyle name="Normal 5 80 3" xfId="10746" xr:uid="{00000000-0005-0000-0000-00004B210000}"/>
    <cellStyle name="Normal 5 81" xfId="7063" xr:uid="{00000000-0005-0000-0000-00004C210000}"/>
    <cellStyle name="Normal 5 81 2" xfId="7064" xr:uid="{00000000-0005-0000-0000-00004D210000}"/>
    <cellStyle name="Normal 5 81 3" xfId="10747" xr:uid="{00000000-0005-0000-0000-00004E210000}"/>
    <cellStyle name="Normal 5 82" xfId="7065" xr:uid="{00000000-0005-0000-0000-00004F210000}"/>
    <cellStyle name="Normal 5 82 2" xfId="7066" xr:uid="{00000000-0005-0000-0000-000050210000}"/>
    <cellStyle name="Normal 5 82 3" xfId="10748" xr:uid="{00000000-0005-0000-0000-000051210000}"/>
    <cellStyle name="Normal 5 83" xfId="7067" xr:uid="{00000000-0005-0000-0000-000052210000}"/>
    <cellStyle name="Normal 5 83 2" xfId="7068" xr:uid="{00000000-0005-0000-0000-000053210000}"/>
    <cellStyle name="Normal 5 83 3" xfId="10749" xr:uid="{00000000-0005-0000-0000-000054210000}"/>
    <cellStyle name="Normal 5 84" xfId="7069" xr:uid="{00000000-0005-0000-0000-000055210000}"/>
    <cellStyle name="Normal 5 84 2" xfId="7070" xr:uid="{00000000-0005-0000-0000-000056210000}"/>
    <cellStyle name="Normal 5 84 3" xfId="10750" xr:uid="{00000000-0005-0000-0000-000057210000}"/>
    <cellStyle name="Normal 5 85" xfId="7071" xr:uid="{00000000-0005-0000-0000-000058210000}"/>
    <cellStyle name="Normal 5 85 2" xfId="7072" xr:uid="{00000000-0005-0000-0000-000059210000}"/>
    <cellStyle name="Normal 5 85 3" xfId="10751" xr:uid="{00000000-0005-0000-0000-00005A210000}"/>
    <cellStyle name="Normal 5 86" xfId="7073" xr:uid="{00000000-0005-0000-0000-00005B210000}"/>
    <cellStyle name="Normal 5 86 2" xfId="7074" xr:uid="{00000000-0005-0000-0000-00005C210000}"/>
    <cellStyle name="Normal 5 86 3" xfId="10752" xr:uid="{00000000-0005-0000-0000-00005D210000}"/>
    <cellStyle name="Normal 5 87" xfId="7075" xr:uid="{00000000-0005-0000-0000-00005E210000}"/>
    <cellStyle name="Normal 5 87 2" xfId="7076" xr:uid="{00000000-0005-0000-0000-00005F210000}"/>
    <cellStyle name="Normal 5 87 3" xfId="10753" xr:uid="{00000000-0005-0000-0000-000060210000}"/>
    <cellStyle name="Normal 5 88" xfId="7077" xr:uid="{00000000-0005-0000-0000-000061210000}"/>
    <cellStyle name="Normal 5 88 2" xfId="7078" xr:uid="{00000000-0005-0000-0000-000062210000}"/>
    <cellStyle name="Normal 5 88 3" xfId="10754" xr:uid="{00000000-0005-0000-0000-000063210000}"/>
    <cellStyle name="Normal 5 89" xfId="7079" xr:uid="{00000000-0005-0000-0000-000064210000}"/>
    <cellStyle name="Normal 5 89 2" xfId="7080" xr:uid="{00000000-0005-0000-0000-000065210000}"/>
    <cellStyle name="Normal 5 89 3" xfId="10755" xr:uid="{00000000-0005-0000-0000-000066210000}"/>
    <cellStyle name="Normal 5 9" xfId="7081" xr:uid="{00000000-0005-0000-0000-000067210000}"/>
    <cellStyle name="Normal 5 9 2" xfId="7082" xr:uid="{00000000-0005-0000-0000-000068210000}"/>
    <cellStyle name="Normal 5 9 2 2" xfId="7083" xr:uid="{00000000-0005-0000-0000-000069210000}"/>
    <cellStyle name="Normal 5 9 2 3" xfId="10757" xr:uid="{00000000-0005-0000-0000-00006A210000}"/>
    <cellStyle name="Normal 5 9 3" xfId="7084" xr:uid="{00000000-0005-0000-0000-00006B210000}"/>
    <cellStyle name="Normal 5 9 4" xfId="10756" xr:uid="{00000000-0005-0000-0000-00006C210000}"/>
    <cellStyle name="Normal 5 90" xfId="7085" xr:uid="{00000000-0005-0000-0000-00006D210000}"/>
    <cellStyle name="Normal 5 90 2" xfId="7086" xr:uid="{00000000-0005-0000-0000-00006E210000}"/>
    <cellStyle name="Normal 5 90 3" xfId="10758" xr:uid="{00000000-0005-0000-0000-00006F210000}"/>
    <cellStyle name="Normal 5 91" xfId="7087" xr:uid="{00000000-0005-0000-0000-000070210000}"/>
    <cellStyle name="Normal 5 91 2" xfId="7088" xr:uid="{00000000-0005-0000-0000-000071210000}"/>
    <cellStyle name="Normal 5 91 3" xfId="10759" xr:uid="{00000000-0005-0000-0000-000072210000}"/>
    <cellStyle name="Normal 5 92" xfId="7089" xr:uid="{00000000-0005-0000-0000-000073210000}"/>
    <cellStyle name="Normal 5 92 2" xfId="7090" xr:uid="{00000000-0005-0000-0000-000074210000}"/>
    <cellStyle name="Normal 5 92 3" xfId="10760" xr:uid="{00000000-0005-0000-0000-000075210000}"/>
    <cellStyle name="Normal 5 93" xfId="7091" xr:uid="{00000000-0005-0000-0000-000076210000}"/>
    <cellStyle name="Normal 5 93 2" xfId="7092" xr:uid="{00000000-0005-0000-0000-000077210000}"/>
    <cellStyle name="Normal 5 93 3" xfId="10761" xr:uid="{00000000-0005-0000-0000-000078210000}"/>
    <cellStyle name="Normal 5 94" xfId="7093" xr:uid="{00000000-0005-0000-0000-000079210000}"/>
    <cellStyle name="Normal 5 95" xfId="7094" xr:uid="{00000000-0005-0000-0000-00007A210000}"/>
    <cellStyle name="Normal 5 95 2" xfId="7095" xr:uid="{00000000-0005-0000-0000-00007B210000}"/>
    <cellStyle name="Normal 5 95 3" xfId="10762" xr:uid="{00000000-0005-0000-0000-00007C210000}"/>
    <cellStyle name="Normal 5 96" xfId="7096" xr:uid="{00000000-0005-0000-0000-00007D210000}"/>
    <cellStyle name="Normal 5 96 2" xfId="7097" xr:uid="{00000000-0005-0000-0000-00007E210000}"/>
    <cellStyle name="Normal 5 96 3" xfId="10763" xr:uid="{00000000-0005-0000-0000-00007F210000}"/>
    <cellStyle name="Normal 5 97" xfId="7098" xr:uid="{00000000-0005-0000-0000-000080210000}"/>
    <cellStyle name="Normal 5 97 2" xfId="7099" xr:uid="{00000000-0005-0000-0000-000081210000}"/>
    <cellStyle name="Normal 5 97 3" xfId="10764" xr:uid="{00000000-0005-0000-0000-000082210000}"/>
    <cellStyle name="Normal 5 98" xfId="7100" xr:uid="{00000000-0005-0000-0000-000083210000}"/>
    <cellStyle name="Normal 5 98 2" xfId="7101" xr:uid="{00000000-0005-0000-0000-000084210000}"/>
    <cellStyle name="Normal 5 98 3" xfId="10765" xr:uid="{00000000-0005-0000-0000-000085210000}"/>
    <cellStyle name="Normal 5 99" xfId="7102" xr:uid="{00000000-0005-0000-0000-000086210000}"/>
    <cellStyle name="Normal 50" xfId="7103" xr:uid="{00000000-0005-0000-0000-000087210000}"/>
    <cellStyle name="Normal 51" xfId="7104" xr:uid="{00000000-0005-0000-0000-000088210000}"/>
    <cellStyle name="Normal 52" xfId="7105" xr:uid="{00000000-0005-0000-0000-000089210000}"/>
    <cellStyle name="Normal 53" xfId="7106" xr:uid="{00000000-0005-0000-0000-00008A210000}"/>
    <cellStyle name="Normal 54" xfId="7107" xr:uid="{00000000-0005-0000-0000-00008B210000}"/>
    <cellStyle name="Normal 55" xfId="7108" xr:uid="{00000000-0005-0000-0000-00008C210000}"/>
    <cellStyle name="Normal 56" xfId="7109" xr:uid="{00000000-0005-0000-0000-00008D210000}"/>
    <cellStyle name="Normal 57" xfId="7110" xr:uid="{00000000-0005-0000-0000-00008E210000}"/>
    <cellStyle name="Normal 58" xfId="7111" xr:uid="{00000000-0005-0000-0000-00008F210000}"/>
    <cellStyle name="Normal 59" xfId="7112" xr:uid="{00000000-0005-0000-0000-000090210000}"/>
    <cellStyle name="Normal 6" xfId="7113" xr:uid="{00000000-0005-0000-0000-000091210000}"/>
    <cellStyle name="Normal 6 10" xfId="7114" xr:uid="{00000000-0005-0000-0000-000092210000}"/>
    <cellStyle name="Normal 6 11" xfId="7115" xr:uid="{00000000-0005-0000-0000-000093210000}"/>
    <cellStyle name="Normal 6 11 2" xfId="7116" xr:uid="{00000000-0005-0000-0000-000094210000}"/>
    <cellStyle name="Normal 6 11 2 2" xfId="10766" xr:uid="{00000000-0005-0000-0000-000095210000}"/>
    <cellStyle name="Normal 6 12" xfId="7117" xr:uid="{00000000-0005-0000-0000-000096210000}"/>
    <cellStyle name="Normal 6 12 2" xfId="7118" xr:uid="{00000000-0005-0000-0000-000097210000}"/>
    <cellStyle name="Normal 6 12 3" xfId="10767" xr:uid="{00000000-0005-0000-0000-000098210000}"/>
    <cellStyle name="Normal 6 13" xfId="7119" xr:uid="{00000000-0005-0000-0000-000099210000}"/>
    <cellStyle name="Normal 6 13 2" xfId="11152" xr:uid="{00000000-0005-0000-0000-00009A210000}"/>
    <cellStyle name="Normal 6 14" xfId="7120" xr:uid="{00000000-0005-0000-0000-00009B210000}"/>
    <cellStyle name="Normal 6 14 2" xfId="11155" xr:uid="{00000000-0005-0000-0000-00009C210000}"/>
    <cellStyle name="Normal 6 15" xfId="7121" xr:uid="{00000000-0005-0000-0000-00009D210000}"/>
    <cellStyle name="Normal 6 2" xfId="7122" xr:uid="{00000000-0005-0000-0000-00009E210000}"/>
    <cellStyle name="Normal 6 2 10" xfId="7123" xr:uid="{00000000-0005-0000-0000-00009F210000}"/>
    <cellStyle name="Normal 6 2 10 2" xfId="11142" xr:uid="{00000000-0005-0000-0000-0000A0210000}"/>
    <cellStyle name="Normal 6 2 11" xfId="7124" xr:uid="{00000000-0005-0000-0000-0000A1210000}"/>
    <cellStyle name="Normal 6 2 12" xfId="10768" xr:uid="{00000000-0005-0000-0000-0000A2210000}"/>
    <cellStyle name="Normal 6 2 2" xfId="7125" xr:uid="{00000000-0005-0000-0000-0000A3210000}"/>
    <cellStyle name="Normal 6 2 2 2" xfId="7126" xr:uid="{00000000-0005-0000-0000-0000A4210000}"/>
    <cellStyle name="Normal 6 2 2 2 2" xfId="7127" xr:uid="{00000000-0005-0000-0000-0000A5210000}"/>
    <cellStyle name="Normal 6 2 2 2 2 2" xfId="7128" xr:uid="{00000000-0005-0000-0000-0000A6210000}"/>
    <cellStyle name="Normal 6 2 2 2 2 3" xfId="10770" xr:uid="{00000000-0005-0000-0000-0000A7210000}"/>
    <cellStyle name="Normal 6 2 2 2 3" xfId="7129" xr:uid="{00000000-0005-0000-0000-0000A8210000}"/>
    <cellStyle name="Normal 6 2 2 2 4" xfId="10769" xr:uid="{00000000-0005-0000-0000-0000A9210000}"/>
    <cellStyle name="Normal 6 2 2 3" xfId="7130" xr:uid="{00000000-0005-0000-0000-0000AA210000}"/>
    <cellStyle name="Normal 6 2 2 3 2" xfId="7131" xr:uid="{00000000-0005-0000-0000-0000AB210000}"/>
    <cellStyle name="Normal 6 2 2 3 3" xfId="10771" xr:uid="{00000000-0005-0000-0000-0000AC210000}"/>
    <cellStyle name="Normal 6 2 2 4" xfId="7132" xr:uid="{00000000-0005-0000-0000-0000AD210000}"/>
    <cellStyle name="Normal 6 2 2 4 2" xfId="7133" xr:uid="{00000000-0005-0000-0000-0000AE210000}"/>
    <cellStyle name="Normal 6 2 2 4 3" xfId="10772" xr:uid="{00000000-0005-0000-0000-0000AF210000}"/>
    <cellStyle name="Normal 6 2 2 5" xfId="7134" xr:uid="{00000000-0005-0000-0000-0000B0210000}"/>
    <cellStyle name="Normal 6 2 2 5 2" xfId="7135" xr:uid="{00000000-0005-0000-0000-0000B1210000}"/>
    <cellStyle name="Normal 6 2 2 5 3" xfId="10773" xr:uid="{00000000-0005-0000-0000-0000B2210000}"/>
    <cellStyle name="Normal 6 2 2 6" xfId="7136" xr:uid="{00000000-0005-0000-0000-0000B3210000}"/>
    <cellStyle name="Normal 6 2 2 6 2" xfId="7137" xr:uid="{00000000-0005-0000-0000-0000B4210000}"/>
    <cellStyle name="Normal 6 2 2 6 3" xfId="10774" xr:uid="{00000000-0005-0000-0000-0000B5210000}"/>
    <cellStyle name="Normal 6 2 2 7" xfId="7138" xr:uid="{00000000-0005-0000-0000-0000B6210000}"/>
    <cellStyle name="Normal 6 2 2 7 2" xfId="7139" xr:uid="{00000000-0005-0000-0000-0000B7210000}"/>
    <cellStyle name="Normal 6 2 2 7 3" xfId="10775" xr:uid="{00000000-0005-0000-0000-0000B8210000}"/>
    <cellStyle name="Normal 6 2 2 8" xfId="7140" xr:uid="{00000000-0005-0000-0000-0000B9210000}"/>
    <cellStyle name="Normal 6 2 2 8 2" xfId="7141" xr:uid="{00000000-0005-0000-0000-0000BA210000}"/>
    <cellStyle name="Normal 6 2 2 8 3" xfId="10776" xr:uid="{00000000-0005-0000-0000-0000BB210000}"/>
    <cellStyle name="Normal 6 2 2 9" xfId="7142" xr:uid="{00000000-0005-0000-0000-0000BC210000}"/>
    <cellStyle name="Normal 6 2 2 9 2" xfId="7143" xr:uid="{00000000-0005-0000-0000-0000BD210000}"/>
    <cellStyle name="Normal 6 2 2 9 3" xfId="10777" xr:uid="{00000000-0005-0000-0000-0000BE210000}"/>
    <cellStyle name="Normal 6 2 3" xfId="7144" xr:uid="{00000000-0005-0000-0000-0000BF210000}"/>
    <cellStyle name="Normal 6 2 4" xfId="7145" xr:uid="{00000000-0005-0000-0000-0000C0210000}"/>
    <cellStyle name="Normal 6 2 4 2" xfId="7146" xr:uid="{00000000-0005-0000-0000-0000C1210000}"/>
    <cellStyle name="Normal 6 2 4 3" xfId="10778" xr:uid="{00000000-0005-0000-0000-0000C2210000}"/>
    <cellStyle name="Normal 6 2 5" xfId="7147" xr:uid="{00000000-0005-0000-0000-0000C3210000}"/>
    <cellStyle name="Normal 6 2 5 2" xfId="11168" xr:uid="{00000000-0005-0000-0000-0000C4210000}"/>
    <cellStyle name="Normal 6 2 6" xfId="7148" xr:uid="{00000000-0005-0000-0000-0000C5210000}"/>
    <cellStyle name="Normal 6 2 7" xfId="7149" xr:uid="{00000000-0005-0000-0000-0000C6210000}"/>
    <cellStyle name="Normal 6 2 8" xfId="7150" xr:uid="{00000000-0005-0000-0000-0000C7210000}"/>
    <cellStyle name="Normal 6 2 9" xfId="7151" xr:uid="{00000000-0005-0000-0000-0000C8210000}"/>
    <cellStyle name="Normal 6 3" xfId="7152" xr:uid="{00000000-0005-0000-0000-0000C9210000}"/>
    <cellStyle name="Normal 6 3 2" xfId="7153" xr:uid="{00000000-0005-0000-0000-0000CA210000}"/>
    <cellStyle name="Normal 6 3 2 2" xfId="7154" xr:uid="{00000000-0005-0000-0000-0000CB210000}"/>
    <cellStyle name="Normal 6 3 2 2 2" xfId="10780" xr:uid="{00000000-0005-0000-0000-0000CC210000}"/>
    <cellStyle name="Normal 6 3 2 3" xfId="7155" xr:uid="{00000000-0005-0000-0000-0000CD210000}"/>
    <cellStyle name="Normal 6 3 3" xfId="7156" xr:uid="{00000000-0005-0000-0000-0000CE210000}"/>
    <cellStyle name="Normal 6 3 4" xfId="7157" xr:uid="{00000000-0005-0000-0000-0000CF210000}"/>
    <cellStyle name="Normal 6 3 5" xfId="10779" xr:uid="{00000000-0005-0000-0000-0000D0210000}"/>
    <cellStyle name="Normal 6 4" xfId="7158" xr:uid="{00000000-0005-0000-0000-0000D1210000}"/>
    <cellStyle name="Normal 6 4 2" xfId="7159" xr:uid="{00000000-0005-0000-0000-0000D2210000}"/>
    <cellStyle name="Normal 6 4 3" xfId="7160" xr:uid="{00000000-0005-0000-0000-0000D3210000}"/>
    <cellStyle name="Normal 6 4 4" xfId="10781" xr:uid="{00000000-0005-0000-0000-0000D4210000}"/>
    <cellStyle name="Normal 6 5" xfId="7161" xr:uid="{00000000-0005-0000-0000-0000D5210000}"/>
    <cellStyle name="Normal 6 5 2" xfId="7162" xr:uid="{00000000-0005-0000-0000-0000D6210000}"/>
    <cellStyle name="Normal 6 5 3" xfId="7163" xr:uid="{00000000-0005-0000-0000-0000D7210000}"/>
    <cellStyle name="Normal 6 5 4" xfId="10782" xr:uid="{00000000-0005-0000-0000-0000D8210000}"/>
    <cellStyle name="Normal 6 6" xfId="7164" xr:uid="{00000000-0005-0000-0000-0000D9210000}"/>
    <cellStyle name="Normal 6 7" xfId="7165" xr:uid="{00000000-0005-0000-0000-0000DA210000}"/>
    <cellStyle name="Normal 6 8" xfId="7166" xr:uid="{00000000-0005-0000-0000-0000DB210000}"/>
    <cellStyle name="Normal 6 9" xfId="7167" xr:uid="{00000000-0005-0000-0000-0000DC210000}"/>
    <cellStyle name="Normal 60" xfId="7168" xr:uid="{00000000-0005-0000-0000-0000DD210000}"/>
    <cellStyle name="Normal 61" xfId="7169" xr:uid="{00000000-0005-0000-0000-0000DE210000}"/>
    <cellStyle name="Normal 62" xfId="7170" xr:uid="{00000000-0005-0000-0000-0000DF210000}"/>
    <cellStyle name="Normal 63" xfId="7171" xr:uid="{00000000-0005-0000-0000-0000E0210000}"/>
    <cellStyle name="Normal 64" xfId="7172" xr:uid="{00000000-0005-0000-0000-0000E1210000}"/>
    <cellStyle name="Normal 65" xfId="7173" xr:uid="{00000000-0005-0000-0000-0000E2210000}"/>
    <cellStyle name="Normal 66" xfId="7174" xr:uid="{00000000-0005-0000-0000-0000E3210000}"/>
    <cellStyle name="Normal 66 2" xfId="7175" xr:uid="{00000000-0005-0000-0000-0000E4210000}"/>
    <cellStyle name="Normal 67" xfId="7176" xr:uid="{00000000-0005-0000-0000-0000E5210000}"/>
    <cellStyle name="Normal 67 2" xfId="7177" xr:uid="{00000000-0005-0000-0000-0000E6210000}"/>
    <cellStyle name="Normal 68" xfId="7178" xr:uid="{00000000-0005-0000-0000-0000E7210000}"/>
    <cellStyle name="Normal 68 2" xfId="7179" xr:uid="{00000000-0005-0000-0000-0000E8210000}"/>
    <cellStyle name="Normal 69" xfId="7180" xr:uid="{00000000-0005-0000-0000-0000E9210000}"/>
    <cellStyle name="Normal 7" xfId="7181" xr:uid="{00000000-0005-0000-0000-0000EA210000}"/>
    <cellStyle name="Normal 7 10" xfId="7182" xr:uid="{00000000-0005-0000-0000-0000EB210000}"/>
    <cellStyle name="Normal 7 11" xfId="7183" xr:uid="{00000000-0005-0000-0000-0000EC210000}"/>
    <cellStyle name="Normal 7 12" xfId="7184" xr:uid="{00000000-0005-0000-0000-0000ED210000}"/>
    <cellStyle name="Normal 7 13" xfId="7185" xr:uid="{00000000-0005-0000-0000-0000EE210000}"/>
    <cellStyle name="Normal 7 14" xfId="7186" xr:uid="{00000000-0005-0000-0000-0000EF210000}"/>
    <cellStyle name="Normal 7 15" xfId="7187" xr:uid="{00000000-0005-0000-0000-0000F0210000}"/>
    <cellStyle name="Normal 7 16" xfId="7188" xr:uid="{00000000-0005-0000-0000-0000F1210000}"/>
    <cellStyle name="Normal 7 17" xfId="7189" xr:uid="{00000000-0005-0000-0000-0000F2210000}"/>
    <cellStyle name="Normal 7 18" xfId="7190" xr:uid="{00000000-0005-0000-0000-0000F3210000}"/>
    <cellStyle name="Normal 7 19" xfId="7191" xr:uid="{00000000-0005-0000-0000-0000F4210000}"/>
    <cellStyle name="Normal 7 2" xfId="7192" xr:uid="{00000000-0005-0000-0000-0000F5210000}"/>
    <cellStyle name="Normal 7 2 2" xfId="7193" xr:uid="{00000000-0005-0000-0000-0000F6210000}"/>
    <cellStyle name="Normal 7 2 2 2" xfId="7194" xr:uid="{00000000-0005-0000-0000-0000F7210000}"/>
    <cellStyle name="Normal 7 2 2 2 2" xfId="7195" xr:uid="{00000000-0005-0000-0000-0000F8210000}"/>
    <cellStyle name="Normal 7 2 2 3" xfId="7196" xr:uid="{00000000-0005-0000-0000-0000F9210000}"/>
    <cellStyle name="Normal 7 2 2 4" xfId="7197" xr:uid="{00000000-0005-0000-0000-0000FA210000}"/>
    <cellStyle name="Normal 7 2 2 5" xfId="7198" xr:uid="{00000000-0005-0000-0000-0000FB210000}"/>
    <cellStyle name="Normal 7 2 3" xfId="7199" xr:uid="{00000000-0005-0000-0000-0000FC210000}"/>
    <cellStyle name="Normal 7 2 4" xfId="7200" xr:uid="{00000000-0005-0000-0000-0000FD210000}"/>
    <cellStyle name="Normal 7 2 5" xfId="7201" xr:uid="{00000000-0005-0000-0000-0000FE210000}"/>
    <cellStyle name="Normal 7 2 6" xfId="7202" xr:uid="{00000000-0005-0000-0000-0000FF210000}"/>
    <cellStyle name="Normal 7 2 7" xfId="7203" xr:uid="{00000000-0005-0000-0000-000000220000}"/>
    <cellStyle name="Normal 7 2 8" xfId="7204" xr:uid="{00000000-0005-0000-0000-000001220000}"/>
    <cellStyle name="Normal 7 2 9" xfId="7205" xr:uid="{00000000-0005-0000-0000-000002220000}"/>
    <cellStyle name="Normal 7 20" xfId="7206" xr:uid="{00000000-0005-0000-0000-000003220000}"/>
    <cellStyle name="Normal 7 21" xfId="7207" xr:uid="{00000000-0005-0000-0000-000004220000}"/>
    <cellStyle name="Normal 7 22" xfId="7208" xr:uid="{00000000-0005-0000-0000-000005220000}"/>
    <cellStyle name="Normal 7 23" xfId="7209" xr:uid="{00000000-0005-0000-0000-000006220000}"/>
    <cellStyle name="Normal 7 24" xfId="7210" xr:uid="{00000000-0005-0000-0000-000007220000}"/>
    <cellStyle name="Normal 7 25" xfId="7211" xr:uid="{00000000-0005-0000-0000-000008220000}"/>
    <cellStyle name="Normal 7 26" xfId="7212" xr:uid="{00000000-0005-0000-0000-000009220000}"/>
    <cellStyle name="Normal 7 27" xfId="7213" xr:uid="{00000000-0005-0000-0000-00000A220000}"/>
    <cellStyle name="Normal 7 28" xfId="7214" xr:uid="{00000000-0005-0000-0000-00000B220000}"/>
    <cellStyle name="Normal 7 29" xfId="7215" xr:uid="{00000000-0005-0000-0000-00000C220000}"/>
    <cellStyle name="Normal 7 3" xfId="7216" xr:uid="{00000000-0005-0000-0000-00000D220000}"/>
    <cellStyle name="Normal 7 3 2" xfId="7217" xr:uid="{00000000-0005-0000-0000-00000E220000}"/>
    <cellStyle name="Normal 7 3 3" xfId="7218" xr:uid="{00000000-0005-0000-0000-00000F220000}"/>
    <cellStyle name="Normal 7 3 4" xfId="7219" xr:uid="{00000000-0005-0000-0000-000010220000}"/>
    <cellStyle name="Normal 7 30" xfId="7220" xr:uid="{00000000-0005-0000-0000-000011220000}"/>
    <cellStyle name="Normal 7 31" xfId="7221" xr:uid="{00000000-0005-0000-0000-000012220000}"/>
    <cellStyle name="Normal 7 32" xfId="7222" xr:uid="{00000000-0005-0000-0000-000013220000}"/>
    <cellStyle name="Normal 7 33" xfId="7223" xr:uid="{00000000-0005-0000-0000-000014220000}"/>
    <cellStyle name="Normal 7 34" xfId="7224" xr:uid="{00000000-0005-0000-0000-000015220000}"/>
    <cellStyle name="Normal 7 35" xfId="7225" xr:uid="{00000000-0005-0000-0000-000016220000}"/>
    <cellStyle name="Normal 7 36" xfId="7226" xr:uid="{00000000-0005-0000-0000-000017220000}"/>
    <cellStyle name="Normal 7 37" xfId="7227" xr:uid="{00000000-0005-0000-0000-000018220000}"/>
    <cellStyle name="Normal 7 38" xfId="7228" xr:uid="{00000000-0005-0000-0000-000019220000}"/>
    <cellStyle name="Normal 7 39" xfId="7229" xr:uid="{00000000-0005-0000-0000-00001A220000}"/>
    <cellStyle name="Normal 7 4" xfId="7230" xr:uid="{00000000-0005-0000-0000-00001B220000}"/>
    <cellStyle name="Normal 7 4 2" xfId="7231" xr:uid="{00000000-0005-0000-0000-00001C220000}"/>
    <cellStyle name="Normal 7 4 2 2" xfId="7232" xr:uid="{00000000-0005-0000-0000-00001D220000}"/>
    <cellStyle name="Normal 7 4 3" xfId="7233" xr:uid="{00000000-0005-0000-0000-00001E220000}"/>
    <cellStyle name="Normal 7 40" xfId="7234" xr:uid="{00000000-0005-0000-0000-00001F220000}"/>
    <cellStyle name="Normal 7 41" xfId="7235" xr:uid="{00000000-0005-0000-0000-000020220000}"/>
    <cellStyle name="Normal 7 42" xfId="7236" xr:uid="{00000000-0005-0000-0000-000021220000}"/>
    <cellStyle name="Normal 7 43" xfId="7237" xr:uid="{00000000-0005-0000-0000-000022220000}"/>
    <cellStyle name="Normal 7 44" xfId="7238" xr:uid="{00000000-0005-0000-0000-000023220000}"/>
    <cellStyle name="Normal 7 45" xfId="7239" xr:uid="{00000000-0005-0000-0000-000024220000}"/>
    <cellStyle name="Normal 7 46" xfId="7240" xr:uid="{00000000-0005-0000-0000-000025220000}"/>
    <cellStyle name="Normal 7 47" xfId="7241" xr:uid="{00000000-0005-0000-0000-000026220000}"/>
    <cellStyle name="Normal 7 48" xfId="7242" xr:uid="{00000000-0005-0000-0000-000027220000}"/>
    <cellStyle name="Normal 7 49" xfId="7243" xr:uid="{00000000-0005-0000-0000-000028220000}"/>
    <cellStyle name="Normal 7 5" xfId="7244" xr:uid="{00000000-0005-0000-0000-000029220000}"/>
    <cellStyle name="Normal 7 5 2" xfId="7245" xr:uid="{00000000-0005-0000-0000-00002A220000}"/>
    <cellStyle name="Normal 7 5 2 2" xfId="7246" xr:uid="{00000000-0005-0000-0000-00002B220000}"/>
    <cellStyle name="Normal 7 5 3" xfId="7247" xr:uid="{00000000-0005-0000-0000-00002C220000}"/>
    <cellStyle name="Normal 7 50" xfId="7248" xr:uid="{00000000-0005-0000-0000-00002D220000}"/>
    <cellStyle name="Normal 7 51" xfId="7249" xr:uid="{00000000-0005-0000-0000-00002E220000}"/>
    <cellStyle name="Normal 7 52" xfId="7250" xr:uid="{00000000-0005-0000-0000-00002F220000}"/>
    <cellStyle name="Normal 7 53" xfId="7251" xr:uid="{00000000-0005-0000-0000-000030220000}"/>
    <cellStyle name="Normal 7 54" xfId="7252" xr:uid="{00000000-0005-0000-0000-000031220000}"/>
    <cellStyle name="Normal 7 55" xfId="7253" xr:uid="{00000000-0005-0000-0000-000032220000}"/>
    <cellStyle name="Normal 7 56" xfId="7254" xr:uid="{00000000-0005-0000-0000-000033220000}"/>
    <cellStyle name="Normal 7 57" xfId="7255" xr:uid="{00000000-0005-0000-0000-000034220000}"/>
    <cellStyle name="Normal 7 58" xfId="7256" xr:uid="{00000000-0005-0000-0000-000035220000}"/>
    <cellStyle name="Normal 7 59" xfId="7257" xr:uid="{00000000-0005-0000-0000-000036220000}"/>
    <cellStyle name="Normal 7 6" xfId="7258" xr:uid="{00000000-0005-0000-0000-000037220000}"/>
    <cellStyle name="Normal 7 6 2" xfId="7259" xr:uid="{00000000-0005-0000-0000-000038220000}"/>
    <cellStyle name="Normal 7 6 2 2" xfId="7260" xr:uid="{00000000-0005-0000-0000-000039220000}"/>
    <cellStyle name="Normal 7 6 3" xfId="7261" xr:uid="{00000000-0005-0000-0000-00003A220000}"/>
    <cellStyle name="Normal 7 60" xfId="7262" xr:uid="{00000000-0005-0000-0000-00003B220000}"/>
    <cellStyle name="Normal 7 61" xfId="7263" xr:uid="{00000000-0005-0000-0000-00003C220000}"/>
    <cellStyle name="Normal 7 62" xfId="7264" xr:uid="{00000000-0005-0000-0000-00003D220000}"/>
    <cellStyle name="Normal 7 63" xfId="7265" xr:uid="{00000000-0005-0000-0000-00003E220000}"/>
    <cellStyle name="Normal 7 64" xfId="7266" xr:uid="{00000000-0005-0000-0000-00003F220000}"/>
    <cellStyle name="Normal 7 65" xfId="7267" xr:uid="{00000000-0005-0000-0000-000040220000}"/>
    <cellStyle name="Normal 7 66" xfId="7268" xr:uid="{00000000-0005-0000-0000-000041220000}"/>
    <cellStyle name="Normal 7 67" xfId="7269" xr:uid="{00000000-0005-0000-0000-000042220000}"/>
    <cellStyle name="Normal 7 68" xfId="7270" xr:uid="{00000000-0005-0000-0000-000043220000}"/>
    <cellStyle name="Normal 7 69" xfId="7271" xr:uid="{00000000-0005-0000-0000-000044220000}"/>
    <cellStyle name="Normal 7 7" xfId="7272" xr:uid="{00000000-0005-0000-0000-000045220000}"/>
    <cellStyle name="Normal 7 7 2" xfId="7273" xr:uid="{00000000-0005-0000-0000-000046220000}"/>
    <cellStyle name="Normal 7 7 2 2" xfId="7274" xr:uid="{00000000-0005-0000-0000-000047220000}"/>
    <cellStyle name="Normal 7 7 3" xfId="7275" xr:uid="{00000000-0005-0000-0000-000048220000}"/>
    <cellStyle name="Normal 7 70" xfId="7276" xr:uid="{00000000-0005-0000-0000-000049220000}"/>
    <cellStyle name="Normal 7 71" xfId="7277" xr:uid="{00000000-0005-0000-0000-00004A220000}"/>
    <cellStyle name="Normal 7 72" xfId="7278" xr:uid="{00000000-0005-0000-0000-00004B220000}"/>
    <cellStyle name="Normal 7 73" xfId="7279" xr:uid="{00000000-0005-0000-0000-00004C220000}"/>
    <cellStyle name="Normal 7 74" xfId="7280" xr:uid="{00000000-0005-0000-0000-00004D220000}"/>
    <cellStyle name="Normal 7 75" xfId="7281" xr:uid="{00000000-0005-0000-0000-00004E220000}"/>
    <cellStyle name="Normal 7 76" xfId="7282" xr:uid="{00000000-0005-0000-0000-00004F220000}"/>
    <cellStyle name="Normal 7 77" xfId="7283" xr:uid="{00000000-0005-0000-0000-000050220000}"/>
    <cellStyle name="Normal 7 78" xfId="7284" xr:uid="{00000000-0005-0000-0000-000051220000}"/>
    <cellStyle name="Normal 7 79" xfId="7285" xr:uid="{00000000-0005-0000-0000-000052220000}"/>
    <cellStyle name="Normal 7 8" xfId="7286" xr:uid="{00000000-0005-0000-0000-000053220000}"/>
    <cellStyle name="Normal 7 8 2" xfId="7287" xr:uid="{00000000-0005-0000-0000-000054220000}"/>
    <cellStyle name="Normal 7 8 2 2" xfId="7288" xr:uid="{00000000-0005-0000-0000-000055220000}"/>
    <cellStyle name="Normal 7 8 3" xfId="7289" xr:uid="{00000000-0005-0000-0000-000056220000}"/>
    <cellStyle name="Normal 7 8 4" xfId="11153" xr:uid="{00000000-0005-0000-0000-000057220000}"/>
    <cellStyle name="Normal 7 80" xfId="7290" xr:uid="{00000000-0005-0000-0000-000058220000}"/>
    <cellStyle name="Normal 7 81" xfId="7291" xr:uid="{00000000-0005-0000-0000-000059220000}"/>
    <cellStyle name="Normal 7 82" xfId="7292" xr:uid="{00000000-0005-0000-0000-00005A220000}"/>
    <cellStyle name="Normal 7 83" xfId="7293" xr:uid="{00000000-0005-0000-0000-00005B220000}"/>
    <cellStyle name="Normal 7 84" xfId="7294" xr:uid="{00000000-0005-0000-0000-00005C220000}"/>
    <cellStyle name="Normal 7 85" xfId="7295" xr:uid="{00000000-0005-0000-0000-00005D220000}"/>
    <cellStyle name="Normal 7 86" xfId="7296" xr:uid="{00000000-0005-0000-0000-00005E220000}"/>
    <cellStyle name="Normal 7 87" xfId="7297" xr:uid="{00000000-0005-0000-0000-00005F220000}"/>
    <cellStyle name="Normal 7 88" xfId="7298" xr:uid="{00000000-0005-0000-0000-000060220000}"/>
    <cellStyle name="Normal 7 89" xfId="7299" xr:uid="{00000000-0005-0000-0000-000061220000}"/>
    <cellStyle name="Normal 7 9" xfId="7300" xr:uid="{00000000-0005-0000-0000-000062220000}"/>
    <cellStyle name="Normal 7 9 2" xfId="7301" xr:uid="{00000000-0005-0000-0000-000063220000}"/>
    <cellStyle name="Normal 7 9 3" xfId="7302" xr:uid="{00000000-0005-0000-0000-000064220000}"/>
    <cellStyle name="Normal 7 9 4" xfId="7303" xr:uid="{00000000-0005-0000-0000-000065220000}"/>
    <cellStyle name="Normal 7 90" xfId="7304" xr:uid="{00000000-0005-0000-0000-000066220000}"/>
    <cellStyle name="Normal 7 91" xfId="7305" xr:uid="{00000000-0005-0000-0000-000067220000}"/>
    <cellStyle name="Normal 7 92" xfId="7306" xr:uid="{00000000-0005-0000-0000-000068220000}"/>
    <cellStyle name="Normal 7 93" xfId="7307" xr:uid="{00000000-0005-0000-0000-000069220000}"/>
    <cellStyle name="Normal 70" xfId="7308" xr:uid="{00000000-0005-0000-0000-00006A220000}"/>
    <cellStyle name="Normal 71" xfId="7309" xr:uid="{00000000-0005-0000-0000-00006B220000}"/>
    <cellStyle name="Normal 72" xfId="7310" xr:uid="{00000000-0005-0000-0000-00006C220000}"/>
    <cellStyle name="Normal 73" xfId="7311" xr:uid="{00000000-0005-0000-0000-00006D220000}"/>
    <cellStyle name="Normal 74" xfId="7312" xr:uid="{00000000-0005-0000-0000-00006E220000}"/>
    <cellStyle name="Normal 75" xfId="7313" xr:uid="{00000000-0005-0000-0000-00006F220000}"/>
    <cellStyle name="Normal 76" xfId="7314" xr:uid="{00000000-0005-0000-0000-000070220000}"/>
    <cellStyle name="Normal 77" xfId="7315" xr:uid="{00000000-0005-0000-0000-000071220000}"/>
    <cellStyle name="Normal 78" xfId="7316" xr:uid="{00000000-0005-0000-0000-000072220000}"/>
    <cellStyle name="Normal 79" xfId="7317" xr:uid="{00000000-0005-0000-0000-000073220000}"/>
    <cellStyle name="Normal 8" xfId="7318" xr:uid="{00000000-0005-0000-0000-000074220000}"/>
    <cellStyle name="Normal 8 10" xfId="7319" xr:uid="{00000000-0005-0000-0000-000075220000}"/>
    <cellStyle name="Normal 8 11" xfId="7320" xr:uid="{00000000-0005-0000-0000-000076220000}"/>
    <cellStyle name="Normal 8 12" xfId="7321" xr:uid="{00000000-0005-0000-0000-000077220000}"/>
    <cellStyle name="Normal 8 13" xfId="7322" xr:uid="{00000000-0005-0000-0000-000078220000}"/>
    <cellStyle name="Normal 8 14" xfId="7323" xr:uid="{00000000-0005-0000-0000-000079220000}"/>
    <cellStyle name="Normal 8 15" xfId="7324" xr:uid="{00000000-0005-0000-0000-00007A220000}"/>
    <cellStyle name="Normal 8 16" xfId="7325" xr:uid="{00000000-0005-0000-0000-00007B220000}"/>
    <cellStyle name="Normal 8 17" xfId="7326" xr:uid="{00000000-0005-0000-0000-00007C220000}"/>
    <cellStyle name="Normal 8 18" xfId="7327" xr:uid="{00000000-0005-0000-0000-00007D220000}"/>
    <cellStyle name="Normal 8 19" xfId="7328" xr:uid="{00000000-0005-0000-0000-00007E220000}"/>
    <cellStyle name="Normal 8 2" xfId="7329" xr:uid="{00000000-0005-0000-0000-00007F220000}"/>
    <cellStyle name="Normal 8 2 2" xfId="7330" xr:uid="{00000000-0005-0000-0000-000080220000}"/>
    <cellStyle name="Normal 8 2 2 2" xfId="7331" xr:uid="{00000000-0005-0000-0000-000081220000}"/>
    <cellStyle name="Normal 8 2 2 2 2" xfId="7332" xr:uid="{00000000-0005-0000-0000-000082220000}"/>
    <cellStyle name="Normal 8 2 2 2 2 2" xfId="7333" xr:uid="{00000000-0005-0000-0000-000083220000}"/>
    <cellStyle name="Normal 8 2 2 2 3" xfId="7334" xr:uid="{00000000-0005-0000-0000-000084220000}"/>
    <cellStyle name="Normal 8 2 2 3" xfId="7335" xr:uid="{00000000-0005-0000-0000-000085220000}"/>
    <cellStyle name="Normal 8 2 2 3 2" xfId="7336" xr:uid="{00000000-0005-0000-0000-000086220000}"/>
    <cellStyle name="Normal 8 2 2 3 2 2" xfId="7337" xr:uid="{00000000-0005-0000-0000-000087220000}"/>
    <cellStyle name="Normal 8 2 2 3 3" xfId="7338" xr:uid="{00000000-0005-0000-0000-000088220000}"/>
    <cellStyle name="Normal 8 2 2 4" xfId="7339" xr:uid="{00000000-0005-0000-0000-000089220000}"/>
    <cellStyle name="Normal 8 2 2 4 2" xfId="7340" xr:uid="{00000000-0005-0000-0000-00008A220000}"/>
    <cellStyle name="Normal 8 2 2 4 2 2" xfId="7341" xr:uid="{00000000-0005-0000-0000-00008B220000}"/>
    <cellStyle name="Normal 8 2 2 4 3" xfId="7342" xr:uid="{00000000-0005-0000-0000-00008C220000}"/>
    <cellStyle name="Normal 8 2 2 5" xfId="7343" xr:uid="{00000000-0005-0000-0000-00008D220000}"/>
    <cellStyle name="Normal 8 2 2 5 2" xfId="7344" xr:uid="{00000000-0005-0000-0000-00008E220000}"/>
    <cellStyle name="Normal 8 2 2 5 2 2" xfId="7345" xr:uid="{00000000-0005-0000-0000-00008F220000}"/>
    <cellStyle name="Normal 8 2 2 5 3" xfId="7346" xr:uid="{00000000-0005-0000-0000-000090220000}"/>
    <cellStyle name="Normal 8 2 2 6" xfId="7347" xr:uid="{00000000-0005-0000-0000-000091220000}"/>
    <cellStyle name="Normal 8 2 2 6 2" xfId="7348" xr:uid="{00000000-0005-0000-0000-000092220000}"/>
    <cellStyle name="Normal 8 2 2 6 3" xfId="10785" xr:uid="{00000000-0005-0000-0000-000093220000}"/>
    <cellStyle name="Normal 8 2 2 7" xfId="7349" xr:uid="{00000000-0005-0000-0000-000094220000}"/>
    <cellStyle name="Normal 8 2 2 8" xfId="10784" xr:uid="{00000000-0005-0000-0000-000095220000}"/>
    <cellStyle name="Normal 8 2 3" xfId="7350" xr:uid="{00000000-0005-0000-0000-000096220000}"/>
    <cellStyle name="Normal 8 2 3 2" xfId="7351" xr:uid="{00000000-0005-0000-0000-000097220000}"/>
    <cellStyle name="Normal 8 2 3 2 2" xfId="7352" xr:uid="{00000000-0005-0000-0000-000098220000}"/>
    <cellStyle name="Normal 8 2 3 2 3" xfId="10787" xr:uid="{00000000-0005-0000-0000-000099220000}"/>
    <cellStyle name="Normal 8 2 3 3" xfId="7353" xr:uid="{00000000-0005-0000-0000-00009A220000}"/>
    <cellStyle name="Normal 8 2 3 4" xfId="10786" xr:uid="{00000000-0005-0000-0000-00009B220000}"/>
    <cellStyle name="Normal 8 2 4" xfId="7354" xr:uid="{00000000-0005-0000-0000-00009C220000}"/>
    <cellStyle name="Normal 8 2 4 2" xfId="7355" xr:uid="{00000000-0005-0000-0000-00009D220000}"/>
    <cellStyle name="Normal 8 2 4 2 2" xfId="7356" xr:uid="{00000000-0005-0000-0000-00009E220000}"/>
    <cellStyle name="Normal 8 2 4 2 3" xfId="10789" xr:uid="{00000000-0005-0000-0000-00009F220000}"/>
    <cellStyle name="Normal 8 2 4 3" xfId="7357" xr:uid="{00000000-0005-0000-0000-0000A0220000}"/>
    <cellStyle name="Normal 8 2 4 4" xfId="10788" xr:uid="{00000000-0005-0000-0000-0000A1220000}"/>
    <cellStyle name="Normal 8 2 5" xfId="7358" xr:uid="{00000000-0005-0000-0000-0000A2220000}"/>
    <cellStyle name="Normal 8 2 5 2" xfId="7359" xr:uid="{00000000-0005-0000-0000-0000A3220000}"/>
    <cellStyle name="Normal 8 2 5 2 2" xfId="7360" xr:uid="{00000000-0005-0000-0000-0000A4220000}"/>
    <cellStyle name="Normal 8 2 5 2 3" xfId="10791" xr:uid="{00000000-0005-0000-0000-0000A5220000}"/>
    <cellStyle name="Normal 8 2 5 3" xfId="7361" xr:uid="{00000000-0005-0000-0000-0000A6220000}"/>
    <cellStyle name="Normal 8 2 5 4" xfId="10790" xr:uid="{00000000-0005-0000-0000-0000A7220000}"/>
    <cellStyle name="Normal 8 2 6" xfId="7362" xr:uid="{00000000-0005-0000-0000-0000A8220000}"/>
    <cellStyle name="Normal 8 2 6 2" xfId="7363" xr:uid="{00000000-0005-0000-0000-0000A9220000}"/>
    <cellStyle name="Normal 8 2 7" xfId="7364" xr:uid="{00000000-0005-0000-0000-0000AA220000}"/>
    <cellStyle name="Normal 8 20" xfId="7365" xr:uid="{00000000-0005-0000-0000-0000AB220000}"/>
    <cellStyle name="Normal 8 21" xfId="7366" xr:uid="{00000000-0005-0000-0000-0000AC220000}"/>
    <cellStyle name="Normal 8 22" xfId="7367" xr:uid="{00000000-0005-0000-0000-0000AD220000}"/>
    <cellStyle name="Normal 8 23" xfId="7368" xr:uid="{00000000-0005-0000-0000-0000AE220000}"/>
    <cellStyle name="Normal 8 24" xfId="7369" xr:uid="{00000000-0005-0000-0000-0000AF220000}"/>
    <cellStyle name="Normal 8 25" xfId="7370" xr:uid="{00000000-0005-0000-0000-0000B0220000}"/>
    <cellStyle name="Normal 8 26" xfId="7371" xr:uid="{00000000-0005-0000-0000-0000B1220000}"/>
    <cellStyle name="Normal 8 27" xfId="7372" xr:uid="{00000000-0005-0000-0000-0000B2220000}"/>
    <cellStyle name="Normal 8 28" xfId="7373" xr:uid="{00000000-0005-0000-0000-0000B3220000}"/>
    <cellStyle name="Normal 8 29" xfId="7374" xr:uid="{00000000-0005-0000-0000-0000B4220000}"/>
    <cellStyle name="Normal 8 3" xfId="7375" xr:uid="{00000000-0005-0000-0000-0000B5220000}"/>
    <cellStyle name="Normal 8 3 2" xfId="7376" xr:uid="{00000000-0005-0000-0000-0000B6220000}"/>
    <cellStyle name="Normal 8 3 2 2" xfId="7377" xr:uid="{00000000-0005-0000-0000-0000B7220000}"/>
    <cellStyle name="Normal 8 3 3" xfId="7378" xr:uid="{00000000-0005-0000-0000-0000B8220000}"/>
    <cellStyle name="Normal 8 30" xfId="7379" xr:uid="{00000000-0005-0000-0000-0000B9220000}"/>
    <cellStyle name="Normal 8 31" xfId="7380" xr:uid="{00000000-0005-0000-0000-0000BA220000}"/>
    <cellStyle name="Normal 8 32" xfId="7381" xr:uid="{00000000-0005-0000-0000-0000BB220000}"/>
    <cellStyle name="Normal 8 33" xfId="7382" xr:uid="{00000000-0005-0000-0000-0000BC220000}"/>
    <cellStyle name="Normal 8 34" xfId="7383" xr:uid="{00000000-0005-0000-0000-0000BD220000}"/>
    <cellStyle name="Normal 8 35" xfId="7384" xr:uid="{00000000-0005-0000-0000-0000BE220000}"/>
    <cellStyle name="Normal 8 36" xfId="7385" xr:uid="{00000000-0005-0000-0000-0000BF220000}"/>
    <cellStyle name="Normal 8 37" xfId="7386" xr:uid="{00000000-0005-0000-0000-0000C0220000}"/>
    <cellStyle name="Normal 8 38" xfId="7387" xr:uid="{00000000-0005-0000-0000-0000C1220000}"/>
    <cellStyle name="Normal 8 39" xfId="7388" xr:uid="{00000000-0005-0000-0000-0000C2220000}"/>
    <cellStyle name="Normal 8 39 2" xfId="7389" xr:uid="{00000000-0005-0000-0000-0000C3220000}"/>
    <cellStyle name="Normal 8 39 3" xfId="10792" xr:uid="{00000000-0005-0000-0000-0000C4220000}"/>
    <cellStyle name="Normal 8 4" xfId="7390" xr:uid="{00000000-0005-0000-0000-0000C5220000}"/>
    <cellStyle name="Normal 8 4 2" xfId="7391" xr:uid="{00000000-0005-0000-0000-0000C6220000}"/>
    <cellStyle name="Normal 8 4 2 2" xfId="7392" xr:uid="{00000000-0005-0000-0000-0000C7220000}"/>
    <cellStyle name="Normal 8 4 3" xfId="7393" xr:uid="{00000000-0005-0000-0000-0000C8220000}"/>
    <cellStyle name="Normal 8 40" xfId="7394" xr:uid="{00000000-0005-0000-0000-0000C9220000}"/>
    <cellStyle name="Normal 8 40 2" xfId="7395" xr:uid="{00000000-0005-0000-0000-0000CA220000}"/>
    <cellStyle name="Normal 8 40 3" xfId="10793" xr:uid="{00000000-0005-0000-0000-0000CB220000}"/>
    <cellStyle name="Normal 8 41" xfId="7396" xr:uid="{00000000-0005-0000-0000-0000CC220000}"/>
    <cellStyle name="Normal 8 42" xfId="7397" xr:uid="{00000000-0005-0000-0000-0000CD220000}"/>
    <cellStyle name="Normal 8 43" xfId="7398" xr:uid="{00000000-0005-0000-0000-0000CE220000}"/>
    <cellStyle name="Normal 8 44" xfId="7399" xr:uid="{00000000-0005-0000-0000-0000CF220000}"/>
    <cellStyle name="Normal 8 45" xfId="7400" xr:uid="{00000000-0005-0000-0000-0000D0220000}"/>
    <cellStyle name="Normal 8 46" xfId="7401" xr:uid="{00000000-0005-0000-0000-0000D1220000}"/>
    <cellStyle name="Normal 8 47" xfId="7402" xr:uid="{00000000-0005-0000-0000-0000D2220000}"/>
    <cellStyle name="Normal 8 48" xfId="7403" xr:uid="{00000000-0005-0000-0000-0000D3220000}"/>
    <cellStyle name="Normal 8 49" xfId="7404" xr:uid="{00000000-0005-0000-0000-0000D4220000}"/>
    <cellStyle name="Normal 8 5" xfId="7405" xr:uid="{00000000-0005-0000-0000-0000D5220000}"/>
    <cellStyle name="Normal 8 5 2" xfId="7406" xr:uid="{00000000-0005-0000-0000-0000D6220000}"/>
    <cellStyle name="Normal 8 5 2 2" xfId="7407" xr:uid="{00000000-0005-0000-0000-0000D7220000}"/>
    <cellStyle name="Normal 8 5 3" xfId="7408" xr:uid="{00000000-0005-0000-0000-0000D8220000}"/>
    <cellStyle name="Normal 8 50" xfId="7409" xr:uid="{00000000-0005-0000-0000-0000D9220000}"/>
    <cellStyle name="Normal 8 51" xfId="7410" xr:uid="{00000000-0005-0000-0000-0000DA220000}"/>
    <cellStyle name="Normal 8 52" xfId="7411" xr:uid="{00000000-0005-0000-0000-0000DB220000}"/>
    <cellStyle name="Normal 8 53" xfId="7412" xr:uid="{00000000-0005-0000-0000-0000DC220000}"/>
    <cellStyle name="Normal 8 54" xfId="7413" xr:uid="{00000000-0005-0000-0000-0000DD220000}"/>
    <cellStyle name="Normal 8 55" xfId="7414" xr:uid="{00000000-0005-0000-0000-0000DE220000}"/>
    <cellStyle name="Normal 8 56" xfId="7415" xr:uid="{00000000-0005-0000-0000-0000DF220000}"/>
    <cellStyle name="Normal 8 57" xfId="7416" xr:uid="{00000000-0005-0000-0000-0000E0220000}"/>
    <cellStyle name="Normal 8 58" xfId="7417" xr:uid="{00000000-0005-0000-0000-0000E1220000}"/>
    <cellStyle name="Normal 8 59" xfId="7418" xr:uid="{00000000-0005-0000-0000-0000E2220000}"/>
    <cellStyle name="Normal 8 6" xfId="7419" xr:uid="{00000000-0005-0000-0000-0000E3220000}"/>
    <cellStyle name="Normal 8 6 2" xfId="7420" xr:uid="{00000000-0005-0000-0000-0000E4220000}"/>
    <cellStyle name="Normal 8 6 2 2" xfId="7421" xr:uid="{00000000-0005-0000-0000-0000E5220000}"/>
    <cellStyle name="Normal 8 6 3" xfId="7422" xr:uid="{00000000-0005-0000-0000-0000E6220000}"/>
    <cellStyle name="Normal 8 60" xfId="7423" xr:uid="{00000000-0005-0000-0000-0000E7220000}"/>
    <cellStyle name="Normal 8 61" xfId="7424" xr:uid="{00000000-0005-0000-0000-0000E8220000}"/>
    <cellStyle name="Normal 8 62" xfId="7425" xr:uid="{00000000-0005-0000-0000-0000E9220000}"/>
    <cellStyle name="Normal 8 63" xfId="7426" xr:uid="{00000000-0005-0000-0000-0000EA220000}"/>
    <cellStyle name="Normal 8 64" xfId="7427" xr:uid="{00000000-0005-0000-0000-0000EB220000}"/>
    <cellStyle name="Normal 8 65" xfId="7428" xr:uid="{00000000-0005-0000-0000-0000EC220000}"/>
    <cellStyle name="Normal 8 66" xfId="7429" xr:uid="{00000000-0005-0000-0000-0000ED220000}"/>
    <cellStyle name="Normal 8 67" xfId="7430" xr:uid="{00000000-0005-0000-0000-0000EE220000}"/>
    <cellStyle name="Normal 8 68" xfId="7431" xr:uid="{00000000-0005-0000-0000-0000EF220000}"/>
    <cellStyle name="Normal 8 69" xfId="7432" xr:uid="{00000000-0005-0000-0000-0000F0220000}"/>
    <cellStyle name="Normal 8 7" xfId="7433" xr:uid="{00000000-0005-0000-0000-0000F1220000}"/>
    <cellStyle name="Normal 8 7 2" xfId="7434" xr:uid="{00000000-0005-0000-0000-0000F2220000}"/>
    <cellStyle name="Normal 8 7 2 2" xfId="10794" xr:uid="{00000000-0005-0000-0000-0000F3220000}"/>
    <cellStyle name="Normal 8 70" xfId="7435" xr:uid="{00000000-0005-0000-0000-0000F4220000}"/>
    <cellStyle name="Normal 8 71" xfId="7436" xr:uid="{00000000-0005-0000-0000-0000F5220000}"/>
    <cellStyle name="Normal 8 72" xfId="7437" xr:uid="{00000000-0005-0000-0000-0000F6220000}"/>
    <cellStyle name="Normal 8 73" xfId="7438" xr:uid="{00000000-0005-0000-0000-0000F7220000}"/>
    <cellStyle name="Normal 8 74" xfId="7439" xr:uid="{00000000-0005-0000-0000-0000F8220000}"/>
    <cellStyle name="Normal 8 75" xfId="7440" xr:uid="{00000000-0005-0000-0000-0000F9220000}"/>
    <cellStyle name="Normal 8 76" xfId="7441" xr:uid="{00000000-0005-0000-0000-0000FA220000}"/>
    <cellStyle name="Normal 8 77" xfId="7442" xr:uid="{00000000-0005-0000-0000-0000FB220000}"/>
    <cellStyle name="Normal 8 78" xfId="7443" xr:uid="{00000000-0005-0000-0000-0000FC220000}"/>
    <cellStyle name="Normal 8 79" xfId="7444" xr:uid="{00000000-0005-0000-0000-0000FD220000}"/>
    <cellStyle name="Normal 8 8" xfId="7445" xr:uid="{00000000-0005-0000-0000-0000FE220000}"/>
    <cellStyle name="Normal 8 80" xfId="7446" xr:uid="{00000000-0005-0000-0000-0000FF220000}"/>
    <cellStyle name="Normal 8 81" xfId="7447" xr:uid="{00000000-0005-0000-0000-000000230000}"/>
    <cellStyle name="Normal 8 82" xfId="7448" xr:uid="{00000000-0005-0000-0000-000001230000}"/>
    <cellStyle name="Normal 8 83" xfId="7449" xr:uid="{00000000-0005-0000-0000-000002230000}"/>
    <cellStyle name="Normal 8 84" xfId="7450" xr:uid="{00000000-0005-0000-0000-000003230000}"/>
    <cellStyle name="Normal 8 85" xfId="7451" xr:uid="{00000000-0005-0000-0000-000004230000}"/>
    <cellStyle name="Normal 8 86" xfId="7452" xr:uid="{00000000-0005-0000-0000-000005230000}"/>
    <cellStyle name="Normal 8 87" xfId="7453" xr:uid="{00000000-0005-0000-0000-000006230000}"/>
    <cellStyle name="Normal 8 88" xfId="7454" xr:uid="{00000000-0005-0000-0000-000007230000}"/>
    <cellStyle name="Normal 8 89" xfId="7455" xr:uid="{00000000-0005-0000-0000-000008230000}"/>
    <cellStyle name="Normal 8 9" xfId="7456" xr:uid="{00000000-0005-0000-0000-000009230000}"/>
    <cellStyle name="Normal 8 90" xfId="7457" xr:uid="{00000000-0005-0000-0000-00000A230000}"/>
    <cellStyle name="Normal 8 91" xfId="7458" xr:uid="{00000000-0005-0000-0000-00000B230000}"/>
    <cellStyle name="Normal 8 92" xfId="7459" xr:uid="{00000000-0005-0000-0000-00000C230000}"/>
    <cellStyle name="Normal 8 92 2" xfId="7460" xr:uid="{00000000-0005-0000-0000-00000D230000}"/>
    <cellStyle name="Normal 8 92 3" xfId="10795" xr:uid="{00000000-0005-0000-0000-00000E230000}"/>
    <cellStyle name="Normal 8 93" xfId="7461" xr:uid="{00000000-0005-0000-0000-00000F230000}"/>
    <cellStyle name="Normal 8 94" xfId="7462" xr:uid="{00000000-0005-0000-0000-000010230000}"/>
    <cellStyle name="Normal 8 94 2" xfId="11143" xr:uid="{00000000-0005-0000-0000-000011230000}"/>
    <cellStyle name="Normal 8 95" xfId="10783" xr:uid="{00000000-0005-0000-0000-000012230000}"/>
    <cellStyle name="Normal 80" xfId="7463" xr:uid="{00000000-0005-0000-0000-000013230000}"/>
    <cellStyle name="Normal 81" xfId="7464" xr:uid="{00000000-0005-0000-0000-000014230000}"/>
    <cellStyle name="Normal 82" xfId="7465" xr:uid="{00000000-0005-0000-0000-000015230000}"/>
    <cellStyle name="Normal 83" xfId="7466" xr:uid="{00000000-0005-0000-0000-000016230000}"/>
    <cellStyle name="Normal 84" xfId="7467" xr:uid="{00000000-0005-0000-0000-000017230000}"/>
    <cellStyle name="Normal 85" xfId="7468" xr:uid="{00000000-0005-0000-0000-000018230000}"/>
    <cellStyle name="Normal 86" xfId="7469" xr:uid="{00000000-0005-0000-0000-000019230000}"/>
    <cellStyle name="Normal 87" xfId="7470" xr:uid="{00000000-0005-0000-0000-00001A230000}"/>
    <cellStyle name="Normal 88" xfId="7471" xr:uid="{00000000-0005-0000-0000-00001B230000}"/>
    <cellStyle name="Normal 89" xfId="7472" xr:uid="{00000000-0005-0000-0000-00001C230000}"/>
    <cellStyle name="Normal 89 2" xfId="7473" xr:uid="{00000000-0005-0000-0000-00001D230000}"/>
    <cellStyle name="Normal 9" xfId="7474" xr:uid="{00000000-0005-0000-0000-00001E230000}"/>
    <cellStyle name="Normal 9 10" xfId="7475" xr:uid="{00000000-0005-0000-0000-00001F230000}"/>
    <cellStyle name="Normal 9 11" xfId="7476" xr:uid="{00000000-0005-0000-0000-000020230000}"/>
    <cellStyle name="Normal 9 12" xfId="7477" xr:uid="{00000000-0005-0000-0000-000021230000}"/>
    <cellStyle name="Normal 9 13" xfId="7478" xr:uid="{00000000-0005-0000-0000-000022230000}"/>
    <cellStyle name="Normal 9 14" xfId="7479" xr:uid="{00000000-0005-0000-0000-000023230000}"/>
    <cellStyle name="Normal 9 15" xfId="7480" xr:uid="{00000000-0005-0000-0000-000024230000}"/>
    <cellStyle name="Normal 9 16" xfId="7481" xr:uid="{00000000-0005-0000-0000-000025230000}"/>
    <cellStyle name="Normal 9 17" xfId="7482" xr:uid="{00000000-0005-0000-0000-000026230000}"/>
    <cellStyle name="Normal 9 18" xfId="7483" xr:uid="{00000000-0005-0000-0000-000027230000}"/>
    <cellStyle name="Normal 9 19" xfId="7484" xr:uid="{00000000-0005-0000-0000-000028230000}"/>
    <cellStyle name="Normal 9 2" xfId="7485" xr:uid="{00000000-0005-0000-0000-000029230000}"/>
    <cellStyle name="Normal 9 2 2" xfId="7486" xr:uid="{00000000-0005-0000-0000-00002A230000}"/>
    <cellStyle name="Normal 9 20" xfId="7487" xr:uid="{00000000-0005-0000-0000-00002B230000}"/>
    <cellStyle name="Normal 9 21" xfId="7488" xr:uid="{00000000-0005-0000-0000-00002C230000}"/>
    <cellStyle name="Normal 9 22" xfId="7489" xr:uid="{00000000-0005-0000-0000-00002D230000}"/>
    <cellStyle name="Normal 9 23" xfId="7490" xr:uid="{00000000-0005-0000-0000-00002E230000}"/>
    <cellStyle name="Normal 9 24" xfId="7491" xr:uid="{00000000-0005-0000-0000-00002F230000}"/>
    <cellStyle name="Normal 9 25" xfId="7492" xr:uid="{00000000-0005-0000-0000-000030230000}"/>
    <cellStyle name="Normal 9 26" xfId="7493" xr:uid="{00000000-0005-0000-0000-000031230000}"/>
    <cellStyle name="Normal 9 27" xfId="7494" xr:uid="{00000000-0005-0000-0000-000032230000}"/>
    <cellStyle name="Normal 9 28" xfId="7495" xr:uid="{00000000-0005-0000-0000-000033230000}"/>
    <cellStyle name="Normal 9 29" xfId="7496" xr:uid="{00000000-0005-0000-0000-000034230000}"/>
    <cellStyle name="Normal 9 3" xfId="7497" xr:uid="{00000000-0005-0000-0000-000035230000}"/>
    <cellStyle name="Normal 9 30" xfId="7498" xr:uid="{00000000-0005-0000-0000-000036230000}"/>
    <cellStyle name="Normal 9 31" xfId="7499" xr:uid="{00000000-0005-0000-0000-000037230000}"/>
    <cellStyle name="Normal 9 32" xfId="7500" xr:uid="{00000000-0005-0000-0000-000038230000}"/>
    <cellStyle name="Normal 9 33" xfId="7501" xr:uid="{00000000-0005-0000-0000-000039230000}"/>
    <cellStyle name="Normal 9 34" xfId="7502" xr:uid="{00000000-0005-0000-0000-00003A230000}"/>
    <cellStyle name="Normal 9 35" xfId="7503" xr:uid="{00000000-0005-0000-0000-00003B230000}"/>
    <cellStyle name="Normal 9 36" xfId="7504" xr:uid="{00000000-0005-0000-0000-00003C230000}"/>
    <cellStyle name="Normal 9 37" xfId="7505" xr:uid="{00000000-0005-0000-0000-00003D230000}"/>
    <cellStyle name="Normal 9 38" xfId="7506" xr:uid="{00000000-0005-0000-0000-00003E230000}"/>
    <cellStyle name="Normal 9 39" xfId="7507" xr:uid="{00000000-0005-0000-0000-00003F230000}"/>
    <cellStyle name="Normal 9 4" xfId="7508" xr:uid="{00000000-0005-0000-0000-000040230000}"/>
    <cellStyle name="Normal 9 40" xfId="7509" xr:uid="{00000000-0005-0000-0000-000041230000}"/>
    <cellStyle name="Normal 9 41" xfId="7510" xr:uid="{00000000-0005-0000-0000-000042230000}"/>
    <cellStyle name="Normal 9 42" xfId="7511" xr:uid="{00000000-0005-0000-0000-000043230000}"/>
    <cellStyle name="Normal 9 43" xfId="7512" xr:uid="{00000000-0005-0000-0000-000044230000}"/>
    <cellStyle name="Normal 9 44" xfId="7513" xr:uid="{00000000-0005-0000-0000-000045230000}"/>
    <cellStyle name="Normal 9 45" xfId="7514" xr:uid="{00000000-0005-0000-0000-000046230000}"/>
    <cellStyle name="Normal 9 46" xfId="7515" xr:uid="{00000000-0005-0000-0000-000047230000}"/>
    <cellStyle name="Normal 9 47" xfId="7516" xr:uid="{00000000-0005-0000-0000-000048230000}"/>
    <cellStyle name="Normal 9 48" xfId="7517" xr:uid="{00000000-0005-0000-0000-000049230000}"/>
    <cellStyle name="Normal 9 49" xfId="7518" xr:uid="{00000000-0005-0000-0000-00004A230000}"/>
    <cellStyle name="Normal 9 5" xfId="7519" xr:uid="{00000000-0005-0000-0000-00004B230000}"/>
    <cellStyle name="Normal 9 50" xfId="7520" xr:uid="{00000000-0005-0000-0000-00004C230000}"/>
    <cellStyle name="Normal 9 51" xfId="7521" xr:uid="{00000000-0005-0000-0000-00004D230000}"/>
    <cellStyle name="Normal 9 52" xfId="7522" xr:uid="{00000000-0005-0000-0000-00004E230000}"/>
    <cellStyle name="Normal 9 53" xfId="7523" xr:uid="{00000000-0005-0000-0000-00004F230000}"/>
    <cellStyle name="Normal 9 54" xfId="7524" xr:uid="{00000000-0005-0000-0000-000050230000}"/>
    <cellStyle name="Normal 9 55" xfId="7525" xr:uid="{00000000-0005-0000-0000-000051230000}"/>
    <cellStyle name="Normal 9 56" xfId="7526" xr:uid="{00000000-0005-0000-0000-000052230000}"/>
    <cellStyle name="Normal 9 57" xfId="7527" xr:uid="{00000000-0005-0000-0000-000053230000}"/>
    <cellStyle name="Normal 9 58" xfId="7528" xr:uid="{00000000-0005-0000-0000-000054230000}"/>
    <cellStyle name="Normal 9 59" xfId="7529" xr:uid="{00000000-0005-0000-0000-000055230000}"/>
    <cellStyle name="Normal 9 6" xfId="7530" xr:uid="{00000000-0005-0000-0000-000056230000}"/>
    <cellStyle name="Normal 9 60" xfId="7531" xr:uid="{00000000-0005-0000-0000-000057230000}"/>
    <cellStyle name="Normal 9 61" xfId="7532" xr:uid="{00000000-0005-0000-0000-000058230000}"/>
    <cellStyle name="Normal 9 62" xfId="7533" xr:uid="{00000000-0005-0000-0000-000059230000}"/>
    <cellStyle name="Normal 9 63" xfId="7534" xr:uid="{00000000-0005-0000-0000-00005A230000}"/>
    <cellStyle name="Normal 9 64" xfId="7535" xr:uid="{00000000-0005-0000-0000-00005B230000}"/>
    <cellStyle name="Normal 9 65" xfId="7536" xr:uid="{00000000-0005-0000-0000-00005C230000}"/>
    <cellStyle name="Normal 9 66" xfId="7537" xr:uid="{00000000-0005-0000-0000-00005D230000}"/>
    <cellStyle name="Normal 9 67" xfId="7538" xr:uid="{00000000-0005-0000-0000-00005E230000}"/>
    <cellStyle name="Normal 9 68" xfId="7539" xr:uid="{00000000-0005-0000-0000-00005F230000}"/>
    <cellStyle name="Normal 9 69" xfId="7540" xr:uid="{00000000-0005-0000-0000-000060230000}"/>
    <cellStyle name="Normal 9 7" xfId="7541" xr:uid="{00000000-0005-0000-0000-000061230000}"/>
    <cellStyle name="Normal 9 70" xfId="7542" xr:uid="{00000000-0005-0000-0000-000062230000}"/>
    <cellStyle name="Normal 9 71" xfId="7543" xr:uid="{00000000-0005-0000-0000-000063230000}"/>
    <cellStyle name="Normal 9 72" xfId="7544" xr:uid="{00000000-0005-0000-0000-000064230000}"/>
    <cellStyle name="Normal 9 73" xfId="7545" xr:uid="{00000000-0005-0000-0000-000065230000}"/>
    <cellStyle name="Normal 9 74" xfId="7546" xr:uid="{00000000-0005-0000-0000-000066230000}"/>
    <cellStyle name="Normal 9 75" xfId="7547" xr:uid="{00000000-0005-0000-0000-000067230000}"/>
    <cellStyle name="Normal 9 76" xfId="7548" xr:uid="{00000000-0005-0000-0000-000068230000}"/>
    <cellStyle name="Normal 9 77" xfId="7549" xr:uid="{00000000-0005-0000-0000-000069230000}"/>
    <cellStyle name="Normal 9 78" xfId="7550" xr:uid="{00000000-0005-0000-0000-00006A230000}"/>
    <cellStyle name="Normal 9 79" xfId="7551" xr:uid="{00000000-0005-0000-0000-00006B230000}"/>
    <cellStyle name="Normal 9 8" xfId="7552" xr:uid="{00000000-0005-0000-0000-00006C230000}"/>
    <cellStyle name="Normal 9 80" xfId="7553" xr:uid="{00000000-0005-0000-0000-00006D230000}"/>
    <cellStyle name="Normal 9 81" xfId="7554" xr:uid="{00000000-0005-0000-0000-00006E230000}"/>
    <cellStyle name="Normal 9 82" xfId="7555" xr:uid="{00000000-0005-0000-0000-00006F230000}"/>
    <cellStyle name="Normal 9 83" xfId="7556" xr:uid="{00000000-0005-0000-0000-000070230000}"/>
    <cellStyle name="Normal 9 84" xfId="7557" xr:uid="{00000000-0005-0000-0000-000071230000}"/>
    <cellStyle name="Normal 9 85" xfId="7558" xr:uid="{00000000-0005-0000-0000-000072230000}"/>
    <cellStyle name="Normal 9 86" xfId="7559" xr:uid="{00000000-0005-0000-0000-000073230000}"/>
    <cellStyle name="Normal 9 87" xfId="7560" xr:uid="{00000000-0005-0000-0000-000074230000}"/>
    <cellStyle name="Normal 9 88" xfId="7561" xr:uid="{00000000-0005-0000-0000-000075230000}"/>
    <cellStyle name="Normal 9 89" xfId="7562" xr:uid="{00000000-0005-0000-0000-000076230000}"/>
    <cellStyle name="Normal 9 9" xfId="7563" xr:uid="{00000000-0005-0000-0000-000077230000}"/>
    <cellStyle name="Normal 9 90" xfId="7564" xr:uid="{00000000-0005-0000-0000-000078230000}"/>
    <cellStyle name="Normal 9 91" xfId="7565" xr:uid="{00000000-0005-0000-0000-000079230000}"/>
    <cellStyle name="Normal 9 92" xfId="11144" xr:uid="{00000000-0005-0000-0000-00007A230000}"/>
    <cellStyle name="Normal 90" xfId="7566" xr:uid="{00000000-0005-0000-0000-00007B230000}"/>
    <cellStyle name="Normal 90 2" xfId="7567" xr:uid="{00000000-0005-0000-0000-00007C230000}"/>
    <cellStyle name="Normal 90 3" xfId="7568" xr:uid="{00000000-0005-0000-0000-00007D230000}"/>
    <cellStyle name="Normal 90 3 2" xfId="10796" xr:uid="{00000000-0005-0000-0000-00007E230000}"/>
    <cellStyle name="Normal 91" xfId="7569" xr:uid="{00000000-0005-0000-0000-00007F230000}"/>
    <cellStyle name="Normal 91 2" xfId="7570" xr:uid="{00000000-0005-0000-0000-000080230000}"/>
    <cellStyle name="Normal 92" xfId="7571" xr:uid="{00000000-0005-0000-0000-000081230000}"/>
    <cellStyle name="Normal 93" xfId="7572" xr:uid="{00000000-0005-0000-0000-000082230000}"/>
    <cellStyle name="Normal 94" xfId="7573" xr:uid="{00000000-0005-0000-0000-000083230000}"/>
    <cellStyle name="Normal 95" xfId="7574" xr:uid="{00000000-0005-0000-0000-000084230000}"/>
    <cellStyle name="Normal 95 2" xfId="7575" xr:uid="{00000000-0005-0000-0000-000085230000}"/>
    <cellStyle name="Normal 96" xfId="7576" xr:uid="{00000000-0005-0000-0000-000086230000}"/>
    <cellStyle name="Normal 97" xfId="7577" xr:uid="{00000000-0005-0000-0000-000087230000}"/>
    <cellStyle name="Normal 98" xfId="7578" xr:uid="{00000000-0005-0000-0000-000088230000}"/>
    <cellStyle name="Normal 99" xfId="7579" xr:uid="{00000000-0005-0000-0000-000089230000}"/>
    <cellStyle name="Normal FICA" xfId="7580" xr:uid="{00000000-0005-0000-0000-00008A230000}"/>
    <cellStyle name="Normal FUI" xfId="7581" xr:uid="{00000000-0005-0000-0000-00008B230000}"/>
    <cellStyle name="Normal Other Benefits" xfId="7582" xr:uid="{00000000-0005-0000-0000-00008C230000}"/>
    <cellStyle name="Note 2" xfId="7583" xr:uid="{00000000-0005-0000-0000-00008D230000}"/>
    <cellStyle name="Note 2 2" xfId="7584" xr:uid="{00000000-0005-0000-0000-00008E230000}"/>
    <cellStyle name="Note 2 2 2" xfId="7585" xr:uid="{00000000-0005-0000-0000-00008F230000}"/>
    <cellStyle name="Note 2 2 3" xfId="7586" xr:uid="{00000000-0005-0000-0000-000090230000}"/>
    <cellStyle name="Note 2 2 4" xfId="10797" xr:uid="{00000000-0005-0000-0000-000091230000}"/>
    <cellStyle name="Note 2 3" xfId="7587" xr:uid="{00000000-0005-0000-0000-000092230000}"/>
    <cellStyle name="Note 2 3 2" xfId="7588" xr:uid="{00000000-0005-0000-0000-000093230000}"/>
    <cellStyle name="Note 2 3 3" xfId="10798" xr:uid="{00000000-0005-0000-0000-000094230000}"/>
    <cellStyle name="Note 2 4" xfId="7589" xr:uid="{00000000-0005-0000-0000-000095230000}"/>
    <cellStyle name="Note 2 4 2" xfId="7590" xr:uid="{00000000-0005-0000-0000-000096230000}"/>
    <cellStyle name="Note 2 4 3" xfId="10799" xr:uid="{00000000-0005-0000-0000-000097230000}"/>
    <cellStyle name="Note 2 5" xfId="7591" xr:uid="{00000000-0005-0000-0000-000098230000}"/>
    <cellStyle name="Note 2 5 2" xfId="7592" xr:uid="{00000000-0005-0000-0000-000099230000}"/>
    <cellStyle name="Note 2 5 3" xfId="10800" xr:uid="{00000000-0005-0000-0000-00009A230000}"/>
    <cellStyle name="Note 3" xfId="7593" xr:uid="{00000000-0005-0000-0000-00009B230000}"/>
    <cellStyle name="Note 3 2" xfId="7594" xr:uid="{00000000-0005-0000-0000-00009C230000}"/>
    <cellStyle name="Note 3 3" xfId="7595" xr:uid="{00000000-0005-0000-0000-00009D230000}"/>
    <cellStyle name="Note 3 4" xfId="10801" xr:uid="{00000000-0005-0000-0000-00009E230000}"/>
    <cellStyle name="Note 4" xfId="7596" xr:uid="{00000000-0005-0000-0000-00009F230000}"/>
    <cellStyle name="Note 4 2" xfId="7597" xr:uid="{00000000-0005-0000-0000-0000A0230000}"/>
    <cellStyle name="Note 4 3" xfId="10802" xr:uid="{00000000-0005-0000-0000-0000A1230000}"/>
    <cellStyle name="Note 5" xfId="7598" xr:uid="{00000000-0005-0000-0000-0000A2230000}"/>
    <cellStyle name="Output 2" xfId="7599" xr:uid="{00000000-0005-0000-0000-0000A3230000}"/>
    <cellStyle name="Output 3" xfId="7600" xr:uid="{00000000-0005-0000-0000-0000A4230000}"/>
    <cellStyle name="Output 4" xfId="7601" xr:uid="{00000000-0005-0000-0000-0000A5230000}"/>
    <cellStyle name="Output 5" xfId="7602" xr:uid="{00000000-0005-0000-0000-0000A6230000}"/>
    <cellStyle name="Output 6" xfId="7603" xr:uid="{00000000-0005-0000-0000-0000A7230000}"/>
    <cellStyle name="Output 7" xfId="7604" xr:uid="{00000000-0005-0000-0000-0000A8230000}"/>
    <cellStyle name="Output Amounts" xfId="7605" xr:uid="{00000000-0005-0000-0000-0000A9230000}"/>
    <cellStyle name="Output Column Headings" xfId="7606" xr:uid="{00000000-0005-0000-0000-0000AA230000}"/>
    <cellStyle name="Output Line Items" xfId="7607" xr:uid="{00000000-0005-0000-0000-0000AB230000}"/>
    <cellStyle name="Output Report Heading" xfId="7608" xr:uid="{00000000-0005-0000-0000-0000AC230000}"/>
    <cellStyle name="Output Report Title" xfId="7609" xr:uid="{00000000-0005-0000-0000-0000AD230000}"/>
    <cellStyle name="Percent" xfId="1" builtinId="5"/>
    <cellStyle name="Percent 10" xfId="7610" xr:uid="{00000000-0005-0000-0000-0000AF230000}"/>
    <cellStyle name="Percent 10 2" xfId="7611" xr:uid="{00000000-0005-0000-0000-0000B0230000}"/>
    <cellStyle name="Percent 11" xfId="7612" xr:uid="{00000000-0005-0000-0000-0000B1230000}"/>
    <cellStyle name="Percent 11 2" xfId="7613" xr:uid="{00000000-0005-0000-0000-0000B2230000}"/>
    <cellStyle name="Percent 12" xfId="7614" xr:uid="{00000000-0005-0000-0000-0000B3230000}"/>
    <cellStyle name="Percent 12 2" xfId="7615" xr:uid="{00000000-0005-0000-0000-0000B4230000}"/>
    <cellStyle name="Percent 13" xfId="7616" xr:uid="{00000000-0005-0000-0000-0000B5230000}"/>
    <cellStyle name="Percent 13 2" xfId="7617" xr:uid="{00000000-0005-0000-0000-0000B6230000}"/>
    <cellStyle name="Percent 14" xfId="7618" xr:uid="{00000000-0005-0000-0000-0000B7230000}"/>
    <cellStyle name="Percent 14 2" xfId="7619" xr:uid="{00000000-0005-0000-0000-0000B8230000}"/>
    <cellStyle name="Percent 15" xfId="7620" xr:uid="{00000000-0005-0000-0000-0000B9230000}"/>
    <cellStyle name="Percent 15 2" xfId="7621" xr:uid="{00000000-0005-0000-0000-0000BA230000}"/>
    <cellStyle name="Percent 16" xfId="7622" xr:uid="{00000000-0005-0000-0000-0000BB230000}"/>
    <cellStyle name="Percent 16 2" xfId="7623" xr:uid="{00000000-0005-0000-0000-0000BC230000}"/>
    <cellStyle name="Percent 17" xfId="7624" xr:uid="{00000000-0005-0000-0000-0000BD230000}"/>
    <cellStyle name="Percent 17 2" xfId="7625" xr:uid="{00000000-0005-0000-0000-0000BE230000}"/>
    <cellStyle name="Percent 18" xfId="7626" xr:uid="{00000000-0005-0000-0000-0000BF230000}"/>
    <cellStyle name="Percent 18 2" xfId="7627" xr:uid="{00000000-0005-0000-0000-0000C0230000}"/>
    <cellStyle name="Percent 19" xfId="7628" xr:uid="{00000000-0005-0000-0000-0000C1230000}"/>
    <cellStyle name="Percent 19 2" xfId="7629" xr:uid="{00000000-0005-0000-0000-0000C2230000}"/>
    <cellStyle name="Percent 2" xfId="2" xr:uid="{00000000-0005-0000-0000-0000C3230000}"/>
    <cellStyle name="Percent 2 10" xfId="7630" xr:uid="{00000000-0005-0000-0000-0000C4230000}"/>
    <cellStyle name="Percent 2 10 2" xfId="7631" xr:uid="{00000000-0005-0000-0000-0000C5230000}"/>
    <cellStyle name="Percent 2 10 2 2" xfId="7632" xr:uid="{00000000-0005-0000-0000-0000C6230000}"/>
    <cellStyle name="Percent 2 10 2 3" xfId="7633" xr:uid="{00000000-0005-0000-0000-0000C7230000}"/>
    <cellStyle name="Percent 2 10 3" xfId="7634" xr:uid="{00000000-0005-0000-0000-0000C8230000}"/>
    <cellStyle name="Percent 2 100" xfId="7635" xr:uid="{00000000-0005-0000-0000-0000C9230000}"/>
    <cellStyle name="Percent 2 101" xfId="7636" xr:uid="{00000000-0005-0000-0000-0000CA230000}"/>
    <cellStyle name="Percent 2 102" xfId="7637" xr:uid="{00000000-0005-0000-0000-0000CB230000}"/>
    <cellStyle name="Percent 2 103" xfId="7638" xr:uid="{00000000-0005-0000-0000-0000CC230000}"/>
    <cellStyle name="Percent 2 104" xfId="7639" xr:uid="{00000000-0005-0000-0000-0000CD230000}"/>
    <cellStyle name="Percent 2 105" xfId="7640" xr:uid="{00000000-0005-0000-0000-0000CE230000}"/>
    <cellStyle name="Percent 2 106" xfId="7641" xr:uid="{00000000-0005-0000-0000-0000CF230000}"/>
    <cellStyle name="Percent 2 107" xfId="7642" xr:uid="{00000000-0005-0000-0000-0000D0230000}"/>
    <cellStyle name="Percent 2 108" xfId="7643" xr:uid="{00000000-0005-0000-0000-0000D1230000}"/>
    <cellStyle name="Percent 2 109" xfId="7644" xr:uid="{00000000-0005-0000-0000-0000D2230000}"/>
    <cellStyle name="Percent 2 11" xfId="7645" xr:uid="{00000000-0005-0000-0000-0000D3230000}"/>
    <cellStyle name="Percent 2 11 2" xfId="7646" xr:uid="{00000000-0005-0000-0000-0000D4230000}"/>
    <cellStyle name="Percent 2 11 2 2" xfId="7647" xr:uid="{00000000-0005-0000-0000-0000D5230000}"/>
    <cellStyle name="Percent 2 11 2 3" xfId="7648" xr:uid="{00000000-0005-0000-0000-0000D6230000}"/>
    <cellStyle name="Percent 2 11 3" xfId="7649" xr:uid="{00000000-0005-0000-0000-0000D7230000}"/>
    <cellStyle name="Percent 2 110" xfId="7650" xr:uid="{00000000-0005-0000-0000-0000D8230000}"/>
    <cellStyle name="Percent 2 111" xfId="7651" xr:uid="{00000000-0005-0000-0000-0000D9230000}"/>
    <cellStyle name="Percent 2 112" xfId="7652" xr:uid="{00000000-0005-0000-0000-0000DA230000}"/>
    <cellStyle name="Percent 2 113" xfId="7653" xr:uid="{00000000-0005-0000-0000-0000DB230000}"/>
    <cellStyle name="Percent 2 114" xfId="7654" xr:uid="{00000000-0005-0000-0000-0000DC230000}"/>
    <cellStyle name="Percent 2 115" xfId="7655" xr:uid="{00000000-0005-0000-0000-0000DD230000}"/>
    <cellStyle name="Percent 2 116" xfId="7656" xr:uid="{00000000-0005-0000-0000-0000DE230000}"/>
    <cellStyle name="Percent 2 117" xfId="7657" xr:uid="{00000000-0005-0000-0000-0000DF230000}"/>
    <cellStyle name="Percent 2 118" xfId="7658" xr:uid="{00000000-0005-0000-0000-0000E0230000}"/>
    <cellStyle name="Percent 2 119" xfId="7659" xr:uid="{00000000-0005-0000-0000-0000E1230000}"/>
    <cellStyle name="Percent 2 12" xfId="7660" xr:uid="{00000000-0005-0000-0000-0000E2230000}"/>
    <cellStyle name="Percent 2 12 2" xfId="7661" xr:uid="{00000000-0005-0000-0000-0000E3230000}"/>
    <cellStyle name="Percent 2 12 2 2" xfId="7662" xr:uid="{00000000-0005-0000-0000-0000E4230000}"/>
    <cellStyle name="Percent 2 12 2 3" xfId="7663" xr:uid="{00000000-0005-0000-0000-0000E5230000}"/>
    <cellStyle name="Percent 2 12 3" xfId="7664" xr:uid="{00000000-0005-0000-0000-0000E6230000}"/>
    <cellStyle name="Percent 2 120" xfId="7665" xr:uid="{00000000-0005-0000-0000-0000E7230000}"/>
    <cellStyle name="Percent 2 121" xfId="7666" xr:uid="{00000000-0005-0000-0000-0000E8230000}"/>
    <cellStyle name="Percent 2 122" xfId="7667" xr:uid="{00000000-0005-0000-0000-0000E9230000}"/>
    <cellStyle name="Percent 2 123" xfId="7668" xr:uid="{00000000-0005-0000-0000-0000EA230000}"/>
    <cellStyle name="Percent 2 124" xfId="7669" xr:uid="{00000000-0005-0000-0000-0000EB230000}"/>
    <cellStyle name="Percent 2 125" xfId="7670" xr:uid="{00000000-0005-0000-0000-0000EC230000}"/>
    <cellStyle name="Percent 2 126" xfId="7671" xr:uid="{00000000-0005-0000-0000-0000ED230000}"/>
    <cellStyle name="Percent 2 127" xfId="7672" xr:uid="{00000000-0005-0000-0000-0000EE230000}"/>
    <cellStyle name="Percent 2 128" xfId="7673" xr:uid="{00000000-0005-0000-0000-0000EF230000}"/>
    <cellStyle name="Percent 2 129" xfId="7674" xr:uid="{00000000-0005-0000-0000-0000F0230000}"/>
    <cellStyle name="Percent 2 13" xfId="7675" xr:uid="{00000000-0005-0000-0000-0000F1230000}"/>
    <cellStyle name="Percent 2 13 2" xfId="7676" xr:uid="{00000000-0005-0000-0000-0000F2230000}"/>
    <cellStyle name="Percent 2 13 2 2" xfId="7677" xr:uid="{00000000-0005-0000-0000-0000F3230000}"/>
    <cellStyle name="Percent 2 13 2 3" xfId="7678" xr:uid="{00000000-0005-0000-0000-0000F4230000}"/>
    <cellStyle name="Percent 2 13 3" xfId="7679" xr:uid="{00000000-0005-0000-0000-0000F5230000}"/>
    <cellStyle name="Percent 2 130" xfId="7680" xr:uid="{00000000-0005-0000-0000-0000F6230000}"/>
    <cellStyle name="Percent 2 131" xfId="7681" xr:uid="{00000000-0005-0000-0000-0000F7230000}"/>
    <cellStyle name="Percent 2 132" xfId="7682" xr:uid="{00000000-0005-0000-0000-0000F8230000}"/>
    <cellStyle name="Percent 2 133" xfId="7683" xr:uid="{00000000-0005-0000-0000-0000F9230000}"/>
    <cellStyle name="Percent 2 134" xfId="7684" xr:uid="{00000000-0005-0000-0000-0000FA230000}"/>
    <cellStyle name="Percent 2 135" xfId="7685" xr:uid="{00000000-0005-0000-0000-0000FB230000}"/>
    <cellStyle name="Percent 2 136" xfId="7686" xr:uid="{00000000-0005-0000-0000-0000FC230000}"/>
    <cellStyle name="Percent 2 137" xfId="7687" xr:uid="{00000000-0005-0000-0000-0000FD230000}"/>
    <cellStyle name="Percent 2 138" xfId="7688" xr:uid="{00000000-0005-0000-0000-0000FE230000}"/>
    <cellStyle name="Percent 2 139" xfId="7689" xr:uid="{00000000-0005-0000-0000-0000FF230000}"/>
    <cellStyle name="Percent 2 14" xfId="7690" xr:uid="{00000000-0005-0000-0000-000000240000}"/>
    <cellStyle name="Percent 2 14 2" xfId="7691" xr:uid="{00000000-0005-0000-0000-000001240000}"/>
    <cellStyle name="Percent 2 14 2 2" xfId="7692" xr:uid="{00000000-0005-0000-0000-000002240000}"/>
    <cellStyle name="Percent 2 14 2 3" xfId="7693" xr:uid="{00000000-0005-0000-0000-000003240000}"/>
    <cellStyle name="Percent 2 14 3" xfId="7694" xr:uid="{00000000-0005-0000-0000-000004240000}"/>
    <cellStyle name="Percent 2 140" xfId="7695" xr:uid="{00000000-0005-0000-0000-000005240000}"/>
    <cellStyle name="Percent 2 141" xfId="7696" xr:uid="{00000000-0005-0000-0000-000006240000}"/>
    <cellStyle name="Percent 2 142" xfId="7697" xr:uid="{00000000-0005-0000-0000-000007240000}"/>
    <cellStyle name="Percent 2 143" xfId="7698" xr:uid="{00000000-0005-0000-0000-000008240000}"/>
    <cellStyle name="Percent 2 144" xfId="7699" xr:uid="{00000000-0005-0000-0000-000009240000}"/>
    <cellStyle name="Percent 2 145" xfId="7700" xr:uid="{00000000-0005-0000-0000-00000A240000}"/>
    <cellStyle name="Percent 2 146" xfId="7701" xr:uid="{00000000-0005-0000-0000-00000B240000}"/>
    <cellStyle name="Percent 2 147" xfId="7702" xr:uid="{00000000-0005-0000-0000-00000C240000}"/>
    <cellStyle name="Percent 2 148" xfId="7703" xr:uid="{00000000-0005-0000-0000-00000D240000}"/>
    <cellStyle name="Percent 2 149" xfId="7704" xr:uid="{00000000-0005-0000-0000-00000E240000}"/>
    <cellStyle name="Percent 2 15" xfId="7705" xr:uid="{00000000-0005-0000-0000-00000F240000}"/>
    <cellStyle name="Percent 2 15 2" xfId="7706" xr:uid="{00000000-0005-0000-0000-000010240000}"/>
    <cellStyle name="Percent 2 15 2 2" xfId="7707" xr:uid="{00000000-0005-0000-0000-000011240000}"/>
    <cellStyle name="Percent 2 15 2 3" xfId="7708" xr:uid="{00000000-0005-0000-0000-000012240000}"/>
    <cellStyle name="Percent 2 15 3" xfId="7709" xr:uid="{00000000-0005-0000-0000-000013240000}"/>
    <cellStyle name="Percent 2 150" xfId="7710" xr:uid="{00000000-0005-0000-0000-000014240000}"/>
    <cellStyle name="Percent 2 151" xfId="7711" xr:uid="{00000000-0005-0000-0000-000015240000}"/>
    <cellStyle name="Percent 2 151 2" xfId="7712" xr:uid="{00000000-0005-0000-0000-000016240000}"/>
    <cellStyle name="Percent 2 151 3" xfId="10803" xr:uid="{00000000-0005-0000-0000-000017240000}"/>
    <cellStyle name="Percent 2 152" xfId="7713" xr:uid="{00000000-0005-0000-0000-000018240000}"/>
    <cellStyle name="Percent 2 152 2" xfId="10804" xr:uid="{00000000-0005-0000-0000-000019240000}"/>
    <cellStyle name="Percent 2 153" xfId="7714" xr:uid="{00000000-0005-0000-0000-00001A240000}"/>
    <cellStyle name="Percent 2 153 2" xfId="11065" xr:uid="{00000000-0005-0000-0000-00001B240000}"/>
    <cellStyle name="Percent 2 154" xfId="7715" xr:uid="{00000000-0005-0000-0000-00001C240000}"/>
    <cellStyle name="Percent 2 155" xfId="9386" xr:uid="{00000000-0005-0000-0000-00001D240000}"/>
    <cellStyle name="Percent 2 155 2" xfId="9407" xr:uid="{00000000-0005-0000-0000-00001E240000}"/>
    <cellStyle name="Percent 2 155 2 2" xfId="9409" xr:uid="{00000000-0005-0000-0000-00001F240000}"/>
    <cellStyle name="Percent 2 155 2 3" xfId="11186" xr:uid="{00000000-0005-0000-0000-000020240000}"/>
    <cellStyle name="Percent 2 155 2 4" xfId="11205" xr:uid="{00000000-0005-0000-0000-000021240000}"/>
    <cellStyle name="Percent 2 155 2 4 2" xfId="11210" xr:uid="{00000000-0005-0000-0000-000022240000}"/>
    <cellStyle name="Percent 2 155 2 4 3" xfId="11211" xr:uid="{00000000-0005-0000-0000-000023240000}"/>
    <cellStyle name="Percent 2 155 3" xfId="11180" xr:uid="{00000000-0005-0000-0000-000024240000}"/>
    <cellStyle name="Percent 2 16" xfId="13" xr:uid="{00000000-0005-0000-0000-000025240000}"/>
    <cellStyle name="Percent 2 16 2" xfId="7716" xr:uid="{00000000-0005-0000-0000-000026240000}"/>
    <cellStyle name="Percent 2 16 2 2" xfId="7717" xr:uid="{00000000-0005-0000-0000-000027240000}"/>
    <cellStyle name="Percent 2 16 2 3" xfId="7718" xr:uid="{00000000-0005-0000-0000-000028240000}"/>
    <cellStyle name="Percent 2 16 3" xfId="7719" xr:uid="{00000000-0005-0000-0000-000029240000}"/>
    <cellStyle name="Percent 2 17" xfId="7720" xr:uid="{00000000-0005-0000-0000-00002A240000}"/>
    <cellStyle name="Percent 2 17 2" xfId="7721" xr:uid="{00000000-0005-0000-0000-00002B240000}"/>
    <cellStyle name="Percent 2 17 2 2" xfId="7722" xr:uid="{00000000-0005-0000-0000-00002C240000}"/>
    <cellStyle name="Percent 2 17 2 3" xfId="7723" xr:uid="{00000000-0005-0000-0000-00002D240000}"/>
    <cellStyle name="Percent 2 17 3" xfId="7724" xr:uid="{00000000-0005-0000-0000-00002E240000}"/>
    <cellStyle name="Percent 2 18" xfId="7725" xr:uid="{00000000-0005-0000-0000-00002F240000}"/>
    <cellStyle name="Percent 2 18 2" xfId="7726" xr:uid="{00000000-0005-0000-0000-000030240000}"/>
    <cellStyle name="Percent 2 18 2 2" xfId="7727" xr:uid="{00000000-0005-0000-0000-000031240000}"/>
    <cellStyle name="Percent 2 18 2 3" xfId="7728" xr:uid="{00000000-0005-0000-0000-000032240000}"/>
    <cellStyle name="Percent 2 18 3" xfId="7729" xr:uid="{00000000-0005-0000-0000-000033240000}"/>
    <cellStyle name="Percent 2 19" xfId="7730" xr:uid="{00000000-0005-0000-0000-000034240000}"/>
    <cellStyle name="Percent 2 19 2" xfId="7731" xr:uid="{00000000-0005-0000-0000-000035240000}"/>
    <cellStyle name="Percent 2 19 2 2" xfId="7732" xr:uid="{00000000-0005-0000-0000-000036240000}"/>
    <cellStyle name="Percent 2 19 2 3" xfId="7733" xr:uid="{00000000-0005-0000-0000-000037240000}"/>
    <cellStyle name="Percent 2 19 3" xfId="7734" xr:uid="{00000000-0005-0000-0000-000038240000}"/>
    <cellStyle name="Percent 2 2" xfId="7735" xr:uid="{00000000-0005-0000-0000-000039240000}"/>
    <cellStyle name="Percent 2 2 10" xfId="7736" xr:uid="{00000000-0005-0000-0000-00003A240000}"/>
    <cellStyle name="Percent 2 2 11" xfId="7737" xr:uid="{00000000-0005-0000-0000-00003B240000}"/>
    <cellStyle name="Percent 2 2 12" xfId="7738" xr:uid="{00000000-0005-0000-0000-00003C240000}"/>
    <cellStyle name="Percent 2 2 12 2" xfId="7739" xr:uid="{00000000-0005-0000-0000-00003D240000}"/>
    <cellStyle name="Percent 2 2 12 2 2" xfId="7740" xr:uid="{00000000-0005-0000-0000-00003E240000}"/>
    <cellStyle name="Percent 2 2 12 2 3" xfId="10806" xr:uid="{00000000-0005-0000-0000-00003F240000}"/>
    <cellStyle name="Percent 2 2 12 3" xfId="7741" xr:uid="{00000000-0005-0000-0000-000040240000}"/>
    <cellStyle name="Percent 2 2 12 4" xfId="7742" xr:uid="{00000000-0005-0000-0000-000041240000}"/>
    <cellStyle name="Percent 2 2 12 5" xfId="10805" xr:uid="{00000000-0005-0000-0000-000042240000}"/>
    <cellStyle name="Percent 2 2 13" xfId="7743" xr:uid="{00000000-0005-0000-0000-000043240000}"/>
    <cellStyle name="Percent 2 2 13 2" xfId="7744" xr:uid="{00000000-0005-0000-0000-000044240000}"/>
    <cellStyle name="Percent 2 2 13 2 2" xfId="7745" xr:uid="{00000000-0005-0000-0000-000045240000}"/>
    <cellStyle name="Percent 2 2 13 2 3" xfId="10808" xr:uid="{00000000-0005-0000-0000-000046240000}"/>
    <cellStyle name="Percent 2 2 13 3" xfId="7746" xr:uid="{00000000-0005-0000-0000-000047240000}"/>
    <cellStyle name="Percent 2 2 13 4" xfId="10807" xr:uid="{00000000-0005-0000-0000-000048240000}"/>
    <cellStyle name="Percent 2 2 14" xfId="7747" xr:uid="{00000000-0005-0000-0000-000049240000}"/>
    <cellStyle name="Percent 2 2 14 2" xfId="7748" xr:uid="{00000000-0005-0000-0000-00004A240000}"/>
    <cellStyle name="Percent 2 2 14 2 2" xfId="7749" xr:uid="{00000000-0005-0000-0000-00004B240000}"/>
    <cellStyle name="Percent 2 2 14 2 3" xfId="10810" xr:uid="{00000000-0005-0000-0000-00004C240000}"/>
    <cellStyle name="Percent 2 2 14 3" xfId="7750" xr:uid="{00000000-0005-0000-0000-00004D240000}"/>
    <cellStyle name="Percent 2 2 14 4" xfId="10809" xr:uid="{00000000-0005-0000-0000-00004E240000}"/>
    <cellStyle name="Percent 2 2 15" xfId="7751" xr:uid="{00000000-0005-0000-0000-00004F240000}"/>
    <cellStyle name="Percent 2 2 15 2" xfId="7752" xr:uid="{00000000-0005-0000-0000-000050240000}"/>
    <cellStyle name="Percent 2 2 15 2 2" xfId="7753" xr:uid="{00000000-0005-0000-0000-000051240000}"/>
    <cellStyle name="Percent 2 2 15 2 3" xfId="10812" xr:uid="{00000000-0005-0000-0000-000052240000}"/>
    <cellStyle name="Percent 2 2 15 3" xfId="7754" xr:uid="{00000000-0005-0000-0000-000053240000}"/>
    <cellStyle name="Percent 2 2 15 4" xfId="10811" xr:uid="{00000000-0005-0000-0000-000054240000}"/>
    <cellStyle name="Percent 2 2 16" xfId="7755" xr:uid="{00000000-0005-0000-0000-000055240000}"/>
    <cellStyle name="Percent 2 2 16 2" xfId="7756" xr:uid="{00000000-0005-0000-0000-000056240000}"/>
    <cellStyle name="Percent 2 2 16 2 2" xfId="7757" xr:uid="{00000000-0005-0000-0000-000057240000}"/>
    <cellStyle name="Percent 2 2 16 2 3" xfId="10814" xr:uid="{00000000-0005-0000-0000-000058240000}"/>
    <cellStyle name="Percent 2 2 16 3" xfId="7758" xr:uid="{00000000-0005-0000-0000-000059240000}"/>
    <cellStyle name="Percent 2 2 16 4" xfId="10813" xr:uid="{00000000-0005-0000-0000-00005A240000}"/>
    <cellStyle name="Percent 2 2 17" xfId="7759" xr:uid="{00000000-0005-0000-0000-00005B240000}"/>
    <cellStyle name="Percent 2 2 17 2" xfId="7760" xr:uid="{00000000-0005-0000-0000-00005C240000}"/>
    <cellStyle name="Percent 2 2 17 2 2" xfId="7761" xr:uid="{00000000-0005-0000-0000-00005D240000}"/>
    <cellStyle name="Percent 2 2 17 2 3" xfId="10816" xr:uid="{00000000-0005-0000-0000-00005E240000}"/>
    <cellStyle name="Percent 2 2 17 3" xfId="7762" xr:uid="{00000000-0005-0000-0000-00005F240000}"/>
    <cellStyle name="Percent 2 2 17 4" xfId="10815" xr:uid="{00000000-0005-0000-0000-000060240000}"/>
    <cellStyle name="Percent 2 2 18" xfId="7763" xr:uid="{00000000-0005-0000-0000-000061240000}"/>
    <cellStyle name="Percent 2 2 18 2" xfId="7764" xr:uid="{00000000-0005-0000-0000-000062240000}"/>
    <cellStyle name="Percent 2 2 18 2 2" xfId="7765" xr:uid="{00000000-0005-0000-0000-000063240000}"/>
    <cellStyle name="Percent 2 2 18 2 3" xfId="10818" xr:uid="{00000000-0005-0000-0000-000064240000}"/>
    <cellStyle name="Percent 2 2 18 3" xfId="7766" xr:uid="{00000000-0005-0000-0000-000065240000}"/>
    <cellStyle name="Percent 2 2 18 4" xfId="10817" xr:uid="{00000000-0005-0000-0000-000066240000}"/>
    <cellStyle name="Percent 2 2 19" xfId="7767" xr:uid="{00000000-0005-0000-0000-000067240000}"/>
    <cellStyle name="Percent 2 2 19 2" xfId="7768" xr:uid="{00000000-0005-0000-0000-000068240000}"/>
    <cellStyle name="Percent 2 2 19 2 2" xfId="7769" xr:uid="{00000000-0005-0000-0000-000069240000}"/>
    <cellStyle name="Percent 2 2 19 2 3" xfId="10820" xr:uid="{00000000-0005-0000-0000-00006A240000}"/>
    <cellStyle name="Percent 2 2 19 3" xfId="7770" xr:uid="{00000000-0005-0000-0000-00006B240000}"/>
    <cellStyle name="Percent 2 2 19 4" xfId="10819" xr:uid="{00000000-0005-0000-0000-00006C240000}"/>
    <cellStyle name="Percent 2 2 2" xfId="7771" xr:uid="{00000000-0005-0000-0000-00006D240000}"/>
    <cellStyle name="Percent 2 2 2 10" xfId="7772" xr:uid="{00000000-0005-0000-0000-00006E240000}"/>
    <cellStyle name="Percent 2 2 2 10 2" xfId="7773" xr:uid="{00000000-0005-0000-0000-00006F240000}"/>
    <cellStyle name="Percent 2 2 2 10 2 2" xfId="7774" xr:uid="{00000000-0005-0000-0000-000070240000}"/>
    <cellStyle name="Percent 2 2 2 10 2 3" xfId="10823" xr:uid="{00000000-0005-0000-0000-000071240000}"/>
    <cellStyle name="Percent 2 2 2 10 3" xfId="7775" xr:uid="{00000000-0005-0000-0000-000072240000}"/>
    <cellStyle name="Percent 2 2 2 10 4" xfId="10822" xr:uid="{00000000-0005-0000-0000-000073240000}"/>
    <cellStyle name="Percent 2 2 2 11" xfId="7776" xr:uid="{00000000-0005-0000-0000-000074240000}"/>
    <cellStyle name="Percent 2 2 2 12" xfId="7777" xr:uid="{00000000-0005-0000-0000-000075240000}"/>
    <cellStyle name="Percent 2 2 2 13" xfId="7778" xr:uid="{00000000-0005-0000-0000-000076240000}"/>
    <cellStyle name="Percent 2 2 2 14" xfId="7779" xr:uid="{00000000-0005-0000-0000-000077240000}"/>
    <cellStyle name="Percent 2 2 2 15" xfId="7780" xr:uid="{00000000-0005-0000-0000-000078240000}"/>
    <cellStyle name="Percent 2 2 2 16" xfId="7781" xr:uid="{00000000-0005-0000-0000-000079240000}"/>
    <cellStyle name="Percent 2 2 2 17" xfId="7782" xr:uid="{00000000-0005-0000-0000-00007A240000}"/>
    <cellStyle name="Percent 2 2 2 18" xfId="7783" xr:uid="{00000000-0005-0000-0000-00007B240000}"/>
    <cellStyle name="Percent 2 2 2 19" xfId="7784" xr:uid="{00000000-0005-0000-0000-00007C240000}"/>
    <cellStyle name="Percent 2 2 2 2" xfId="7785" xr:uid="{00000000-0005-0000-0000-00007D240000}"/>
    <cellStyle name="Percent 2 2 2 2 10" xfId="7786" xr:uid="{00000000-0005-0000-0000-00007E240000}"/>
    <cellStyle name="Percent 2 2 2 2 11" xfId="7787" xr:uid="{00000000-0005-0000-0000-00007F240000}"/>
    <cellStyle name="Percent 2 2 2 2 11 2" xfId="7788" xr:uid="{00000000-0005-0000-0000-000080240000}"/>
    <cellStyle name="Percent 2 2 2 2 11 2 2" xfId="7789" xr:uid="{00000000-0005-0000-0000-000081240000}"/>
    <cellStyle name="Percent 2 2 2 2 11 2 3" xfId="10825" xr:uid="{00000000-0005-0000-0000-000082240000}"/>
    <cellStyle name="Percent 2 2 2 2 11 3" xfId="7790" xr:uid="{00000000-0005-0000-0000-000083240000}"/>
    <cellStyle name="Percent 2 2 2 2 11 4" xfId="10824" xr:uid="{00000000-0005-0000-0000-000084240000}"/>
    <cellStyle name="Percent 2 2 2 2 12" xfId="7791" xr:uid="{00000000-0005-0000-0000-000085240000}"/>
    <cellStyle name="Percent 2 2 2 2 12 2" xfId="7792" xr:uid="{00000000-0005-0000-0000-000086240000}"/>
    <cellStyle name="Percent 2 2 2 2 12 2 2" xfId="7793" xr:uid="{00000000-0005-0000-0000-000087240000}"/>
    <cellStyle name="Percent 2 2 2 2 12 2 3" xfId="10827" xr:uid="{00000000-0005-0000-0000-000088240000}"/>
    <cellStyle name="Percent 2 2 2 2 12 3" xfId="7794" xr:uid="{00000000-0005-0000-0000-000089240000}"/>
    <cellStyle name="Percent 2 2 2 2 12 4" xfId="10826" xr:uid="{00000000-0005-0000-0000-00008A240000}"/>
    <cellStyle name="Percent 2 2 2 2 13" xfId="7795" xr:uid="{00000000-0005-0000-0000-00008B240000}"/>
    <cellStyle name="Percent 2 2 2 2 13 2" xfId="7796" xr:uid="{00000000-0005-0000-0000-00008C240000}"/>
    <cellStyle name="Percent 2 2 2 2 13 2 2" xfId="7797" xr:uid="{00000000-0005-0000-0000-00008D240000}"/>
    <cellStyle name="Percent 2 2 2 2 13 2 3" xfId="10829" xr:uid="{00000000-0005-0000-0000-00008E240000}"/>
    <cellStyle name="Percent 2 2 2 2 13 3" xfId="7798" xr:uid="{00000000-0005-0000-0000-00008F240000}"/>
    <cellStyle name="Percent 2 2 2 2 13 4" xfId="10828" xr:uid="{00000000-0005-0000-0000-000090240000}"/>
    <cellStyle name="Percent 2 2 2 2 14" xfId="7799" xr:uid="{00000000-0005-0000-0000-000091240000}"/>
    <cellStyle name="Percent 2 2 2 2 14 2" xfId="7800" xr:uid="{00000000-0005-0000-0000-000092240000}"/>
    <cellStyle name="Percent 2 2 2 2 14 2 2" xfId="7801" xr:uid="{00000000-0005-0000-0000-000093240000}"/>
    <cellStyle name="Percent 2 2 2 2 14 2 3" xfId="10831" xr:uid="{00000000-0005-0000-0000-000094240000}"/>
    <cellStyle name="Percent 2 2 2 2 14 3" xfId="7802" xr:uid="{00000000-0005-0000-0000-000095240000}"/>
    <cellStyle name="Percent 2 2 2 2 14 4" xfId="10830" xr:uid="{00000000-0005-0000-0000-000096240000}"/>
    <cellStyle name="Percent 2 2 2 2 15" xfId="7803" xr:uid="{00000000-0005-0000-0000-000097240000}"/>
    <cellStyle name="Percent 2 2 2 2 15 2" xfId="7804" xr:uid="{00000000-0005-0000-0000-000098240000}"/>
    <cellStyle name="Percent 2 2 2 2 15 2 2" xfId="7805" xr:uid="{00000000-0005-0000-0000-000099240000}"/>
    <cellStyle name="Percent 2 2 2 2 15 2 3" xfId="10833" xr:uid="{00000000-0005-0000-0000-00009A240000}"/>
    <cellStyle name="Percent 2 2 2 2 15 3" xfId="7806" xr:uid="{00000000-0005-0000-0000-00009B240000}"/>
    <cellStyle name="Percent 2 2 2 2 15 4" xfId="10832" xr:uid="{00000000-0005-0000-0000-00009C240000}"/>
    <cellStyle name="Percent 2 2 2 2 16" xfId="7807" xr:uid="{00000000-0005-0000-0000-00009D240000}"/>
    <cellStyle name="Percent 2 2 2 2 16 2" xfId="7808" xr:uid="{00000000-0005-0000-0000-00009E240000}"/>
    <cellStyle name="Percent 2 2 2 2 16 2 2" xfId="7809" xr:uid="{00000000-0005-0000-0000-00009F240000}"/>
    <cellStyle name="Percent 2 2 2 2 16 2 3" xfId="10835" xr:uid="{00000000-0005-0000-0000-0000A0240000}"/>
    <cellStyle name="Percent 2 2 2 2 16 3" xfId="7810" xr:uid="{00000000-0005-0000-0000-0000A1240000}"/>
    <cellStyle name="Percent 2 2 2 2 16 4" xfId="10834" xr:uid="{00000000-0005-0000-0000-0000A2240000}"/>
    <cellStyle name="Percent 2 2 2 2 17" xfId="7811" xr:uid="{00000000-0005-0000-0000-0000A3240000}"/>
    <cellStyle name="Percent 2 2 2 2 17 2" xfId="7812" xr:uid="{00000000-0005-0000-0000-0000A4240000}"/>
    <cellStyle name="Percent 2 2 2 2 17 2 2" xfId="7813" xr:uid="{00000000-0005-0000-0000-0000A5240000}"/>
    <cellStyle name="Percent 2 2 2 2 17 2 3" xfId="10837" xr:uid="{00000000-0005-0000-0000-0000A6240000}"/>
    <cellStyle name="Percent 2 2 2 2 17 3" xfId="7814" xr:uid="{00000000-0005-0000-0000-0000A7240000}"/>
    <cellStyle name="Percent 2 2 2 2 17 4" xfId="10836" xr:uid="{00000000-0005-0000-0000-0000A8240000}"/>
    <cellStyle name="Percent 2 2 2 2 18" xfId="7815" xr:uid="{00000000-0005-0000-0000-0000A9240000}"/>
    <cellStyle name="Percent 2 2 2 2 18 2" xfId="7816" xr:uid="{00000000-0005-0000-0000-0000AA240000}"/>
    <cellStyle name="Percent 2 2 2 2 18 2 2" xfId="7817" xr:uid="{00000000-0005-0000-0000-0000AB240000}"/>
    <cellStyle name="Percent 2 2 2 2 18 2 3" xfId="10839" xr:uid="{00000000-0005-0000-0000-0000AC240000}"/>
    <cellStyle name="Percent 2 2 2 2 18 3" xfId="7818" xr:uid="{00000000-0005-0000-0000-0000AD240000}"/>
    <cellStyle name="Percent 2 2 2 2 18 4" xfId="10838" xr:uid="{00000000-0005-0000-0000-0000AE240000}"/>
    <cellStyle name="Percent 2 2 2 2 19" xfId="7819" xr:uid="{00000000-0005-0000-0000-0000AF240000}"/>
    <cellStyle name="Percent 2 2 2 2 19 2" xfId="7820" xr:uid="{00000000-0005-0000-0000-0000B0240000}"/>
    <cellStyle name="Percent 2 2 2 2 19 2 2" xfId="7821" xr:uid="{00000000-0005-0000-0000-0000B1240000}"/>
    <cellStyle name="Percent 2 2 2 2 19 2 3" xfId="10841" xr:uid="{00000000-0005-0000-0000-0000B2240000}"/>
    <cellStyle name="Percent 2 2 2 2 19 3" xfId="7822" xr:uid="{00000000-0005-0000-0000-0000B3240000}"/>
    <cellStyle name="Percent 2 2 2 2 19 4" xfId="10840" xr:uid="{00000000-0005-0000-0000-0000B4240000}"/>
    <cellStyle name="Percent 2 2 2 2 2" xfId="7823" xr:uid="{00000000-0005-0000-0000-0000B5240000}"/>
    <cellStyle name="Percent 2 2 2 2 2 10" xfId="7824" xr:uid="{00000000-0005-0000-0000-0000B6240000}"/>
    <cellStyle name="Percent 2 2 2 2 2 11" xfId="7825" xr:uid="{00000000-0005-0000-0000-0000B7240000}"/>
    <cellStyle name="Percent 2 2 2 2 2 12" xfId="7826" xr:uid="{00000000-0005-0000-0000-0000B8240000}"/>
    <cellStyle name="Percent 2 2 2 2 2 13" xfId="7827" xr:uid="{00000000-0005-0000-0000-0000B9240000}"/>
    <cellStyle name="Percent 2 2 2 2 2 14" xfId="7828" xr:uid="{00000000-0005-0000-0000-0000BA240000}"/>
    <cellStyle name="Percent 2 2 2 2 2 15" xfId="7829" xr:uid="{00000000-0005-0000-0000-0000BB240000}"/>
    <cellStyle name="Percent 2 2 2 2 2 16" xfId="7830" xr:uid="{00000000-0005-0000-0000-0000BC240000}"/>
    <cellStyle name="Percent 2 2 2 2 2 17" xfId="7831" xr:uid="{00000000-0005-0000-0000-0000BD240000}"/>
    <cellStyle name="Percent 2 2 2 2 2 18" xfId="7832" xr:uid="{00000000-0005-0000-0000-0000BE240000}"/>
    <cellStyle name="Percent 2 2 2 2 2 19" xfId="7833" xr:uid="{00000000-0005-0000-0000-0000BF240000}"/>
    <cellStyle name="Percent 2 2 2 2 2 19 2" xfId="7834" xr:uid="{00000000-0005-0000-0000-0000C0240000}"/>
    <cellStyle name="Percent 2 2 2 2 2 19 3" xfId="10843" xr:uid="{00000000-0005-0000-0000-0000C1240000}"/>
    <cellStyle name="Percent 2 2 2 2 2 2" xfId="7835" xr:uid="{00000000-0005-0000-0000-0000C2240000}"/>
    <cellStyle name="Percent 2 2 2 2 2 20" xfId="7836" xr:uid="{00000000-0005-0000-0000-0000C3240000}"/>
    <cellStyle name="Percent 2 2 2 2 2 21" xfId="10842" xr:uid="{00000000-0005-0000-0000-0000C4240000}"/>
    <cellStyle name="Percent 2 2 2 2 2 3" xfId="7837" xr:uid="{00000000-0005-0000-0000-0000C5240000}"/>
    <cellStyle name="Percent 2 2 2 2 2 4" xfId="7838" xr:uid="{00000000-0005-0000-0000-0000C6240000}"/>
    <cellStyle name="Percent 2 2 2 2 2 5" xfId="7839" xr:uid="{00000000-0005-0000-0000-0000C7240000}"/>
    <cellStyle name="Percent 2 2 2 2 2 6" xfId="7840" xr:uid="{00000000-0005-0000-0000-0000C8240000}"/>
    <cellStyle name="Percent 2 2 2 2 2 7" xfId="7841" xr:uid="{00000000-0005-0000-0000-0000C9240000}"/>
    <cellStyle name="Percent 2 2 2 2 2 8" xfId="7842" xr:uid="{00000000-0005-0000-0000-0000CA240000}"/>
    <cellStyle name="Percent 2 2 2 2 2 9" xfId="7843" xr:uid="{00000000-0005-0000-0000-0000CB240000}"/>
    <cellStyle name="Percent 2 2 2 2 20" xfId="7844" xr:uid="{00000000-0005-0000-0000-0000CC240000}"/>
    <cellStyle name="Percent 2 2 2 2 20 2" xfId="7845" xr:uid="{00000000-0005-0000-0000-0000CD240000}"/>
    <cellStyle name="Percent 2 2 2 2 20 2 2" xfId="7846" xr:uid="{00000000-0005-0000-0000-0000CE240000}"/>
    <cellStyle name="Percent 2 2 2 2 20 2 3" xfId="10845" xr:uid="{00000000-0005-0000-0000-0000CF240000}"/>
    <cellStyle name="Percent 2 2 2 2 20 3" xfId="7847" xr:uid="{00000000-0005-0000-0000-0000D0240000}"/>
    <cellStyle name="Percent 2 2 2 2 20 4" xfId="10844" xr:uid="{00000000-0005-0000-0000-0000D1240000}"/>
    <cellStyle name="Percent 2 2 2 2 21" xfId="7848" xr:uid="{00000000-0005-0000-0000-0000D2240000}"/>
    <cellStyle name="Percent 2 2 2 2 21 2" xfId="7849" xr:uid="{00000000-0005-0000-0000-0000D3240000}"/>
    <cellStyle name="Percent 2 2 2 2 21 2 2" xfId="7850" xr:uid="{00000000-0005-0000-0000-0000D4240000}"/>
    <cellStyle name="Percent 2 2 2 2 21 2 3" xfId="10847" xr:uid="{00000000-0005-0000-0000-0000D5240000}"/>
    <cellStyle name="Percent 2 2 2 2 21 3" xfId="7851" xr:uid="{00000000-0005-0000-0000-0000D6240000}"/>
    <cellStyle name="Percent 2 2 2 2 21 4" xfId="10846" xr:uid="{00000000-0005-0000-0000-0000D7240000}"/>
    <cellStyle name="Percent 2 2 2 2 22" xfId="7852" xr:uid="{00000000-0005-0000-0000-0000D8240000}"/>
    <cellStyle name="Percent 2 2 2 2 22 2" xfId="7853" xr:uid="{00000000-0005-0000-0000-0000D9240000}"/>
    <cellStyle name="Percent 2 2 2 2 22 2 2" xfId="7854" xr:uid="{00000000-0005-0000-0000-0000DA240000}"/>
    <cellStyle name="Percent 2 2 2 2 22 2 3" xfId="10849" xr:uid="{00000000-0005-0000-0000-0000DB240000}"/>
    <cellStyle name="Percent 2 2 2 2 22 3" xfId="7855" xr:uid="{00000000-0005-0000-0000-0000DC240000}"/>
    <cellStyle name="Percent 2 2 2 2 22 4" xfId="10848" xr:uid="{00000000-0005-0000-0000-0000DD240000}"/>
    <cellStyle name="Percent 2 2 2 2 23" xfId="7856" xr:uid="{00000000-0005-0000-0000-0000DE240000}"/>
    <cellStyle name="Percent 2 2 2 2 23 2" xfId="7857" xr:uid="{00000000-0005-0000-0000-0000DF240000}"/>
    <cellStyle name="Percent 2 2 2 2 23 2 2" xfId="7858" xr:uid="{00000000-0005-0000-0000-0000E0240000}"/>
    <cellStyle name="Percent 2 2 2 2 23 2 3" xfId="10851" xr:uid="{00000000-0005-0000-0000-0000E1240000}"/>
    <cellStyle name="Percent 2 2 2 2 23 3" xfId="7859" xr:uid="{00000000-0005-0000-0000-0000E2240000}"/>
    <cellStyle name="Percent 2 2 2 2 23 4" xfId="10850" xr:uid="{00000000-0005-0000-0000-0000E3240000}"/>
    <cellStyle name="Percent 2 2 2 2 24" xfId="7860" xr:uid="{00000000-0005-0000-0000-0000E4240000}"/>
    <cellStyle name="Percent 2 2 2 2 24 2" xfId="7861" xr:uid="{00000000-0005-0000-0000-0000E5240000}"/>
    <cellStyle name="Percent 2 2 2 2 24 2 2" xfId="7862" xr:uid="{00000000-0005-0000-0000-0000E6240000}"/>
    <cellStyle name="Percent 2 2 2 2 24 2 3" xfId="10853" xr:uid="{00000000-0005-0000-0000-0000E7240000}"/>
    <cellStyle name="Percent 2 2 2 2 24 3" xfId="7863" xr:uid="{00000000-0005-0000-0000-0000E8240000}"/>
    <cellStyle name="Percent 2 2 2 2 24 4" xfId="10852" xr:uid="{00000000-0005-0000-0000-0000E9240000}"/>
    <cellStyle name="Percent 2 2 2 2 25" xfId="7864" xr:uid="{00000000-0005-0000-0000-0000EA240000}"/>
    <cellStyle name="Percent 2 2 2 2 25 2" xfId="7865" xr:uid="{00000000-0005-0000-0000-0000EB240000}"/>
    <cellStyle name="Percent 2 2 2 2 25 2 2" xfId="7866" xr:uid="{00000000-0005-0000-0000-0000EC240000}"/>
    <cellStyle name="Percent 2 2 2 2 25 2 3" xfId="10855" xr:uid="{00000000-0005-0000-0000-0000ED240000}"/>
    <cellStyle name="Percent 2 2 2 2 25 3" xfId="7867" xr:uid="{00000000-0005-0000-0000-0000EE240000}"/>
    <cellStyle name="Percent 2 2 2 2 25 4" xfId="10854" xr:uid="{00000000-0005-0000-0000-0000EF240000}"/>
    <cellStyle name="Percent 2 2 2 2 26" xfId="7868" xr:uid="{00000000-0005-0000-0000-0000F0240000}"/>
    <cellStyle name="Percent 2 2 2 2 26 2" xfId="7869" xr:uid="{00000000-0005-0000-0000-0000F1240000}"/>
    <cellStyle name="Percent 2 2 2 2 26 2 2" xfId="7870" xr:uid="{00000000-0005-0000-0000-0000F2240000}"/>
    <cellStyle name="Percent 2 2 2 2 26 2 3" xfId="10857" xr:uid="{00000000-0005-0000-0000-0000F3240000}"/>
    <cellStyle name="Percent 2 2 2 2 26 3" xfId="7871" xr:uid="{00000000-0005-0000-0000-0000F4240000}"/>
    <cellStyle name="Percent 2 2 2 2 26 4" xfId="10856" xr:uid="{00000000-0005-0000-0000-0000F5240000}"/>
    <cellStyle name="Percent 2 2 2 2 3" xfId="7872" xr:uid="{00000000-0005-0000-0000-0000F6240000}"/>
    <cellStyle name="Percent 2 2 2 2 4" xfId="7873" xr:uid="{00000000-0005-0000-0000-0000F7240000}"/>
    <cellStyle name="Percent 2 2 2 2 5" xfId="7874" xr:uid="{00000000-0005-0000-0000-0000F8240000}"/>
    <cellStyle name="Percent 2 2 2 2 6" xfId="7875" xr:uid="{00000000-0005-0000-0000-0000F9240000}"/>
    <cellStyle name="Percent 2 2 2 2 7" xfId="7876" xr:uid="{00000000-0005-0000-0000-0000FA240000}"/>
    <cellStyle name="Percent 2 2 2 2 8" xfId="7877" xr:uid="{00000000-0005-0000-0000-0000FB240000}"/>
    <cellStyle name="Percent 2 2 2 2 9" xfId="7878" xr:uid="{00000000-0005-0000-0000-0000FC240000}"/>
    <cellStyle name="Percent 2 2 2 20" xfId="7879" xr:uid="{00000000-0005-0000-0000-0000FD240000}"/>
    <cellStyle name="Percent 2 2 2 21" xfId="7880" xr:uid="{00000000-0005-0000-0000-0000FE240000}"/>
    <cellStyle name="Percent 2 2 2 22" xfId="7881" xr:uid="{00000000-0005-0000-0000-0000FF240000}"/>
    <cellStyle name="Percent 2 2 2 23" xfId="7882" xr:uid="{00000000-0005-0000-0000-000000250000}"/>
    <cellStyle name="Percent 2 2 2 24" xfId="7883" xr:uid="{00000000-0005-0000-0000-000001250000}"/>
    <cellStyle name="Percent 2 2 2 25" xfId="7884" xr:uid="{00000000-0005-0000-0000-000002250000}"/>
    <cellStyle name="Percent 2 2 2 26" xfId="7885" xr:uid="{00000000-0005-0000-0000-000003250000}"/>
    <cellStyle name="Percent 2 2 2 27" xfId="7886" xr:uid="{00000000-0005-0000-0000-000004250000}"/>
    <cellStyle name="Percent 2 2 2 28" xfId="7887" xr:uid="{00000000-0005-0000-0000-000005250000}"/>
    <cellStyle name="Percent 2 2 2 29" xfId="10821" xr:uid="{00000000-0005-0000-0000-000006250000}"/>
    <cellStyle name="Percent 2 2 2 3" xfId="7888" xr:uid="{00000000-0005-0000-0000-000007250000}"/>
    <cellStyle name="Percent 2 2 2 3 2" xfId="7889" xr:uid="{00000000-0005-0000-0000-000008250000}"/>
    <cellStyle name="Percent 2 2 2 3 2 2" xfId="7890" xr:uid="{00000000-0005-0000-0000-000009250000}"/>
    <cellStyle name="Percent 2 2 2 3 2 3" xfId="10859" xr:uid="{00000000-0005-0000-0000-00000A250000}"/>
    <cellStyle name="Percent 2 2 2 3 3" xfId="7891" xr:uid="{00000000-0005-0000-0000-00000B250000}"/>
    <cellStyle name="Percent 2 2 2 3 4" xfId="10858" xr:uid="{00000000-0005-0000-0000-00000C250000}"/>
    <cellStyle name="Percent 2 2 2 4" xfId="7892" xr:uid="{00000000-0005-0000-0000-00000D250000}"/>
    <cellStyle name="Percent 2 2 2 4 2" xfId="7893" xr:uid="{00000000-0005-0000-0000-00000E250000}"/>
    <cellStyle name="Percent 2 2 2 4 2 2" xfId="7894" xr:uid="{00000000-0005-0000-0000-00000F250000}"/>
    <cellStyle name="Percent 2 2 2 4 2 3" xfId="10861" xr:uid="{00000000-0005-0000-0000-000010250000}"/>
    <cellStyle name="Percent 2 2 2 4 3" xfId="7895" xr:uid="{00000000-0005-0000-0000-000011250000}"/>
    <cellStyle name="Percent 2 2 2 4 4" xfId="10860" xr:uid="{00000000-0005-0000-0000-000012250000}"/>
    <cellStyle name="Percent 2 2 2 5" xfId="7896" xr:uid="{00000000-0005-0000-0000-000013250000}"/>
    <cellStyle name="Percent 2 2 2 5 2" xfId="7897" xr:uid="{00000000-0005-0000-0000-000014250000}"/>
    <cellStyle name="Percent 2 2 2 5 2 2" xfId="7898" xr:uid="{00000000-0005-0000-0000-000015250000}"/>
    <cellStyle name="Percent 2 2 2 5 2 3" xfId="10863" xr:uid="{00000000-0005-0000-0000-000016250000}"/>
    <cellStyle name="Percent 2 2 2 5 3" xfId="7899" xr:uid="{00000000-0005-0000-0000-000017250000}"/>
    <cellStyle name="Percent 2 2 2 5 4" xfId="10862" xr:uid="{00000000-0005-0000-0000-000018250000}"/>
    <cellStyle name="Percent 2 2 2 6" xfId="7900" xr:uid="{00000000-0005-0000-0000-000019250000}"/>
    <cellStyle name="Percent 2 2 2 6 2" xfId="7901" xr:uid="{00000000-0005-0000-0000-00001A250000}"/>
    <cellStyle name="Percent 2 2 2 6 2 2" xfId="7902" xr:uid="{00000000-0005-0000-0000-00001B250000}"/>
    <cellStyle name="Percent 2 2 2 6 2 3" xfId="10865" xr:uid="{00000000-0005-0000-0000-00001C250000}"/>
    <cellStyle name="Percent 2 2 2 6 3" xfId="7903" xr:uid="{00000000-0005-0000-0000-00001D250000}"/>
    <cellStyle name="Percent 2 2 2 6 4" xfId="10864" xr:uid="{00000000-0005-0000-0000-00001E250000}"/>
    <cellStyle name="Percent 2 2 2 7" xfId="7904" xr:uid="{00000000-0005-0000-0000-00001F250000}"/>
    <cellStyle name="Percent 2 2 2 7 2" xfId="7905" xr:uid="{00000000-0005-0000-0000-000020250000}"/>
    <cellStyle name="Percent 2 2 2 7 2 2" xfId="7906" xr:uid="{00000000-0005-0000-0000-000021250000}"/>
    <cellStyle name="Percent 2 2 2 7 2 3" xfId="10867" xr:uid="{00000000-0005-0000-0000-000022250000}"/>
    <cellStyle name="Percent 2 2 2 7 3" xfId="7907" xr:uid="{00000000-0005-0000-0000-000023250000}"/>
    <cellStyle name="Percent 2 2 2 7 4" xfId="10866" xr:uid="{00000000-0005-0000-0000-000024250000}"/>
    <cellStyle name="Percent 2 2 2 8" xfId="7908" xr:uid="{00000000-0005-0000-0000-000025250000}"/>
    <cellStyle name="Percent 2 2 2 8 2" xfId="7909" xr:uid="{00000000-0005-0000-0000-000026250000}"/>
    <cellStyle name="Percent 2 2 2 8 2 2" xfId="7910" xr:uid="{00000000-0005-0000-0000-000027250000}"/>
    <cellStyle name="Percent 2 2 2 8 2 3" xfId="10869" xr:uid="{00000000-0005-0000-0000-000028250000}"/>
    <cellStyle name="Percent 2 2 2 8 3" xfId="7911" xr:uid="{00000000-0005-0000-0000-000029250000}"/>
    <cellStyle name="Percent 2 2 2 8 4" xfId="10868" xr:uid="{00000000-0005-0000-0000-00002A250000}"/>
    <cellStyle name="Percent 2 2 2 9" xfId="7912" xr:uid="{00000000-0005-0000-0000-00002B250000}"/>
    <cellStyle name="Percent 2 2 2 9 2" xfId="7913" xr:uid="{00000000-0005-0000-0000-00002C250000}"/>
    <cellStyle name="Percent 2 2 2 9 2 2" xfId="7914" xr:uid="{00000000-0005-0000-0000-00002D250000}"/>
    <cellStyle name="Percent 2 2 2 9 2 3" xfId="10871" xr:uid="{00000000-0005-0000-0000-00002E250000}"/>
    <cellStyle name="Percent 2 2 2 9 3" xfId="7915" xr:uid="{00000000-0005-0000-0000-00002F250000}"/>
    <cellStyle name="Percent 2 2 2 9 4" xfId="10870" xr:uid="{00000000-0005-0000-0000-000030250000}"/>
    <cellStyle name="Percent 2 2 20" xfId="7916" xr:uid="{00000000-0005-0000-0000-000031250000}"/>
    <cellStyle name="Percent 2 2 20 2" xfId="7917" xr:uid="{00000000-0005-0000-0000-000032250000}"/>
    <cellStyle name="Percent 2 2 20 2 2" xfId="7918" xr:uid="{00000000-0005-0000-0000-000033250000}"/>
    <cellStyle name="Percent 2 2 20 2 3" xfId="10873" xr:uid="{00000000-0005-0000-0000-000034250000}"/>
    <cellStyle name="Percent 2 2 20 3" xfId="7919" xr:uid="{00000000-0005-0000-0000-000035250000}"/>
    <cellStyle name="Percent 2 2 20 4" xfId="10872" xr:uid="{00000000-0005-0000-0000-000036250000}"/>
    <cellStyle name="Percent 2 2 21" xfId="7920" xr:uid="{00000000-0005-0000-0000-000037250000}"/>
    <cellStyle name="Percent 2 2 21 2" xfId="7921" xr:uid="{00000000-0005-0000-0000-000038250000}"/>
    <cellStyle name="Percent 2 2 21 2 2" xfId="7922" xr:uid="{00000000-0005-0000-0000-000039250000}"/>
    <cellStyle name="Percent 2 2 21 2 3" xfId="10875" xr:uid="{00000000-0005-0000-0000-00003A250000}"/>
    <cellStyle name="Percent 2 2 21 3" xfId="7923" xr:uid="{00000000-0005-0000-0000-00003B250000}"/>
    <cellStyle name="Percent 2 2 21 4" xfId="10874" xr:uid="{00000000-0005-0000-0000-00003C250000}"/>
    <cellStyle name="Percent 2 2 22" xfId="7924" xr:uid="{00000000-0005-0000-0000-00003D250000}"/>
    <cellStyle name="Percent 2 2 22 2" xfId="7925" xr:uid="{00000000-0005-0000-0000-00003E250000}"/>
    <cellStyle name="Percent 2 2 22 2 2" xfId="7926" xr:uid="{00000000-0005-0000-0000-00003F250000}"/>
    <cellStyle name="Percent 2 2 22 2 3" xfId="10877" xr:uid="{00000000-0005-0000-0000-000040250000}"/>
    <cellStyle name="Percent 2 2 22 3" xfId="7927" xr:uid="{00000000-0005-0000-0000-000041250000}"/>
    <cellStyle name="Percent 2 2 22 4" xfId="10876" xr:uid="{00000000-0005-0000-0000-000042250000}"/>
    <cellStyle name="Percent 2 2 23" xfId="7928" xr:uid="{00000000-0005-0000-0000-000043250000}"/>
    <cellStyle name="Percent 2 2 23 2" xfId="7929" xr:uid="{00000000-0005-0000-0000-000044250000}"/>
    <cellStyle name="Percent 2 2 23 2 2" xfId="7930" xr:uid="{00000000-0005-0000-0000-000045250000}"/>
    <cellStyle name="Percent 2 2 23 2 3" xfId="10879" xr:uid="{00000000-0005-0000-0000-000046250000}"/>
    <cellStyle name="Percent 2 2 23 3" xfId="7931" xr:uid="{00000000-0005-0000-0000-000047250000}"/>
    <cellStyle name="Percent 2 2 23 4" xfId="10878" xr:uid="{00000000-0005-0000-0000-000048250000}"/>
    <cellStyle name="Percent 2 2 24" xfId="7932" xr:uid="{00000000-0005-0000-0000-000049250000}"/>
    <cellStyle name="Percent 2 2 24 2" xfId="7933" xr:uid="{00000000-0005-0000-0000-00004A250000}"/>
    <cellStyle name="Percent 2 2 24 2 2" xfId="7934" xr:uid="{00000000-0005-0000-0000-00004B250000}"/>
    <cellStyle name="Percent 2 2 24 2 3" xfId="10881" xr:uid="{00000000-0005-0000-0000-00004C250000}"/>
    <cellStyle name="Percent 2 2 24 3" xfId="7935" xr:uid="{00000000-0005-0000-0000-00004D250000}"/>
    <cellStyle name="Percent 2 2 24 4" xfId="10880" xr:uid="{00000000-0005-0000-0000-00004E250000}"/>
    <cellStyle name="Percent 2 2 25" xfId="7936" xr:uid="{00000000-0005-0000-0000-00004F250000}"/>
    <cellStyle name="Percent 2 2 25 2" xfId="7937" xr:uid="{00000000-0005-0000-0000-000050250000}"/>
    <cellStyle name="Percent 2 2 25 2 2" xfId="7938" xr:uid="{00000000-0005-0000-0000-000051250000}"/>
    <cellStyle name="Percent 2 2 25 2 3" xfId="10883" xr:uid="{00000000-0005-0000-0000-000052250000}"/>
    <cellStyle name="Percent 2 2 25 3" xfId="7939" xr:uid="{00000000-0005-0000-0000-000053250000}"/>
    <cellStyle name="Percent 2 2 25 4" xfId="10882" xr:uid="{00000000-0005-0000-0000-000054250000}"/>
    <cellStyle name="Percent 2 2 26" xfId="7940" xr:uid="{00000000-0005-0000-0000-000055250000}"/>
    <cellStyle name="Percent 2 2 26 2" xfId="7941" xr:uid="{00000000-0005-0000-0000-000056250000}"/>
    <cellStyle name="Percent 2 2 26 2 2" xfId="7942" xr:uid="{00000000-0005-0000-0000-000057250000}"/>
    <cellStyle name="Percent 2 2 26 2 3" xfId="10885" xr:uid="{00000000-0005-0000-0000-000058250000}"/>
    <cellStyle name="Percent 2 2 26 3" xfId="7943" xr:uid="{00000000-0005-0000-0000-000059250000}"/>
    <cellStyle name="Percent 2 2 26 4" xfId="10884" xr:uid="{00000000-0005-0000-0000-00005A250000}"/>
    <cellStyle name="Percent 2 2 27" xfId="7944" xr:uid="{00000000-0005-0000-0000-00005B250000}"/>
    <cellStyle name="Percent 2 2 27 2" xfId="7945" xr:uid="{00000000-0005-0000-0000-00005C250000}"/>
    <cellStyle name="Percent 2 2 27 2 2" xfId="7946" xr:uid="{00000000-0005-0000-0000-00005D250000}"/>
    <cellStyle name="Percent 2 2 27 2 3" xfId="10887" xr:uid="{00000000-0005-0000-0000-00005E250000}"/>
    <cellStyle name="Percent 2 2 27 3" xfId="7947" xr:uid="{00000000-0005-0000-0000-00005F250000}"/>
    <cellStyle name="Percent 2 2 27 4" xfId="10886" xr:uid="{00000000-0005-0000-0000-000060250000}"/>
    <cellStyle name="Percent 2 2 28" xfId="7948" xr:uid="{00000000-0005-0000-0000-000061250000}"/>
    <cellStyle name="Percent 2 2 28 2" xfId="7949" xr:uid="{00000000-0005-0000-0000-000062250000}"/>
    <cellStyle name="Percent 2 2 28 3" xfId="7950" xr:uid="{00000000-0005-0000-0000-000063250000}"/>
    <cellStyle name="Percent 2 2 29" xfId="7951" xr:uid="{00000000-0005-0000-0000-000064250000}"/>
    <cellStyle name="Percent 2 2 3" xfId="7952" xr:uid="{00000000-0005-0000-0000-000065250000}"/>
    <cellStyle name="Percent 2 2 3 2" xfId="7953" xr:uid="{00000000-0005-0000-0000-000066250000}"/>
    <cellStyle name="Percent 2 2 3 2 2" xfId="7954" xr:uid="{00000000-0005-0000-0000-000067250000}"/>
    <cellStyle name="Percent 2 2 3 2 3" xfId="7955" xr:uid="{00000000-0005-0000-0000-000068250000}"/>
    <cellStyle name="Percent 2 2 3 3" xfId="7956" xr:uid="{00000000-0005-0000-0000-000069250000}"/>
    <cellStyle name="Percent 2 2 4" xfId="7957" xr:uid="{00000000-0005-0000-0000-00006A250000}"/>
    <cellStyle name="Percent 2 2 4 2" xfId="7958" xr:uid="{00000000-0005-0000-0000-00006B250000}"/>
    <cellStyle name="Percent 2 2 4 2 2" xfId="7959" xr:uid="{00000000-0005-0000-0000-00006C250000}"/>
    <cellStyle name="Percent 2 2 4 2 3" xfId="7960" xr:uid="{00000000-0005-0000-0000-00006D250000}"/>
    <cellStyle name="Percent 2 2 4 3" xfId="7961" xr:uid="{00000000-0005-0000-0000-00006E250000}"/>
    <cellStyle name="Percent 2 2 5" xfId="7962" xr:uid="{00000000-0005-0000-0000-00006F250000}"/>
    <cellStyle name="Percent 2 2 5 2" xfId="7963" xr:uid="{00000000-0005-0000-0000-000070250000}"/>
    <cellStyle name="Percent 2 2 5 2 2" xfId="7964" xr:uid="{00000000-0005-0000-0000-000071250000}"/>
    <cellStyle name="Percent 2 2 5 2 3" xfId="7965" xr:uid="{00000000-0005-0000-0000-000072250000}"/>
    <cellStyle name="Percent 2 2 5 3" xfId="7966" xr:uid="{00000000-0005-0000-0000-000073250000}"/>
    <cellStyle name="Percent 2 2 6" xfId="7967" xr:uid="{00000000-0005-0000-0000-000074250000}"/>
    <cellStyle name="Percent 2 2 6 2" xfId="7968" xr:uid="{00000000-0005-0000-0000-000075250000}"/>
    <cellStyle name="Percent 2 2 6 2 2" xfId="7969" xr:uid="{00000000-0005-0000-0000-000076250000}"/>
    <cellStyle name="Percent 2 2 6 2 3" xfId="7970" xr:uid="{00000000-0005-0000-0000-000077250000}"/>
    <cellStyle name="Percent 2 2 6 3" xfId="7971" xr:uid="{00000000-0005-0000-0000-000078250000}"/>
    <cellStyle name="Percent 2 2 7" xfId="7972" xr:uid="{00000000-0005-0000-0000-000079250000}"/>
    <cellStyle name="Percent 2 2 7 2" xfId="7973" xr:uid="{00000000-0005-0000-0000-00007A250000}"/>
    <cellStyle name="Percent 2 2 7 2 2" xfId="7974" xr:uid="{00000000-0005-0000-0000-00007B250000}"/>
    <cellStyle name="Percent 2 2 7 2 3" xfId="7975" xr:uid="{00000000-0005-0000-0000-00007C250000}"/>
    <cellStyle name="Percent 2 2 7 3" xfId="7976" xr:uid="{00000000-0005-0000-0000-00007D250000}"/>
    <cellStyle name="Percent 2 2 8" xfId="7977" xr:uid="{00000000-0005-0000-0000-00007E250000}"/>
    <cellStyle name="Percent 2 2 8 2" xfId="7978" xr:uid="{00000000-0005-0000-0000-00007F250000}"/>
    <cellStyle name="Percent 2 2 8 2 2" xfId="7979" xr:uid="{00000000-0005-0000-0000-000080250000}"/>
    <cellStyle name="Percent 2 2 8 2 3" xfId="7980" xr:uid="{00000000-0005-0000-0000-000081250000}"/>
    <cellStyle name="Percent 2 2 8 3" xfId="7981" xr:uid="{00000000-0005-0000-0000-000082250000}"/>
    <cellStyle name="Percent 2 2 9" xfId="7982" xr:uid="{00000000-0005-0000-0000-000083250000}"/>
    <cellStyle name="Percent 2 2 9 2" xfId="7983" xr:uid="{00000000-0005-0000-0000-000084250000}"/>
    <cellStyle name="Percent 2 20" xfId="7984" xr:uid="{00000000-0005-0000-0000-000085250000}"/>
    <cellStyle name="Percent 2 20 2" xfId="7985" xr:uid="{00000000-0005-0000-0000-000086250000}"/>
    <cellStyle name="Percent 2 20 2 2" xfId="7986" xr:uid="{00000000-0005-0000-0000-000087250000}"/>
    <cellStyle name="Percent 2 20 2 3" xfId="7987" xr:uid="{00000000-0005-0000-0000-000088250000}"/>
    <cellStyle name="Percent 2 20 3" xfId="7988" xr:uid="{00000000-0005-0000-0000-000089250000}"/>
    <cellStyle name="Percent 2 21" xfId="7989" xr:uid="{00000000-0005-0000-0000-00008A250000}"/>
    <cellStyle name="Percent 2 21 2" xfId="7990" xr:uid="{00000000-0005-0000-0000-00008B250000}"/>
    <cellStyle name="Percent 2 21 2 2" xfId="7991" xr:uid="{00000000-0005-0000-0000-00008C250000}"/>
    <cellStyle name="Percent 2 21 2 3" xfId="7992" xr:uid="{00000000-0005-0000-0000-00008D250000}"/>
    <cellStyle name="Percent 2 21 3" xfId="7993" xr:uid="{00000000-0005-0000-0000-00008E250000}"/>
    <cellStyle name="Percent 2 22" xfId="7994" xr:uid="{00000000-0005-0000-0000-00008F250000}"/>
    <cellStyle name="Percent 2 22 2" xfId="7995" xr:uid="{00000000-0005-0000-0000-000090250000}"/>
    <cellStyle name="Percent 2 22 2 2" xfId="7996" xr:uid="{00000000-0005-0000-0000-000091250000}"/>
    <cellStyle name="Percent 2 22 2 3" xfId="7997" xr:uid="{00000000-0005-0000-0000-000092250000}"/>
    <cellStyle name="Percent 2 22 3" xfId="7998" xr:uid="{00000000-0005-0000-0000-000093250000}"/>
    <cellStyle name="Percent 2 23" xfId="7999" xr:uid="{00000000-0005-0000-0000-000094250000}"/>
    <cellStyle name="Percent 2 23 2" xfId="8000" xr:uid="{00000000-0005-0000-0000-000095250000}"/>
    <cellStyle name="Percent 2 23 2 2" xfId="8001" xr:uid="{00000000-0005-0000-0000-000096250000}"/>
    <cellStyle name="Percent 2 23 2 3" xfId="8002" xr:uid="{00000000-0005-0000-0000-000097250000}"/>
    <cellStyle name="Percent 2 23 3" xfId="8003" xr:uid="{00000000-0005-0000-0000-000098250000}"/>
    <cellStyle name="Percent 2 24" xfId="8004" xr:uid="{00000000-0005-0000-0000-000099250000}"/>
    <cellStyle name="Percent 2 24 2" xfId="8005" xr:uid="{00000000-0005-0000-0000-00009A250000}"/>
    <cellStyle name="Percent 2 24 2 2" xfId="8006" xr:uid="{00000000-0005-0000-0000-00009B250000}"/>
    <cellStyle name="Percent 2 24 2 3" xfId="8007" xr:uid="{00000000-0005-0000-0000-00009C250000}"/>
    <cellStyle name="Percent 2 24 3" xfId="8008" xr:uid="{00000000-0005-0000-0000-00009D250000}"/>
    <cellStyle name="Percent 2 25" xfId="8009" xr:uid="{00000000-0005-0000-0000-00009E250000}"/>
    <cellStyle name="Percent 2 25 2" xfId="8010" xr:uid="{00000000-0005-0000-0000-00009F250000}"/>
    <cellStyle name="Percent 2 25 2 2" xfId="8011" xr:uid="{00000000-0005-0000-0000-0000A0250000}"/>
    <cellStyle name="Percent 2 25 2 3" xfId="8012" xr:uid="{00000000-0005-0000-0000-0000A1250000}"/>
    <cellStyle name="Percent 2 25 3" xfId="8013" xr:uid="{00000000-0005-0000-0000-0000A2250000}"/>
    <cellStyle name="Percent 2 26" xfId="8014" xr:uid="{00000000-0005-0000-0000-0000A3250000}"/>
    <cellStyle name="Percent 2 26 2" xfId="8015" xr:uid="{00000000-0005-0000-0000-0000A4250000}"/>
    <cellStyle name="Percent 2 26 2 2" xfId="8016" xr:uid="{00000000-0005-0000-0000-0000A5250000}"/>
    <cellStyle name="Percent 2 26 2 3" xfId="8017" xr:uid="{00000000-0005-0000-0000-0000A6250000}"/>
    <cellStyle name="Percent 2 26 3" xfId="8018" xr:uid="{00000000-0005-0000-0000-0000A7250000}"/>
    <cellStyle name="Percent 2 27" xfId="8019" xr:uid="{00000000-0005-0000-0000-0000A8250000}"/>
    <cellStyle name="Percent 2 27 2" xfId="8020" xr:uid="{00000000-0005-0000-0000-0000A9250000}"/>
    <cellStyle name="Percent 2 27 2 2" xfId="8021" xr:uid="{00000000-0005-0000-0000-0000AA250000}"/>
    <cellStyle name="Percent 2 27 2 3" xfId="8022" xr:uid="{00000000-0005-0000-0000-0000AB250000}"/>
    <cellStyle name="Percent 2 27 3" xfId="8023" xr:uid="{00000000-0005-0000-0000-0000AC250000}"/>
    <cellStyle name="Percent 2 28" xfId="8024" xr:uid="{00000000-0005-0000-0000-0000AD250000}"/>
    <cellStyle name="Percent 2 28 2" xfId="8025" xr:uid="{00000000-0005-0000-0000-0000AE250000}"/>
    <cellStyle name="Percent 2 28 3" xfId="8026" xr:uid="{00000000-0005-0000-0000-0000AF250000}"/>
    <cellStyle name="Percent 2 28 4" xfId="8027" xr:uid="{00000000-0005-0000-0000-0000B0250000}"/>
    <cellStyle name="Percent 2 29" xfId="8028" xr:uid="{00000000-0005-0000-0000-0000B1250000}"/>
    <cellStyle name="Percent 2 29 2" xfId="8029" xr:uid="{00000000-0005-0000-0000-0000B2250000}"/>
    <cellStyle name="Percent 2 3" xfId="8030" xr:uid="{00000000-0005-0000-0000-0000B3250000}"/>
    <cellStyle name="Percent 2 3 10" xfId="8031" xr:uid="{00000000-0005-0000-0000-0000B4250000}"/>
    <cellStyle name="Percent 2 3 11" xfId="8032" xr:uid="{00000000-0005-0000-0000-0000B5250000}"/>
    <cellStyle name="Percent 2 3 12" xfId="8033" xr:uid="{00000000-0005-0000-0000-0000B6250000}"/>
    <cellStyle name="Percent 2 3 13" xfId="8034" xr:uid="{00000000-0005-0000-0000-0000B7250000}"/>
    <cellStyle name="Percent 2 3 14" xfId="8035" xr:uid="{00000000-0005-0000-0000-0000B8250000}"/>
    <cellStyle name="Percent 2 3 15" xfId="8036" xr:uid="{00000000-0005-0000-0000-0000B9250000}"/>
    <cellStyle name="Percent 2 3 16" xfId="8037" xr:uid="{00000000-0005-0000-0000-0000BA250000}"/>
    <cellStyle name="Percent 2 3 17" xfId="8038" xr:uid="{00000000-0005-0000-0000-0000BB250000}"/>
    <cellStyle name="Percent 2 3 18" xfId="8039" xr:uid="{00000000-0005-0000-0000-0000BC250000}"/>
    <cellStyle name="Percent 2 3 19" xfId="8040" xr:uid="{00000000-0005-0000-0000-0000BD250000}"/>
    <cellStyle name="Percent 2 3 2" xfId="8041" xr:uid="{00000000-0005-0000-0000-0000BE250000}"/>
    <cellStyle name="Percent 2 3 2 2" xfId="8042" xr:uid="{00000000-0005-0000-0000-0000BF250000}"/>
    <cellStyle name="Percent 2 3 2 2 2" xfId="8043" xr:uid="{00000000-0005-0000-0000-0000C0250000}"/>
    <cellStyle name="Percent 2 3 2 2 2 2" xfId="8044" xr:uid="{00000000-0005-0000-0000-0000C1250000}"/>
    <cellStyle name="Percent 2 3 2 2 2 2 2" xfId="8045" xr:uid="{00000000-0005-0000-0000-0000C2250000}"/>
    <cellStyle name="Percent 2 3 2 2 2 3" xfId="8046" xr:uid="{00000000-0005-0000-0000-0000C3250000}"/>
    <cellStyle name="Percent 2 3 2 2 3" xfId="8047" xr:uid="{00000000-0005-0000-0000-0000C4250000}"/>
    <cellStyle name="Percent 2 3 2 2 3 2" xfId="8048" xr:uid="{00000000-0005-0000-0000-0000C5250000}"/>
    <cellStyle name="Percent 2 3 2 2 3 2 2" xfId="8049" xr:uid="{00000000-0005-0000-0000-0000C6250000}"/>
    <cellStyle name="Percent 2 3 2 2 3 3" xfId="8050" xr:uid="{00000000-0005-0000-0000-0000C7250000}"/>
    <cellStyle name="Percent 2 3 2 2 4" xfId="8051" xr:uid="{00000000-0005-0000-0000-0000C8250000}"/>
    <cellStyle name="Percent 2 3 2 2 4 2" xfId="8052" xr:uid="{00000000-0005-0000-0000-0000C9250000}"/>
    <cellStyle name="Percent 2 3 2 2 4 2 2" xfId="8053" xr:uid="{00000000-0005-0000-0000-0000CA250000}"/>
    <cellStyle name="Percent 2 3 2 2 4 3" xfId="8054" xr:uid="{00000000-0005-0000-0000-0000CB250000}"/>
    <cellStyle name="Percent 2 3 2 2 5" xfId="8055" xr:uid="{00000000-0005-0000-0000-0000CC250000}"/>
    <cellStyle name="Percent 2 3 2 2 5 2" xfId="8056" xr:uid="{00000000-0005-0000-0000-0000CD250000}"/>
    <cellStyle name="Percent 2 3 2 2 5 2 2" xfId="8057" xr:uid="{00000000-0005-0000-0000-0000CE250000}"/>
    <cellStyle name="Percent 2 3 2 2 5 3" xfId="8058" xr:uid="{00000000-0005-0000-0000-0000CF250000}"/>
    <cellStyle name="Percent 2 3 2 3" xfId="8059" xr:uid="{00000000-0005-0000-0000-0000D0250000}"/>
    <cellStyle name="Percent 2 3 2 4" xfId="8060" xr:uid="{00000000-0005-0000-0000-0000D1250000}"/>
    <cellStyle name="Percent 2 3 2 4 2" xfId="8061" xr:uid="{00000000-0005-0000-0000-0000D2250000}"/>
    <cellStyle name="Percent 2 3 2 5" xfId="8062" xr:uid="{00000000-0005-0000-0000-0000D3250000}"/>
    <cellStyle name="Percent 2 3 2 6" xfId="8063" xr:uid="{00000000-0005-0000-0000-0000D4250000}"/>
    <cellStyle name="Percent 2 3 2 6 2" xfId="8064" xr:uid="{00000000-0005-0000-0000-0000D5250000}"/>
    <cellStyle name="Percent 2 3 2 6 3" xfId="8065" xr:uid="{00000000-0005-0000-0000-0000D6250000}"/>
    <cellStyle name="Percent 2 3 2 7" xfId="8066" xr:uid="{00000000-0005-0000-0000-0000D7250000}"/>
    <cellStyle name="Percent 2 3 2 8" xfId="8067" xr:uid="{00000000-0005-0000-0000-0000D8250000}"/>
    <cellStyle name="Percent 2 3 3" xfId="8068" xr:uid="{00000000-0005-0000-0000-0000D9250000}"/>
    <cellStyle name="Percent 2 3 3 2" xfId="8069" xr:uid="{00000000-0005-0000-0000-0000DA250000}"/>
    <cellStyle name="Percent 2 3 3 2 2" xfId="8070" xr:uid="{00000000-0005-0000-0000-0000DB250000}"/>
    <cellStyle name="Percent 2 3 3 3" xfId="8071" xr:uid="{00000000-0005-0000-0000-0000DC250000}"/>
    <cellStyle name="Percent 2 3 3 4" xfId="8072" xr:uid="{00000000-0005-0000-0000-0000DD250000}"/>
    <cellStyle name="Percent 2 3 4" xfId="8073" xr:uid="{00000000-0005-0000-0000-0000DE250000}"/>
    <cellStyle name="Percent 2 3 4 2" xfId="8074" xr:uid="{00000000-0005-0000-0000-0000DF250000}"/>
    <cellStyle name="Percent 2 3 4 2 2" xfId="8075" xr:uid="{00000000-0005-0000-0000-0000E0250000}"/>
    <cellStyle name="Percent 2 3 4 3" xfId="8076" xr:uid="{00000000-0005-0000-0000-0000E1250000}"/>
    <cellStyle name="Percent 2 3 4 4" xfId="8077" xr:uid="{00000000-0005-0000-0000-0000E2250000}"/>
    <cellStyle name="Percent 2 3 5" xfId="8078" xr:uid="{00000000-0005-0000-0000-0000E3250000}"/>
    <cellStyle name="Percent 2 3 5 2" xfId="8079" xr:uid="{00000000-0005-0000-0000-0000E4250000}"/>
    <cellStyle name="Percent 2 3 5 2 2" xfId="8080" xr:uid="{00000000-0005-0000-0000-0000E5250000}"/>
    <cellStyle name="Percent 2 3 5 3" xfId="8081" xr:uid="{00000000-0005-0000-0000-0000E6250000}"/>
    <cellStyle name="Percent 2 3 5 4" xfId="8082" xr:uid="{00000000-0005-0000-0000-0000E7250000}"/>
    <cellStyle name="Percent 2 3 6" xfId="8083" xr:uid="{00000000-0005-0000-0000-0000E8250000}"/>
    <cellStyle name="Percent 2 3 6 2" xfId="8084" xr:uid="{00000000-0005-0000-0000-0000E9250000}"/>
    <cellStyle name="Percent 2 3 6 2 2" xfId="8085" xr:uid="{00000000-0005-0000-0000-0000EA250000}"/>
    <cellStyle name="Percent 2 3 6 3" xfId="8086" xr:uid="{00000000-0005-0000-0000-0000EB250000}"/>
    <cellStyle name="Percent 2 3 6 4" xfId="8087" xr:uid="{00000000-0005-0000-0000-0000EC250000}"/>
    <cellStyle name="Percent 2 3 7" xfId="8088" xr:uid="{00000000-0005-0000-0000-0000ED250000}"/>
    <cellStyle name="Percent 2 3 8" xfId="8089" xr:uid="{00000000-0005-0000-0000-0000EE250000}"/>
    <cellStyle name="Percent 2 3 9" xfId="8090" xr:uid="{00000000-0005-0000-0000-0000EF250000}"/>
    <cellStyle name="Percent 2 30" xfId="8091" xr:uid="{00000000-0005-0000-0000-0000F0250000}"/>
    <cellStyle name="Percent 2 30 2" xfId="8092" xr:uid="{00000000-0005-0000-0000-0000F1250000}"/>
    <cellStyle name="Percent 2 31" xfId="8093" xr:uid="{00000000-0005-0000-0000-0000F2250000}"/>
    <cellStyle name="Percent 2 31 2" xfId="8094" xr:uid="{00000000-0005-0000-0000-0000F3250000}"/>
    <cellStyle name="Percent 2 32" xfId="8095" xr:uid="{00000000-0005-0000-0000-0000F4250000}"/>
    <cellStyle name="Percent 2 32 2" xfId="8096" xr:uid="{00000000-0005-0000-0000-0000F5250000}"/>
    <cellStyle name="Percent 2 33" xfId="8097" xr:uid="{00000000-0005-0000-0000-0000F6250000}"/>
    <cellStyle name="Percent 2 33 2" xfId="8098" xr:uid="{00000000-0005-0000-0000-0000F7250000}"/>
    <cellStyle name="Percent 2 34" xfId="8099" xr:uid="{00000000-0005-0000-0000-0000F8250000}"/>
    <cellStyle name="Percent 2 34 2" xfId="8100" xr:uid="{00000000-0005-0000-0000-0000F9250000}"/>
    <cellStyle name="Percent 2 35" xfId="8101" xr:uid="{00000000-0005-0000-0000-0000FA250000}"/>
    <cellStyle name="Percent 2 35 2" xfId="8102" xr:uid="{00000000-0005-0000-0000-0000FB250000}"/>
    <cellStyle name="Percent 2 36" xfId="8103" xr:uid="{00000000-0005-0000-0000-0000FC250000}"/>
    <cellStyle name="Percent 2 36 2" xfId="8104" xr:uid="{00000000-0005-0000-0000-0000FD250000}"/>
    <cellStyle name="Percent 2 37" xfId="8105" xr:uid="{00000000-0005-0000-0000-0000FE250000}"/>
    <cellStyle name="Percent 2 37 2" xfId="8106" xr:uid="{00000000-0005-0000-0000-0000FF250000}"/>
    <cellStyle name="Percent 2 38" xfId="8107" xr:uid="{00000000-0005-0000-0000-000000260000}"/>
    <cellStyle name="Percent 2 38 2" xfId="8108" xr:uid="{00000000-0005-0000-0000-000001260000}"/>
    <cellStyle name="Percent 2 39" xfId="8109" xr:uid="{00000000-0005-0000-0000-000002260000}"/>
    <cellStyle name="Percent 2 39 2" xfId="8110" xr:uid="{00000000-0005-0000-0000-000003260000}"/>
    <cellStyle name="Percent 2 4" xfId="8111" xr:uid="{00000000-0005-0000-0000-000004260000}"/>
    <cellStyle name="Percent 2 4 2" xfId="8112" xr:uid="{00000000-0005-0000-0000-000005260000}"/>
    <cellStyle name="Percent 2 4 2 2" xfId="8113" xr:uid="{00000000-0005-0000-0000-000006260000}"/>
    <cellStyle name="Percent 2 4 2 2 2" xfId="8114" xr:uid="{00000000-0005-0000-0000-000007260000}"/>
    <cellStyle name="Percent 2 4 2 3" xfId="8115" xr:uid="{00000000-0005-0000-0000-000008260000}"/>
    <cellStyle name="Percent 2 4 2 4" xfId="8116" xr:uid="{00000000-0005-0000-0000-000009260000}"/>
    <cellStyle name="Percent 2 4 2 5" xfId="8117" xr:uid="{00000000-0005-0000-0000-00000A260000}"/>
    <cellStyle name="Percent 2 4 3" xfId="8118" xr:uid="{00000000-0005-0000-0000-00000B260000}"/>
    <cellStyle name="Percent 2 4 4" xfId="8119" xr:uid="{00000000-0005-0000-0000-00000C260000}"/>
    <cellStyle name="Percent 2 4 5" xfId="8120" xr:uid="{00000000-0005-0000-0000-00000D260000}"/>
    <cellStyle name="Percent 2 4 6" xfId="8121" xr:uid="{00000000-0005-0000-0000-00000E260000}"/>
    <cellStyle name="Percent 2 40" xfId="8122" xr:uid="{00000000-0005-0000-0000-00000F260000}"/>
    <cellStyle name="Percent 2 40 2" xfId="8123" xr:uid="{00000000-0005-0000-0000-000010260000}"/>
    <cellStyle name="Percent 2 41" xfId="8124" xr:uid="{00000000-0005-0000-0000-000011260000}"/>
    <cellStyle name="Percent 2 41 2" xfId="8125" xr:uid="{00000000-0005-0000-0000-000012260000}"/>
    <cellStyle name="Percent 2 42" xfId="8126" xr:uid="{00000000-0005-0000-0000-000013260000}"/>
    <cellStyle name="Percent 2 42 2" xfId="8127" xr:uid="{00000000-0005-0000-0000-000014260000}"/>
    <cellStyle name="Percent 2 43" xfId="8128" xr:uid="{00000000-0005-0000-0000-000015260000}"/>
    <cellStyle name="Percent 2 43 2" xfId="8129" xr:uid="{00000000-0005-0000-0000-000016260000}"/>
    <cellStyle name="Percent 2 44" xfId="8130" xr:uid="{00000000-0005-0000-0000-000017260000}"/>
    <cellStyle name="Percent 2 44 2" xfId="8131" xr:uid="{00000000-0005-0000-0000-000018260000}"/>
    <cellStyle name="Percent 2 45" xfId="8132" xr:uid="{00000000-0005-0000-0000-000019260000}"/>
    <cellStyle name="Percent 2 45 2" xfId="8133" xr:uid="{00000000-0005-0000-0000-00001A260000}"/>
    <cellStyle name="Percent 2 46" xfId="8134" xr:uid="{00000000-0005-0000-0000-00001B260000}"/>
    <cellStyle name="Percent 2 46 2" xfId="8135" xr:uid="{00000000-0005-0000-0000-00001C260000}"/>
    <cellStyle name="Percent 2 47" xfId="8136" xr:uid="{00000000-0005-0000-0000-00001D260000}"/>
    <cellStyle name="Percent 2 47 2" xfId="8137" xr:uid="{00000000-0005-0000-0000-00001E260000}"/>
    <cellStyle name="Percent 2 48" xfId="8138" xr:uid="{00000000-0005-0000-0000-00001F260000}"/>
    <cellStyle name="Percent 2 48 2" xfId="8139" xr:uid="{00000000-0005-0000-0000-000020260000}"/>
    <cellStyle name="Percent 2 49" xfId="8140" xr:uid="{00000000-0005-0000-0000-000021260000}"/>
    <cellStyle name="Percent 2 49 2" xfId="8141" xr:uid="{00000000-0005-0000-0000-000022260000}"/>
    <cellStyle name="Percent 2 5" xfId="8142" xr:uid="{00000000-0005-0000-0000-000023260000}"/>
    <cellStyle name="Percent 2 5 2" xfId="8143" xr:uid="{00000000-0005-0000-0000-000024260000}"/>
    <cellStyle name="Percent 2 5 2 2" xfId="8144" xr:uid="{00000000-0005-0000-0000-000025260000}"/>
    <cellStyle name="Percent 2 5 2 2 2" xfId="10888" xr:uid="{00000000-0005-0000-0000-000026260000}"/>
    <cellStyle name="Percent 2 5 2 3" xfId="8145" xr:uid="{00000000-0005-0000-0000-000027260000}"/>
    <cellStyle name="Percent 2 5 3" xfId="8146" xr:uid="{00000000-0005-0000-0000-000028260000}"/>
    <cellStyle name="Percent 2 5 4" xfId="8147" xr:uid="{00000000-0005-0000-0000-000029260000}"/>
    <cellStyle name="Percent 2 50" xfId="8148" xr:uid="{00000000-0005-0000-0000-00002A260000}"/>
    <cellStyle name="Percent 2 50 2" xfId="8149" xr:uid="{00000000-0005-0000-0000-00002B260000}"/>
    <cellStyle name="Percent 2 51" xfId="8150" xr:uid="{00000000-0005-0000-0000-00002C260000}"/>
    <cellStyle name="Percent 2 51 2" xfId="8151" xr:uid="{00000000-0005-0000-0000-00002D260000}"/>
    <cellStyle name="Percent 2 52" xfId="8152" xr:uid="{00000000-0005-0000-0000-00002E260000}"/>
    <cellStyle name="Percent 2 52 2" xfId="8153" xr:uid="{00000000-0005-0000-0000-00002F260000}"/>
    <cellStyle name="Percent 2 53" xfId="8154" xr:uid="{00000000-0005-0000-0000-000030260000}"/>
    <cellStyle name="Percent 2 53 2" xfId="8155" xr:uid="{00000000-0005-0000-0000-000031260000}"/>
    <cellStyle name="Percent 2 54" xfId="8156" xr:uid="{00000000-0005-0000-0000-000032260000}"/>
    <cellStyle name="Percent 2 54 2" xfId="8157" xr:uid="{00000000-0005-0000-0000-000033260000}"/>
    <cellStyle name="Percent 2 55" xfId="8158" xr:uid="{00000000-0005-0000-0000-000034260000}"/>
    <cellStyle name="Percent 2 56" xfId="8159" xr:uid="{00000000-0005-0000-0000-000035260000}"/>
    <cellStyle name="Percent 2 56 2" xfId="8160" xr:uid="{00000000-0005-0000-0000-000036260000}"/>
    <cellStyle name="Percent 2 57" xfId="8161" xr:uid="{00000000-0005-0000-0000-000037260000}"/>
    <cellStyle name="Percent 2 57 2" xfId="8162" xr:uid="{00000000-0005-0000-0000-000038260000}"/>
    <cellStyle name="Percent 2 58" xfId="8163" xr:uid="{00000000-0005-0000-0000-000039260000}"/>
    <cellStyle name="Percent 2 58 2" xfId="8164" xr:uid="{00000000-0005-0000-0000-00003A260000}"/>
    <cellStyle name="Percent 2 59" xfId="8165" xr:uid="{00000000-0005-0000-0000-00003B260000}"/>
    <cellStyle name="Percent 2 59 2" xfId="8166" xr:uid="{00000000-0005-0000-0000-00003C260000}"/>
    <cellStyle name="Percent 2 6" xfId="8167" xr:uid="{00000000-0005-0000-0000-00003D260000}"/>
    <cellStyle name="Percent 2 6 2" xfId="8168" xr:uid="{00000000-0005-0000-0000-00003E260000}"/>
    <cellStyle name="Percent 2 6 2 2" xfId="8169" xr:uid="{00000000-0005-0000-0000-00003F260000}"/>
    <cellStyle name="Percent 2 6 2 2 2" xfId="8170" xr:uid="{00000000-0005-0000-0000-000040260000}"/>
    <cellStyle name="Percent 2 6 2 2 3" xfId="10891" xr:uid="{00000000-0005-0000-0000-000041260000}"/>
    <cellStyle name="Percent 2 6 2 3" xfId="8171" xr:uid="{00000000-0005-0000-0000-000042260000}"/>
    <cellStyle name="Percent 2 6 2 4" xfId="10890" xr:uid="{00000000-0005-0000-0000-000043260000}"/>
    <cellStyle name="Percent 2 6 3" xfId="8172" xr:uid="{00000000-0005-0000-0000-000044260000}"/>
    <cellStyle name="Percent 2 6 4" xfId="8173" xr:uid="{00000000-0005-0000-0000-000045260000}"/>
    <cellStyle name="Percent 2 6 5" xfId="10889" xr:uid="{00000000-0005-0000-0000-000046260000}"/>
    <cellStyle name="Percent 2 60" xfId="8174" xr:uid="{00000000-0005-0000-0000-000047260000}"/>
    <cellStyle name="Percent 2 60 2" xfId="8175" xr:uid="{00000000-0005-0000-0000-000048260000}"/>
    <cellStyle name="Percent 2 61" xfId="8176" xr:uid="{00000000-0005-0000-0000-000049260000}"/>
    <cellStyle name="Percent 2 61 2" xfId="8177" xr:uid="{00000000-0005-0000-0000-00004A260000}"/>
    <cellStyle name="Percent 2 62" xfId="8178" xr:uid="{00000000-0005-0000-0000-00004B260000}"/>
    <cellStyle name="Percent 2 62 2" xfId="8179" xr:uid="{00000000-0005-0000-0000-00004C260000}"/>
    <cellStyle name="Percent 2 63" xfId="8180" xr:uid="{00000000-0005-0000-0000-00004D260000}"/>
    <cellStyle name="Percent 2 63 2" xfId="8181" xr:uid="{00000000-0005-0000-0000-00004E260000}"/>
    <cellStyle name="Percent 2 63 2 2" xfId="8182" xr:uid="{00000000-0005-0000-0000-00004F260000}"/>
    <cellStyle name="Percent 2 63 2 2 2" xfId="8183" xr:uid="{00000000-0005-0000-0000-000050260000}"/>
    <cellStyle name="Percent 2 63 2 2 3" xfId="10893" xr:uid="{00000000-0005-0000-0000-000051260000}"/>
    <cellStyle name="Percent 2 63 2 3" xfId="8184" xr:uid="{00000000-0005-0000-0000-000052260000}"/>
    <cellStyle name="Percent 2 63 2 4" xfId="10892" xr:uid="{00000000-0005-0000-0000-000053260000}"/>
    <cellStyle name="Percent 2 64" xfId="8185" xr:uid="{00000000-0005-0000-0000-000054260000}"/>
    <cellStyle name="Percent 2 65" xfId="8186" xr:uid="{00000000-0005-0000-0000-000055260000}"/>
    <cellStyle name="Percent 2 66" xfId="8187" xr:uid="{00000000-0005-0000-0000-000056260000}"/>
    <cellStyle name="Percent 2 67" xfId="8188" xr:uid="{00000000-0005-0000-0000-000057260000}"/>
    <cellStyle name="Percent 2 68" xfId="8189" xr:uid="{00000000-0005-0000-0000-000058260000}"/>
    <cellStyle name="Percent 2 69" xfId="8190" xr:uid="{00000000-0005-0000-0000-000059260000}"/>
    <cellStyle name="Percent 2 69 2" xfId="8191" xr:uid="{00000000-0005-0000-0000-00005A260000}"/>
    <cellStyle name="Percent 2 69 3" xfId="10894" xr:uid="{00000000-0005-0000-0000-00005B260000}"/>
    <cellStyle name="Percent 2 7" xfId="8192" xr:uid="{00000000-0005-0000-0000-00005C260000}"/>
    <cellStyle name="Percent 2 7 2" xfId="8193" xr:uid="{00000000-0005-0000-0000-00005D260000}"/>
    <cellStyle name="Percent 2 7 2 2" xfId="8194" xr:uid="{00000000-0005-0000-0000-00005E260000}"/>
    <cellStyle name="Percent 2 7 2 3" xfId="8195" xr:uid="{00000000-0005-0000-0000-00005F260000}"/>
    <cellStyle name="Percent 2 7 3" xfId="8196" xr:uid="{00000000-0005-0000-0000-000060260000}"/>
    <cellStyle name="Percent 2 70" xfId="8197" xr:uid="{00000000-0005-0000-0000-000061260000}"/>
    <cellStyle name="Percent 2 71" xfId="8198" xr:uid="{00000000-0005-0000-0000-000062260000}"/>
    <cellStyle name="Percent 2 72" xfId="8199" xr:uid="{00000000-0005-0000-0000-000063260000}"/>
    <cellStyle name="Percent 2 73" xfId="8200" xr:uid="{00000000-0005-0000-0000-000064260000}"/>
    <cellStyle name="Percent 2 74" xfId="8201" xr:uid="{00000000-0005-0000-0000-000065260000}"/>
    <cellStyle name="Percent 2 75" xfId="8202" xr:uid="{00000000-0005-0000-0000-000066260000}"/>
    <cellStyle name="Percent 2 76" xfId="8203" xr:uid="{00000000-0005-0000-0000-000067260000}"/>
    <cellStyle name="Percent 2 77" xfId="8204" xr:uid="{00000000-0005-0000-0000-000068260000}"/>
    <cellStyle name="Percent 2 78" xfId="8205" xr:uid="{00000000-0005-0000-0000-000069260000}"/>
    <cellStyle name="Percent 2 79" xfId="8206" xr:uid="{00000000-0005-0000-0000-00006A260000}"/>
    <cellStyle name="Percent 2 8" xfId="8207" xr:uid="{00000000-0005-0000-0000-00006B260000}"/>
    <cellStyle name="Percent 2 8 2" xfId="8208" xr:uid="{00000000-0005-0000-0000-00006C260000}"/>
    <cellStyle name="Percent 2 8 2 2" xfId="8209" xr:uid="{00000000-0005-0000-0000-00006D260000}"/>
    <cellStyle name="Percent 2 8 2 3" xfId="8210" xr:uid="{00000000-0005-0000-0000-00006E260000}"/>
    <cellStyle name="Percent 2 8 3" xfId="8211" xr:uid="{00000000-0005-0000-0000-00006F260000}"/>
    <cellStyle name="Percent 2 80" xfId="8212" xr:uid="{00000000-0005-0000-0000-000070260000}"/>
    <cellStyle name="Percent 2 81" xfId="8213" xr:uid="{00000000-0005-0000-0000-000071260000}"/>
    <cellStyle name="Percent 2 82" xfId="8214" xr:uid="{00000000-0005-0000-0000-000072260000}"/>
    <cellStyle name="Percent 2 83" xfId="8215" xr:uid="{00000000-0005-0000-0000-000073260000}"/>
    <cellStyle name="Percent 2 84" xfId="8216" xr:uid="{00000000-0005-0000-0000-000074260000}"/>
    <cellStyle name="Percent 2 85" xfId="8217" xr:uid="{00000000-0005-0000-0000-000075260000}"/>
    <cellStyle name="Percent 2 86" xfId="8218" xr:uid="{00000000-0005-0000-0000-000076260000}"/>
    <cellStyle name="Percent 2 87" xfId="8219" xr:uid="{00000000-0005-0000-0000-000077260000}"/>
    <cellStyle name="Percent 2 88" xfId="8220" xr:uid="{00000000-0005-0000-0000-000078260000}"/>
    <cellStyle name="Percent 2 89" xfId="8221" xr:uid="{00000000-0005-0000-0000-000079260000}"/>
    <cellStyle name="Percent 2 9" xfId="8222" xr:uid="{00000000-0005-0000-0000-00007A260000}"/>
    <cellStyle name="Percent 2 9 2" xfId="8223" xr:uid="{00000000-0005-0000-0000-00007B260000}"/>
    <cellStyle name="Percent 2 9 2 2" xfId="8224" xr:uid="{00000000-0005-0000-0000-00007C260000}"/>
    <cellStyle name="Percent 2 9 2 3" xfId="8225" xr:uid="{00000000-0005-0000-0000-00007D260000}"/>
    <cellStyle name="Percent 2 9 3" xfId="8226" xr:uid="{00000000-0005-0000-0000-00007E260000}"/>
    <cellStyle name="Percent 2 90" xfId="8227" xr:uid="{00000000-0005-0000-0000-00007F260000}"/>
    <cellStyle name="Percent 2 91" xfId="8228" xr:uid="{00000000-0005-0000-0000-000080260000}"/>
    <cellStyle name="Percent 2 92" xfId="8229" xr:uid="{00000000-0005-0000-0000-000081260000}"/>
    <cellStyle name="Percent 2 93" xfId="8230" xr:uid="{00000000-0005-0000-0000-000082260000}"/>
    <cellStyle name="Percent 2 94" xfId="8231" xr:uid="{00000000-0005-0000-0000-000083260000}"/>
    <cellStyle name="Percent 2 95" xfId="8232" xr:uid="{00000000-0005-0000-0000-000084260000}"/>
    <cellStyle name="Percent 2 96" xfId="8233" xr:uid="{00000000-0005-0000-0000-000085260000}"/>
    <cellStyle name="Percent 2 97" xfId="8234" xr:uid="{00000000-0005-0000-0000-000086260000}"/>
    <cellStyle name="Percent 2 98" xfId="8235" xr:uid="{00000000-0005-0000-0000-000087260000}"/>
    <cellStyle name="Percent 2 99" xfId="8236" xr:uid="{00000000-0005-0000-0000-000088260000}"/>
    <cellStyle name="Percent 20" xfId="8237" xr:uid="{00000000-0005-0000-0000-000089260000}"/>
    <cellStyle name="Percent 20 2" xfId="8238" xr:uid="{00000000-0005-0000-0000-00008A260000}"/>
    <cellStyle name="Percent 21" xfId="8239" xr:uid="{00000000-0005-0000-0000-00008B260000}"/>
    <cellStyle name="Percent 21 2" xfId="8240" xr:uid="{00000000-0005-0000-0000-00008C260000}"/>
    <cellStyle name="Percent 22" xfId="8241" xr:uid="{00000000-0005-0000-0000-00008D260000}"/>
    <cellStyle name="Percent 23" xfId="8242" xr:uid="{00000000-0005-0000-0000-00008E260000}"/>
    <cellStyle name="Percent 24" xfId="8243" xr:uid="{00000000-0005-0000-0000-00008F260000}"/>
    <cellStyle name="Percent 25" xfId="8244" xr:uid="{00000000-0005-0000-0000-000090260000}"/>
    <cellStyle name="Percent 26" xfId="8245" xr:uid="{00000000-0005-0000-0000-000091260000}"/>
    <cellStyle name="Percent 26 2" xfId="8246" xr:uid="{00000000-0005-0000-0000-000092260000}"/>
    <cellStyle name="Percent 27" xfId="8247" xr:uid="{00000000-0005-0000-0000-000093260000}"/>
    <cellStyle name="Percent 28" xfId="8248" xr:uid="{00000000-0005-0000-0000-000094260000}"/>
    <cellStyle name="Percent 29" xfId="8249" xr:uid="{00000000-0005-0000-0000-000095260000}"/>
    <cellStyle name="Percent 3" xfId="5" xr:uid="{00000000-0005-0000-0000-000096260000}"/>
    <cellStyle name="Percent 3 10" xfId="8250" xr:uid="{00000000-0005-0000-0000-000097260000}"/>
    <cellStyle name="Percent 3 10 2" xfId="8251" xr:uid="{00000000-0005-0000-0000-000098260000}"/>
    <cellStyle name="Percent 3 10 2 2" xfId="8252" xr:uid="{00000000-0005-0000-0000-000099260000}"/>
    <cellStyle name="Percent 3 10 2 3" xfId="8253" xr:uid="{00000000-0005-0000-0000-00009A260000}"/>
    <cellStyle name="Percent 3 10 3" xfId="8254" xr:uid="{00000000-0005-0000-0000-00009B260000}"/>
    <cellStyle name="Percent 3 100" xfId="8255" xr:uid="{00000000-0005-0000-0000-00009C260000}"/>
    <cellStyle name="Percent 3 101" xfId="8256" xr:uid="{00000000-0005-0000-0000-00009D260000}"/>
    <cellStyle name="Percent 3 101 2" xfId="8257" xr:uid="{00000000-0005-0000-0000-00009E260000}"/>
    <cellStyle name="Percent 3 101 3" xfId="8258" xr:uid="{00000000-0005-0000-0000-00009F260000}"/>
    <cellStyle name="Percent 3 101 4" xfId="10895" xr:uid="{00000000-0005-0000-0000-0000A0260000}"/>
    <cellStyle name="Percent 3 102" xfId="8259" xr:uid="{00000000-0005-0000-0000-0000A1260000}"/>
    <cellStyle name="Percent 3 102 2" xfId="8260" xr:uid="{00000000-0005-0000-0000-0000A2260000}"/>
    <cellStyle name="Percent 3 102 3" xfId="10896" xr:uid="{00000000-0005-0000-0000-0000A3260000}"/>
    <cellStyle name="Percent 3 103" xfId="8261" xr:uid="{00000000-0005-0000-0000-0000A4260000}"/>
    <cellStyle name="Percent 3 103 2" xfId="8262" xr:uid="{00000000-0005-0000-0000-0000A5260000}"/>
    <cellStyle name="Percent 3 103 3" xfId="10897" xr:uid="{00000000-0005-0000-0000-0000A6260000}"/>
    <cellStyle name="Percent 3 104" xfId="8263" xr:uid="{00000000-0005-0000-0000-0000A7260000}"/>
    <cellStyle name="Percent 3 104 2" xfId="8264" xr:uid="{00000000-0005-0000-0000-0000A8260000}"/>
    <cellStyle name="Percent 3 104 3" xfId="10898" xr:uid="{00000000-0005-0000-0000-0000A9260000}"/>
    <cellStyle name="Percent 3 105" xfId="8265" xr:uid="{00000000-0005-0000-0000-0000AA260000}"/>
    <cellStyle name="Percent 3 105 2" xfId="8266" xr:uid="{00000000-0005-0000-0000-0000AB260000}"/>
    <cellStyle name="Percent 3 105 3" xfId="10899" xr:uid="{00000000-0005-0000-0000-0000AC260000}"/>
    <cellStyle name="Percent 3 106" xfId="8267" xr:uid="{00000000-0005-0000-0000-0000AD260000}"/>
    <cellStyle name="Percent 3 106 2" xfId="8268" xr:uid="{00000000-0005-0000-0000-0000AE260000}"/>
    <cellStyle name="Percent 3 106 3" xfId="10900" xr:uid="{00000000-0005-0000-0000-0000AF260000}"/>
    <cellStyle name="Percent 3 107" xfId="8269" xr:uid="{00000000-0005-0000-0000-0000B0260000}"/>
    <cellStyle name="Percent 3 108" xfId="8270" xr:uid="{00000000-0005-0000-0000-0000B1260000}"/>
    <cellStyle name="Percent 3 109" xfId="8271" xr:uid="{00000000-0005-0000-0000-0000B2260000}"/>
    <cellStyle name="Percent 3 11" xfId="8272" xr:uid="{00000000-0005-0000-0000-0000B3260000}"/>
    <cellStyle name="Percent 3 11 2" xfId="8273" xr:uid="{00000000-0005-0000-0000-0000B4260000}"/>
    <cellStyle name="Percent 3 11 2 2" xfId="8274" xr:uid="{00000000-0005-0000-0000-0000B5260000}"/>
    <cellStyle name="Percent 3 11 2 3" xfId="8275" xr:uid="{00000000-0005-0000-0000-0000B6260000}"/>
    <cellStyle name="Percent 3 11 3" xfId="8276" xr:uid="{00000000-0005-0000-0000-0000B7260000}"/>
    <cellStyle name="Percent 3 110" xfId="8277" xr:uid="{00000000-0005-0000-0000-0000B8260000}"/>
    <cellStyle name="Percent 3 111" xfId="8278" xr:uid="{00000000-0005-0000-0000-0000B9260000}"/>
    <cellStyle name="Percent 3 112" xfId="8279" xr:uid="{00000000-0005-0000-0000-0000BA260000}"/>
    <cellStyle name="Percent 3 113" xfId="8280" xr:uid="{00000000-0005-0000-0000-0000BB260000}"/>
    <cellStyle name="Percent 3 114" xfId="8281" xr:uid="{00000000-0005-0000-0000-0000BC260000}"/>
    <cellStyle name="Percent 3 115" xfId="8282" xr:uid="{00000000-0005-0000-0000-0000BD260000}"/>
    <cellStyle name="Percent 3 116" xfId="8283" xr:uid="{00000000-0005-0000-0000-0000BE260000}"/>
    <cellStyle name="Percent 3 117" xfId="8284" xr:uid="{00000000-0005-0000-0000-0000BF260000}"/>
    <cellStyle name="Percent 3 118" xfId="8285" xr:uid="{00000000-0005-0000-0000-0000C0260000}"/>
    <cellStyle name="Percent 3 119" xfId="8286" xr:uid="{00000000-0005-0000-0000-0000C1260000}"/>
    <cellStyle name="Percent 3 119 2" xfId="8287" xr:uid="{00000000-0005-0000-0000-0000C2260000}"/>
    <cellStyle name="Percent 3 119 3" xfId="10901" xr:uid="{00000000-0005-0000-0000-0000C3260000}"/>
    <cellStyle name="Percent 3 12" xfId="8288" xr:uid="{00000000-0005-0000-0000-0000C4260000}"/>
    <cellStyle name="Percent 3 12 2" xfId="8289" xr:uid="{00000000-0005-0000-0000-0000C5260000}"/>
    <cellStyle name="Percent 3 12 2 2" xfId="8290" xr:uid="{00000000-0005-0000-0000-0000C6260000}"/>
    <cellStyle name="Percent 3 12 2 3" xfId="8291" xr:uid="{00000000-0005-0000-0000-0000C7260000}"/>
    <cellStyle name="Percent 3 12 3" xfId="8292" xr:uid="{00000000-0005-0000-0000-0000C8260000}"/>
    <cellStyle name="Percent 3 120" xfId="8293" xr:uid="{00000000-0005-0000-0000-0000C9260000}"/>
    <cellStyle name="Percent 3 120 2" xfId="8294" xr:uid="{00000000-0005-0000-0000-0000CA260000}"/>
    <cellStyle name="Percent 3 120 3" xfId="10902" xr:uid="{00000000-0005-0000-0000-0000CB260000}"/>
    <cellStyle name="Percent 3 121" xfId="8295" xr:uid="{00000000-0005-0000-0000-0000CC260000}"/>
    <cellStyle name="Percent 3 121 2" xfId="8296" xr:uid="{00000000-0005-0000-0000-0000CD260000}"/>
    <cellStyle name="Percent 3 121 3" xfId="10903" xr:uid="{00000000-0005-0000-0000-0000CE260000}"/>
    <cellStyle name="Percent 3 122" xfId="8297" xr:uid="{00000000-0005-0000-0000-0000CF260000}"/>
    <cellStyle name="Percent 3 122 2" xfId="8298" xr:uid="{00000000-0005-0000-0000-0000D0260000}"/>
    <cellStyle name="Percent 3 122 3" xfId="10904" xr:uid="{00000000-0005-0000-0000-0000D1260000}"/>
    <cellStyle name="Percent 3 123" xfId="8299" xr:uid="{00000000-0005-0000-0000-0000D2260000}"/>
    <cellStyle name="Percent 3 124" xfId="8300" xr:uid="{00000000-0005-0000-0000-0000D3260000}"/>
    <cellStyle name="Percent 3 125" xfId="8301" xr:uid="{00000000-0005-0000-0000-0000D4260000}"/>
    <cellStyle name="Percent 3 126" xfId="8302" xr:uid="{00000000-0005-0000-0000-0000D5260000}"/>
    <cellStyle name="Percent 3 127" xfId="8303" xr:uid="{00000000-0005-0000-0000-0000D6260000}"/>
    <cellStyle name="Percent 3 128" xfId="8304" xr:uid="{00000000-0005-0000-0000-0000D7260000}"/>
    <cellStyle name="Percent 3 129" xfId="8305" xr:uid="{00000000-0005-0000-0000-0000D8260000}"/>
    <cellStyle name="Percent 3 13" xfId="8306" xr:uid="{00000000-0005-0000-0000-0000D9260000}"/>
    <cellStyle name="Percent 3 13 2" xfId="8307" xr:uid="{00000000-0005-0000-0000-0000DA260000}"/>
    <cellStyle name="Percent 3 13 2 2" xfId="8308" xr:uid="{00000000-0005-0000-0000-0000DB260000}"/>
    <cellStyle name="Percent 3 13 2 2 2" xfId="10906" xr:uid="{00000000-0005-0000-0000-0000DC260000}"/>
    <cellStyle name="Percent 3 13 2 3" xfId="8309" xr:uid="{00000000-0005-0000-0000-0000DD260000}"/>
    <cellStyle name="Percent 3 13 3" xfId="8310" xr:uid="{00000000-0005-0000-0000-0000DE260000}"/>
    <cellStyle name="Percent 3 13 4" xfId="8311" xr:uid="{00000000-0005-0000-0000-0000DF260000}"/>
    <cellStyle name="Percent 3 13 5" xfId="10905" xr:uid="{00000000-0005-0000-0000-0000E0260000}"/>
    <cellStyle name="Percent 3 130" xfId="8312" xr:uid="{00000000-0005-0000-0000-0000E1260000}"/>
    <cellStyle name="Percent 3 131" xfId="8313" xr:uid="{00000000-0005-0000-0000-0000E2260000}"/>
    <cellStyle name="Percent 3 132" xfId="8314" xr:uid="{00000000-0005-0000-0000-0000E3260000}"/>
    <cellStyle name="Percent 3 133" xfId="8315" xr:uid="{00000000-0005-0000-0000-0000E4260000}"/>
    <cellStyle name="Percent 3 134" xfId="8316" xr:uid="{00000000-0005-0000-0000-0000E5260000}"/>
    <cellStyle name="Percent 3 135" xfId="8317" xr:uid="{00000000-0005-0000-0000-0000E6260000}"/>
    <cellStyle name="Percent 3 136" xfId="8318" xr:uid="{00000000-0005-0000-0000-0000E7260000}"/>
    <cellStyle name="Percent 3 137" xfId="8319" xr:uid="{00000000-0005-0000-0000-0000E8260000}"/>
    <cellStyle name="Percent 3 138" xfId="8320" xr:uid="{00000000-0005-0000-0000-0000E9260000}"/>
    <cellStyle name="Percent 3 139" xfId="8321" xr:uid="{00000000-0005-0000-0000-0000EA260000}"/>
    <cellStyle name="Percent 3 14" xfId="8322" xr:uid="{00000000-0005-0000-0000-0000EB260000}"/>
    <cellStyle name="Percent 3 14 2" xfId="8323" xr:uid="{00000000-0005-0000-0000-0000EC260000}"/>
    <cellStyle name="Percent 3 14 2 2" xfId="8324" xr:uid="{00000000-0005-0000-0000-0000ED260000}"/>
    <cellStyle name="Percent 3 14 2 3" xfId="8325" xr:uid="{00000000-0005-0000-0000-0000EE260000}"/>
    <cellStyle name="Percent 3 14 3" xfId="8326" xr:uid="{00000000-0005-0000-0000-0000EF260000}"/>
    <cellStyle name="Percent 3 140" xfId="8327" xr:uid="{00000000-0005-0000-0000-0000F0260000}"/>
    <cellStyle name="Percent 3 141" xfId="8328" xr:uid="{00000000-0005-0000-0000-0000F1260000}"/>
    <cellStyle name="Percent 3 142" xfId="8329" xr:uid="{00000000-0005-0000-0000-0000F2260000}"/>
    <cellStyle name="Percent 3 143" xfId="8330" xr:uid="{00000000-0005-0000-0000-0000F3260000}"/>
    <cellStyle name="Percent 3 144" xfId="8331" xr:uid="{00000000-0005-0000-0000-0000F4260000}"/>
    <cellStyle name="Percent 3 145" xfId="8332" xr:uid="{00000000-0005-0000-0000-0000F5260000}"/>
    <cellStyle name="Percent 3 145 2" xfId="8333" xr:uid="{00000000-0005-0000-0000-0000F6260000}"/>
    <cellStyle name="Percent 3 145 3" xfId="10907" xr:uid="{00000000-0005-0000-0000-0000F7260000}"/>
    <cellStyle name="Percent 3 146" xfId="8334" xr:uid="{00000000-0005-0000-0000-0000F8260000}"/>
    <cellStyle name="Percent 3 146 2" xfId="8335" xr:uid="{00000000-0005-0000-0000-0000F9260000}"/>
    <cellStyle name="Percent 3 146 3" xfId="10908" xr:uid="{00000000-0005-0000-0000-0000FA260000}"/>
    <cellStyle name="Percent 3 147" xfId="8336" xr:uid="{00000000-0005-0000-0000-0000FB260000}"/>
    <cellStyle name="Percent 3 148" xfId="8337" xr:uid="{00000000-0005-0000-0000-0000FC260000}"/>
    <cellStyle name="Percent 3 149" xfId="8338" xr:uid="{00000000-0005-0000-0000-0000FD260000}"/>
    <cellStyle name="Percent 3 15" xfId="8339" xr:uid="{00000000-0005-0000-0000-0000FE260000}"/>
    <cellStyle name="Percent 3 15 2" xfId="8340" xr:uid="{00000000-0005-0000-0000-0000FF260000}"/>
    <cellStyle name="Percent 3 15 2 2" xfId="8341" xr:uid="{00000000-0005-0000-0000-000000270000}"/>
    <cellStyle name="Percent 3 15 2 2 2" xfId="10910" xr:uid="{00000000-0005-0000-0000-000001270000}"/>
    <cellStyle name="Percent 3 15 2 3" xfId="8342" xr:uid="{00000000-0005-0000-0000-000002270000}"/>
    <cellStyle name="Percent 3 15 3" xfId="8343" xr:uid="{00000000-0005-0000-0000-000003270000}"/>
    <cellStyle name="Percent 3 15 4" xfId="8344" xr:uid="{00000000-0005-0000-0000-000004270000}"/>
    <cellStyle name="Percent 3 15 5" xfId="10909" xr:uid="{00000000-0005-0000-0000-000005270000}"/>
    <cellStyle name="Percent 3 150" xfId="8345" xr:uid="{00000000-0005-0000-0000-000006270000}"/>
    <cellStyle name="Percent 3 151" xfId="8346" xr:uid="{00000000-0005-0000-0000-000007270000}"/>
    <cellStyle name="Percent 3 152" xfId="8347" xr:uid="{00000000-0005-0000-0000-000008270000}"/>
    <cellStyle name="Percent 3 153" xfId="8348" xr:uid="{00000000-0005-0000-0000-000009270000}"/>
    <cellStyle name="Percent 3 154" xfId="8349" xr:uid="{00000000-0005-0000-0000-00000A270000}"/>
    <cellStyle name="Percent 3 155" xfId="8350" xr:uid="{00000000-0005-0000-0000-00000B270000}"/>
    <cellStyle name="Percent 3 16" xfId="8351" xr:uid="{00000000-0005-0000-0000-00000C270000}"/>
    <cellStyle name="Percent 3 16 2" xfId="8352" xr:uid="{00000000-0005-0000-0000-00000D270000}"/>
    <cellStyle name="Percent 3 16 2 2" xfId="8353" xr:uid="{00000000-0005-0000-0000-00000E270000}"/>
    <cellStyle name="Percent 3 16 2 2 2" xfId="10912" xr:uid="{00000000-0005-0000-0000-00000F270000}"/>
    <cellStyle name="Percent 3 16 2 3" xfId="8354" xr:uid="{00000000-0005-0000-0000-000010270000}"/>
    <cellStyle name="Percent 3 16 3" xfId="8355" xr:uid="{00000000-0005-0000-0000-000011270000}"/>
    <cellStyle name="Percent 3 16 4" xfId="8356" xr:uid="{00000000-0005-0000-0000-000012270000}"/>
    <cellStyle name="Percent 3 16 5" xfId="10911" xr:uid="{00000000-0005-0000-0000-000013270000}"/>
    <cellStyle name="Percent 3 17" xfId="8357" xr:uid="{00000000-0005-0000-0000-000014270000}"/>
    <cellStyle name="Percent 3 17 2" xfId="8358" xr:uid="{00000000-0005-0000-0000-000015270000}"/>
    <cellStyle name="Percent 3 17 2 2" xfId="8359" xr:uid="{00000000-0005-0000-0000-000016270000}"/>
    <cellStyle name="Percent 3 17 2 2 2" xfId="10914" xr:uid="{00000000-0005-0000-0000-000017270000}"/>
    <cellStyle name="Percent 3 17 2 3" xfId="8360" xr:uid="{00000000-0005-0000-0000-000018270000}"/>
    <cellStyle name="Percent 3 17 3" xfId="8361" xr:uid="{00000000-0005-0000-0000-000019270000}"/>
    <cellStyle name="Percent 3 17 4" xfId="8362" xr:uid="{00000000-0005-0000-0000-00001A270000}"/>
    <cellStyle name="Percent 3 17 5" xfId="10913" xr:uid="{00000000-0005-0000-0000-00001B270000}"/>
    <cellStyle name="Percent 3 18" xfId="8363" xr:uid="{00000000-0005-0000-0000-00001C270000}"/>
    <cellStyle name="Percent 3 18 2" xfId="8364" xr:uid="{00000000-0005-0000-0000-00001D270000}"/>
    <cellStyle name="Percent 3 18 2 2" xfId="8365" xr:uid="{00000000-0005-0000-0000-00001E270000}"/>
    <cellStyle name="Percent 3 18 2 2 2" xfId="10916" xr:uid="{00000000-0005-0000-0000-00001F270000}"/>
    <cellStyle name="Percent 3 18 2 3" xfId="8366" xr:uid="{00000000-0005-0000-0000-000020270000}"/>
    <cellStyle name="Percent 3 18 3" xfId="8367" xr:uid="{00000000-0005-0000-0000-000021270000}"/>
    <cellStyle name="Percent 3 18 4" xfId="8368" xr:uid="{00000000-0005-0000-0000-000022270000}"/>
    <cellStyle name="Percent 3 18 5" xfId="10915" xr:uid="{00000000-0005-0000-0000-000023270000}"/>
    <cellStyle name="Percent 3 19" xfId="8369" xr:uid="{00000000-0005-0000-0000-000024270000}"/>
    <cellStyle name="Percent 3 19 2" xfId="8370" xr:uid="{00000000-0005-0000-0000-000025270000}"/>
    <cellStyle name="Percent 3 19 2 2" xfId="8371" xr:uid="{00000000-0005-0000-0000-000026270000}"/>
    <cellStyle name="Percent 3 19 2 3" xfId="8372" xr:uid="{00000000-0005-0000-0000-000027270000}"/>
    <cellStyle name="Percent 3 19 3" xfId="8373" xr:uid="{00000000-0005-0000-0000-000028270000}"/>
    <cellStyle name="Percent 3 2" xfId="8374" xr:uid="{00000000-0005-0000-0000-000029270000}"/>
    <cellStyle name="Percent 3 2 10" xfId="8375" xr:uid="{00000000-0005-0000-0000-00002A270000}"/>
    <cellStyle name="Percent 3 2 10 2" xfId="8376" xr:uid="{00000000-0005-0000-0000-00002B270000}"/>
    <cellStyle name="Percent 3 2 11" xfId="8377" xr:uid="{00000000-0005-0000-0000-00002C270000}"/>
    <cellStyle name="Percent 3 2 11 2" xfId="8378" xr:uid="{00000000-0005-0000-0000-00002D270000}"/>
    <cellStyle name="Percent 3 2 12" xfId="8379" xr:uid="{00000000-0005-0000-0000-00002E270000}"/>
    <cellStyle name="Percent 3 2 12 2" xfId="8380" xr:uid="{00000000-0005-0000-0000-00002F270000}"/>
    <cellStyle name="Percent 3 2 12 2 2" xfId="8381" xr:uid="{00000000-0005-0000-0000-000030270000}"/>
    <cellStyle name="Percent 3 2 12 3" xfId="8382" xr:uid="{00000000-0005-0000-0000-000031270000}"/>
    <cellStyle name="Percent 3 2 13" xfId="8383" xr:uid="{00000000-0005-0000-0000-000032270000}"/>
    <cellStyle name="Percent 3 2 13 2" xfId="8384" xr:uid="{00000000-0005-0000-0000-000033270000}"/>
    <cellStyle name="Percent 3 2 14" xfId="8385" xr:uid="{00000000-0005-0000-0000-000034270000}"/>
    <cellStyle name="Percent 3 2 14 2" xfId="8386" xr:uid="{00000000-0005-0000-0000-000035270000}"/>
    <cellStyle name="Percent 3 2 14 2 2" xfId="8387" xr:uid="{00000000-0005-0000-0000-000036270000}"/>
    <cellStyle name="Percent 3 2 14 3" xfId="8388" xr:uid="{00000000-0005-0000-0000-000037270000}"/>
    <cellStyle name="Percent 3 2 15" xfId="8389" xr:uid="{00000000-0005-0000-0000-000038270000}"/>
    <cellStyle name="Percent 3 2 15 2" xfId="8390" xr:uid="{00000000-0005-0000-0000-000039270000}"/>
    <cellStyle name="Percent 3 2 15 2 2" xfId="8391" xr:uid="{00000000-0005-0000-0000-00003A270000}"/>
    <cellStyle name="Percent 3 2 15 3" xfId="8392" xr:uid="{00000000-0005-0000-0000-00003B270000}"/>
    <cellStyle name="Percent 3 2 16" xfId="8393" xr:uid="{00000000-0005-0000-0000-00003C270000}"/>
    <cellStyle name="Percent 3 2 16 2" xfId="8394" xr:uid="{00000000-0005-0000-0000-00003D270000}"/>
    <cellStyle name="Percent 3 2 16 2 2" xfId="8395" xr:uid="{00000000-0005-0000-0000-00003E270000}"/>
    <cellStyle name="Percent 3 2 16 3" xfId="8396" xr:uid="{00000000-0005-0000-0000-00003F270000}"/>
    <cellStyle name="Percent 3 2 17" xfId="8397" xr:uid="{00000000-0005-0000-0000-000040270000}"/>
    <cellStyle name="Percent 3 2 17 2" xfId="8398" xr:uid="{00000000-0005-0000-0000-000041270000}"/>
    <cellStyle name="Percent 3 2 17 2 2" xfId="8399" xr:uid="{00000000-0005-0000-0000-000042270000}"/>
    <cellStyle name="Percent 3 2 17 3" xfId="8400" xr:uid="{00000000-0005-0000-0000-000043270000}"/>
    <cellStyle name="Percent 3 2 18" xfId="8401" xr:uid="{00000000-0005-0000-0000-000044270000}"/>
    <cellStyle name="Percent 3 2 19" xfId="8402" xr:uid="{00000000-0005-0000-0000-000045270000}"/>
    <cellStyle name="Percent 3 2 2" xfId="8403" xr:uid="{00000000-0005-0000-0000-000046270000}"/>
    <cellStyle name="Percent 3 2 2 10" xfId="8404" xr:uid="{00000000-0005-0000-0000-000047270000}"/>
    <cellStyle name="Percent 3 2 2 10 2" xfId="8405" xr:uid="{00000000-0005-0000-0000-000048270000}"/>
    <cellStyle name="Percent 3 2 2 10 2 2" xfId="8406" xr:uid="{00000000-0005-0000-0000-000049270000}"/>
    <cellStyle name="Percent 3 2 2 10 2 3" xfId="10919" xr:uid="{00000000-0005-0000-0000-00004A270000}"/>
    <cellStyle name="Percent 3 2 2 10 3" xfId="8407" xr:uid="{00000000-0005-0000-0000-00004B270000}"/>
    <cellStyle name="Percent 3 2 2 10 4" xfId="10918" xr:uid="{00000000-0005-0000-0000-00004C270000}"/>
    <cellStyle name="Percent 3 2 2 11" xfId="8408" xr:uid="{00000000-0005-0000-0000-00004D270000}"/>
    <cellStyle name="Percent 3 2 2 11 2" xfId="8409" xr:uid="{00000000-0005-0000-0000-00004E270000}"/>
    <cellStyle name="Percent 3 2 2 11 2 2" xfId="8410" xr:uid="{00000000-0005-0000-0000-00004F270000}"/>
    <cellStyle name="Percent 3 2 2 11 2 3" xfId="10921" xr:uid="{00000000-0005-0000-0000-000050270000}"/>
    <cellStyle name="Percent 3 2 2 11 3" xfId="8411" xr:uid="{00000000-0005-0000-0000-000051270000}"/>
    <cellStyle name="Percent 3 2 2 11 4" xfId="10920" xr:uid="{00000000-0005-0000-0000-000052270000}"/>
    <cellStyle name="Percent 3 2 2 12" xfId="8412" xr:uid="{00000000-0005-0000-0000-000053270000}"/>
    <cellStyle name="Percent 3 2 2 12 2" xfId="8413" xr:uid="{00000000-0005-0000-0000-000054270000}"/>
    <cellStyle name="Percent 3 2 2 12 2 2" xfId="8414" xr:uid="{00000000-0005-0000-0000-000055270000}"/>
    <cellStyle name="Percent 3 2 2 12 2 3" xfId="10923" xr:uid="{00000000-0005-0000-0000-000056270000}"/>
    <cellStyle name="Percent 3 2 2 12 3" xfId="8415" xr:uid="{00000000-0005-0000-0000-000057270000}"/>
    <cellStyle name="Percent 3 2 2 12 4" xfId="10922" xr:uid="{00000000-0005-0000-0000-000058270000}"/>
    <cellStyle name="Percent 3 2 2 13" xfId="8416" xr:uid="{00000000-0005-0000-0000-000059270000}"/>
    <cellStyle name="Percent 3 2 2 13 2" xfId="8417" xr:uid="{00000000-0005-0000-0000-00005A270000}"/>
    <cellStyle name="Percent 3 2 2 13 2 2" xfId="8418" xr:uid="{00000000-0005-0000-0000-00005B270000}"/>
    <cellStyle name="Percent 3 2 2 13 2 3" xfId="10925" xr:uid="{00000000-0005-0000-0000-00005C270000}"/>
    <cellStyle name="Percent 3 2 2 13 3" xfId="8419" xr:uid="{00000000-0005-0000-0000-00005D270000}"/>
    <cellStyle name="Percent 3 2 2 13 4" xfId="10924" xr:uid="{00000000-0005-0000-0000-00005E270000}"/>
    <cellStyle name="Percent 3 2 2 14" xfId="8420" xr:uid="{00000000-0005-0000-0000-00005F270000}"/>
    <cellStyle name="Percent 3 2 2 14 2" xfId="8421" xr:uid="{00000000-0005-0000-0000-000060270000}"/>
    <cellStyle name="Percent 3 2 2 14 2 2" xfId="8422" xr:uid="{00000000-0005-0000-0000-000061270000}"/>
    <cellStyle name="Percent 3 2 2 14 2 3" xfId="10927" xr:uid="{00000000-0005-0000-0000-000062270000}"/>
    <cellStyle name="Percent 3 2 2 14 3" xfId="8423" xr:uid="{00000000-0005-0000-0000-000063270000}"/>
    <cellStyle name="Percent 3 2 2 14 4" xfId="10926" xr:uid="{00000000-0005-0000-0000-000064270000}"/>
    <cellStyle name="Percent 3 2 2 15" xfId="8424" xr:uid="{00000000-0005-0000-0000-000065270000}"/>
    <cellStyle name="Percent 3 2 2 15 2" xfId="8425" xr:uid="{00000000-0005-0000-0000-000066270000}"/>
    <cellStyle name="Percent 3 2 2 15 2 2" xfId="8426" xr:uid="{00000000-0005-0000-0000-000067270000}"/>
    <cellStyle name="Percent 3 2 2 15 2 3" xfId="10929" xr:uid="{00000000-0005-0000-0000-000068270000}"/>
    <cellStyle name="Percent 3 2 2 15 3" xfId="8427" xr:uid="{00000000-0005-0000-0000-000069270000}"/>
    <cellStyle name="Percent 3 2 2 15 4" xfId="10928" xr:uid="{00000000-0005-0000-0000-00006A270000}"/>
    <cellStyle name="Percent 3 2 2 16" xfId="8428" xr:uid="{00000000-0005-0000-0000-00006B270000}"/>
    <cellStyle name="Percent 3 2 2 16 2" xfId="8429" xr:uid="{00000000-0005-0000-0000-00006C270000}"/>
    <cellStyle name="Percent 3 2 2 16 3" xfId="10930" xr:uid="{00000000-0005-0000-0000-00006D270000}"/>
    <cellStyle name="Percent 3 2 2 17" xfId="8430" xr:uid="{00000000-0005-0000-0000-00006E270000}"/>
    <cellStyle name="Percent 3 2 2 17 2" xfId="8431" xr:uid="{00000000-0005-0000-0000-00006F270000}"/>
    <cellStyle name="Percent 3 2 2 17 3" xfId="10931" xr:uid="{00000000-0005-0000-0000-000070270000}"/>
    <cellStyle name="Percent 3 2 2 18" xfId="8432" xr:uid="{00000000-0005-0000-0000-000071270000}"/>
    <cellStyle name="Percent 3 2 2 18 2" xfId="8433" xr:uid="{00000000-0005-0000-0000-000072270000}"/>
    <cellStyle name="Percent 3 2 2 19" xfId="8434" xr:uid="{00000000-0005-0000-0000-000073270000}"/>
    <cellStyle name="Percent 3 2 2 2" xfId="8435" xr:uid="{00000000-0005-0000-0000-000074270000}"/>
    <cellStyle name="Percent 3 2 2 2 10" xfId="8436" xr:uid="{00000000-0005-0000-0000-000075270000}"/>
    <cellStyle name="Percent 3 2 2 2 10 2" xfId="8437" xr:uid="{00000000-0005-0000-0000-000076270000}"/>
    <cellStyle name="Percent 3 2 2 2 10 2 2" xfId="8438" xr:uid="{00000000-0005-0000-0000-000077270000}"/>
    <cellStyle name="Percent 3 2 2 2 10 3" xfId="8439" xr:uid="{00000000-0005-0000-0000-000078270000}"/>
    <cellStyle name="Percent 3 2 2 2 11" xfId="8440" xr:uid="{00000000-0005-0000-0000-000079270000}"/>
    <cellStyle name="Percent 3 2 2 2 11 2" xfId="8441" xr:uid="{00000000-0005-0000-0000-00007A270000}"/>
    <cellStyle name="Percent 3 2 2 2 11 2 2" xfId="8442" xr:uid="{00000000-0005-0000-0000-00007B270000}"/>
    <cellStyle name="Percent 3 2 2 2 11 3" xfId="8443" xr:uid="{00000000-0005-0000-0000-00007C270000}"/>
    <cellStyle name="Percent 3 2 2 2 12" xfId="8444" xr:uid="{00000000-0005-0000-0000-00007D270000}"/>
    <cellStyle name="Percent 3 2 2 2 12 2" xfId="8445" xr:uid="{00000000-0005-0000-0000-00007E270000}"/>
    <cellStyle name="Percent 3 2 2 2 12 2 2" xfId="8446" xr:uid="{00000000-0005-0000-0000-00007F270000}"/>
    <cellStyle name="Percent 3 2 2 2 12 3" xfId="8447" xr:uid="{00000000-0005-0000-0000-000080270000}"/>
    <cellStyle name="Percent 3 2 2 2 13" xfId="8448" xr:uid="{00000000-0005-0000-0000-000081270000}"/>
    <cellStyle name="Percent 3 2 2 2 13 2" xfId="8449" xr:uid="{00000000-0005-0000-0000-000082270000}"/>
    <cellStyle name="Percent 3 2 2 2 13 2 2" xfId="8450" xr:uid="{00000000-0005-0000-0000-000083270000}"/>
    <cellStyle name="Percent 3 2 2 2 13 3" xfId="8451" xr:uid="{00000000-0005-0000-0000-000084270000}"/>
    <cellStyle name="Percent 3 2 2 2 14" xfId="8452" xr:uid="{00000000-0005-0000-0000-000085270000}"/>
    <cellStyle name="Percent 3 2 2 2 14 2" xfId="8453" xr:uid="{00000000-0005-0000-0000-000086270000}"/>
    <cellStyle name="Percent 3 2 2 2 14 2 2" xfId="8454" xr:uid="{00000000-0005-0000-0000-000087270000}"/>
    <cellStyle name="Percent 3 2 2 2 14 3" xfId="8455" xr:uid="{00000000-0005-0000-0000-000088270000}"/>
    <cellStyle name="Percent 3 2 2 2 15" xfId="8456" xr:uid="{00000000-0005-0000-0000-000089270000}"/>
    <cellStyle name="Percent 3 2 2 2 15 2" xfId="8457" xr:uid="{00000000-0005-0000-0000-00008A270000}"/>
    <cellStyle name="Percent 3 2 2 2 15 2 2" xfId="8458" xr:uid="{00000000-0005-0000-0000-00008B270000}"/>
    <cellStyle name="Percent 3 2 2 2 15 3" xfId="8459" xr:uid="{00000000-0005-0000-0000-00008C270000}"/>
    <cellStyle name="Percent 3 2 2 2 16" xfId="8460" xr:uid="{00000000-0005-0000-0000-00008D270000}"/>
    <cellStyle name="Percent 3 2 2 2 16 2" xfId="8461" xr:uid="{00000000-0005-0000-0000-00008E270000}"/>
    <cellStyle name="Percent 3 2 2 2 16 2 2" xfId="8462" xr:uid="{00000000-0005-0000-0000-00008F270000}"/>
    <cellStyle name="Percent 3 2 2 2 16 3" xfId="8463" xr:uid="{00000000-0005-0000-0000-000090270000}"/>
    <cellStyle name="Percent 3 2 2 2 16 4" xfId="8464" xr:uid="{00000000-0005-0000-0000-000091270000}"/>
    <cellStyle name="Percent 3 2 2 2 16 4 2" xfId="10933" xr:uid="{00000000-0005-0000-0000-000092270000}"/>
    <cellStyle name="Percent 3 2 2 2 17" xfId="8465" xr:uid="{00000000-0005-0000-0000-000093270000}"/>
    <cellStyle name="Percent 3 2 2 2 17 2" xfId="8466" xr:uid="{00000000-0005-0000-0000-000094270000}"/>
    <cellStyle name="Percent 3 2 2 2 17 2 2" xfId="8467" xr:uid="{00000000-0005-0000-0000-000095270000}"/>
    <cellStyle name="Percent 3 2 2 2 17 3" xfId="8468" xr:uid="{00000000-0005-0000-0000-000096270000}"/>
    <cellStyle name="Percent 3 2 2 2 18" xfId="8469" xr:uid="{00000000-0005-0000-0000-000097270000}"/>
    <cellStyle name="Percent 3 2 2 2 19" xfId="10932" xr:uid="{00000000-0005-0000-0000-000098270000}"/>
    <cellStyle name="Percent 3 2 2 2 2" xfId="8470" xr:uid="{00000000-0005-0000-0000-000099270000}"/>
    <cellStyle name="Percent 3 2 2 2 2 2" xfId="8471" xr:uid="{00000000-0005-0000-0000-00009A270000}"/>
    <cellStyle name="Percent 3 2 2 2 2 2 2" xfId="8472" xr:uid="{00000000-0005-0000-0000-00009B270000}"/>
    <cellStyle name="Percent 3 2 2 2 2 2 2 2" xfId="8473" xr:uid="{00000000-0005-0000-0000-00009C270000}"/>
    <cellStyle name="Percent 3 2 2 2 2 2 2 2 2" xfId="8474" xr:uid="{00000000-0005-0000-0000-00009D270000}"/>
    <cellStyle name="Percent 3 2 2 2 2 2 2 3" xfId="8475" xr:uid="{00000000-0005-0000-0000-00009E270000}"/>
    <cellStyle name="Percent 3 2 2 2 2 2 3" xfId="8476" xr:uid="{00000000-0005-0000-0000-00009F270000}"/>
    <cellStyle name="Percent 3 2 2 2 2 2 3 2" xfId="8477" xr:uid="{00000000-0005-0000-0000-0000A0270000}"/>
    <cellStyle name="Percent 3 2 2 2 2 2 3 2 2" xfId="8478" xr:uid="{00000000-0005-0000-0000-0000A1270000}"/>
    <cellStyle name="Percent 3 2 2 2 2 2 3 3" xfId="8479" xr:uid="{00000000-0005-0000-0000-0000A2270000}"/>
    <cellStyle name="Percent 3 2 2 2 2 2 4" xfId="8480" xr:uid="{00000000-0005-0000-0000-0000A3270000}"/>
    <cellStyle name="Percent 3 2 2 2 2 2 4 2" xfId="8481" xr:uid="{00000000-0005-0000-0000-0000A4270000}"/>
    <cellStyle name="Percent 3 2 2 2 2 2 4 2 2" xfId="8482" xr:uid="{00000000-0005-0000-0000-0000A5270000}"/>
    <cellStyle name="Percent 3 2 2 2 2 2 4 3" xfId="8483" xr:uid="{00000000-0005-0000-0000-0000A6270000}"/>
    <cellStyle name="Percent 3 2 2 2 2 2 5" xfId="8484" xr:uid="{00000000-0005-0000-0000-0000A7270000}"/>
    <cellStyle name="Percent 3 2 2 2 2 2 5 2" xfId="8485" xr:uid="{00000000-0005-0000-0000-0000A8270000}"/>
    <cellStyle name="Percent 3 2 2 2 2 2 5 2 2" xfId="8486" xr:uid="{00000000-0005-0000-0000-0000A9270000}"/>
    <cellStyle name="Percent 3 2 2 2 2 2 5 3" xfId="8487" xr:uid="{00000000-0005-0000-0000-0000AA270000}"/>
    <cellStyle name="Percent 3 2 2 2 2 2 6" xfId="8488" xr:uid="{00000000-0005-0000-0000-0000AB270000}"/>
    <cellStyle name="Percent 3 2 2 2 2 2 6 2" xfId="8489" xr:uid="{00000000-0005-0000-0000-0000AC270000}"/>
    <cellStyle name="Percent 3 2 2 2 2 2 6 3" xfId="10935" xr:uid="{00000000-0005-0000-0000-0000AD270000}"/>
    <cellStyle name="Percent 3 2 2 2 2 2 7" xfId="8490" xr:uid="{00000000-0005-0000-0000-0000AE270000}"/>
    <cellStyle name="Percent 3 2 2 2 2 2 8" xfId="10934" xr:uid="{00000000-0005-0000-0000-0000AF270000}"/>
    <cellStyle name="Percent 3 2 2 2 2 3" xfId="8491" xr:uid="{00000000-0005-0000-0000-0000B0270000}"/>
    <cellStyle name="Percent 3 2 2 2 2 3 2" xfId="8492" xr:uid="{00000000-0005-0000-0000-0000B1270000}"/>
    <cellStyle name="Percent 3 2 2 2 2 3 2 2" xfId="8493" xr:uid="{00000000-0005-0000-0000-0000B2270000}"/>
    <cellStyle name="Percent 3 2 2 2 2 3 2 3" xfId="10937" xr:uid="{00000000-0005-0000-0000-0000B3270000}"/>
    <cellStyle name="Percent 3 2 2 2 2 3 3" xfId="8494" xr:uid="{00000000-0005-0000-0000-0000B4270000}"/>
    <cellStyle name="Percent 3 2 2 2 2 3 4" xfId="10936" xr:uid="{00000000-0005-0000-0000-0000B5270000}"/>
    <cellStyle name="Percent 3 2 2 2 2 4" xfId="8495" xr:uid="{00000000-0005-0000-0000-0000B6270000}"/>
    <cellStyle name="Percent 3 2 2 2 2 4 2" xfId="8496" xr:uid="{00000000-0005-0000-0000-0000B7270000}"/>
    <cellStyle name="Percent 3 2 2 2 2 4 2 2" xfId="8497" xr:uid="{00000000-0005-0000-0000-0000B8270000}"/>
    <cellStyle name="Percent 3 2 2 2 2 4 2 3" xfId="10939" xr:uid="{00000000-0005-0000-0000-0000B9270000}"/>
    <cellStyle name="Percent 3 2 2 2 2 4 3" xfId="8498" xr:uid="{00000000-0005-0000-0000-0000BA270000}"/>
    <cellStyle name="Percent 3 2 2 2 2 4 4" xfId="10938" xr:uid="{00000000-0005-0000-0000-0000BB270000}"/>
    <cellStyle name="Percent 3 2 2 2 2 5" xfId="8499" xr:uid="{00000000-0005-0000-0000-0000BC270000}"/>
    <cellStyle name="Percent 3 2 2 2 2 5 2" xfId="8500" xr:uid="{00000000-0005-0000-0000-0000BD270000}"/>
    <cellStyle name="Percent 3 2 2 2 2 5 2 2" xfId="8501" xr:uid="{00000000-0005-0000-0000-0000BE270000}"/>
    <cellStyle name="Percent 3 2 2 2 2 5 2 3" xfId="10941" xr:uid="{00000000-0005-0000-0000-0000BF270000}"/>
    <cellStyle name="Percent 3 2 2 2 2 5 3" xfId="8502" xr:uid="{00000000-0005-0000-0000-0000C0270000}"/>
    <cellStyle name="Percent 3 2 2 2 2 5 4" xfId="10940" xr:uid="{00000000-0005-0000-0000-0000C1270000}"/>
    <cellStyle name="Percent 3 2 2 2 2 6" xfId="8503" xr:uid="{00000000-0005-0000-0000-0000C2270000}"/>
    <cellStyle name="Percent 3 2 2 2 2 6 2" xfId="8504" xr:uid="{00000000-0005-0000-0000-0000C3270000}"/>
    <cellStyle name="Percent 3 2 2 2 2 7" xfId="8505" xr:uid="{00000000-0005-0000-0000-0000C4270000}"/>
    <cellStyle name="Percent 3 2 2 2 3" xfId="8506" xr:uid="{00000000-0005-0000-0000-0000C5270000}"/>
    <cellStyle name="Percent 3 2 2 2 3 2" xfId="8507" xr:uid="{00000000-0005-0000-0000-0000C6270000}"/>
    <cellStyle name="Percent 3 2 2 2 3 2 2" xfId="8508" xr:uid="{00000000-0005-0000-0000-0000C7270000}"/>
    <cellStyle name="Percent 3 2 2 2 3 3" xfId="8509" xr:uid="{00000000-0005-0000-0000-0000C8270000}"/>
    <cellStyle name="Percent 3 2 2 2 4" xfId="8510" xr:uid="{00000000-0005-0000-0000-0000C9270000}"/>
    <cellStyle name="Percent 3 2 2 2 4 2" xfId="8511" xr:uid="{00000000-0005-0000-0000-0000CA270000}"/>
    <cellStyle name="Percent 3 2 2 2 4 2 2" xfId="8512" xr:uid="{00000000-0005-0000-0000-0000CB270000}"/>
    <cellStyle name="Percent 3 2 2 2 4 3" xfId="8513" xr:uid="{00000000-0005-0000-0000-0000CC270000}"/>
    <cellStyle name="Percent 3 2 2 2 5" xfId="8514" xr:uid="{00000000-0005-0000-0000-0000CD270000}"/>
    <cellStyle name="Percent 3 2 2 2 5 2" xfId="8515" xr:uid="{00000000-0005-0000-0000-0000CE270000}"/>
    <cellStyle name="Percent 3 2 2 2 5 2 2" xfId="8516" xr:uid="{00000000-0005-0000-0000-0000CF270000}"/>
    <cellStyle name="Percent 3 2 2 2 5 3" xfId="8517" xr:uid="{00000000-0005-0000-0000-0000D0270000}"/>
    <cellStyle name="Percent 3 2 2 2 6" xfId="8518" xr:uid="{00000000-0005-0000-0000-0000D1270000}"/>
    <cellStyle name="Percent 3 2 2 2 6 2" xfId="8519" xr:uid="{00000000-0005-0000-0000-0000D2270000}"/>
    <cellStyle name="Percent 3 2 2 2 6 2 2" xfId="8520" xr:uid="{00000000-0005-0000-0000-0000D3270000}"/>
    <cellStyle name="Percent 3 2 2 2 6 3" xfId="8521" xr:uid="{00000000-0005-0000-0000-0000D4270000}"/>
    <cellStyle name="Percent 3 2 2 2 7" xfId="8522" xr:uid="{00000000-0005-0000-0000-0000D5270000}"/>
    <cellStyle name="Percent 3 2 2 2 7 2" xfId="8523" xr:uid="{00000000-0005-0000-0000-0000D6270000}"/>
    <cellStyle name="Percent 3 2 2 2 7 2 2" xfId="8524" xr:uid="{00000000-0005-0000-0000-0000D7270000}"/>
    <cellStyle name="Percent 3 2 2 2 7 3" xfId="8525" xr:uid="{00000000-0005-0000-0000-0000D8270000}"/>
    <cellStyle name="Percent 3 2 2 2 8" xfId="8526" xr:uid="{00000000-0005-0000-0000-0000D9270000}"/>
    <cellStyle name="Percent 3 2 2 2 8 2" xfId="8527" xr:uid="{00000000-0005-0000-0000-0000DA270000}"/>
    <cellStyle name="Percent 3 2 2 2 8 2 2" xfId="8528" xr:uid="{00000000-0005-0000-0000-0000DB270000}"/>
    <cellStyle name="Percent 3 2 2 2 8 3" xfId="8529" xr:uid="{00000000-0005-0000-0000-0000DC270000}"/>
    <cellStyle name="Percent 3 2 2 2 9" xfId="8530" xr:uid="{00000000-0005-0000-0000-0000DD270000}"/>
    <cellStyle name="Percent 3 2 2 2 9 2" xfId="8531" xr:uid="{00000000-0005-0000-0000-0000DE270000}"/>
    <cellStyle name="Percent 3 2 2 2 9 2 2" xfId="8532" xr:uid="{00000000-0005-0000-0000-0000DF270000}"/>
    <cellStyle name="Percent 3 2 2 2 9 3" xfId="8533" xr:uid="{00000000-0005-0000-0000-0000E0270000}"/>
    <cellStyle name="Percent 3 2 2 3" xfId="8534" xr:uid="{00000000-0005-0000-0000-0000E1270000}"/>
    <cellStyle name="Percent 3 2 2 3 2" xfId="8535" xr:uid="{00000000-0005-0000-0000-0000E2270000}"/>
    <cellStyle name="Percent 3 2 2 3 2 2" xfId="8536" xr:uid="{00000000-0005-0000-0000-0000E3270000}"/>
    <cellStyle name="Percent 3 2 2 3 2 3" xfId="10943" xr:uid="{00000000-0005-0000-0000-0000E4270000}"/>
    <cellStyle name="Percent 3 2 2 3 3" xfId="8537" xr:uid="{00000000-0005-0000-0000-0000E5270000}"/>
    <cellStyle name="Percent 3 2 2 3 4" xfId="10942" xr:uid="{00000000-0005-0000-0000-0000E6270000}"/>
    <cellStyle name="Percent 3 2 2 4" xfId="8538" xr:uid="{00000000-0005-0000-0000-0000E7270000}"/>
    <cellStyle name="Percent 3 2 2 4 2" xfId="8539" xr:uid="{00000000-0005-0000-0000-0000E8270000}"/>
    <cellStyle name="Percent 3 2 2 4 2 2" xfId="8540" xr:uid="{00000000-0005-0000-0000-0000E9270000}"/>
    <cellStyle name="Percent 3 2 2 4 2 3" xfId="10945" xr:uid="{00000000-0005-0000-0000-0000EA270000}"/>
    <cellStyle name="Percent 3 2 2 4 3" xfId="8541" xr:uid="{00000000-0005-0000-0000-0000EB270000}"/>
    <cellStyle name="Percent 3 2 2 4 4" xfId="10944" xr:uid="{00000000-0005-0000-0000-0000EC270000}"/>
    <cellStyle name="Percent 3 2 2 5" xfId="8542" xr:uid="{00000000-0005-0000-0000-0000ED270000}"/>
    <cellStyle name="Percent 3 2 2 5 2" xfId="8543" xr:uid="{00000000-0005-0000-0000-0000EE270000}"/>
    <cellStyle name="Percent 3 2 2 5 2 2" xfId="8544" xr:uid="{00000000-0005-0000-0000-0000EF270000}"/>
    <cellStyle name="Percent 3 2 2 5 2 3" xfId="10947" xr:uid="{00000000-0005-0000-0000-0000F0270000}"/>
    <cellStyle name="Percent 3 2 2 5 3" xfId="8545" xr:uid="{00000000-0005-0000-0000-0000F1270000}"/>
    <cellStyle name="Percent 3 2 2 5 4" xfId="10946" xr:uid="{00000000-0005-0000-0000-0000F2270000}"/>
    <cellStyle name="Percent 3 2 2 6" xfId="8546" xr:uid="{00000000-0005-0000-0000-0000F3270000}"/>
    <cellStyle name="Percent 3 2 2 6 2" xfId="8547" xr:uid="{00000000-0005-0000-0000-0000F4270000}"/>
    <cellStyle name="Percent 3 2 2 6 2 2" xfId="8548" xr:uid="{00000000-0005-0000-0000-0000F5270000}"/>
    <cellStyle name="Percent 3 2 2 6 2 3" xfId="10949" xr:uid="{00000000-0005-0000-0000-0000F6270000}"/>
    <cellStyle name="Percent 3 2 2 6 3" xfId="8549" xr:uid="{00000000-0005-0000-0000-0000F7270000}"/>
    <cellStyle name="Percent 3 2 2 6 4" xfId="10948" xr:uid="{00000000-0005-0000-0000-0000F8270000}"/>
    <cellStyle name="Percent 3 2 2 7" xfId="8550" xr:uid="{00000000-0005-0000-0000-0000F9270000}"/>
    <cellStyle name="Percent 3 2 2 7 2" xfId="8551" xr:uid="{00000000-0005-0000-0000-0000FA270000}"/>
    <cellStyle name="Percent 3 2 2 7 2 2" xfId="8552" xr:uid="{00000000-0005-0000-0000-0000FB270000}"/>
    <cellStyle name="Percent 3 2 2 7 2 3" xfId="10951" xr:uid="{00000000-0005-0000-0000-0000FC270000}"/>
    <cellStyle name="Percent 3 2 2 7 3" xfId="8553" xr:uid="{00000000-0005-0000-0000-0000FD270000}"/>
    <cellStyle name="Percent 3 2 2 7 4" xfId="10950" xr:uid="{00000000-0005-0000-0000-0000FE270000}"/>
    <cellStyle name="Percent 3 2 2 8" xfId="8554" xr:uid="{00000000-0005-0000-0000-0000FF270000}"/>
    <cellStyle name="Percent 3 2 2 8 2" xfId="8555" xr:uid="{00000000-0005-0000-0000-000000280000}"/>
    <cellStyle name="Percent 3 2 2 8 2 2" xfId="8556" xr:uid="{00000000-0005-0000-0000-000001280000}"/>
    <cellStyle name="Percent 3 2 2 8 2 3" xfId="10953" xr:uid="{00000000-0005-0000-0000-000002280000}"/>
    <cellStyle name="Percent 3 2 2 8 3" xfId="8557" xr:uid="{00000000-0005-0000-0000-000003280000}"/>
    <cellStyle name="Percent 3 2 2 8 4" xfId="10952" xr:uid="{00000000-0005-0000-0000-000004280000}"/>
    <cellStyle name="Percent 3 2 2 9" xfId="8558" xr:uid="{00000000-0005-0000-0000-000005280000}"/>
    <cellStyle name="Percent 3 2 2 9 2" xfId="8559" xr:uid="{00000000-0005-0000-0000-000006280000}"/>
    <cellStyle name="Percent 3 2 2 9 2 2" xfId="8560" xr:uid="{00000000-0005-0000-0000-000007280000}"/>
    <cellStyle name="Percent 3 2 2 9 2 3" xfId="10955" xr:uid="{00000000-0005-0000-0000-000008280000}"/>
    <cellStyle name="Percent 3 2 2 9 3" xfId="8561" xr:uid="{00000000-0005-0000-0000-000009280000}"/>
    <cellStyle name="Percent 3 2 2 9 4" xfId="10954" xr:uid="{00000000-0005-0000-0000-00000A280000}"/>
    <cellStyle name="Percent 3 2 20" xfId="8562" xr:uid="{00000000-0005-0000-0000-00000B280000}"/>
    <cellStyle name="Percent 3 2 20 2" xfId="8563" xr:uid="{00000000-0005-0000-0000-00000C280000}"/>
    <cellStyle name="Percent 3 2 20 3" xfId="10956" xr:uid="{00000000-0005-0000-0000-00000D280000}"/>
    <cellStyle name="Percent 3 2 21" xfId="11145" xr:uid="{00000000-0005-0000-0000-00000E280000}"/>
    <cellStyle name="Percent 3 2 22" xfId="10917" xr:uid="{00000000-0005-0000-0000-00000F280000}"/>
    <cellStyle name="Percent 3 2 3" xfId="8564" xr:uid="{00000000-0005-0000-0000-000010280000}"/>
    <cellStyle name="Percent 3 2 3 2" xfId="8565" xr:uid="{00000000-0005-0000-0000-000011280000}"/>
    <cellStyle name="Percent 3 2 4" xfId="8566" xr:uid="{00000000-0005-0000-0000-000012280000}"/>
    <cellStyle name="Percent 3 2 4 2" xfId="8567" xr:uid="{00000000-0005-0000-0000-000013280000}"/>
    <cellStyle name="Percent 3 2 5" xfId="8568" xr:uid="{00000000-0005-0000-0000-000014280000}"/>
    <cellStyle name="Percent 3 2 5 2" xfId="8569" xr:uid="{00000000-0005-0000-0000-000015280000}"/>
    <cellStyle name="Percent 3 2 6" xfId="8570" xr:uid="{00000000-0005-0000-0000-000016280000}"/>
    <cellStyle name="Percent 3 2 6 2" xfId="8571" xr:uid="{00000000-0005-0000-0000-000017280000}"/>
    <cellStyle name="Percent 3 2 7" xfId="8572" xr:uid="{00000000-0005-0000-0000-000018280000}"/>
    <cellStyle name="Percent 3 2 7 2" xfId="8573" xr:uid="{00000000-0005-0000-0000-000019280000}"/>
    <cellStyle name="Percent 3 2 8" xfId="8574" xr:uid="{00000000-0005-0000-0000-00001A280000}"/>
    <cellStyle name="Percent 3 2 8 2" xfId="8575" xr:uid="{00000000-0005-0000-0000-00001B280000}"/>
    <cellStyle name="Percent 3 2 9" xfId="8576" xr:uid="{00000000-0005-0000-0000-00001C280000}"/>
    <cellStyle name="Percent 3 2 9 2" xfId="8577" xr:uid="{00000000-0005-0000-0000-00001D280000}"/>
    <cellStyle name="Percent 3 20" xfId="8578" xr:uid="{00000000-0005-0000-0000-00001E280000}"/>
    <cellStyle name="Percent 3 20 2" xfId="8579" xr:uid="{00000000-0005-0000-0000-00001F280000}"/>
    <cellStyle name="Percent 3 20 3" xfId="8580" xr:uid="{00000000-0005-0000-0000-000020280000}"/>
    <cellStyle name="Percent 3 20 4" xfId="8581" xr:uid="{00000000-0005-0000-0000-000021280000}"/>
    <cellStyle name="Percent 3 21" xfId="8582" xr:uid="{00000000-0005-0000-0000-000022280000}"/>
    <cellStyle name="Percent 3 21 2" xfId="8583" xr:uid="{00000000-0005-0000-0000-000023280000}"/>
    <cellStyle name="Percent 3 21 3" xfId="8584" xr:uid="{00000000-0005-0000-0000-000024280000}"/>
    <cellStyle name="Percent 3 21 4" xfId="8585" xr:uid="{00000000-0005-0000-0000-000025280000}"/>
    <cellStyle name="Percent 3 22" xfId="8586" xr:uid="{00000000-0005-0000-0000-000026280000}"/>
    <cellStyle name="Percent 3 22 2" xfId="8587" xr:uid="{00000000-0005-0000-0000-000027280000}"/>
    <cellStyle name="Percent 3 23" xfId="8588" xr:uid="{00000000-0005-0000-0000-000028280000}"/>
    <cellStyle name="Percent 3 23 2" xfId="8589" xr:uid="{00000000-0005-0000-0000-000029280000}"/>
    <cellStyle name="Percent 3 24" xfId="8590" xr:uid="{00000000-0005-0000-0000-00002A280000}"/>
    <cellStyle name="Percent 3 24 2" xfId="8591" xr:uid="{00000000-0005-0000-0000-00002B280000}"/>
    <cellStyle name="Percent 3 25" xfId="8592" xr:uid="{00000000-0005-0000-0000-00002C280000}"/>
    <cellStyle name="Percent 3 25 2" xfId="8593" xr:uid="{00000000-0005-0000-0000-00002D280000}"/>
    <cellStyle name="Percent 3 26" xfId="8594" xr:uid="{00000000-0005-0000-0000-00002E280000}"/>
    <cellStyle name="Percent 3 26 2" xfId="8595" xr:uid="{00000000-0005-0000-0000-00002F280000}"/>
    <cellStyle name="Percent 3 27" xfId="8596" xr:uid="{00000000-0005-0000-0000-000030280000}"/>
    <cellStyle name="Percent 3 27 2" xfId="8597" xr:uid="{00000000-0005-0000-0000-000031280000}"/>
    <cellStyle name="Percent 3 28" xfId="8598" xr:uid="{00000000-0005-0000-0000-000032280000}"/>
    <cellStyle name="Percent 3 28 2" xfId="8599" xr:uid="{00000000-0005-0000-0000-000033280000}"/>
    <cellStyle name="Percent 3 29" xfId="8600" xr:uid="{00000000-0005-0000-0000-000034280000}"/>
    <cellStyle name="Percent 3 29 2" xfId="8601" xr:uid="{00000000-0005-0000-0000-000035280000}"/>
    <cellStyle name="Percent 3 3" xfId="8602" xr:uid="{00000000-0005-0000-0000-000036280000}"/>
    <cellStyle name="Percent 3 3 2" xfId="8603" xr:uid="{00000000-0005-0000-0000-000037280000}"/>
    <cellStyle name="Percent 3 3 2 2" xfId="8604" xr:uid="{00000000-0005-0000-0000-000038280000}"/>
    <cellStyle name="Percent 3 3 2 2 2" xfId="8605" xr:uid="{00000000-0005-0000-0000-000039280000}"/>
    <cellStyle name="Percent 3 3 2 3" xfId="8606" xr:uid="{00000000-0005-0000-0000-00003A280000}"/>
    <cellStyle name="Percent 3 3 2 4" xfId="8607" xr:uid="{00000000-0005-0000-0000-00003B280000}"/>
    <cellStyle name="Percent 3 3 2 5" xfId="8608" xr:uid="{00000000-0005-0000-0000-00003C280000}"/>
    <cellStyle name="Percent 3 3 3" xfId="8609" xr:uid="{00000000-0005-0000-0000-00003D280000}"/>
    <cellStyle name="Percent 3 3 4" xfId="8610" xr:uid="{00000000-0005-0000-0000-00003E280000}"/>
    <cellStyle name="Percent 3 3 5" xfId="8611" xr:uid="{00000000-0005-0000-0000-00003F280000}"/>
    <cellStyle name="Percent 3 3 6" xfId="8612" xr:uid="{00000000-0005-0000-0000-000040280000}"/>
    <cellStyle name="Percent 3 3 6 2" xfId="8613" xr:uid="{00000000-0005-0000-0000-000041280000}"/>
    <cellStyle name="Percent 3 3 6 3" xfId="8614" xr:uid="{00000000-0005-0000-0000-000042280000}"/>
    <cellStyle name="Percent 3 3 7" xfId="8615" xr:uid="{00000000-0005-0000-0000-000043280000}"/>
    <cellStyle name="Percent 3 30" xfId="8616" xr:uid="{00000000-0005-0000-0000-000044280000}"/>
    <cellStyle name="Percent 3 30 2" xfId="8617" xr:uid="{00000000-0005-0000-0000-000045280000}"/>
    <cellStyle name="Percent 3 31" xfId="8618" xr:uid="{00000000-0005-0000-0000-000046280000}"/>
    <cellStyle name="Percent 3 31 2" xfId="8619" xr:uid="{00000000-0005-0000-0000-000047280000}"/>
    <cellStyle name="Percent 3 32" xfId="8620" xr:uid="{00000000-0005-0000-0000-000048280000}"/>
    <cellStyle name="Percent 3 32 2" xfId="8621" xr:uid="{00000000-0005-0000-0000-000049280000}"/>
    <cellStyle name="Percent 3 33" xfId="8622" xr:uid="{00000000-0005-0000-0000-00004A280000}"/>
    <cellStyle name="Percent 3 33 2" xfId="8623" xr:uid="{00000000-0005-0000-0000-00004B280000}"/>
    <cellStyle name="Percent 3 34" xfId="8624" xr:uid="{00000000-0005-0000-0000-00004C280000}"/>
    <cellStyle name="Percent 3 34 2" xfId="8625" xr:uid="{00000000-0005-0000-0000-00004D280000}"/>
    <cellStyle name="Percent 3 35" xfId="8626" xr:uid="{00000000-0005-0000-0000-00004E280000}"/>
    <cellStyle name="Percent 3 35 2" xfId="8627" xr:uid="{00000000-0005-0000-0000-00004F280000}"/>
    <cellStyle name="Percent 3 36" xfId="8628" xr:uid="{00000000-0005-0000-0000-000050280000}"/>
    <cellStyle name="Percent 3 36 2" xfId="8629" xr:uid="{00000000-0005-0000-0000-000051280000}"/>
    <cellStyle name="Percent 3 37" xfId="8630" xr:uid="{00000000-0005-0000-0000-000052280000}"/>
    <cellStyle name="Percent 3 37 2" xfId="8631" xr:uid="{00000000-0005-0000-0000-000053280000}"/>
    <cellStyle name="Percent 3 38" xfId="8632" xr:uid="{00000000-0005-0000-0000-000054280000}"/>
    <cellStyle name="Percent 3 38 2" xfId="8633" xr:uid="{00000000-0005-0000-0000-000055280000}"/>
    <cellStyle name="Percent 3 39" xfId="8634" xr:uid="{00000000-0005-0000-0000-000056280000}"/>
    <cellStyle name="Percent 3 39 2" xfId="8635" xr:uid="{00000000-0005-0000-0000-000057280000}"/>
    <cellStyle name="Percent 3 4" xfId="8636" xr:uid="{00000000-0005-0000-0000-000058280000}"/>
    <cellStyle name="Percent 3 4 2" xfId="8637" xr:uid="{00000000-0005-0000-0000-000059280000}"/>
    <cellStyle name="Percent 3 4 3" xfId="8638" xr:uid="{00000000-0005-0000-0000-00005A280000}"/>
    <cellStyle name="Percent 3 4 3 2" xfId="8639" xr:uid="{00000000-0005-0000-0000-00005B280000}"/>
    <cellStyle name="Percent 3 4 4" xfId="8640" xr:uid="{00000000-0005-0000-0000-00005C280000}"/>
    <cellStyle name="Percent 3 4 4 2" xfId="8641" xr:uid="{00000000-0005-0000-0000-00005D280000}"/>
    <cellStyle name="Percent 3 4 4 3" xfId="8642" xr:uid="{00000000-0005-0000-0000-00005E280000}"/>
    <cellStyle name="Percent 3 40" xfId="8643" xr:uid="{00000000-0005-0000-0000-00005F280000}"/>
    <cellStyle name="Percent 3 40 2" xfId="8644" xr:uid="{00000000-0005-0000-0000-000060280000}"/>
    <cellStyle name="Percent 3 41" xfId="8645" xr:uid="{00000000-0005-0000-0000-000061280000}"/>
    <cellStyle name="Percent 3 41 2" xfId="8646" xr:uid="{00000000-0005-0000-0000-000062280000}"/>
    <cellStyle name="Percent 3 42" xfId="8647" xr:uid="{00000000-0005-0000-0000-000063280000}"/>
    <cellStyle name="Percent 3 42 2" xfId="8648" xr:uid="{00000000-0005-0000-0000-000064280000}"/>
    <cellStyle name="Percent 3 43" xfId="8649" xr:uid="{00000000-0005-0000-0000-000065280000}"/>
    <cellStyle name="Percent 3 43 2" xfId="8650" xr:uid="{00000000-0005-0000-0000-000066280000}"/>
    <cellStyle name="Percent 3 44" xfId="8651" xr:uid="{00000000-0005-0000-0000-000067280000}"/>
    <cellStyle name="Percent 3 44 2" xfId="8652" xr:uid="{00000000-0005-0000-0000-000068280000}"/>
    <cellStyle name="Percent 3 45" xfId="8653" xr:uid="{00000000-0005-0000-0000-000069280000}"/>
    <cellStyle name="Percent 3 45 2" xfId="8654" xr:uid="{00000000-0005-0000-0000-00006A280000}"/>
    <cellStyle name="Percent 3 46" xfId="8655" xr:uid="{00000000-0005-0000-0000-00006B280000}"/>
    <cellStyle name="Percent 3 46 2" xfId="8656" xr:uid="{00000000-0005-0000-0000-00006C280000}"/>
    <cellStyle name="Percent 3 47" xfId="8657" xr:uid="{00000000-0005-0000-0000-00006D280000}"/>
    <cellStyle name="Percent 3 47 2" xfId="8658" xr:uid="{00000000-0005-0000-0000-00006E280000}"/>
    <cellStyle name="Percent 3 48" xfId="8659" xr:uid="{00000000-0005-0000-0000-00006F280000}"/>
    <cellStyle name="Percent 3 48 2" xfId="8660" xr:uid="{00000000-0005-0000-0000-000070280000}"/>
    <cellStyle name="Percent 3 49" xfId="8661" xr:uid="{00000000-0005-0000-0000-000071280000}"/>
    <cellStyle name="Percent 3 49 2" xfId="8662" xr:uid="{00000000-0005-0000-0000-000072280000}"/>
    <cellStyle name="Percent 3 5" xfId="8663" xr:uid="{00000000-0005-0000-0000-000073280000}"/>
    <cellStyle name="Percent 3 5 2" xfId="8664" xr:uid="{00000000-0005-0000-0000-000074280000}"/>
    <cellStyle name="Percent 3 5 2 2" xfId="8665" xr:uid="{00000000-0005-0000-0000-000075280000}"/>
    <cellStyle name="Percent 3 5 2 3" xfId="8666" xr:uid="{00000000-0005-0000-0000-000076280000}"/>
    <cellStyle name="Percent 3 5 3" xfId="8667" xr:uid="{00000000-0005-0000-0000-000077280000}"/>
    <cellStyle name="Percent 3 50" xfId="8668" xr:uid="{00000000-0005-0000-0000-000078280000}"/>
    <cellStyle name="Percent 3 50 2" xfId="8669" xr:uid="{00000000-0005-0000-0000-000079280000}"/>
    <cellStyle name="Percent 3 51" xfId="8670" xr:uid="{00000000-0005-0000-0000-00007A280000}"/>
    <cellStyle name="Percent 3 51 2" xfId="8671" xr:uid="{00000000-0005-0000-0000-00007B280000}"/>
    <cellStyle name="Percent 3 52" xfId="8672" xr:uid="{00000000-0005-0000-0000-00007C280000}"/>
    <cellStyle name="Percent 3 52 2" xfId="8673" xr:uid="{00000000-0005-0000-0000-00007D280000}"/>
    <cellStyle name="Percent 3 53" xfId="8674" xr:uid="{00000000-0005-0000-0000-00007E280000}"/>
    <cellStyle name="Percent 3 53 2" xfId="8675" xr:uid="{00000000-0005-0000-0000-00007F280000}"/>
    <cellStyle name="Percent 3 54" xfId="8676" xr:uid="{00000000-0005-0000-0000-000080280000}"/>
    <cellStyle name="Percent 3 54 2" xfId="8677" xr:uid="{00000000-0005-0000-0000-000081280000}"/>
    <cellStyle name="Percent 3 55" xfId="8678" xr:uid="{00000000-0005-0000-0000-000082280000}"/>
    <cellStyle name="Percent 3 55 2" xfId="8679" xr:uid="{00000000-0005-0000-0000-000083280000}"/>
    <cellStyle name="Percent 3 56" xfId="8680" xr:uid="{00000000-0005-0000-0000-000084280000}"/>
    <cellStyle name="Percent 3 56 2" xfId="8681" xr:uid="{00000000-0005-0000-0000-000085280000}"/>
    <cellStyle name="Percent 3 57" xfId="8682" xr:uid="{00000000-0005-0000-0000-000086280000}"/>
    <cellStyle name="Percent 3 57 2" xfId="8683" xr:uid="{00000000-0005-0000-0000-000087280000}"/>
    <cellStyle name="Percent 3 58" xfId="8684" xr:uid="{00000000-0005-0000-0000-000088280000}"/>
    <cellStyle name="Percent 3 58 2" xfId="8685" xr:uid="{00000000-0005-0000-0000-000089280000}"/>
    <cellStyle name="Percent 3 59" xfId="8686" xr:uid="{00000000-0005-0000-0000-00008A280000}"/>
    <cellStyle name="Percent 3 59 2" xfId="8687" xr:uid="{00000000-0005-0000-0000-00008B280000}"/>
    <cellStyle name="Percent 3 6" xfId="8688" xr:uid="{00000000-0005-0000-0000-00008C280000}"/>
    <cellStyle name="Percent 3 6 2" xfId="8689" xr:uid="{00000000-0005-0000-0000-00008D280000}"/>
    <cellStyle name="Percent 3 6 2 2" xfId="8690" xr:uid="{00000000-0005-0000-0000-00008E280000}"/>
    <cellStyle name="Percent 3 6 2 3" xfId="8691" xr:uid="{00000000-0005-0000-0000-00008F280000}"/>
    <cellStyle name="Percent 3 6 3" xfId="8692" xr:uid="{00000000-0005-0000-0000-000090280000}"/>
    <cellStyle name="Percent 3 60" xfId="8693" xr:uid="{00000000-0005-0000-0000-000091280000}"/>
    <cellStyle name="Percent 3 60 2" xfId="8694" xr:uid="{00000000-0005-0000-0000-000092280000}"/>
    <cellStyle name="Percent 3 61" xfId="8695" xr:uid="{00000000-0005-0000-0000-000093280000}"/>
    <cellStyle name="Percent 3 61 2" xfId="8696" xr:uid="{00000000-0005-0000-0000-000094280000}"/>
    <cellStyle name="Percent 3 62" xfId="8697" xr:uid="{00000000-0005-0000-0000-000095280000}"/>
    <cellStyle name="Percent 3 63" xfId="8698" xr:uid="{00000000-0005-0000-0000-000096280000}"/>
    <cellStyle name="Percent 3 64" xfId="8699" xr:uid="{00000000-0005-0000-0000-000097280000}"/>
    <cellStyle name="Percent 3 65" xfId="8700" xr:uid="{00000000-0005-0000-0000-000098280000}"/>
    <cellStyle name="Percent 3 66" xfId="8701" xr:uid="{00000000-0005-0000-0000-000099280000}"/>
    <cellStyle name="Percent 3 67" xfId="8702" xr:uid="{00000000-0005-0000-0000-00009A280000}"/>
    <cellStyle name="Percent 3 68" xfId="8703" xr:uid="{00000000-0005-0000-0000-00009B280000}"/>
    <cellStyle name="Percent 3 69" xfId="8704" xr:uid="{00000000-0005-0000-0000-00009C280000}"/>
    <cellStyle name="Percent 3 7" xfId="8705" xr:uid="{00000000-0005-0000-0000-00009D280000}"/>
    <cellStyle name="Percent 3 7 2" xfId="8706" xr:uid="{00000000-0005-0000-0000-00009E280000}"/>
    <cellStyle name="Percent 3 7 2 2" xfId="8707" xr:uid="{00000000-0005-0000-0000-00009F280000}"/>
    <cellStyle name="Percent 3 7 2 3" xfId="8708" xr:uid="{00000000-0005-0000-0000-0000A0280000}"/>
    <cellStyle name="Percent 3 7 3" xfId="8709" xr:uid="{00000000-0005-0000-0000-0000A1280000}"/>
    <cellStyle name="Percent 3 70" xfId="8710" xr:uid="{00000000-0005-0000-0000-0000A2280000}"/>
    <cellStyle name="Percent 3 71" xfId="8711" xr:uid="{00000000-0005-0000-0000-0000A3280000}"/>
    <cellStyle name="Percent 3 72" xfId="8712" xr:uid="{00000000-0005-0000-0000-0000A4280000}"/>
    <cellStyle name="Percent 3 73" xfId="8713" xr:uid="{00000000-0005-0000-0000-0000A5280000}"/>
    <cellStyle name="Percent 3 74" xfId="8714" xr:uid="{00000000-0005-0000-0000-0000A6280000}"/>
    <cellStyle name="Percent 3 75" xfId="8715" xr:uid="{00000000-0005-0000-0000-0000A7280000}"/>
    <cellStyle name="Percent 3 76" xfId="8716" xr:uid="{00000000-0005-0000-0000-0000A8280000}"/>
    <cellStyle name="Percent 3 77" xfId="8717" xr:uid="{00000000-0005-0000-0000-0000A9280000}"/>
    <cellStyle name="Percent 3 78" xfId="8718" xr:uid="{00000000-0005-0000-0000-0000AA280000}"/>
    <cellStyle name="Percent 3 79" xfId="8719" xr:uid="{00000000-0005-0000-0000-0000AB280000}"/>
    <cellStyle name="Percent 3 8" xfId="8720" xr:uid="{00000000-0005-0000-0000-0000AC280000}"/>
    <cellStyle name="Percent 3 8 2" xfId="8721" xr:uid="{00000000-0005-0000-0000-0000AD280000}"/>
    <cellStyle name="Percent 3 8 2 2" xfId="8722" xr:uid="{00000000-0005-0000-0000-0000AE280000}"/>
    <cellStyle name="Percent 3 8 2 3" xfId="8723" xr:uid="{00000000-0005-0000-0000-0000AF280000}"/>
    <cellStyle name="Percent 3 8 3" xfId="8724" xr:uid="{00000000-0005-0000-0000-0000B0280000}"/>
    <cellStyle name="Percent 3 80" xfId="8725" xr:uid="{00000000-0005-0000-0000-0000B1280000}"/>
    <cellStyle name="Percent 3 81" xfId="8726" xr:uid="{00000000-0005-0000-0000-0000B2280000}"/>
    <cellStyle name="Percent 3 82" xfId="8727" xr:uid="{00000000-0005-0000-0000-0000B3280000}"/>
    <cellStyle name="Percent 3 83" xfId="8728" xr:uid="{00000000-0005-0000-0000-0000B4280000}"/>
    <cellStyle name="Percent 3 84" xfId="8729" xr:uid="{00000000-0005-0000-0000-0000B5280000}"/>
    <cellStyle name="Percent 3 85" xfId="8730" xr:uid="{00000000-0005-0000-0000-0000B6280000}"/>
    <cellStyle name="Percent 3 86" xfId="8731" xr:uid="{00000000-0005-0000-0000-0000B7280000}"/>
    <cellStyle name="Percent 3 87" xfId="8732" xr:uid="{00000000-0005-0000-0000-0000B8280000}"/>
    <cellStyle name="Percent 3 88" xfId="8733" xr:uid="{00000000-0005-0000-0000-0000B9280000}"/>
    <cellStyle name="Percent 3 89" xfId="8734" xr:uid="{00000000-0005-0000-0000-0000BA280000}"/>
    <cellStyle name="Percent 3 9" xfId="8735" xr:uid="{00000000-0005-0000-0000-0000BB280000}"/>
    <cellStyle name="Percent 3 9 2" xfId="8736" xr:uid="{00000000-0005-0000-0000-0000BC280000}"/>
    <cellStyle name="Percent 3 9 2 2" xfId="8737" xr:uid="{00000000-0005-0000-0000-0000BD280000}"/>
    <cellStyle name="Percent 3 9 2 3" xfId="8738" xr:uid="{00000000-0005-0000-0000-0000BE280000}"/>
    <cellStyle name="Percent 3 9 3" xfId="8739" xr:uid="{00000000-0005-0000-0000-0000BF280000}"/>
    <cellStyle name="Percent 3 90" xfId="8740" xr:uid="{00000000-0005-0000-0000-0000C0280000}"/>
    <cellStyle name="Percent 3 91" xfId="8741" xr:uid="{00000000-0005-0000-0000-0000C1280000}"/>
    <cellStyle name="Percent 3 92" xfId="8742" xr:uid="{00000000-0005-0000-0000-0000C2280000}"/>
    <cellStyle name="Percent 3 93" xfId="8743" xr:uid="{00000000-0005-0000-0000-0000C3280000}"/>
    <cellStyle name="Percent 3 94" xfId="8744" xr:uid="{00000000-0005-0000-0000-0000C4280000}"/>
    <cellStyle name="Percent 3 95" xfId="8745" xr:uid="{00000000-0005-0000-0000-0000C5280000}"/>
    <cellStyle name="Percent 3 96" xfId="8746" xr:uid="{00000000-0005-0000-0000-0000C6280000}"/>
    <cellStyle name="Percent 3 97" xfId="8747" xr:uid="{00000000-0005-0000-0000-0000C7280000}"/>
    <cellStyle name="Percent 3 98" xfId="8748" xr:uid="{00000000-0005-0000-0000-0000C8280000}"/>
    <cellStyle name="Percent 3 99" xfId="8749" xr:uid="{00000000-0005-0000-0000-0000C9280000}"/>
    <cellStyle name="Percent 3 99 2" xfId="8750" xr:uid="{00000000-0005-0000-0000-0000CA280000}"/>
    <cellStyle name="Percent 3 99 3" xfId="10959" xr:uid="{00000000-0005-0000-0000-0000CB280000}"/>
    <cellStyle name="Percent 30" xfId="8751" xr:uid="{00000000-0005-0000-0000-0000CC280000}"/>
    <cellStyle name="Percent 31" xfId="8752" xr:uid="{00000000-0005-0000-0000-0000CD280000}"/>
    <cellStyle name="Percent 32" xfId="8753" xr:uid="{00000000-0005-0000-0000-0000CE280000}"/>
    <cellStyle name="Percent 33" xfId="8754" xr:uid="{00000000-0005-0000-0000-0000CF280000}"/>
    <cellStyle name="Percent 34" xfId="8755" xr:uid="{00000000-0005-0000-0000-0000D0280000}"/>
    <cellStyle name="Percent 35" xfId="8756" xr:uid="{00000000-0005-0000-0000-0000D1280000}"/>
    <cellStyle name="Percent 36" xfId="8757" xr:uid="{00000000-0005-0000-0000-0000D2280000}"/>
    <cellStyle name="Percent 37" xfId="8758" xr:uid="{00000000-0005-0000-0000-0000D3280000}"/>
    <cellStyle name="Percent 38" xfId="8759" xr:uid="{00000000-0005-0000-0000-0000D4280000}"/>
    <cellStyle name="Percent 39" xfId="8760" xr:uid="{00000000-0005-0000-0000-0000D5280000}"/>
    <cellStyle name="Percent 4" xfId="8" xr:uid="{00000000-0005-0000-0000-0000D6280000}"/>
    <cellStyle name="Percent 4 10" xfId="8761" xr:uid="{00000000-0005-0000-0000-0000D7280000}"/>
    <cellStyle name="Percent 4 11" xfId="8762" xr:uid="{00000000-0005-0000-0000-0000D8280000}"/>
    <cellStyle name="Percent 4 12" xfId="8763" xr:uid="{00000000-0005-0000-0000-0000D9280000}"/>
    <cellStyle name="Percent 4 13" xfId="8764" xr:uid="{00000000-0005-0000-0000-0000DA280000}"/>
    <cellStyle name="Percent 4 14" xfId="8765" xr:uid="{00000000-0005-0000-0000-0000DB280000}"/>
    <cellStyle name="Percent 4 15" xfId="8766" xr:uid="{00000000-0005-0000-0000-0000DC280000}"/>
    <cellStyle name="Percent 4 16" xfId="8767" xr:uid="{00000000-0005-0000-0000-0000DD280000}"/>
    <cellStyle name="Percent 4 17" xfId="8768" xr:uid="{00000000-0005-0000-0000-0000DE280000}"/>
    <cellStyle name="Percent 4 18" xfId="8769" xr:uid="{00000000-0005-0000-0000-0000DF280000}"/>
    <cellStyle name="Percent 4 19" xfId="8770" xr:uid="{00000000-0005-0000-0000-0000E0280000}"/>
    <cellStyle name="Percent 4 2" xfId="8771" xr:uid="{00000000-0005-0000-0000-0000E1280000}"/>
    <cellStyle name="Percent 4 2 2" xfId="8772" xr:uid="{00000000-0005-0000-0000-0000E2280000}"/>
    <cellStyle name="Percent 4 2 2 2" xfId="8773" xr:uid="{00000000-0005-0000-0000-0000E3280000}"/>
    <cellStyle name="Percent 4 2 3" xfId="8774" xr:uid="{00000000-0005-0000-0000-0000E4280000}"/>
    <cellStyle name="Percent 4 2 4" xfId="8775" xr:uid="{00000000-0005-0000-0000-0000E5280000}"/>
    <cellStyle name="Percent 4 20" xfId="8776" xr:uid="{00000000-0005-0000-0000-0000E6280000}"/>
    <cellStyle name="Percent 4 21" xfId="8777" xr:uid="{00000000-0005-0000-0000-0000E7280000}"/>
    <cellStyle name="Percent 4 22" xfId="8778" xr:uid="{00000000-0005-0000-0000-0000E8280000}"/>
    <cellStyle name="Percent 4 23" xfId="8779" xr:uid="{00000000-0005-0000-0000-0000E9280000}"/>
    <cellStyle name="Percent 4 24" xfId="8780" xr:uid="{00000000-0005-0000-0000-0000EA280000}"/>
    <cellStyle name="Percent 4 25" xfId="8781" xr:uid="{00000000-0005-0000-0000-0000EB280000}"/>
    <cellStyle name="Percent 4 26" xfId="8782" xr:uid="{00000000-0005-0000-0000-0000EC280000}"/>
    <cellStyle name="Percent 4 27" xfId="8783" xr:uid="{00000000-0005-0000-0000-0000ED280000}"/>
    <cellStyle name="Percent 4 28" xfId="8784" xr:uid="{00000000-0005-0000-0000-0000EE280000}"/>
    <cellStyle name="Percent 4 29" xfId="8785" xr:uid="{00000000-0005-0000-0000-0000EF280000}"/>
    <cellStyle name="Percent 4 3" xfId="8786" xr:uid="{00000000-0005-0000-0000-0000F0280000}"/>
    <cellStyle name="Percent 4 3 2" xfId="8787" xr:uid="{00000000-0005-0000-0000-0000F1280000}"/>
    <cellStyle name="Percent 4 30" xfId="8788" xr:uid="{00000000-0005-0000-0000-0000F2280000}"/>
    <cellStyle name="Percent 4 31" xfId="8789" xr:uid="{00000000-0005-0000-0000-0000F3280000}"/>
    <cellStyle name="Percent 4 32" xfId="8790" xr:uid="{00000000-0005-0000-0000-0000F4280000}"/>
    <cellStyle name="Percent 4 33" xfId="8791" xr:uid="{00000000-0005-0000-0000-0000F5280000}"/>
    <cellStyle name="Percent 4 34" xfId="8792" xr:uid="{00000000-0005-0000-0000-0000F6280000}"/>
    <cellStyle name="Percent 4 35" xfId="8793" xr:uid="{00000000-0005-0000-0000-0000F7280000}"/>
    <cellStyle name="Percent 4 36" xfId="8794" xr:uid="{00000000-0005-0000-0000-0000F8280000}"/>
    <cellStyle name="Percent 4 37" xfId="8795" xr:uid="{00000000-0005-0000-0000-0000F9280000}"/>
    <cellStyle name="Percent 4 38" xfId="8796" xr:uid="{00000000-0005-0000-0000-0000FA280000}"/>
    <cellStyle name="Percent 4 39" xfId="8797" xr:uid="{00000000-0005-0000-0000-0000FB280000}"/>
    <cellStyle name="Percent 4 4" xfId="8798" xr:uid="{00000000-0005-0000-0000-0000FC280000}"/>
    <cellStyle name="Percent 4 40" xfId="8799" xr:uid="{00000000-0005-0000-0000-0000FD280000}"/>
    <cellStyle name="Percent 4 41" xfId="8800" xr:uid="{00000000-0005-0000-0000-0000FE280000}"/>
    <cellStyle name="Percent 4 42" xfId="8801" xr:uid="{00000000-0005-0000-0000-0000FF280000}"/>
    <cellStyle name="Percent 4 43" xfId="8802" xr:uid="{00000000-0005-0000-0000-000000290000}"/>
    <cellStyle name="Percent 4 44" xfId="8803" xr:uid="{00000000-0005-0000-0000-000001290000}"/>
    <cellStyle name="Percent 4 45" xfId="8804" xr:uid="{00000000-0005-0000-0000-000002290000}"/>
    <cellStyle name="Percent 4 46" xfId="8805" xr:uid="{00000000-0005-0000-0000-000003290000}"/>
    <cellStyle name="Percent 4 47" xfId="8806" xr:uid="{00000000-0005-0000-0000-000004290000}"/>
    <cellStyle name="Percent 4 48" xfId="8807" xr:uid="{00000000-0005-0000-0000-000005290000}"/>
    <cellStyle name="Percent 4 49" xfId="8808" xr:uid="{00000000-0005-0000-0000-000006290000}"/>
    <cellStyle name="Percent 4 5" xfId="8809" xr:uid="{00000000-0005-0000-0000-000007290000}"/>
    <cellStyle name="Percent 4 50" xfId="8810" xr:uid="{00000000-0005-0000-0000-000008290000}"/>
    <cellStyle name="Percent 4 51" xfId="8811" xr:uid="{00000000-0005-0000-0000-000009290000}"/>
    <cellStyle name="Percent 4 52" xfId="8812" xr:uid="{00000000-0005-0000-0000-00000A290000}"/>
    <cellStyle name="Percent 4 53" xfId="8813" xr:uid="{00000000-0005-0000-0000-00000B290000}"/>
    <cellStyle name="Percent 4 54" xfId="8814" xr:uid="{00000000-0005-0000-0000-00000C290000}"/>
    <cellStyle name="Percent 4 55" xfId="8815" xr:uid="{00000000-0005-0000-0000-00000D290000}"/>
    <cellStyle name="Percent 4 56" xfId="8816" xr:uid="{00000000-0005-0000-0000-00000E290000}"/>
    <cellStyle name="Percent 4 57" xfId="8817" xr:uid="{00000000-0005-0000-0000-00000F290000}"/>
    <cellStyle name="Percent 4 58" xfId="8818" xr:uid="{00000000-0005-0000-0000-000010290000}"/>
    <cellStyle name="Percent 4 59" xfId="8819" xr:uid="{00000000-0005-0000-0000-000011290000}"/>
    <cellStyle name="Percent 4 6" xfId="8820" xr:uid="{00000000-0005-0000-0000-000012290000}"/>
    <cellStyle name="Percent 4 60" xfId="8821" xr:uid="{00000000-0005-0000-0000-000013290000}"/>
    <cellStyle name="Percent 4 61" xfId="8822" xr:uid="{00000000-0005-0000-0000-000014290000}"/>
    <cellStyle name="Percent 4 62" xfId="9381" xr:uid="{00000000-0005-0000-0000-000015290000}"/>
    <cellStyle name="Percent 4 63" xfId="9385" xr:uid="{00000000-0005-0000-0000-000016290000}"/>
    <cellStyle name="Percent 4 7" xfId="8823" xr:uid="{00000000-0005-0000-0000-000017290000}"/>
    <cellStyle name="Percent 4 8" xfId="8824" xr:uid="{00000000-0005-0000-0000-000018290000}"/>
    <cellStyle name="Percent 4 9" xfId="8825" xr:uid="{00000000-0005-0000-0000-000019290000}"/>
    <cellStyle name="Percent 40" xfId="8826" xr:uid="{00000000-0005-0000-0000-00001A290000}"/>
    <cellStyle name="Percent 41" xfId="8827" xr:uid="{00000000-0005-0000-0000-00001B290000}"/>
    <cellStyle name="Percent 42" xfId="8828" xr:uid="{00000000-0005-0000-0000-00001C290000}"/>
    <cellStyle name="Percent 43" xfId="8829" xr:uid="{00000000-0005-0000-0000-00001D290000}"/>
    <cellStyle name="Percent 44" xfId="8830" xr:uid="{00000000-0005-0000-0000-00001E290000}"/>
    <cellStyle name="Percent 44 2" xfId="8831" xr:uid="{00000000-0005-0000-0000-00001F290000}"/>
    <cellStyle name="Percent 44 3" xfId="10961" xr:uid="{00000000-0005-0000-0000-000020290000}"/>
    <cellStyle name="Percent 45" xfId="8832" xr:uid="{00000000-0005-0000-0000-000021290000}"/>
    <cellStyle name="Percent 46" xfId="8833" xr:uid="{00000000-0005-0000-0000-000022290000}"/>
    <cellStyle name="Percent 47" xfId="8834" xr:uid="{00000000-0005-0000-0000-000023290000}"/>
    <cellStyle name="Percent 48" xfId="8835" xr:uid="{00000000-0005-0000-0000-000024290000}"/>
    <cellStyle name="Percent 49" xfId="8836" xr:uid="{00000000-0005-0000-0000-000025290000}"/>
    <cellStyle name="Percent 49 2" xfId="8837" xr:uid="{00000000-0005-0000-0000-000026290000}"/>
    <cellStyle name="Percent 49 2 2" xfId="10962" xr:uid="{00000000-0005-0000-0000-000027290000}"/>
    <cellStyle name="Percent 5" xfId="10" xr:uid="{00000000-0005-0000-0000-000028290000}"/>
    <cellStyle name="Percent 5 10" xfId="8838" xr:uid="{00000000-0005-0000-0000-000029290000}"/>
    <cellStyle name="Percent 5 11" xfId="8839" xr:uid="{00000000-0005-0000-0000-00002A290000}"/>
    <cellStyle name="Percent 5 12" xfId="8840" xr:uid="{00000000-0005-0000-0000-00002B290000}"/>
    <cellStyle name="Percent 5 13" xfId="8841" xr:uid="{00000000-0005-0000-0000-00002C290000}"/>
    <cellStyle name="Percent 5 14" xfId="8842" xr:uid="{00000000-0005-0000-0000-00002D290000}"/>
    <cellStyle name="Percent 5 15" xfId="8843" xr:uid="{00000000-0005-0000-0000-00002E290000}"/>
    <cellStyle name="Percent 5 16" xfId="8844" xr:uid="{00000000-0005-0000-0000-00002F290000}"/>
    <cellStyle name="Percent 5 17" xfId="8845" xr:uid="{00000000-0005-0000-0000-000030290000}"/>
    <cellStyle name="Percent 5 18" xfId="8846" xr:uid="{00000000-0005-0000-0000-000031290000}"/>
    <cellStyle name="Percent 5 19" xfId="8847" xr:uid="{00000000-0005-0000-0000-000032290000}"/>
    <cellStyle name="Percent 5 2" xfId="8848" xr:uid="{00000000-0005-0000-0000-000033290000}"/>
    <cellStyle name="Percent 5 2 10" xfId="8849" xr:uid="{00000000-0005-0000-0000-000034290000}"/>
    <cellStyle name="Percent 5 2 11" xfId="8850" xr:uid="{00000000-0005-0000-0000-000035290000}"/>
    <cellStyle name="Percent 5 2 12" xfId="8851" xr:uid="{00000000-0005-0000-0000-000036290000}"/>
    <cellStyle name="Percent 5 2 13" xfId="8852" xr:uid="{00000000-0005-0000-0000-000037290000}"/>
    <cellStyle name="Percent 5 2 14" xfId="8853" xr:uid="{00000000-0005-0000-0000-000038290000}"/>
    <cellStyle name="Percent 5 2 15" xfId="8854" xr:uid="{00000000-0005-0000-0000-000039290000}"/>
    <cellStyle name="Percent 5 2 15 2" xfId="8855" xr:uid="{00000000-0005-0000-0000-00003A290000}"/>
    <cellStyle name="Percent 5 2 15 2 2" xfId="10964" xr:uid="{00000000-0005-0000-0000-00003B290000}"/>
    <cellStyle name="Percent 5 2 16" xfId="8856" xr:uid="{00000000-0005-0000-0000-00003C290000}"/>
    <cellStyle name="Percent 5 2 17" xfId="8857" xr:uid="{00000000-0005-0000-0000-00003D290000}"/>
    <cellStyle name="Percent 5 2 17 2" xfId="10965" xr:uid="{00000000-0005-0000-0000-00003E290000}"/>
    <cellStyle name="Percent 5 2 18" xfId="8858" xr:uid="{00000000-0005-0000-0000-00003F290000}"/>
    <cellStyle name="Percent 5 2 18 2" xfId="11146" xr:uid="{00000000-0005-0000-0000-000040290000}"/>
    <cellStyle name="Percent 5 2 19" xfId="8859" xr:uid="{00000000-0005-0000-0000-000041290000}"/>
    <cellStyle name="Percent 5 2 2" xfId="8860" xr:uid="{00000000-0005-0000-0000-000042290000}"/>
    <cellStyle name="Percent 5 2 2 10" xfId="8861" xr:uid="{00000000-0005-0000-0000-000043290000}"/>
    <cellStyle name="Percent 5 2 2 11" xfId="8862" xr:uid="{00000000-0005-0000-0000-000044290000}"/>
    <cellStyle name="Percent 5 2 2 12" xfId="8863" xr:uid="{00000000-0005-0000-0000-000045290000}"/>
    <cellStyle name="Percent 5 2 2 12 2" xfId="8864" xr:uid="{00000000-0005-0000-0000-000046290000}"/>
    <cellStyle name="Percent 5 2 2 12 2 2" xfId="10967" xr:uid="{00000000-0005-0000-0000-000047290000}"/>
    <cellStyle name="Percent 5 2 2 13" xfId="8865" xr:uid="{00000000-0005-0000-0000-000048290000}"/>
    <cellStyle name="Percent 5 2 2 14" xfId="8866" xr:uid="{00000000-0005-0000-0000-000049290000}"/>
    <cellStyle name="Percent 5 2 2 14 2" xfId="11147" xr:uid="{00000000-0005-0000-0000-00004A290000}"/>
    <cellStyle name="Percent 5 2 2 15" xfId="10966" xr:uid="{00000000-0005-0000-0000-00004B290000}"/>
    <cellStyle name="Percent 5 2 2 2" xfId="8867" xr:uid="{00000000-0005-0000-0000-00004C290000}"/>
    <cellStyle name="Percent 5 2 2 2 10" xfId="8868" xr:uid="{00000000-0005-0000-0000-00004D290000}"/>
    <cellStyle name="Percent 5 2 2 2 10 2" xfId="8869" xr:uid="{00000000-0005-0000-0000-00004E290000}"/>
    <cellStyle name="Percent 5 2 2 2 10 2 2" xfId="8870" xr:uid="{00000000-0005-0000-0000-00004F290000}"/>
    <cellStyle name="Percent 5 2 2 2 10 2 3" xfId="10969" xr:uid="{00000000-0005-0000-0000-000050290000}"/>
    <cellStyle name="Percent 5 2 2 2 10 3" xfId="8871" xr:uid="{00000000-0005-0000-0000-000051290000}"/>
    <cellStyle name="Percent 5 2 2 2 10 4" xfId="10968" xr:uid="{00000000-0005-0000-0000-000052290000}"/>
    <cellStyle name="Percent 5 2 2 2 11" xfId="8872" xr:uid="{00000000-0005-0000-0000-000053290000}"/>
    <cellStyle name="Percent 5 2 2 2 11 2" xfId="8873" xr:uid="{00000000-0005-0000-0000-000054290000}"/>
    <cellStyle name="Percent 5 2 2 2 11 2 2" xfId="8874" xr:uid="{00000000-0005-0000-0000-000055290000}"/>
    <cellStyle name="Percent 5 2 2 2 11 2 3" xfId="10971" xr:uid="{00000000-0005-0000-0000-000056290000}"/>
    <cellStyle name="Percent 5 2 2 2 11 3" xfId="8875" xr:uid="{00000000-0005-0000-0000-000057290000}"/>
    <cellStyle name="Percent 5 2 2 2 11 4" xfId="10970" xr:uid="{00000000-0005-0000-0000-000058290000}"/>
    <cellStyle name="Percent 5 2 2 2 12" xfId="8876" xr:uid="{00000000-0005-0000-0000-000059290000}"/>
    <cellStyle name="Percent 5 2 2 2 12 2" xfId="8877" xr:uid="{00000000-0005-0000-0000-00005A290000}"/>
    <cellStyle name="Percent 5 2 2 2 12 3" xfId="10972" xr:uid="{00000000-0005-0000-0000-00005B290000}"/>
    <cellStyle name="Percent 5 2 2 2 13" xfId="8878" xr:uid="{00000000-0005-0000-0000-00005C290000}"/>
    <cellStyle name="Percent 5 2 2 2 13 2" xfId="8879" xr:uid="{00000000-0005-0000-0000-00005D290000}"/>
    <cellStyle name="Percent 5 2 2 2 13 3" xfId="10973" xr:uid="{00000000-0005-0000-0000-00005E290000}"/>
    <cellStyle name="Percent 5 2 2 2 14" xfId="8880" xr:uid="{00000000-0005-0000-0000-00005F290000}"/>
    <cellStyle name="Percent 5 2 2 2 2" xfId="8881" xr:uid="{00000000-0005-0000-0000-000060290000}"/>
    <cellStyle name="Percent 5 2 2 2 2 2" xfId="8882" xr:uid="{00000000-0005-0000-0000-000061290000}"/>
    <cellStyle name="Percent 5 2 2 2 2 2 2" xfId="8883" xr:uid="{00000000-0005-0000-0000-000062290000}"/>
    <cellStyle name="Percent 5 2 2 2 2 2 3" xfId="10975" xr:uid="{00000000-0005-0000-0000-000063290000}"/>
    <cellStyle name="Percent 5 2 2 2 2 3" xfId="8884" xr:uid="{00000000-0005-0000-0000-000064290000}"/>
    <cellStyle name="Percent 5 2 2 2 2 4" xfId="10974" xr:uid="{00000000-0005-0000-0000-000065290000}"/>
    <cellStyle name="Percent 5 2 2 2 3" xfId="8885" xr:uid="{00000000-0005-0000-0000-000066290000}"/>
    <cellStyle name="Percent 5 2 2 2 3 2" xfId="8886" xr:uid="{00000000-0005-0000-0000-000067290000}"/>
    <cellStyle name="Percent 5 2 2 2 3 2 2" xfId="8887" xr:uid="{00000000-0005-0000-0000-000068290000}"/>
    <cellStyle name="Percent 5 2 2 2 3 2 3" xfId="10977" xr:uid="{00000000-0005-0000-0000-000069290000}"/>
    <cellStyle name="Percent 5 2 2 2 3 3" xfId="8888" xr:uid="{00000000-0005-0000-0000-00006A290000}"/>
    <cellStyle name="Percent 5 2 2 2 3 4" xfId="10976" xr:uid="{00000000-0005-0000-0000-00006B290000}"/>
    <cellStyle name="Percent 5 2 2 2 4" xfId="8889" xr:uid="{00000000-0005-0000-0000-00006C290000}"/>
    <cellStyle name="Percent 5 2 2 2 4 2" xfId="8890" xr:uid="{00000000-0005-0000-0000-00006D290000}"/>
    <cellStyle name="Percent 5 2 2 2 4 2 2" xfId="8891" xr:uid="{00000000-0005-0000-0000-00006E290000}"/>
    <cellStyle name="Percent 5 2 2 2 4 2 3" xfId="10979" xr:uid="{00000000-0005-0000-0000-00006F290000}"/>
    <cellStyle name="Percent 5 2 2 2 4 3" xfId="8892" xr:uid="{00000000-0005-0000-0000-000070290000}"/>
    <cellStyle name="Percent 5 2 2 2 4 4" xfId="10978" xr:uid="{00000000-0005-0000-0000-000071290000}"/>
    <cellStyle name="Percent 5 2 2 2 5" xfId="8893" xr:uid="{00000000-0005-0000-0000-000072290000}"/>
    <cellStyle name="Percent 5 2 2 2 5 2" xfId="8894" xr:uid="{00000000-0005-0000-0000-000073290000}"/>
    <cellStyle name="Percent 5 2 2 2 5 2 2" xfId="8895" xr:uid="{00000000-0005-0000-0000-000074290000}"/>
    <cellStyle name="Percent 5 2 2 2 5 2 3" xfId="10981" xr:uid="{00000000-0005-0000-0000-000075290000}"/>
    <cellStyle name="Percent 5 2 2 2 5 3" xfId="8896" xr:uid="{00000000-0005-0000-0000-000076290000}"/>
    <cellStyle name="Percent 5 2 2 2 5 4" xfId="10980" xr:uid="{00000000-0005-0000-0000-000077290000}"/>
    <cellStyle name="Percent 5 2 2 2 6" xfId="8897" xr:uid="{00000000-0005-0000-0000-000078290000}"/>
    <cellStyle name="Percent 5 2 2 2 6 2" xfId="8898" xr:uid="{00000000-0005-0000-0000-000079290000}"/>
    <cellStyle name="Percent 5 2 2 2 6 2 2" xfId="8899" xr:uid="{00000000-0005-0000-0000-00007A290000}"/>
    <cellStyle name="Percent 5 2 2 2 6 2 3" xfId="10983" xr:uid="{00000000-0005-0000-0000-00007B290000}"/>
    <cellStyle name="Percent 5 2 2 2 6 3" xfId="8900" xr:uid="{00000000-0005-0000-0000-00007C290000}"/>
    <cellStyle name="Percent 5 2 2 2 6 4" xfId="10982" xr:uid="{00000000-0005-0000-0000-00007D290000}"/>
    <cellStyle name="Percent 5 2 2 2 7" xfId="8901" xr:uid="{00000000-0005-0000-0000-00007E290000}"/>
    <cellStyle name="Percent 5 2 2 2 7 2" xfId="8902" xr:uid="{00000000-0005-0000-0000-00007F290000}"/>
    <cellStyle name="Percent 5 2 2 2 7 2 2" xfId="8903" xr:uid="{00000000-0005-0000-0000-000080290000}"/>
    <cellStyle name="Percent 5 2 2 2 7 2 3" xfId="10985" xr:uid="{00000000-0005-0000-0000-000081290000}"/>
    <cellStyle name="Percent 5 2 2 2 7 3" xfId="8904" xr:uid="{00000000-0005-0000-0000-000082290000}"/>
    <cellStyle name="Percent 5 2 2 2 7 4" xfId="10984" xr:uid="{00000000-0005-0000-0000-000083290000}"/>
    <cellStyle name="Percent 5 2 2 2 8" xfId="8905" xr:uid="{00000000-0005-0000-0000-000084290000}"/>
    <cellStyle name="Percent 5 2 2 2 8 2" xfId="8906" xr:uid="{00000000-0005-0000-0000-000085290000}"/>
    <cellStyle name="Percent 5 2 2 2 8 2 2" xfId="8907" xr:uid="{00000000-0005-0000-0000-000086290000}"/>
    <cellStyle name="Percent 5 2 2 2 8 2 3" xfId="10987" xr:uid="{00000000-0005-0000-0000-000087290000}"/>
    <cellStyle name="Percent 5 2 2 2 8 3" xfId="8908" xr:uid="{00000000-0005-0000-0000-000088290000}"/>
    <cellStyle name="Percent 5 2 2 2 8 4" xfId="10986" xr:uid="{00000000-0005-0000-0000-000089290000}"/>
    <cellStyle name="Percent 5 2 2 2 9" xfId="8909" xr:uid="{00000000-0005-0000-0000-00008A290000}"/>
    <cellStyle name="Percent 5 2 2 2 9 2" xfId="8910" xr:uid="{00000000-0005-0000-0000-00008B290000}"/>
    <cellStyle name="Percent 5 2 2 2 9 2 2" xfId="8911" xr:uid="{00000000-0005-0000-0000-00008C290000}"/>
    <cellStyle name="Percent 5 2 2 2 9 2 3" xfId="10989" xr:uid="{00000000-0005-0000-0000-00008D290000}"/>
    <cellStyle name="Percent 5 2 2 2 9 3" xfId="8912" xr:uid="{00000000-0005-0000-0000-00008E290000}"/>
    <cellStyle name="Percent 5 2 2 2 9 4" xfId="10988" xr:uid="{00000000-0005-0000-0000-00008F290000}"/>
    <cellStyle name="Percent 5 2 2 3" xfId="8913" xr:uid="{00000000-0005-0000-0000-000090290000}"/>
    <cellStyle name="Percent 5 2 2 4" xfId="8914" xr:uid="{00000000-0005-0000-0000-000091290000}"/>
    <cellStyle name="Percent 5 2 2 5" xfId="8915" xr:uid="{00000000-0005-0000-0000-000092290000}"/>
    <cellStyle name="Percent 5 2 2 6" xfId="8916" xr:uid="{00000000-0005-0000-0000-000093290000}"/>
    <cellStyle name="Percent 5 2 2 7" xfId="8917" xr:uid="{00000000-0005-0000-0000-000094290000}"/>
    <cellStyle name="Percent 5 2 2 8" xfId="8918" xr:uid="{00000000-0005-0000-0000-000095290000}"/>
    <cellStyle name="Percent 5 2 2 9" xfId="8919" xr:uid="{00000000-0005-0000-0000-000096290000}"/>
    <cellStyle name="Percent 5 2 20" xfId="8920" xr:uid="{00000000-0005-0000-0000-000097290000}"/>
    <cellStyle name="Percent 5 2 21" xfId="10963" xr:uid="{00000000-0005-0000-0000-000098290000}"/>
    <cellStyle name="Percent 5 2 3" xfId="8921" xr:uid="{00000000-0005-0000-0000-000099290000}"/>
    <cellStyle name="Percent 5 2 3 2" xfId="8922" xr:uid="{00000000-0005-0000-0000-00009A290000}"/>
    <cellStyle name="Percent 5 2 3 2 2" xfId="8923" xr:uid="{00000000-0005-0000-0000-00009B290000}"/>
    <cellStyle name="Percent 5 2 3 2 3" xfId="8924" xr:uid="{00000000-0005-0000-0000-00009C290000}"/>
    <cellStyle name="Percent 5 2 3 2 3 2" xfId="10990" xr:uid="{00000000-0005-0000-0000-00009D290000}"/>
    <cellStyle name="Percent 5 2 3 3" xfId="8925" xr:uid="{00000000-0005-0000-0000-00009E290000}"/>
    <cellStyle name="Percent 5 2 3 3 2" xfId="10991" xr:uid="{00000000-0005-0000-0000-00009F290000}"/>
    <cellStyle name="Percent 5 2 4" xfId="8926" xr:uid="{00000000-0005-0000-0000-0000A0290000}"/>
    <cellStyle name="Percent 5 2 4 2" xfId="8927" xr:uid="{00000000-0005-0000-0000-0000A1290000}"/>
    <cellStyle name="Percent 5 2 4 2 2" xfId="8928" xr:uid="{00000000-0005-0000-0000-0000A2290000}"/>
    <cellStyle name="Percent 5 2 4 2 3" xfId="10993" xr:uid="{00000000-0005-0000-0000-0000A3290000}"/>
    <cellStyle name="Percent 5 2 4 3" xfId="8929" xr:uid="{00000000-0005-0000-0000-0000A4290000}"/>
    <cellStyle name="Percent 5 2 4 4" xfId="10992" xr:uid="{00000000-0005-0000-0000-0000A5290000}"/>
    <cellStyle name="Percent 5 2 5" xfId="8930" xr:uid="{00000000-0005-0000-0000-0000A6290000}"/>
    <cellStyle name="Percent 5 2 5 2" xfId="8931" xr:uid="{00000000-0005-0000-0000-0000A7290000}"/>
    <cellStyle name="Percent 5 2 5 2 2" xfId="8932" xr:uid="{00000000-0005-0000-0000-0000A8290000}"/>
    <cellStyle name="Percent 5 2 5 2 3" xfId="10995" xr:uid="{00000000-0005-0000-0000-0000A9290000}"/>
    <cellStyle name="Percent 5 2 5 3" xfId="8933" xr:uid="{00000000-0005-0000-0000-0000AA290000}"/>
    <cellStyle name="Percent 5 2 5 4" xfId="10994" xr:uid="{00000000-0005-0000-0000-0000AB290000}"/>
    <cellStyle name="Percent 5 2 6" xfId="8934" xr:uid="{00000000-0005-0000-0000-0000AC290000}"/>
    <cellStyle name="Percent 5 2 7" xfId="8935" xr:uid="{00000000-0005-0000-0000-0000AD290000}"/>
    <cellStyle name="Percent 5 2 8" xfId="8936" xr:uid="{00000000-0005-0000-0000-0000AE290000}"/>
    <cellStyle name="Percent 5 2 9" xfId="8937" xr:uid="{00000000-0005-0000-0000-0000AF290000}"/>
    <cellStyle name="Percent 5 20" xfId="8938" xr:uid="{00000000-0005-0000-0000-0000B0290000}"/>
    <cellStyle name="Percent 5 21" xfId="8939" xr:uid="{00000000-0005-0000-0000-0000B1290000}"/>
    <cellStyle name="Percent 5 22" xfId="8940" xr:uid="{00000000-0005-0000-0000-0000B2290000}"/>
    <cellStyle name="Percent 5 23" xfId="8941" xr:uid="{00000000-0005-0000-0000-0000B3290000}"/>
    <cellStyle name="Percent 5 24" xfId="8942" xr:uid="{00000000-0005-0000-0000-0000B4290000}"/>
    <cellStyle name="Percent 5 25" xfId="8943" xr:uid="{00000000-0005-0000-0000-0000B5290000}"/>
    <cellStyle name="Percent 5 26" xfId="8944" xr:uid="{00000000-0005-0000-0000-0000B6290000}"/>
    <cellStyle name="Percent 5 27" xfId="8945" xr:uid="{00000000-0005-0000-0000-0000B7290000}"/>
    <cellStyle name="Percent 5 28" xfId="8946" xr:uid="{00000000-0005-0000-0000-0000B8290000}"/>
    <cellStyle name="Percent 5 29" xfId="8947" xr:uid="{00000000-0005-0000-0000-0000B9290000}"/>
    <cellStyle name="Percent 5 3" xfId="8948" xr:uid="{00000000-0005-0000-0000-0000BA290000}"/>
    <cellStyle name="Percent 5 3 2" xfId="8949" xr:uid="{00000000-0005-0000-0000-0000BB290000}"/>
    <cellStyle name="Percent 5 3 2 2" xfId="8950" xr:uid="{00000000-0005-0000-0000-0000BC290000}"/>
    <cellStyle name="Percent 5 3 3" xfId="8951" xr:uid="{00000000-0005-0000-0000-0000BD290000}"/>
    <cellStyle name="Percent 5 3 4" xfId="8952" xr:uid="{00000000-0005-0000-0000-0000BE290000}"/>
    <cellStyle name="Percent 5 3 5" xfId="8953" xr:uid="{00000000-0005-0000-0000-0000BF290000}"/>
    <cellStyle name="Percent 5 30" xfId="8954" xr:uid="{00000000-0005-0000-0000-0000C0290000}"/>
    <cellStyle name="Percent 5 31" xfId="8955" xr:uid="{00000000-0005-0000-0000-0000C1290000}"/>
    <cellStyle name="Percent 5 32" xfId="8956" xr:uid="{00000000-0005-0000-0000-0000C2290000}"/>
    <cellStyle name="Percent 5 33" xfId="8957" xr:uid="{00000000-0005-0000-0000-0000C3290000}"/>
    <cellStyle name="Percent 5 34" xfId="8958" xr:uid="{00000000-0005-0000-0000-0000C4290000}"/>
    <cellStyle name="Percent 5 35" xfId="8959" xr:uid="{00000000-0005-0000-0000-0000C5290000}"/>
    <cellStyle name="Percent 5 36" xfId="8960" xr:uid="{00000000-0005-0000-0000-0000C6290000}"/>
    <cellStyle name="Percent 5 37" xfId="8961" xr:uid="{00000000-0005-0000-0000-0000C7290000}"/>
    <cellStyle name="Percent 5 38" xfId="8962" xr:uid="{00000000-0005-0000-0000-0000C8290000}"/>
    <cellStyle name="Percent 5 39" xfId="8963" xr:uid="{00000000-0005-0000-0000-0000C9290000}"/>
    <cellStyle name="Percent 5 4" xfId="8964" xr:uid="{00000000-0005-0000-0000-0000CA290000}"/>
    <cellStyle name="Percent 5 4 2" xfId="8965" xr:uid="{00000000-0005-0000-0000-0000CB290000}"/>
    <cellStyle name="Percent 5 4 3" xfId="8966" xr:uid="{00000000-0005-0000-0000-0000CC290000}"/>
    <cellStyle name="Percent 5 40" xfId="8967" xr:uid="{00000000-0005-0000-0000-0000CD290000}"/>
    <cellStyle name="Percent 5 41" xfId="8968" xr:uid="{00000000-0005-0000-0000-0000CE290000}"/>
    <cellStyle name="Percent 5 42" xfId="8969" xr:uid="{00000000-0005-0000-0000-0000CF290000}"/>
    <cellStyle name="Percent 5 43" xfId="8970" xr:uid="{00000000-0005-0000-0000-0000D0290000}"/>
    <cellStyle name="Percent 5 44" xfId="8971" xr:uid="{00000000-0005-0000-0000-0000D1290000}"/>
    <cellStyle name="Percent 5 45" xfId="8972" xr:uid="{00000000-0005-0000-0000-0000D2290000}"/>
    <cellStyle name="Percent 5 46" xfId="8973" xr:uid="{00000000-0005-0000-0000-0000D3290000}"/>
    <cellStyle name="Percent 5 47" xfId="8974" xr:uid="{00000000-0005-0000-0000-0000D4290000}"/>
    <cellStyle name="Percent 5 48" xfId="8975" xr:uid="{00000000-0005-0000-0000-0000D5290000}"/>
    <cellStyle name="Percent 5 49" xfId="8976" xr:uid="{00000000-0005-0000-0000-0000D6290000}"/>
    <cellStyle name="Percent 5 5" xfId="8977" xr:uid="{00000000-0005-0000-0000-0000D7290000}"/>
    <cellStyle name="Percent 5 5 2" xfId="8978" xr:uid="{00000000-0005-0000-0000-0000D8290000}"/>
    <cellStyle name="Percent 5 5 3" xfId="8979" xr:uid="{00000000-0005-0000-0000-0000D9290000}"/>
    <cellStyle name="Percent 5 50" xfId="8980" xr:uid="{00000000-0005-0000-0000-0000DA290000}"/>
    <cellStyle name="Percent 5 51" xfId="8981" xr:uid="{00000000-0005-0000-0000-0000DB290000}"/>
    <cellStyle name="Percent 5 52" xfId="8982" xr:uid="{00000000-0005-0000-0000-0000DC290000}"/>
    <cellStyle name="Percent 5 53" xfId="8983" xr:uid="{00000000-0005-0000-0000-0000DD290000}"/>
    <cellStyle name="Percent 5 54" xfId="8984" xr:uid="{00000000-0005-0000-0000-0000DE290000}"/>
    <cellStyle name="Percent 5 55" xfId="8985" xr:uid="{00000000-0005-0000-0000-0000DF290000}"/>
    <cellStyle name="Percent 5 56" xfId="8986" xr:uid="{00000000-0005-0000-0000-0000E0290000}"/>
    <cellStyle name="Percent 5 57" xfId="8987" xr:uid="{00000000-0005-0000-0000-0000E1290000}"/>
    <cellStyle name="Percent 5 58" xfId="8988" xr:uid="{00000000-0005-0000-0000-0000E2290000}"/>
    <cellStyle name="Percent 5 59" xfId="8989" xr:uid="{00000000-0005-0000-0000-0000E3290000}"/>
    <cellStyle name="Percent 5 6" xfId="8990" xr:uid="{00000000-0005-0000-0000-0000E4290000}"/>
    <cellStyle name="Percent 5 60" xfId="8991" xr:uid="{00000000-0005-0000-0000-0000E5290000}"/>
    <cellStyle name="Percent 5 61" xfId="8992" xr:uid="{00000000-0005-0000-0000-0000E6290000}"/>
    <cellStyle name="Percent 5 62" xfId="8993" xr:uid="{00000000-0005-0000-0000-0000E7290000}"/>
    <cellStyle name="Percent 5 63" xfId="8994" xr:uid="{00000000-0005-0000-0000-0000E8290000}"/>
    <cellStyle name="Percent 5 64" xfId="8995" xr:uid="{00000000-0005-0000-0000-0000E9290000}"/>
    <cellStyle name="Percent 5 7" xfId="8996" xr:uid="{00000000-0005-0000-0000-0000EA290000}"/>
    <cellStyle name="Percent 5 8" xfId="8997" xr:uid="{00000000-0005-0000-0000-0000EB290000}"/>
    <cellStyle name="Percent 5 9" xfId="8998" xr:uid="{00000000-0005-0000-0000-0000EC290000}"/>
    <cellStyle name="Percent 50" xfId="8999" xr:uid="{00000000-0005-0000-0000-0000ED290000}"/>
    <cellStyle name="Percent 51" xfId="9000" xr:uid="{00000000-0005-0000-0000-0000EE290000}"/>
    <cellStyle name="Percent 52" xfId="9001" xr:uid="{00000000-0005-0000-0000-0000EF290000}"/>
    <cellStyle name="Percent 53" xfId="9002" xr:uid="{00000000-0005-0000-0000-0000F0290000}"/>
    <cellStyle name="Percent 54" xfId="9003" xr:uid="{00000000-0005-0000-0000-0000F1290000}"/>
    <cellStyle name="Percent 55" xfId="9004" xr:uid="{00000000-0005-0000-0000-0000F2290000}"/>
    <cellStyle name="Percent 56" xfId="9005" xr:uid="{00000000-0005-0000-0000-0000F3290000}"/>
    <cellStyle name="Percent 57" xfId="9006" xr:uid="{00000000-0005-0000-0000-0000F4290000}"/>
    <cellStyle name="Percent 58" xfId="9007" xr:uid="{00000000-0005-0000-0000-0000F5290000}"/>
    <cellStyle name="Percent 59" xfId="9008" xr:uid="{00000000-0005-0000-0000-0000F6290000}"/>
    <cellStyle name="Percent 6" xfId="12" xr:uid="{00000000-0005-0000-0000-0000F7290000}"/>
    <cellStyle name="Percent 6 2" xfId="9009" xr:uid="{00000000-0005-0000-0000-0000F8290000}"/>
    <cellStyle name="Percent 6 3" xfId="9010" xr:uid="{00000000-0005-0000-0000-0000F9290000}"/>
    <cellStyle name="Percent 6 4" xfId="9011" xr:uid="{00000000-0005-0000-0000-0000FA290000}"/>
    <cellStyle name="Percent 6 4 2" xfId="11177" xr:uid="{00000000-0005-0000-0000-0000FB290000}"/>
    <cellStyle name="Percent 6 4 3" xfId="11204" xr:uid="{00000000-0005-0000-0000-0000FC290000}"/>
    <cellStyle name="Percent 60" xfId="9012" xr:uid="{00000000-0005-0000-0000-0000FD290000}"/>
    <cellStyle name="Percent 61" xfId="9013" xr:uid="{00000000-0005-0000-0000-0000FE290000}"/>
    <cellStyle name="Percent 62" xfId="9014" xr:uid="{00000000-0005-0000-0000-0000FF290000}"/>
    <cellStyle name="Percent 63" xfId="9015" xr:uid="{00000000-0005-0000-0000-0000002A0000}"/>
    <cellStyle name="Percent 64" xfId="9016" xr:uid="{00000000-0005-0000-0000-0000012A0000}"/>
    <cellStyle name="Percent 64 2" xfId="9017" xr:uid="{00000000-0005-0000-0000-0000022A0000}"/>
    <cellStyle name="Percent 64 2 2" xfId="9018" xr:uid="{00000000-0005-0000-0000-0000032A0000}"/>
    <cellStyle name="Percent 64 2 3" xfId="10997" xr:uid="{00000000-0005-0000-0000-0000042A0000}"/>
    <cellStyle name="Percent 65" xfId="9019" xr:uid="{00000000-0005-0000-0000-0000052A0000}"/>
    <cellStyle name="Percent 65 2" xfId="9020" xr:uid="{00000000-0005-0000-0000-0000062A0000}"/>
    <cellStyle name="Percent 65 3" xfId="9021" xr:uid="{00000000-0005-0000-0000-0000072A0000}"/>
    <cellStyle name="Percent 66" xfId="9022" xr:uid="{00000000-0005-0000-0000-0000082A0000}"/>
    <cellStyle name="Percent 66 2" xfId="9023" xr:uid="{00000000-0005-0000-0000-0000092A0000}"/>
    <cellStyle name="Percent 66 3" xfId="10998" xr:uid="{00000000-0005-0000-0000-00000A2A0000}"/>
    <cellStyle name="Percent 67" xfId="9024" xr:uid="{00000000-0005-0000-0000-00000B2A0000}"/>
    <cellStyle name="Percent 67 2" xfId="9025" xr:uid="{00000000-0005-0000-0000-00000C2A0000}"/>
    <cellStyle name="Percent 67 3" xfId="10999" xr:uid="{00000000-0005-0000-0000-00000D2A0000}"/>
    <cellStyle name="Percent 68" xfId="9026" xr:uid="{00000000-0005-0000-0000-00000E2A0000}"/>
    <cellStyle name="Percent 69" xfId="9027" xr:uid="{00000000-0005-0000-0000-00000F2A0000}"/>
    <cellStyle name="Percent 7" xfId="15" xr:uid="{00000000-0005-0000-0000-0000102A0000}"/>
    <cellStyle name="Percent 7 10" xfId="9028" xr:uid="{00000000-0005-0000-0000-0000112A0000}"/>
    <cellStyle name="Percent 7 11" xfId="9029" xr:uid="{00000000-0005-0000-0000-0000122A0000}"/>
    <cellStyle name="Percent 7 12" xfId="9030" xr:uid="{00000000-0005-0000-0000-0000132A0000}"/>
    <cellStyle name="Percent 7 12 2" xfId="9031" xr:uid="{00000000-0005-0000-0000-0000142A0000}"/>
    <cellStyle name="Percent 7 13" xfId="9032" xr:uid="{00000000-0005-0000-0000-0000152A0000}"/>
    <cellStyle name="Percent 7 14" xfId="9033" xr:uid="{00000000-0005-0000-0000-0000162A0000}"/>
    <cellStyle name="Percent 7 15" xfId="9034" xr:uid="{00000000-0005-0000-0000-0000172A0000}"/>
    <cellStyle name="Percent 7 15 2" xfId="11148" xr:uid="{00000000-0005-0000-0000-0000182A0000}"/>
    <cellStyle name="Percent 7 16" xfId="11000" xr:uid="{00000000-0005-0000-0000-0000192A0000}"/>
    <cellStyle name="Percent 7 2" xfId="9035" xr:uid="{00000000-0005-0000-0000-00001A2A0000}"/>
    <cellStyle name="Percent 7 2 10" xfId="9036" xr:uid="{00000000-0005-0000-0000-00001B2A0000}"/>
    <cellStyle name="Percent 7 2 10 2" xfId="9037" xr:uid="{00000000-0005-0000-0000-00001C2A0000}"/>
    <cellStyle name="Percent 7 2 10 2 2" xfId="9038" xr:uid="{00000000-0005-0000-0000-00001D2A0000}"/>
    <cellStyle name="Percent 7 2 10 2 3" xfId="11002" xr:uid="{00000000-0005-0000-0000-00001E2A0000}"/>
    <cellStyle name="Percent 7 2 10 3" xfId="9039" xr:uid="{00000000-0005-0000-0000-00001F2A0000}"/>
    <cellStyle name="Percent 7 2 10 4" xfId="11001" xr:uid="{00000000-0005-0000-0000-0000202A0000}"/>
    <cellStyle name="Percent 7 2 11" xfId="9040" xr:uid="{00000000-0005-0000-0000-0000212A0000}"/>
    <cellStyle name="Percent 7 2 11 2" xfId="9041" xr:uid="{00000000-0005-0000-0000-0000222A0000}"/>
    <cellStyle name="Percent 7 2 11 2 2" xfId="9042" xr:uid="{00000000-0005-0000-0000-0000232A0000}"/>
    <cellStyle name="Percent 7 2 11 2 3" xfId="11004" xr:uid="{00000000-0005-0000-0000-0000242A0000}"/>
    <cellStyle name="Percent 7 2 11 3" xfId="9043" xr:uid="{00000000-0005-0000-0000-0000252A0000}"/>
    <cellStyle name="Percent 7 2 11 4" xfId="11003" xr:uid="{00000000-0005-0000-0000-0000262A0000}"/>
    <cellStyle name="Percent 7 2 12" xfId="9044" xr:uid="{00000000-0005-0000-0000-0000272A0000}"/>
    <cellStyle name="Percent 7 2 12 2" xfId="9045" xr:uid="{00000000-0005-0000-0000-0000282A0000}"/>
    <cellStyle name="Percent 7 2 12 3" xfId="9046" xr:uid="{00000000-0005-0000-0000-0000292A0000}"/>
    <cellStyle name="Percent 7 2 12 4" xfId="11005" xr:uid="{00000000-0005-0000-0000-00002A2A0000}"/>
    <cellStyle name="Percent 7 2 13" xfId="9047" xr:uid="{00000000-0005-0000-0000-00002B2A0000}"/>
    <cellStyle name="Percent 7 2 13 2" xfId="9048" xr:uid="{00000000-0005-0000-0000-00002C2A0000}"/>
    <cellStyle name="Percent 7 2 13 3" xfId="9049" xr:uid="{00000000-0005-0000-0000-00002D2A0000}"/>
    <cellStyle name="Percent 7 2 13 4" xfId="11006" xr:uid="{00000000-0005-0000-0000-00002E2A0000}"/>
    <cellStyle name="Percent 7 2 14" xfId="9050" xr:uid="{00000000-0005-0000-0000-00002F2A0000}"/>
    <cellStyle name="Percent 7 2 2" xfId="9051" xr:uid="{00000000-0005-0000-0000-0000302A0000}"/>
    <cellStyle name="Percent 7 2 2 2" xfId="9052" xr:uid="{00000000-0005-0000-0000-0000312A0000}"/>
    <cellStyle name="Percent 7 2 2 2 2" xfId="9053" xr:uid="{00000000-0005-0000-0000-0000322A0000}"/>
    <cellStyle name="Percent 7 2 2 2 3" xfId="11008" xr:uid="{00000000-0005-0000-0000-0000332A0000}"/>
    <cellStyle name="Percent 7 2 2 3" xfId="9054" xr:uid="{00000000-0005-0000-0000-0000342A0000}"/>
    <cellStyle name="Percent 7 2 2 4" xfId="11007" xr:uid="{00000000-0005-0000-0000-0000352A0000}"/>
    <cellStyle name="Percent 7 2 3" xfId="9055" xr:uid="{00000000-0005-0000-0000-0000362A0000}"/>
    <cellStyle name="Percent 7 2 3 2" xfId="9056" xr:uid="{00000000-0005-0000-0000-0000372A0000}"/>
    <cellStyle name="Percent 7 2 3 2 2" xfId="9057" xr:uid="{00000000-0005-0000-0000-0000382A0000}"/>
    <cellStyle name="Percent 7 2 3 2 3" xfId="11010" xr:uid="{00000000-0005-0000-0000-0000392A0000}"/>
    <cellStyle name="Percent 7 2 3 3" xfId="9058" xr:uid="{00000000-0005-0000-0000-00003A2A0000}"/>
    <cellStyle name="Percent 7 2 3 4" xfId="11009" xr:uid="{00000000-0005-0000-0000-00003B2A0000}"/>
    <cellStyle name="Percent 7 2 4" xfId="9059" xr:uid="{00000000-0005-0000-0000-00003C2A0000}"/>
    <cellStyle name="Percent 7 2 4 2" xfId="9060" xr:uid="{00000000-0005-0000-0000-00003D2A0000}"/>
    <cellStyle name="Percent 7 2 4 2 2" xfId="9061" xr:uid="{00000000-0005-0000-0000-00003E2A0000}"/>
    <cellStyle name="Percent 7 2 4 2 3" xfId="11012" xr:uid="{00000000-0005-0000-0000-00003F2A0000}"/>
    <cellStyle name="Percent 7 2 4 3" xfId="9062" xr:uid="{00000000-0005-0000-0000-0000402A0000}"/>
    <cellStyle name="Percent 7 2 4 4" xfId="11011" xr:uid="{00000000-0005-0000-0000-0000412A0000}"/>
    <cellStyle name="Percent 7 2 5" xfId="9063" xr:uid="{00000000-0005-0000-0000-0000422A0000}"/>
    <cellStyle name="Percent 7 2 5 2" xfId="9064" xr:uid="{00000000-0005-0000-0000-0000432A0000}"/>
    <cellStyle name="Percent 7 2 5 2 2" xfId="9065" xr:uid="{00000000-0005-0000-0000-0000442A0000}"/>
    <cellStyle name="Percent 7 2 5 2 3" xfId="11014" xr:uid="{00000000-0005-0000-0000-0000452A0000}"/>
    <cellStyle name="Percent 7 2 5 3" xfId="9066" xr:uid="{00000000-0005-0000-0000-0000462A0000}"/>
    <cellStyle name="Percent 7 2 5 4" xfId="11013" xr:uid="{00000000-0005-0000-0000-0000472A0000}"/>
    <cellStyle name="Percent 7 2 6" xfId="9067" xr:uid="{00000000-0005-0000-0000-0000482A0000}"/>
    <cellStyle name="Percent 7 2 6 2" xfId="9068" xr:uid="{00000000-0005-0000-0000-0000492A0000}"/>
    <cellStyle name="Percent 7 2 6 2 2" xfId="9069" xr:uid="{00000000-0005-0000-0000-00004A2A0000}"/>
    <cellStyle name="Percent 7 2 6 2 3" xfId="11016" xr:uid="{00000000-0005-0000-0000-00004B2A0000}"/>
    <cellStyle name="Percent 7 2 6 3" xfId="9070" xr:uid="{00000000-0005-0000-0000-00004C2A0000}"/>
    <cellStyle name="Percent 7 2 6 4" xfId="11015" xr:uid="{00000000-0005-0000-0000-00004D2A0000}"/>
    <cellStyle name="Percent 7 2 7" xfId="9071" xr:uid="{00000000-0005-0000-0000-00004E2A0000}"/>
    <cellStyle name="Percent 7 2 7 2" xfId="9072" xr:uid="{00000000-0005-0000-0000-00004F2A0000}"/>
    <cellStyle name="Percent 7 2 7 2 2" xfId="9073" xr:uid="{00000000-0005-0000-0000-0000502A0000}"/>
    <cellStyle name="Percent 7 2 7 2 3" xfId="11018" xr:uid="{00000000-0005-0000-0000-0000512A0000}"/>
    <cellStyle name="Percent 7 2 7 3" xfId="9074" xr:uid="{00000000-0005-0000-0000-0000522A0000}"/>
    <cellStyle name="Percent 7 2 7 4" xfId="11017" xr:uid="{00000000-0005-0000-0000-0000532A0000}"/>
    <cellStyle name="Percent 7 2 8" xfId="9075" xr:uid="{00000000-0005-0000-0000-0000542A0000}"/>
    <cellStyle name="Percent 7 2 8 2" xfId="9076" xr:uid="{00000000-0005-0000-0000-0000552A0000}"/>
    <cellStyle name="Percent 7 2 8 2 2" xfId="9077" xr:uid="{00000000-0005-0000-0000-0000562A0000}"/>
    <cellStyle name="Percent 7 2 8 2 3" xfId="11020" xr:uid="{00000000-0005-0000-0000-0000572A0000}"/>
    <cellStyle name="Percent 7 2 8 3" xfId="9078" xr:uid="{00000000-0005-0000-0000-0000582A0000}"/>
    <cellStyle name="Percent 7 2 8 4" xfId="11019" xr:uid="{00000000-0005-0000-0000-0000592A0000}"/>
    <cellStyle name="Percent 7 2 9" xfId="9079" xr:uid="{00000000-0005-0000-0000-00005A2A0000}"/>
    <cellStyle name="Percent 7 2 9 2" xfId="9080" xr:uid="{00000000-0005-0000-0000-00005B2A0000}"/>
    <cellStyle name="Percent 7 2 9 2 2" xfId="9081" xr:uid="{00000000-0005-0000-0000-00005C2A0000}"/>
    <cellStyle name="Percent 7 2 9 2 3" xfId="11022" xr:uid="{00000000-0005-0000-0000-00005D2A0000}"/>
    <cellStyle name="Percent 7 2 9 3" xfId="9082" xr:uid="{00000000-0005-0000-0000-00005E2A0000}"/>
    <cellStyle name="Percent 7 2 9 4" xfId="11021" xr:uid="{00000000-0005-0000-0000-00005F2A0000}"/>
    <cellStyle name="Percent 7 3" xfId="9083" xr:uid="{00000000-0005-0000-0000-0000602A0000}"/>
    <cellStyle name="Percent 7 4" xfId="9084" xr:uid="{00000000-0005-0000-0000-0000612A0000}"/>
    <cellStyle name="Percent 7 5" xfId="9085" xr:uid="{00000000-0005-0000-0000-0000622A0000}"/>
    <cellStyle name="Percent 7 6" xfId="9086" xr:uid="{00000000-0005-0000-0000-0000632A0000}"/>
    <cellStyle name="Percent 7 7" xfId="9087" xr:uid="{00000000-0005-0000-0000-0000642A0000}"/>
    <cellStyle name="Percent 7 8" xfId="9088" xr:uid="{00000000-0005-0000-0000-0000652A0000}"/>
    <cellStyle name="Percent 7 9" xfId="9089" xr:uid="{00000000-0005-0000-0000-0000662A0000}"/>
    <cellStyle name="Percent 70" xfId="9090" xr:uid="{00000000-0005-0000-0000-0000672A0000}"/>
    <cellStyle name="Percent 71" xfId="9091" xr:uid="{00000000-0005-0000-0000-0000682A0000}"/>
    <cellStyle name="Percent 72" xfId="9092" xr:uid="{00000000-0005-0000-0000-0000692A0000}"/>
    <cellStyle name="Percent 73" xfId="9093" xr:uid="{00000000-0005-0000-0000-00006A2A0000}"/>
    <cellStyle name="Percent 73 2" xfId="9094" xr:uid="{00000000-0005-0000-0000-00006B2A0000}"/>
    <cellStyle name="Percent 73 2 2" xfId="11159" xr:uid="{00000000-0005-0000-0000-00006C2A0000}"/>
    <cellStyle name="Percent 74" xfId="9095" xr:uid="{00000000-0005-0000-0000-00006D2A0000}"/>
    <cellStyle name="Percent 74 2" xfId="11061" xr:uid="{00000000-0005-0000-0000-00006E2A0000}"/>
    <cellStyle name="Percent 75" xfId="9096" xr:uid="{00000000-0005-0000-0000-00006F2A0000}"/>
    <cellStyle name="Percent 75 2" xfId="11067" xr:uid="{00000000-0005-0000-0000-0000702A0000}"/>
    <cellStyle name="Percent 76" xfId="9097" xr:uid="{00000000-0005-0000-0000-0000712A0000}"/>
    <cellStyle name="Percent 76 2" xfId="11151" xr:uid="{00000000-0005-0000-0000-0000722A0000}"/>
    <cellStyle name="Percent 77" xfId="9098" xr:uid="{00000000-0005-0000-0000-0000732A0000}"/>
    <cellStyle name="Percent 77 2" xfId="11167" xr:uid="{00000000-0005-0000-0000-0000742A0000}"/>
    <cellStyle name="Percent 78" xfId="9099" xr:uid="{00000000-0005-0000-0000-0000752A0000}"/>
    <cellStyle name="Percent 78 2" xfId="9397" xr:uid="{00000000-0005-0000-0000-0000762A0000}"/>
    <cellStyle name="Percent 78 2 2" xfId="11179" xr:uid="{00000000-0005-0000-0000-0000772A0000}"/>
    <cellStyle name="Percent 78 3" xfId="11171" xr:uid="{00000000-0005-0000-0000-0000782A0000}"/>
    <cellStyle name="Percent 79" xfId="9100" xr:uid="{00000000-0005-0000-0000-0000792A0000}"/>
    <cellStyle name="Percent 79 2" xfId="11175" xr:uid="{00000000-0005-0000-0000-00007A2A0000}"/>
    <cellStyle name="Percent 79 3" xfId="11201" xr:uid="{00000000-0005-0000-0000-00007B2A0000}"/>
    <cellStyle name="Percent 8" xfId="9101" xr:uid="{00000000-0005-0000-0000-00007C2A0000}"/>
    <cellStyle name="Percent 8 2" xfId="9102" xr:uid="{00000000-0005-0000-0000-00007D2A0000}"/>
    <cellStyle name="Percent 8 2 2" xfId="9103" xr:uid="{00000000-0005-0000-0000-00007E2A0000}"/>
    <cellStyle name="Percent 8 2 2 2" xfId="9104" xr:uid="{00000000-0005-0000-0000-00007F2A0000}"/>
    <cellStyle name="Percent 8 2 2 2 2" xfId="9105" xr:uid="{00000000-0005-0000-0000-0000802A0000}"/>
    <cellStyle name="Percent 8 2 2 2 2 2" xfId="9106" xr:uid="{00000000-0005-0000-0000-0000812A0000}"/>
    <cellStyle name="Percent 8 2 2 2 2 3" xfId="11025" xr:uid="{00000000-0005-0000-0000-0000822A0000}"/>
    <cellStyle name="Percent 8 2 2 2 3" xfId="9107" xr:uid="{00000000-0005-0000-0000-0000832A0000}"/>
    <cellStyle name="Percent 8 2 2 2 4" xfId="11024" xr:uid="{00000000-0005-0000-0000-0000842A0000}"/>
    <cellStyle name="Percent 8 2 2 3" xfId="9108" xr:uid="{00000000-0005-0000-0000-0000852A0000}"/>
    <cellStyle name="Percent 8 2 2 3 2" xfId="9109" xr:uid="{00000000-0005-0000-0000-0000862A0000}"/>
    <cellStyle name="Percent 8 2 2 3 2 2" xfId="9110" xr:uid="{00000000-0005-0000-0000-0000872A0000}"/>
    <cellStyle name="Percent 8 2 2 3 2 3" xfId="11027" xr:uid="{00000000-0005-0000-0000-0000882A0000}"/>
    <cellStyle name="Percent 8 2 2 3 3" xfId="9111" xr:uid="{00000000-0005-0000-0000-0000892A0000}"/>
    <cellStyle name="Percent 8 2 2 3 4" xfId="11026" xr:uid="{00000000-0005-0000-0000-00008A2A0000}"/>
    <cellStyle name="Percent 8 2 2 4" xfId="9112" xr:uid="{00000000-0005-0000-0000-00008B2A0000}"/>
    <cellStyle name="Percent 8 2 2 4 2" xfId="9113" xr:uid="{00000000-0005-0000-0000-00008C2A0000}"/>
    <cellStyle name="Percent 8 2 2 4 2 2" xfId="9114" xr:uid="{00000000-0005-0000-0000-00008D2A0000}"/>
    <cellStyle name="Percent 8 2 2 4 2 3" xfId="11029" xr:uid="{00000000-0005-0000-0000-00008E2A0000}"/>
    <cellStyle name="Percent 8 2 2 4 3" xfId="9115" xr:uid="{00000000-0005-0000-0000-00008F2A0000}"/>
    <cellStyle name="Percent 8 2 2 4 4" xfId="11028" xr:uid="{00000000-0005-0000-0000-0000902A0000}"/>
    <cellStyle name="Percent 8 2 2 5" xfId="9116" xr:uid="{00000000-0005-0000-0000-0000912A0000}"/>
    <cellStyle name="Percent 8 2 2 5 2" xfId="9117" xr:uid="{00000000-0005-0000-0000-0000922A0000}"/>
    <cellStyle name="Percent 8 2 2 5 2 2" xfId="9118" xr:uid="{00000000-0005-0000-0000-0000932A0000}"/>
    <cellStyle name="Percent 8 2 2 5 2 3" xfId="11031" xr:uid="{00000000-0005-0000-0000-0000942A0000}"/>
    <cellStyle name="Percent 8 2 2 5 3" xfId="9119" xr:uid="{00000000-0005-0000-0000-0000952A0000}"/>
    <cellStyle name="Percent 8 2 2 5 4" xfId="11030" xr:uid="{00000000-0005-0000-0000-0000962A0000}"/>
    <cellStyle name="Percent 8 2 3" xfId="9120" xr:uid="{00000000-0005-0000-0000-0000972A0000}"/>
    <cellStyle name="Percent 8 2 4" xfId="9121" xr:uid="{00000000-0005-0000-0000-0000982A0000}"/>
    <cellStyle name="Percent 8 2 5" xfId="9122" xr:uid="{00000000-0005-0000-0000-0000992A0000}"/>
    <cellStyle name="Percent 8 2 6" xfId="9123" xr:uid="{00000000-0005-0000-0000-00009A2A0000}"/>
    <cellStyle name="Percent 8 2 6 2" xfId="9124" xr:uid="{00000000-0005-0000-0000-00009B2A0000}"/>
    <cellStyle name="Percent 8 2 6 3" xfId="11032" xr:uid="{00000000-0005-0000-0000-00009C2A0000}"/>
    <cellStyle name="Percent 8 2 7" xfId="9125" xr:uid="{00000000-0005-0000-0000-00009D2A0000}"/>
    <cellStyle name="Percent 8 2 8" xfId="11023" xr:uid="{00000000-0005-0000-0000-00009E2A0000}"/>
    <cellStyle name="Percent 8 3" xfId="9126" xr:uid="{00000000-0005-0000-0000-00009F2A0000}"/>
    <cellStyle name="Percent 8 3 2" xfId="9127" xr:uid="{00000000-0005-0000-0000-0000A02A0000}"/>
    <cellStyle name="Percent 8 3 2 2" xfId="9128" xr:uid="{00000000-0005-0000-0000-0000A12A0000}"/>
    <cellStyle name="Percent 8 3 2 3" xfId="11034" xr:uid="{00000000-0005-0000-0000-0000A22A0000}"/>
    <cellStyle name="Percent 8 3 3" xfId="9129" xr:uid="{00000000-0005-0000-0000-0000A32A0000}"/>
    <cellStyle name="Percent 8 3 4" xfId="11033" xr:uid="{00000000-0005-0000-0000-0000A42A0000}"/>
    <cellStyle name="Percent 8 4" xfId="9130" xr:uid="{00000000-0005-0000-0000-0000A52A0000}"/>
    <cellStyle name="Percent 8 4 2" xfId="9131" xr:uid="{00000000-0005-0000-0000-0000A62A0000}"/>
    <cellStyle name="Percent 8 4 2 2" xfId="9132" xr:uid="{00000000-0005-0000-0000-0000A72A0000}"/>
    <cellStyle name="Percent 8 4 2 3" xfId="11036" xr:uid="{00000000-0005-0000-0000-0000A82A0000}"/>
    <cellStyle name="Percent 8 4 3" xfId="9133" xr:uid="{00000000-0005-0000-0000-0000A92A0000}"/>
    <cellStyle name="Percent 8 4 4" xfId="11035" xr:uid="{00000000-0005-0000-0000-0000AA2A0000}"/>
    <cellStyle name="Percent 8 5" xfId="9134" xr:uid="{00000000-0005-0000-0000-0000AB2A0000}"/>
    <cellStyle name="Percent 8 5 2" xfId="9135" xr:uid="{00000000-0005-0000-0000-0000AC2A0000}"/>
    <cellStyle name="Percent 8 5 2 2" xfId="9136" xr:uid="{00000000-0005-0000-0000-0000AD2A0000}"/>
    <cellStyle name="Percent 8 5 2 3" xfId="11038" xr:uid="{00000000-0005-0000-0000-0000AE2A0000}"/>
    <cellStyle name="Percent 8 5 3" xfId="9137" xr:uid="{00000000-0005-0000-0000-0000AF2A0000}"/>
    <cellStyle name="Percent 8 5 4" xfId="11037" xr:uid="{00000000-0005-0000-0000-0000B02A0000}"/>
    <cellStyle name="Percent 8 6" xfId="9138" xr:uid="{00000000-0005-0000-0000-0000B12A0000}"/>
    <cellStyle name="Percent 8 6 2" xfId="9139" xr:uid="{00000000-0005-0000-0000-0000B22A0000}"/>
    <cellStyle name="Percent 8 6 2 2" xfId="9140" xr:uid="{00000000-0005-0000-0000-0000B32A0000}"/>
    <cellStyle name="Percent 8 6 2 3" xfId="11040" xr:uid="{00000000-0005-0000-0000-0000B42A0000}"/>
    <cellStyle name="Percent 8 6 3" xfId="9141" xr:uid="{00000000-0005-0000-0000-0000B52A0000}"/>
    <cellStyle name="Percent 8 6 4" xfId="11039" xr:uid="{00000000-0005-0000-0000-0000B62A0000}"/>
    <cellStyle name="Percent 8 7" xfId="9142" xr:uid="{00000000-0005-0000-0000-0000B72A0000}"/>
    <cellStyle name="Percent 8 7 2" xfId="9143" xr:uid="{00000000-0005-0000-0000-0000B82A0000}"/>
    <cellStyle name="Percent 8 7 3" xfId="9144" xr:uid="{00000000-0005-0000-0000-0000B92A0000}"/>
    <cellStyle name="Percent 8 7 4" xfId="11041" xr:uid="{00000000-0005-0000-0000-0000BA2A0000}"/>
    <cellStyle name="Percent 8 8" xfId="9145" xr:uid="{00000000-0005-0000-0000-0000BB2A0000}"/>
    <cellStyle name="Percent 8 8 2" xfId="11149" xr:uid="{00000000-0005-0000-0000-0000BC2A0000}"/>
    <cellStyle name="Percent 80" xfId="9146" xr:uid="{00000000-0005-0000-0000-0000BD2A0000}"/>
    <cellStyle name="Percent 80 2" xfId="11185" xr:uid="{00000000-0005-0000-0000-0000BE2A0000}"/>
    <cellStyle name="Percent 80 3" xfId="11182" xr:uid="{00000000-0005-0000-0000-0000BF2A0000}"/>
    <cellStyle name="Percent 81" xfId="9147" xr:uid="{00000000-0005-0000-0000-0000C02A0000}"/>
    <cellStyle name="Percent 81 2" xfId="11188" xr:uid="{00000000-0005-0000-0000-0000C12A0000}"/>
    <cellStyle name="Percent 82" xfId="9148" xr:uid="{00000000-0005-0000-0000-0000C22A0000}"/>
    <cellStyle name="Percent 82 2" xfId="11191" xr:uid="{00000000-0005-0000-0000-0000C32A0000}"/>
    <cellStyle name="Percent 82 3" xfId="11208" xr:uid="{00000000-0005-0000-0000-0000C42A0000}"/>
    <cellStyle name="Percent 83" xfId="9149" xr:uid="{00000000-0005-0000-0000-0000C52A0000}"/>
    <cellStyle name="Percent 84" xfId="9150" xr:uid="{00000000-0005-0000-0000-0000C62A0000}"/>
    <cellStyle name="Percent 85" xfId="9151" xr:uid="{00000000-0005-0000-0000-0000C72A0000}"/>
    <cellStyle name="Percent 86" xfId="9152" xr:uid="{00000000-0005-0000-0000-0000C82A0000}"/>
    <cellStyle name="Percent 87" xfId="9377" xr:uid="{00000000-0005-0000-0000-0000C92A0000}"/>
    <cellStyle name="Percent 88" xfId="9379" xr:uid="{00000000-0005-0000-0000-0000CA2A0000}"/>
    <cellStyle name="Percent 88 2" xfId="9392" xr:uid="{00000000-0005-0000-0000-0000CB2A0000}"/>
    <cellStyle name="Percent 88 2 2" xfId="11170" xr:uid="{00000000-0005-0000-0000-0000CC2A0000}"/>
    <cellStyle name="Percent 88 3" xfId="11178" xr:uid="{00000000-0005-0000-0000-0000CD2A0000}"/>
    <cellStyle name="Percent 88 3 2" xfId="11203" xr:uid="{00000000-0005-0000-0000-0000CE2A0000}"/>
    <cellStyle name="Percent 88 4" xfId="11169" xr:uid="{00000000-0005-0000-0000-0000CF2A0000}"/>
    <cellStyle name="Percent 89" xfId="9380" xr:uid="{00000000-0005-0000-0000-0000D02A0000}"/>
    <cellStyle name="Percent 9" xfId="9153" xr:uid="{00000000-0005-0000-0000-0000D12A0000}"/>
    <cellStyle name="Percent 9 2" xfId="9154" xr:uid="{00000000-0005-0000-0000-0000D22A0000}"/>
    <cellStyle name="Percent 9 3" xfId="9155" xr:uid="{00000000-0005-0000-0000-0000D32A0000}"/>
    <cellStyle name="Percent 90" xfId="9383" xr:uid="{00000000-0005-0000-0000-0000D42A0000}"/>
    <cellStyle name="Percent 90 2" xfId="9390" xr:uid="{00000000-0005-0000-0000-0000D52A0000}"/>
    <cellStyle name="Percent 91" xfId="9384" xr:uid="{00000000-0005-0000-0000-0000D62A0000}"/>
    <cellStyle name="Percent 92" xfId="9399" xr:uid="{00000000-0005-0000-0000-0000D72A0000}"/>
    <cellStyle name="Percent 93" xfId="9403" xr:uid="{00000000-0005-0000-0000-0000D82A0000}"/>
    <cellStyle name="Percent 94" xfId="11166" xr:uid="{00000000-0005-0000-0000-0000D92A0000}"/>
    <cellStyle name="Percent 94 2" xfId="9406" xr:uid="{00000000-0005-0000-0000-0000DA2A0000}"/>
    <cellStyle name="Percent 94 2 2" xfId="11189" xr:uid="{00000000-0005-0000-0000-0000DB2A0000}"/>
    <cellStyle name="Percent 94 2 3" xfId="11206" xr:uid="{00000000-0005-0000-0000-0000DC2A0000}"/>
    <cellStyle name="PRINTFONT" xfId="9156" xr:uid="{00000000-0005-0000-0000-0000DD2A0000}"/>
    <cellStyle name="PSChar" xfId="9157" xr:uid="{00000000-0005-0000-0000-0000DE2A0000}"/>
    <cellStyle name="PSDate" xfId="9158" xr:uid="{00000000-0005-0000-0000-0000DF2A0000}"/>
    <cellStyle name="PSDec" xfId="9159" xr:uid="{00000000-0005-0000-0000-0000E02A0000}"/>
    <cellStyle name="PSHeading" xfId="9160" xr:uid="{00000000-0005-0000-0000-0000E12A0000}"/>
    <cellStyle name="PSHeading 2" xfId="11042" xr:uid="{00000000-0005-0000-0000-0000E22A0000}"/>
    <cellStyle name="PSInt" xfId="9161" xr:uid="{00000000-0005-0000-0000-0000E32A0000}"/>
    <cellStyle name="PSSpacer" xfId="9162" xr:uid="{00000000-0005-0000-0000-0000E42A0000}"/>
    <cellStyle name="RangeBelow" xfId="9163" xr:uid="{00000000-0005-0000-0000-0000E52A0000}"/>
    <cellStyle name="Reset  - Style4" xfId="9164" xr:uid="{00000000-0005-0000-0000-0000E62A0000}"/>
    <cellStyle name="Reset  - Style7" xfId="9165" xr:uid="{00000000-0005-0000-0000-0000E72A0000}"/>
    <cellStyle name="STD" xfId="9166" xr:uid="{00000000-0005-0000-0000-0000E82A0000}"/>
    <cellStyle name="Style 21" xfId="9167" xr:uid="{00000000-0005-0000-0000-0000E92A0000}"/>
    <cellStyle name="Style 21 2" xfId="9168" xr:uid="{00000000-0005-0000-0000-0000EA2A0000}"/>
    <cellStyle name="Style 21 3" xfId="9169" xr:uid="{00000000-0005-0000-0000-0000EB2A0000}"/>
    <cellStyle name="Style 21 4" xfId="9170" xr:uid="{00000000-0005-0000-0000-0000EC2A0000}"/>
    <cellStyle name="Style 21 5" xfId="9171" xr:uid="{00000000-0005-0000-0000-0000ED2A0000}"/>
    <cellStyle name="Style 22" xfId="6" xr:uid="{00000000-0005-0000-0000-0000EE2A0000}"/>
    <cellStyle name="Style 22 2" xfId="9172" xr:uid="{00000000-0005-0000-0000-0000EF2A0000}"/>
    <cellStyle name="Style 22 3" xfId="9173" xr:uid="{00000000-0005-0000-0000-0000F02A0000}"/>
    <cellStyle name="Style 22 4" xfId="9174" xr:uid="{00000000-0005-0000-0000-0000F12A0000}"/>
    <cellStyle name="Style 22 5" xfId="9175" xr:uid="{00000000-0005-0000-0000-0000F22A0000}"/>
    <cellStyle name="Style 23" xfId="9176" xr:uid="{00000000-0005-0000-0000-0000F32A0000}"/>
    <cellStyle name="Style 23 2" xfId="9177" xr:uid="{00000000-0005-0000-0000-0000F42A0000}"/>
    <cellStyle name="Style 23 3" xfId="9178" xr:uid="{00000000-0005-0000-0000-0000F52A0000}"/>
    <cellStyle name="Style 23 4" xfId="9179" xr:uid="{00000000-0005-0000-0000-0000F62A0000}"/>
    <cellStyle name="Style 23 5" xfId="9180" xr:uid="{00000000-0005-0000-0000-0000F72A0000}"/>
    <cellStyle name="Style 24" xfId="7" xr:uid="{00000000-0005-0000-0000-0000F82A0000}"/>
    <cellStyle name="Style 24 2" xfId="9181" xr:uid="{00000000-0005-0000-0000-0000F92A0000}"/>
    <cellStyle name="Style 24 3" xfId="9182" xr:uid="{00000000-0005-0000-0000-0000FA2A0000}"/>
    <cellStyle name="Style 24 4" xfId="9183" xr:uid="{00000000-0005-0000-0000-0000FB2A0000}"/>
    <cellStyle name="Style 24 5" xfId="9184" xr:uid="{00000000-0005-0000-0000-0000FC2A0000}"/>
    <cellStyle name="Style 25" xfId="9185" xr:uid="{00000000-0005-0000-0000-0000FD2A0000}"/>
    <cellStyle name="Style 25 10" xfId="9186" xr:uid="{00000000-0005-0000-0000-0000FE2A0000}"/>
    <cellStyle name="Style 25 2" xfId="9187" xr:uid="{00000000-0005-0000-0000-0000FF2A0000}"/>
    <cellStyle name="Style 25 3" xfId="9188" xr:uid="{00000000-0005-0000-0000-0000002B0000}"/>
    <cellStyle name="Style 25 4" xfId="9189" xr:uid="{00000000-0005-0000-0000-0000012B0000}"/>
    <cellStyle name="Style 25 5" xfId="9190" xr:uid="{00000000-0005-0000-0000-0000022B0000}"/>
    <cellStyle name="Style 25 6" xfId="9191" xr:uid="{00000000-0005-0000-0000-0000032B0000}"/>
    <cellStyle name="Style 25 7" xfId="9192" xr:uid="{00000000-0005-0000-0000-0000042B0000}"/>
    <cellStyle name="Style 25 8" xfId="9193" xr:uid="{00000000-0005-0000-0000-0000052B0000}"/>
    <cellStyle name="Style 25 9" xfId="9194" xr:uid="{00000000-0005-0000-0000-0000062B0000}"/>
    <cellStyle name="Style 26" xfId="9195" xr:uid="{00000000-0005-0000-0000-0000072B0000}"/>
    <cellStyle name="Style 26 2" xfId="9196" xr:uid="{00000000-0005-0000-0000-0000082B0000}"/>
    <cellStyle name="Style 26 2 2" xfId="9197" xr:uid="{00000000-0005-0000-0000-0000092B0000}"/>
    <cellStyle name="Style 26 3" xfId="9198" xr:uid="{00000000-0005-0000-0000-00000A2B0000}"/>
    <cellStyle name="Style 26 3 2" xfId="9199" xr:uid="{00000000-0005-0000-0000-00000B2B0000}"/>
    <cellStyle name="Style 26 4" xfId="9200" xr:uid="{00000000-0005-0000-0000-00000C2B0000}"/>
    <cellStyle name="Style 26 5" xfId="9201" xr:uid="{00000000-0005-0000-0000-00000D2B0000}"/>
    <cellStyle name="Style 26 6" xfId="9202" xr:uid="{00000000-0005-0000-0000-00000E2B0000}"/>
    <cellStyle name="Style 26 7" xfId="9203" xr:uid="{00000000-0005-0000-0000-00000F2B0000}"/>
    <cellStyle name="Style 27" xfId="9204" xr:uid="{00000000-0005-0000-0000-0000102B0000}"/>
    <cellStyle name="Style 27 2" xfId="9205" xr:uid="{00000000-0005-0000-0000-0000112B0000}"/>
    <cellStyle name="Style 27 3" xfId="9206" xr:uid="{00000000-0005-0000-0000-0000122B0000}"/>
    <cellStyle name="Style 27 4" xfId="9207" xr:uid="{00000000-0005-0000-0000-0000132B0000}"/>
    <cellStyle name="Style 27 5" xfId="9208" xr:uid="{00000000-0005-0000-0000-0000142B0000}"/>
    <cellStyle name="Style 28" xfId="9209" xr:uid="{00000000-0005-0000-0000-0000152B0000}"/>
    <cellStyle name="Style 28 2" xfId="9210" xr:uid="{00000000-0005-0000-0000-0000162B0000}"/>
    <cellStyle name="Style 28 3" xfId="9211" xr:uid="{00000000-0005-0000-0000-0000172B0000}"/>
    <cellStyle name="Style 28 4" xfId="9212" xr:uid="{00000000-0005-0000-0000-0000182B0000}"/>
    <cellStyle name="Style 28 5" xfId="9213" xr:uid="{00000000-0005-0000-0000-0000192B0000}"/>
    <cellStyle name="Style 29" xfId="9214" xr:uid="{00000000-0005-0000-0000-00001A2B0000}"/>
    <cellStyle name="Style 29 10" xfId="9215" xr:uid="{00000000-0005-0000-0000-00001B2B0000}"/>
    <cellStyle name="Style 29 11" xfId="9216" xr:uid="{00000000-0005-0000-0000-00001C2B0000}"/>
    <cellStyle name="Style 29 12" xfId="9217" xr:uid="{00000000-0005-0000-0000-00001D2B0000}"/>
    <cellStyle name="Style 29 13" xfId="9218" xr:uid="{00000000-0005-0000-0000-00001E2B0000}"/>
    <cellStyle name="Style 29 14" xfId="9219" xr:uid="{00000000-0005-0000-0000-00001F2B0000}"/>
    <cellStyle name="Style 29 15" xfId="9220" xr:uid="{00000000-0005-0000-0000-0000202B0000}"/>
    <cellStyle name="Style 29 16" xfId="9221" xr:uid="{00000000-0005-0000-0000-0000212B0000}"/>
    <cellStyle name="Style 29 2" xfId="9222" xr:uid="{00000000-0005-0000-0000-0000222B0000}"/>
    <cellStyle name="Style 29 3" xfId="9223" xr:uid="{00000000-0005-0000-0000-0000232B0000}"/>
    <cellStyle name="Style 29 4" xfId="9224" xr:uid="{00000000-0005-0000-0000-0000242B0000}"/>
    <cellStyle name="Style 29 5" xfId="9225" xr:uid="{00000000-0005-0000-0000-0000252B0000}"/>
    <cellStyle name="Style 29 6" xfId="9226" xr:uid="{00000000-0005-0000-0000-0000262B0000}"/>
    <cellStyle name="Style 29 7" xfId="9227" xr:uid="{00000000-0005-0000-0000-0000272B0000}"/>
    <cellStyle name="Style 29 8" xfId="9228" xr:uid="{00000000-0005-0000-0000-0000282B0000}"/>
    <cellStyle name="Style 29 9" xfId="9229" xr:uid="{00000000-0005-0000-0000-0000292B0000}"/>
    <cellStyle name="Style 30" xfId="9230" xr:uid="{00000000-0005-0000-0000-00002A2B0000}"/>
    <cellStyle name="Style 30 10" xfId="9231" xr:uid="{00000000-0005-0000-0000-00002B2B0000}"/>
    <cellStyle name="Style 30 11" xfId="9232" xr:uid="{00000000-0005-0000-0000-00002C2B0000}"/>
    <cellStyle name="Style 30 12" xfId="9233" xr:uid="{00000000-0005-0000-0000-00002D2B0000}"/>
    <cellStyle name="Style 30 13" xfId="9234" xr:uid="{00000000-0005-0000-0000-00002E2B0000}"/>
    <cellStyle name="Style 30 14" xfId="9235" xr:uid="{00000000-0005-0000-0000-00002F2B0000}"/>
    <cellStyle name="Style 30 15" xfId="9236" xr:uid="{00000000-0005-0000-0000-0000302B0000}"/>
    <cellStyle name="Style 30 16" xfId="9237" xr:uid="{00000000-0005-0000-0000-0000312B0000}"/>
    <cellStyle name="Style 30 2" xfId="9238" xr:uid="{00000000-0005-0000-0000-0000322B0000}"/>
    <cellStyle name="Style 30 3" xfId="9239" xr:uid="{00000000-0005-0000-0000-0000332B0000}"/>
    <cellStyle name="Style 30 4" xfId="9240" xr:uid="{00000000-0005-0000-0000-0000342B0000}"/>
    <cellStyle name="Style 30 5" xfId="9241" xr:uid="{00000000-0005-0000-0000-0000352B0000}"/>
    <cellStyle name="Style 30 6" xfId="9242" xr:uid="{00000000-0005-0000-0000-0000362B0000}"/>
    <cellStyle name="Style 30 7" xfId="9243" xr:uid="{00000000-0005-0000-0000-0000372B0000}"/>
    <cellStyle name="Style 30 8" xfId="9244" xr:uid="{00000000-0005-0000-0000-0000382B0000}"/>
    <cellStyle name="Style 30 9" xfId="9245" xr:uid="{00000000-0005-0000-0000-0000392B0000}"/>
    <cellStyle name="Style 31" xfId="9246" xr:uid="{00000000-0005-0000-0000-00003A2B0000}"/>
    <cellStyle name="Style 31 2" xfId="9247" xr:uid="{00000000-0005-0000-0000-00003B2B0000}"/>
    <cellStyle name="Style 31 3" xfId="9248" xr:uid="{00000000-0005-0000-0000-00003C2B0000}"/>
    <cellStyle name="Style 31 4" xfId="9249" xr:uid="{00000000-0005-0000-0000-00003D2B0000}"/>
    <cellStyle name="Style 31 5" xfId="9250" xr:uid="{00000000-0005-0000-0000-00003E2B0000}"/>
    <cellStyle name="Style 32" xfId="9251" xr:uid="{00000000-0005-0000-0000-00003F2B0000}"/>
    <cellStyle name="Style 32 2" xfId="9252" xr:uid="{00000000-0005-0000-0000-0000402B0000}"/>
    <cellStyle name="Style 32 3" xfId="9253" xr:uid="{00000000-0005-0000-0000-0000412B0000}"/>
    <cellStyle name="Style 32 4" xfId="9254" xr:uid="{00000000-0005-0000-0000-0000422B0000}"/>
    <cellStyle name="Style 32 5" xfId="9255" xr:uid="{00000000-0005-0000-0000-0000432B0000}"/>
    <cellStyle name="Style 32 6" xfId="9256" xr:uid="{00000000-0005-0000-0000-0000442B0000}"/>
    <cellStyle name="Style 32 7" xfId="9257" xr:uid="{00000000-0005-0000-0000-0000452B0000}"/>
    <cellStyle name="Style 32 8" xfId="9258" xr:uid="{00000000-0005-0000-0000-0000462B0000}"/>
    <cellStyle name="Style 33" xfId="9259" xr:uid="{00000000-0005-0000-0000-0000472B0000}"/>
    <cellStyle name="Style 33 10" xfId="9260" xr:uid="{00000000-0005-0000-0000-0000482B0000}"/>
    <cellStyle name="Style 33 11" xfId="9261" xr:uid="{00000000-0005-0000-0000-0000492B0000}"/>
    <cellStyle name="Style 33 12" xfId="9262" xr:uid="{00000000-0005-0000-0000-00004A2B0000}"/>
    <cellStyle name="Style 33 13" xfId="9263" xr:uid="{00000000-0005-0000-0000-00004B2B0000}"/>
    <cellStyle name="Style 33 14" xfId="9264" xr:uid="{00000000-0005-0000-0000-00004C2B0000}"/>
    <cellStyle name="Style 33 15" xfId="9265" xr:uid="{00000000-0005-0000-0000-00004D2B0000}"/>
    <cellStyle name="Style 33 16" xfId="9266" xr:uid="{00000000-0005-0000-0000-00004E2B0000}"/>
    <cellStyle name="Style 33 2" xfId="9267" xr:uid="{00000000-0005-0000-0000-00004F2B0000}"/>
    <cellStyle name="Style 33 3" xfId="9268" xr:uid="{00000000-0005-0000-0000-0000502B0000}"/>
    <cellStyle name="Style 33 4" xfId="9269" xr:uid="{00000000-0005-0000-0000-0000512B0000}"/>
    <cellStyle name="Style 33 5" xfId="9270" xr:uid="{00000000-0005-0000-0000-0000522B0000}"/>
    <cellStyle name="Style 33 6" xfId="9271" xr:uid="{00000000-0005-0000-0000-0000532B0000}"/>
    <cellStyle name="Style 33 7" xfId="9272" xr:uid="{00000000-0005-0000-0000-0000542B0000}"/>
    <cellStyle name="Style 33 8" xfId="9273" xr:uid="{00000000-0005-0000-0000-0000552B0000}"/>
    <cellStyle name="Style 33 9" xfId="9274" xr:uid="{00000000-0005-0000-0000-0000562B0000}"/>
    <cellStyle name="Style 34" xfId="9275" xr:uid="{00000000-0005-0000-0000-0000572B0000}"/>
    <cellStyle name="Style 34 10" xfId="9276" xr:uid="{00000000-0005-0000-0000-0000582B0000}"/>
    <cellStyle name="Style 34 11" xfId="9277" xr:uid="{00000000-0005-0000-0000-0000592B0000}"/>
    <cellStyle name="Style 34 12" xfId="9278" xr:uid="{00000000-0005-0000-0000-00005A2B0000}"/>
    <cellStyle name="Style 34 13" xfId="9279" xr:uid="{00000000-0005-0000-0000-00005B2B0000}"/>
    <cellStyle name="Style 34 14" xfId="9280" xr:uid="{00000000-0005-0000-0000-00005C2B0000}"/>
    <cellStyle name="Style 34 15" xfId="9281" xr:uid="{00000000-0005-0000-0000-00005D2B0000}"/>
    <cellStyle name="Style 34 16" xfId="9282" xr:uid="{00000000-0005-0000-0000-00005E2B0000}"/>
    <cellStyle name="Style 34 2" xfId="9283" xr:uid="{00000000-0005-0000-0000-00005F2B0000}"/>
    <cellStyle name="Style 34 3" xfId="9284" xr:uid="{00000000-0005-0000-0000-0000602B0000}"/>
    <cellStyle name="Style 34 4" xfId="9285" xr:uid="{00000000-0005-0000-0000-0000612B0000}"/>
    <cellStyle name="Style 34 5" xfId="9286" xr:uid="{00000000-0005-0000-0000-0000622B0000}"/>
    <cellStyle name="Style 34 6" xfId="9287" xr:uid="{00000000-0005-0000-0000-0000632B0000}"/>
    <cellStyle name="Style 34 7" xfId="9288" xr:uid="{00000000-0005-0000-0000-0000642B0000}"/>
    <cellStyle name="Style 34 8" xfId="9289" xr:uid="{00000000-0005-0000-0000-0000652B0000}"/>
    <cellStyle name="Style 34 9" xfId="9290" xr:uid="{00000000-0005-0000-0000-0000662B0000}"/>
    <cellStyle name="Style 35" xfId="9291" xr:uid="{00000000-0005-0000-0000-0000672B0000}"/>
    <cellStyle name="Style 35 10" xfId="9292" xr:uid="{00000000-0005-0000-0000-0000682B0000}"/>
    <cellStyle name="Style 35 11" xfId="9293" xr:uid="{00000000-0005-0000-0000-0000692B0000}"/>
    <cellStyle name="Style 35 12" xfId="9294" xr:uid="{00000000-0005-0000-0000-00006A2B0000}"/>
    <cellStyle name="Style 35 13" xfId="9295" xr:uid="{00000000-0005-0000-0000-00006B2B0000}"/>
    <cellStyle name="Style 35 14" xfId="9296" xr:uid="{00000000-0005-0000-0000-00006C2B0000}"/>
    <cellStyle name="Style 35 15" xfId="9297" xr:uid="{00000000-0005-0000-0000-00006D2B0000}"/>
    <cellStyle name="Style 35 16" xfId="9298" xr:uid="{00000000-0005-0000-0000-00006E2B0000}"/>
    <cellStyle name="Style 35 2" xfId="9299" xr:uid="{00000000-0005-0000-0000-00006F2B0000}"/>
    <cellStyle name="Style 35 3" xfId="9300" xr:uid="{00000000-0005-0000-0000-0000702B0000}"/>
    <cellStyle name="Style 35 4" xfId="9301" xr:uid="{00000000-0005-0000-0000-0000712B0000}"/>
    <cellStyle name="Style 35 5" xfId="9302" xr:uid="{00000000-0005-0000-0000-0000722B0000}"/>
    <cellStyle name="Style 35 6" xfId="9303" xr:uid="{00000000-0005-0000-0000-0000732B0000}"/>
    <cellStyle name="Style 35 7" xfId="9304" xr:uid="{00000000-0005-0000-0000-0000742B0000}"/>
    <cellStyle name="Style 35 8" xfId="9305" xr:uid="{00000000-0005-0000-0000-0000752B0000}"/>
    <cellStyle name="Style 35 9" xfId="9306" xr:uid="{00000000-0005-0000-0000-0000762B0000}"/>
    <cellStyle name="Style 36" xfId="9307" xr:uid="{00000000-0005-0000-0000-0000772B0000}"/>
    <cellStyle name="Style 36 10" xfId="9308" xr:uid="{00000000-0005-0000-0000-0000782B0000}"/>
    <cellStyle name="Style 36 11" xfId="9309" xr:uid="{00000000-0005-0000-0000-0000792B0000}"/>
    <cellStyle name="Style 36 12" xfId="9310" xr:uid="{00000000-0005-0000-0000-00007A2B0000}"/>
    <cellStyle name="Style 36 13" xfId="9311" xr:uid="{00000000-0005-0000-0000-00007B2B0000}"/>
    <cellStyle name="Style 36 14" xfId="9312" xr:uid="{00000000-0005-0000-0000-00007C2B0000}"/>
    <cellStyle name="Style 36 15" xfId="9313" xr:uid="{00000000-0005-0000-0000-00007D2B0000}"/>
    <cellStyle name="Style 36 16" xfId="9314" xr:uid="{00000000-0005-0000-0000-00007E2B0000}"/>
    <cellStyle name="Style 36 2" xfId="9315" xr:uid="{00000000-0005-0000-0000-00007F2B0000}"/>
    <cellStyle name="Style 36 3" xfId="9316" xr:uid="{00000000-0005-0000-0000-0000802B0000}"/>
    <cellStyle name="Style 36 4" xfId="9317" xr:uid="{00000000-0005-0000-0000-0000812B0000}"/>
    <cellStyle name="Style 36 5" xfId="9318" xr:uid="{00000000-0005-0000-0000-0000822B0000}"/>
    <cellStyle name="Style 36 6" xfId="9319" xr:uid="{00000000-0005-0000-0000-0000832B0000}"/>
    <cellStyle name="Style 36 7" xfId="9320" xr:uid="{00000000-0005-0000-0000-0000842B0000}"/>
    <cellStyle name="Style 36 8" xfId="9321" xr:uid="{00000000-0005-0000-0000-0000852B0000}"/>
    <cellStyle name="Style 36 9" xfId="9322" xr:uid="{00000000-0005-0000-0000-0000862B0000}"/>
    <cellStyle name="Style 39" xfId="9323" xr:uid="{00000000-0005-0000-0000-0000872B0000}"/>
    <cellStyle name="Style 39 10" xfId="9324" xr:uid="{00000000-0005-0000-0000-0000882B0000}"/>
    <cellStyle name="Style 39 10 2" xfId="11045" xr:uid="{00000000-0005-0000-0000-0000892B0000}"/>
    <cellStyle name="Style 39 11" xfId="9325" xr:uid="{00000000-0005-0000-0000-00008A2B0000}"/>
    <cellStyle name="Style 39 11 2" xfId="11046" xr:uid="{00000000-0005-0000-0000-00008B2B0000}"/>
    <cellStyle name="Style 39 12" xfId="9326" xr:uid="{00000000-0005-0000-0000-00008C2B0000}"/>
    <cellStyle name="Style 39 12 2" xfId="11047" xr:uid="{00000000-0005-0000-0000-00008D2B0000}"/>
    <cellStyle name="Style 39 13" xfId="9327" xr:uid="{00000000-0005-0000-0000-00008E2B0000}"/>
    <cellStyle name="Style 39 13 2" xfId="11048" xr:uid="{00000000-0005-0000-0000-00008F2B0000}"/>
    <cellStyle name="Style 39 14" xfId="9328" xr:uid="{00000000-0005-0000-0000-0000902B0000}"/>
    <cellStyle name="Style 39 14 2" xfId="11049" xr:uid="{00000000-0005-0000-0000-0000912B0000}"/>
    <cellStyle name="Style 39 15" xfId="9329" xr:uid="{00000000-0005-0000-0000-0000922B0000}"/>
    <cellStyle name="Style 39 15 2" xfId="11050" xr:uid="{00000000-0005-0000-0000-0000932B0000}"/>
    <cellStyle name="Style 39 16" xfId="9330" xr:uid="{00000000-0005-0000-0000-0000942B0000}"/>
    <cellStyle name="Style 39 16 2" xfId="11051" xr:uid="{00000000-0005-0000-0000-0000952B0000}"/>
    <cellStyle name="Style 39 17" xfId="9331" xr:uid="{00000000-0005-0000-0000-0000962B0000}"/>
    <cellStyle name="Style 39 18" xfId="9411" xr:uid="{00000000-0005-0000-0000-0000972B0000}"/>
    <cellStyle name="Style 39 2" xfId="9332" xr:uid="{00000000-0005-0000-0000-0000982B0000}"/>
    <cellStyle name="Style 39 2 2" xfId="11052" xr:uid="{00000000-0005-0000-0000-0000992B0000}"/>
    <cellStyle name="Style 39 3" xfId="9333" xr:uid="{00000000-0005-0000-0000-00009A2B0000}"/>
    <cellStyle name="Style 39 3 2" xfId="11053" xr:uid="{00000000-0005-0000-0000-00009B2B0000}"/>
    <cellStyle name="Style 39 4" xfId="9334" xr:uid="{00000000-0005-0000-0000-00009C2B0000}"/>
    <cellStyle name="Style 39 4 2" xfId="11054" xr:uid="{00000000-0005-0000-0000-00009D2B0000}"/>
    <cellStyle name="Style 39 5" xfId="9335" xr:uid="{00000000-0005-0000-0000-00009E2B0000}"/>
    <cellStyle name="Style 39 5 2" xfId="11055" xr:uid="{00000000-0005-0000-0000-00009F2B0000}"/>
    <cellStyle name="Style 39 6" xfId="9336" xr:uid="{00000000-0005-0000-0000-0000A02B0000}"/>
    <cellStyle name="Style 39 6 2" xfId="11056" xr:uid="{00000000-0005-0000-0000-0000A12B0000}"/>
    <cellStyle name="Style 39 7" xfId="9337" xr:uid="{00000000-0005-0000-0000-0000A22B0000}"/>
    <cellStyle name="Style 39 7 2" xfId="11057" xr:uid="{00000000-0005-0000-0000-0000A32B0000}"/>
    <cellStyle name="Style 39 8" xfId="9338" xr:uid="{00000000-0005-0000-0000-0000A42B0000}"/>
    <cellStyle name="Style 39 8 2" xfId="11058" xr:uid="{00000000-0005-0000-0000-0000A52B0000}"/>
    <cellStyle name="Style 39 9" xfId="9339" xr:uid="{00000000-0005-0000-0000-0000A62B0000}"/>
    <cellStyle name="Style 39 9 2" xfId="11059" xr:uid="{00000000-0005-0000-0000-0000A72B0000}"/>
    <cellStyle name="SubRoutine" xfId="9340" xr:uid="{00000000-0005-0000-0000-0000A82B0000}"/>
    <cellStyle name="Table  - Style5" xfId="9341" xr:uid="{00000000-0005-0000-0000-0000A92B0000}"/>
    <cellStyle name="Table  - Style6" xfId="9342" xr:uid="{00000000-0005-0000-0000-0000AA2B0000}"/>
    <cellStyle name="Text B &amp; U" xfId="9343" xr:uid="{00000000-0005-0000-0000-0000AB2B0000}"/>
    <cellStyle name="Text STD 1" xfId="9344" xr:uid="{00000000-0005-0000-0000-0000AC2B0000}"/>
    <cellStyle name="Text STD 2" xfId="9345" xr:uid="{00000000-0005-0000-0000-0000AD2B0000}"/>
    <cellStyle name="Text STD 3" xfId="9346" xr:uid="{00000000-0005-0000-0000-0000AE2B0000}"/>
    <cellStyle name="Text Under 0" xfId="9347" xr:uid="{00000000-0005-0000-0000-0000AF2B0000}"/>
    <cellStyle name="Text Under 1" xfId="9348" xr:uid="{00000000-0005-0000-0000-0000B02B0000}"/>
    <cellStyle name="Text Wrap" xfId="9349" xr:uid="{00000000-0005-0000-0000-0000B12B0000}"/>
    <cellStyle name="TextNormal" xfId="9350" xr:uid="{00000000-0005-0000-0000-0000B22B0000}"/>
    <cellStyle name="þ(Î'_x000c_ïþ÷_x000c_âþÖ_x0006__x0002_Þ”_x0013__x0007__x0001__x0001_" xfId="9351" xr:uid="{00000000-0005-0000-0000-0000B32B0000}"/>
    <cellStyle name="Title  - Style1" xfId="9352" xr:uid="{00000000-0005-0000-0000-0000B42B0000}"/>
    <cellStyle name="Title  - Style6" xfId="9353" xr:uid="{00000000-0005-0000-0000-0000B52B0000}"/>
    <cellStyle name="Title 2" xfId="9354" xr:uid="{00000000-0005-0000-0000-0000B62B0000}"/>
    <cellStyle name="Title 3" xfId="9355" xr:uid="{00000000-0005-0000-0000-0000B72B0000}"/>
    <cellStyle name="Title 4" xfId="9356" xr:uid="{00000000-0005-0000-0000-0000B82B0000}"/>
    <cellStyle name="Title 5" xfId="9357" xr:uid="{00000000-0005-0000-0000-0000B92B0000}"/>
    <cellStyle name="Title: Worksheet" xfId="9358" xr:uid="{00000000-0005-0000-0000-0000BA2B0000}"/>
    <cellStyle name="Total 2" xfId="9359" xr:uid="{00000000-0005-0000-0000-0000BB2B0000}"/>
    <cellStyle name="Total 3" xfId="9360" xr:uid="{00000000-0005-0000-0000-0000BC2B0000}"/>
    <cellStyle name="Total 4" xfId="9361" xr:uid="{00000000-0005-0000-0000-0000BD2B0000}"/>
    <cellStyle name="Total 5" xfId="9362" xr:uid="{00000000-0005-0000-0000-0000BE2B0000}"/>
    <cellStyle name="Total 6" xfId="9363" xr:uid="{00000000-0005-0000-0000-0000BF2B0000}"/>
    <cellStyle name="Total 7" xfId="9364" xr:uid="{00000000-0005-0000-0000-0000C02B0000}"/>
    <cellStyle name="TotCol - Style5" xfId="9365" xr:uid="{00000000-0005-0000-0000-0000C12B0000}"/>
    <cellStyle name="TotCol - Style7" xfId="9366" xr:uid="{00000000-0005-0000-0000-0000C22B0000}"/>
    <cellStyle name="TotRow - Style4" xfId="9367" xr:uid="{00000000-0005-0000-0000-0000C32B0000}"/>
    <cellStyle name="TotRow - Style8" xfId="9368" xr:uid="{00000000-0005-0000-0000-0000C42B0000}"/>
    <cellStyle name="Undefined" xfId="9369" xr:uid="{00000000-0005-0000-0000-0000C52B0000}"/>
    <cellStyle name="UnDERLINED" xfId="9370" xr:uid="{00000000-0005-0000-0000-0000C62B0000}"/>
    <cellStyle name="Warning Text 2" xfId="9371" xr:uid="{00000000-0005-0000-0000-0000C72B0000}"/>
    <cellStyle name="Warning Text 3" xfId="9372" xr:uid="{00000000-0005-0000-0000-0000C82B0000}"/>
    <cellStyle name="Warning Text 4" xfId="9373" xr:uid="{00000000-0005-0000-0000-0000C92B0000}"/>
    <cellStyle name="Warning Text 5" xfId="9374" xr:uid="{00000000-0005-0000-0000-0000CA2B0000}"/>
    <cellStyle name="Warning Text 6" xfId="9375" xr:uid="{00000000-0005-0000-0000-0000CB2B0000}"/>
  </cellStyles>
  <dxfs count="15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41081047377908E-2"/>
          <c:y val="7.1141679239542788E-2"/>
          <c:w val="0.90615641794775648"/>
          <c:h val="0.85038145231846063"/>
        </c:manualLayout>
      </c:layout>
      <c:scatterChart>
        <c:scatterStyle val="lineMarker"/>
        <c:varyColors val="0"/>
        <c:ser>
          <c:idx val="4"/>
          <c:order val="0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1CB-41B0-8329-0A47C03FFB9E}"/>
            </c:ext>
          </c:extLst>
        </c:ser>
        <c:ser>
          <c:idx val="8"/>
          <c:order val="1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1CB-41B0-8329-0A47C03FFB9E}"/>
            </c:ext>
          </c:extLst>
        </c:ser>
        <c:ser>
          <c:idx val="9"/>
          <c:order val="2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1CB-41B0-8329-0A47C03FFB9E}"/>
            </c:ext>
          </c:extLst>
        </c:ser>
        <c:ser>
          <c:idx val="10"/>
          <c:order val="3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1CB-41B0-8329-0A47C03FFB9E}"/>
            </c:ext>
          </c:extLst>
        </c:ser>
        <c:ser>
          <c:idx val="11"/>
          <c:order val="4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1CB-41B0-8329-0A47C03FFB9E}"/>
            </c:ext>
          </c:extLst>
        </c:ser>
        <c:ser>
          <c:idx val="12"/>
          <c:order val="5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1CB-41B0-8329-0A47C03FFB9E}"/>
            </c:ext>
          </c:extLst>
        </c:ser>
        <c:ser>
          <c:idx val="13"/>
          <c:order val="6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81CB-41B0-8329-0A47C03FFB9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1CB-41B0-8329-0A47C03FFB9E}"/>
            </c:ext>
          </c:extLst>
        </c:ser>
        <c:ser>
          <c:idx val="1"/>
          <c:order val="7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CB-41B0-8329-0A47C03FFB9E}"/>
            </c:ext>
          </c:extLst>
        </c:ser>
        <c:ser>
          <c:idx val="2"/>
          <c:order val="8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CB-41B0-8329-0A47C03FFB9E}"/>
            </c:ext>
          </c:extLst>
        </c:ser>
        <c:ser>
          <c:idx val="6"/>
          <c:order val="9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CB-41B0-8329-0A47C03FFB9E}"/>
            </c:ext>
          </c:extLst>
        </c:ser>
        <c:ser>
          <c:idx val="7"/>
          <c:order val="10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CB-41B0-8329-0A47C03FFB9E}"/>
            </c:ext>
          </c:extLst>
        </c:ser>
        <c:ser>
          <c:idx val="3"/>
          <c:order val="11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CB-41B0-8329-0A47C03FFB9E}"/>
            </c:ext>
          </c:extLst>
        </c:ser>
        <c:ser>
          <c:idx val="0"/>
          <c:order val="12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1CB-41B0-8329-0A47C03FFB9E}"/>
            </c:ext>
          </c:extLst>
        </c:ser>
        <c:ser>
          <c:idx val="5"/>
          <c:order val="13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1CB-41B0-8329-0A47C03FFB9E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1CB-41B0-8329-0A47C03FFB9E}"/>
            </c:ext>
          </c:extLst>
        </c:ser>
        <c:ser>
          <c:idx val="14"/>
          <c:order val="14"/>
          <c:tx>
            <c:strRef>
              <c:f>'AEB-2 Summary'!$H$20</c:f>
              <c:strCache>
                <c:ptCount val="1"/>
                <c:pt idx="0">
                  <c:v>Expected Earnings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Summary'!$I$20:$I$21</c:f>
              <c:numCache>
                <c:formatCode>0.00%</c:formatCode>
                <c:ptCount val="2"/>
                <c:pt idx="0">
                  <c:v>0.11251553438693646</c:v>
                </c:pt>
                <c:pt idx="1">
                  <c:v>0.11189456048680174</c:v>
                </c:pt>
              </c:numCache>
            </c:numRef>
          </c:xVal>
          <c:yVal>
            <c:numRef>
              <c:f>'AEB-2 Summary'!$J$20:$J$21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1CB-41B0-8329-0A47C03FFB9E}"/>
            </c:ext>
          </c:extLst>
        </c:ser>
        <c:ser>
          <c:idx val="15"/>
          <c:order val="15"/>
          <c:tx>
            <c:v>Recommended 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'AEB-2 Summary'!$I$27:$I$28</c:f>
              <c:numCache>
                <c:formatCode>0.00%</c:formatCode>
                <c:ptCount val="2"/>
              </c:numCache>
            </c:numRef>
          </c:xVal>
          <c:yVal>
            <c:numRef>
              <c:f>'AEB-2 Summary'!$J$27:$J$28</c:f>
              <c:numCache>
                <c:formatCode>0.00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7C-4C6C-B476-525123C6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4000000000000001"/>
          <c:min val="8.0000000000000016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6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38422656"/>
        <c:crosses val="autoZero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'AEB-8 p1-3 Risk Premium- elec'!$D$6:$D$125</c:f>
              <c:numCache>
                <c:formatCode>0.00%</c:formatCode>
                <c:ptCount val="12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  <c:pt idx="116">
                  <c:v>2.0693546874999996E-2</c:v>
                </c:pt>
                <c:pt idx="117">
                  <c:v>2.2536384615384621E-2</c:v>
                </c:pt>
                <c:pt idx="118">
                  <c:v>1.9311075757575756E-2</c:v>
                </c:pt>
                <c:pt idx="119">
                  <c:v>1.9954790697674418E-2</c:v>
                </c:pt>
              </c:numCache>
            </c:numRef>
          </c:xVal>
          <c:yVal>
            <c:numRef>
              <c:f>'AEB-8 p1-3 Risk Premium- elec'!$E$6:$E$125</c:f>
              <c:numCache>
                <c:formatCode>0.00%</c:formatCode>
                <c:ptCount val="120"/>
                <c:pt idx="0">
                  <c:v>4.5789375000000049E-2</c:v>
                </c:pt>
                <c:pt idx="1">
                  <c:v>3.9340625000000018E-2</c:v>
                </c:pt>
                <c:pt idx="2">
                  <c:v>4.585803846153845E-2</c:v>
                </c:pt>
                <c:pt idx="3">
                  <c:v>4.6221969696969706E-2</c:v>
                </c:pt>
                <c:pt idx="4">
                  <c:v>4.7673174603174592E-2</c:v>
                </c:pt>
                <c:pt idx="5">
                  <c:v>4.7857880341880349E-2</c:v>
                </c:pt>
                <c:pt idx="6">
                  <c:v>4.8373939393939358E-2</c:v>
                </c:pt>
                <c:pt idx="7">
                  <c:v>4.9026666666666677E-2</c:v>
                </c:pt>
                <c:pt idx="8">
                  <c:v>4.4924843750000013E-2</c:v>
                </c:pt>
                <c:pt idx="9">
                  <c:v>3.7773692307692328E-2</c:v>
                </c:pt>
                <c:pt idx="10">
                  <c:v>5.1652272727272713E-2</c:v>
                </c:pt>
                <c:pt idx="11">
                  <c:v>3.2814871794871789E-2</c:v>
                </c:pt>
                <c:pt idx="12">
                  <c:v>4.3355269230769197E-2</c:v>
                </c:pt>
                <c:pt idx="13">
                  <c:v>4.3736653846153828E-2</c:v>
                </c:pt>
                <c:pt idx="14">
                  <c:v>4.6581384615384622E-2</c:v>
                </c:pt>
                <c:pt idx="15">
                  <c:v>5.3494703296703319E-2</c:v>
                </c:pt>
                <c:pt idx="16">
                  <c:v>5.1674307692307686E-2</c:v>
                </c:pt>
                <c:pt idx="17">
                  <c:v>4.5405658119658091E-2</c:v>
                </c:pt>
                <c:pt idx="18">
                  <c:v>3.7355303030303044E-2</c:v>
                </c:pt>
                <c:pt idx="19">
                  <c:v>4.9409999999999996E-2</c:v>
                </c:pt>
                <c:pt idx="20">
                  <c:v>4.2666718749999985E-2</c:v>
                </c:pt>
                <c:pt idx="21">
                  <c:v>4.6842512820512813E-2</c:v>
                </c:pt>
                <c:pt idx="22">
                  <c:v>5.4718333333333327E-2</c:v>
                </c:pt>
                <c:pt idx="23">
                  <c:v>4.9227727272727263E-2</c:v>
                </c:pt>
                <c:pt idx="24">
                  <c:v>5.430484374999997E-2</c:v>
                </c:pt>
                <c:pt idx="25">
                  <c:v>6.3537538461538451E-2</c:v>
                </c:pt>
                <c:pt idx="26">
                  <c:v>6.1768030303030318E-2</c:v>
                </c:pt>
                <c:pt idx="27">
                  <c:v>7.1952727272727252E-2</c:v>
                </c:pt>
                <c:pt idx="28">
                  <c:v>5.027031249999999E-2</c:v>
                </c:pt>
                <c:pt idx="29">
                  <c:v>5.1459692307692317E-2</c:v>
                </c:pt>
                <c:pt idx="30">
                  <c:v>4.7124393939393924E-2</c:v>
                </c:pt>
                <c:pt idx="31">
                  <c:v>4.847151515151514E-2</c:v>
                </c:pt>
                <c:pt idx="32">
                  <c:v>4.9212384615384616E-2</c:v>
                </c:pt>
                <c:pt idx="33">
                  <c:v>5.0276769230769236E-2</c:v>
                </c:pt>
                <c:pt idx="34">
                  <c:v>5.8928124999999984E-2</c:v>
                </c:pt>
                <c:pt idx="35">
                  <c:v>6.8138923076923097E-2</c:v>
                </c:pt>
                <c:pt idx="36">
                  <c:v>5.932406249999999E-2</c:v>
                </c:pt>
                <c:pt idx="37">
                  <c:v>5.300661538461536E-2</c:v>
                </c:pt>
                <c:pt idx="38">
                  <c:v>5.2331517857142844E-2</c:v>
                </c:pt>
                <c:pt idx="39">
                  <c:v>6.696242424242424E-2</c:v>
                </c:pt>
                <c:pt idx="40">
                  <c:v>4.5367812500000007E-2</c:v>
                </c:pt>
                <c:pt idx="41">
                  <c:v>5.7920846153846149E-2</c:v>
                </c:pt>
                <c:pt idx="42">
                  <c:v>6.5651409090909107E-2</c:v>
                </c:pt>
                <c:pt idx="43">
                  <c:v>6.6359348484848452E-2</c:v>
                </c:pt>
                <c:pt idx="44">
                  <c:v>6.8709046874999999E-2</c:v>
                </c:pt>
                <c:pt idx="45">
                  <c:v>6.5645953846153821E-2</c:v>
                </c:pt>
                <c:pt idx="46">
                  <c:v>5.389513636363636E-2</c:v>
                </c:pt>
                <c:pt idx="47">
                  <c:v>6.2257803030303004E-2</c:v>
                </c:pt>
                <c:pt idx="48">
                  <c:v>6.1246861538461511E-2</c:v>
                </c:pt>
                <c:pt idx="49">
                  <c:v>5.3192852747252745E-2</c:v>
                </c:pt>
                <c:pt idx="50">
                  <c:v>5.6911984848484851E-2</c:v>
                </c:pt>
                <c:pt idx="51">
                  <c:v>6.3791545454545462E-2</c:v>
                </c:pt>
                <c:pt idx="52">
                  <c:v>5.9322687500000026E-2</c:v>
                </c:pt>
                <c:pt idx="53">
                  <c:v>5.8474061538461526E-2</c:v>
                </c:pt>
                <c:pt idx="54">
                  <c:v>6.6451590909090918E-2</c:v>
                </c:pt>
                <c:pt idx="55">
                  <c:v>5.9483421875000005E-2</c:v>
                </c:pt>
                <c:pt idx="56">
                  <c:v>6.0618169230769244E-2</c:v>
                </c:pt>
                <c:pt idx="57">
                  <c:v>5.6468492307692311E-2</c:v>
                </c:pt>
                <c:pt idx="58">
                  <c:v>5.3540974358974362E-2</c:v>
                </c:pt>
                <c:pt idx="59">
                  <c:v>5.9104399999999988E-2</c:v>
                </c:pt>
                <c:pt idx="60">
                  <c:v>5.7952558974358963E-2</c:v>
                </c:pt>
                <c:pt idx="61">
                  <c:v>5.3358615384615379E-2</c:v>
                </c:pt>
                <c:pt idx="62">
                  <c:v>5.4529569230769216E-2</c:v>
                </c:pt>
                <c:pt idx="63">
                  <c:v>6.0362151515151521E-2</c:v>
                </c:pt>
                <c:pt idx="64">
                  <c:v>6.2092015384615389E-2</c:v>
                </c:pt>
                <c:pt idx="65">
                  <c:v>5.9664638461538459E-2</c:v>
                </c:pt>
                <c:pt idx="66">
                  <c:v>5.9818090909090897E-2</c:v>
                </c:pt>
                <c:pt idx="67">
                  <c:v>6.7389545454545452E-2</c:v>
                </c:pt>
                <c:pt idx="68">
                  <c:v>7.3148171874999987E-2</c:v>
                </c:pt>
                <c:pt idx="69">
                  <c:v>6.5824661538461546E-2</c:v>
                </c:pt>
                <c:pt idx="70">
                  <c:v>6.1792075757575761E-2</c:v>
                </c:pt>
                <c:pt idx="71">
                  <c:v>6.2550984848484842E-2</c:v>
                </c:pt>
                <c:pt idx="72">
                  <c:v>5.9691718749999997E-2</c:v>
                </c:pt>
                <c:pt idx="73">
                  <c:v>5.8164446153846153E-2</c:v>
                </c:pt>
                <c:pt idx="74">
                  <c:v>6.5478696969696978E-2</c:v>
                </c:pt>
                <c:pt idx="75">
                  <c:v>6.2123878787878756E-2</c:v>
                </c:pt>
                <c:pt idx="76">
                  <c:v>5.5332869791666676E-2</c:v>
                </c:pt>
                <c:pt idx="77">
                  <c:v>5.9248125274725276E-2</c:v>
                </c:pt>
                <c:pt idx="78">
                  <c:v>6.8788409090909108E-2</c:v>
                </c:pt>
                <c:pt idx="79">
                  <c:v>7.3484962393162379E-2</c:v>
                </c:pt>
                <c:pt idx="80">
                  <c:v>7.1677232967032961E-2</c:v>
                </c:pt>
                <c:pt idx="81">
                  <c:v>7.0159169230769244E-2</c:v>
                </c:pt>
                <c:pt idx="82">
                  <c:v>7.1587061538461547E-2</c:v>
                </c:pt>
                <c:pt idx="83">
                  <c:v>7.2993127450980411E-2</c:v>
                </c:pt>
                <c:pt idx="84">
                  <c:v>6.7204390624999999E-2</c:v>
                </c:pt>
                <c:pt idx="85">
                  <c:v>6.7201199999999989E-2</c:v>
                </c:pt>
                <c:pt idx="86">
                  <c:v>6.4086378787878789E-2</c:v>
                </c:pt>
                <c:pt idx="87">
                  <c:v>6.1796477272727274E-2</c:v>
                </c:pt>
                <c:pt idx="88">
                  <c:v>6.165709375000001E-2</c:v>
                </c:pt>
                <c:pt idx="89">
                  <c:v>6.6579830769230783E-2</c:v>
                </c:pt>
                <c:pt idx="90">
                  <c:v>6.6362348484848482E-2</c:v>
                </c:pt>
                <c:pt idx="91">
                  <c:v>6.9805560606060579E-2</c:v>
                </c:pt>
                <c:pt idx="92">
                  <c:v>7.0838812500000001E-2</c:v>
                </c:pt>
                <c:pt idx="93">
                  <c:v>6.9419743589743579E-2</c:v>
                </c:pt>
                <c:pt idx="94">
                  <c:v>6.4408772727272731E-2</c:v>
                </c:pt>
                <c:pt idx="95">
                  <c:v>6.9032409090909089E-2</c:v>
                </c:pt>
                <c:pt idx="96">
                  <c:v>6.9802799999999984E-2</c:v>
                </c:pt>
                <c:pt idx="97">
                  <c:v>6.9133953846153853E-2</c:v>
                </c:pt>
                <c:pt idx="98">
                  <c:v>7.4576666666666652E-2</c:v>
                </c:pt>
                <c:pt idx="99">
                  <c:v>6.9993492307692307E-2</c:v>
                </c:pt>
                <c:pt idx="100">
                  <c:v>6.6747841025641019E-2</c:v>
                </c:pt>
                <c:pt idx="101">
                  <c:v>6.7473217582417575E-2</c:v>
                </c:pt>
                <c:pt idx="102">
                  <c:v>7.1842523076923084E-2</c:v>
                </c:pt>
                <c:pt idx="103">
                  <c:v>7.0893654945054937E-2</c:v>
                </c:pt>
                <c:pt idx="104">
                  <c:v>6.6649364102564099E-2</c:v>
                </c:pt>
                <c:pt idx="105">
                  <c:v>6.6611369230769213E-2</c:v>
                </c:pt>
                <c:pt idx="106">
                  <c:v>6.6275476923076948E-2</c:v>
                </c:pt>
                <c:pt idx="107">
                  <c:v>6.2523106060606071E-2</c:v>
                </c:pt>
                <c:pt idx="108">
                  <c:v>6.706396354166666E-2</c:v>
                </c:pt>
                <c:pt idx="109">
                  <c:v>6.7938899999999997E-2</c:v>
                </c:pt>
                <c:pt idx="110">
                  <c:v>7.2444681818181811E-2</c:v>
                </c:pt>
                <c:pt idx="111">
                  <c:v>7.6336606060606049E-2</c:v>
                </c:pt>
                <c:pt idx="112">
                  <c:v>7.8305391208791209E-2</c:v>
                </c:pt>
                <c:pt idx="113">
                  <c:v>8.1993153846153827E-2</c:v>
                </c:pt>
                <c:pt idx="114">
                  <c:v>7.9349030303030296E-2</c:v>
                </c:pt>
                <c:pt idx="115">
                  <c:v>7.9432712121212112E-2</c:v>
                </c:pt>
                <c:pt idx="116">
                  <c:v>7.3806453125000004E-2</c:v>
                </c:pt>
                <c:pt idx="117">
                  <c:v>7.2146948717948703E-2</c:v>
                </c:pt>
                <c:pt idx="118">
                  <c:v>7.3428924242424254E-2</c:v>
                </c:pt>
                <c:pt idx="119">
                  <c:v>7.6856320413436707E-2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F-4AB1-A494-399ADFCEF8DD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08F-4AB1-A494-399ADFCEF8DD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08F-4AB1-A494-399ADFCEF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8.0000000000000043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-0.5833x + 0.0855</a:t>
                    </a:r>
                    <a:br>
                      <a:rPr lang="en-US" baseline="0"/>
                    </a:br>
                    <a:r>
                      <a:rPr lang="en-US" baseline="0"/>
                      <a:t>R² = 0.8614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'AEB-8 p 3-6 Risk Premium - Gas'!$D$6:$D$121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  <c:pt idx="113">
                  <c:v>2.2536384615384621E-2</c:v>
                </c:pt>
                <c:pt idx="114">
                  <c:v>1.9311075757575756E-2</c:v>
                </c:pt>
                <c:pt idx="115">
                  <c:v>1.9954790697674418E-2</c:v>
                </c:pt>
              </c:numCache>
            </c:numRef>
          </c:xVal>
          <c:yVal>
            <c:numRef>
              <c:f>'AEB-8 p 3-6 Risk Premium - Gas'!$E$6:$E$121</c:f>
              <c:numCache>
                <c:formatCode>0.00%</c:formatCode>
                <c:ptCount val="116"/>
                <c:pt idx="0">
                  <c:v>4.615937500000003E-2</c:v>
                </c:pt>
                <c:pt idx="1">
                  <c:v>4.0898958333333346E-2</c:v>
                </c:pt>
                <c:pt idx="2">
                  <c:v>4.4205538461538435E-2</c:v>
                </c:pt>
                <c:pt idx="3">
                  <c:v>4.4215303030303049E-2</c:v>
                </c:pt>
                <c:pt idx="4">
                  <c:v>4.681603174603173E-2</c:v>
                </c:pt>
                <c:pt idx="5">
                  <c:v>4.853010256410259E-2</c:v>
                </c:pt>
                <c:pt idx="6">
                  <c:v>5.0732272727272681E-2</c:v>
                </c:pt>
                <c:pt idx="7">
                  <c:v>5.0165555555555588E-2</c:v>
                </c:pt>
                <c:pt idx="8">
                  <c:v>4.5454843750000015E-2</c:v>
                </c:pt>
                <c:pt idx="9">
                  <c:v>3.4823692307692319E-2</c:v>
                </c:pt>
                <c:pt idx="10">
                  <c:v>3.2818939393939386E-2</c:v>
                </c:pt>
                <c:pt idx="11">
                  <c:v>3.5689871794871805E-2</c:v>
                </c:pt>
                <c:pt idx="12">
                  <c:v>4.0574153846153829E-2</c:v>
                </c:pt>
                <c:pt idx="13">
                  <c:v>4.3548051282051303E-2</c:v>
                </c:pt>
                <c:pt idx="14">
                  <c:v>5.3718512820512848E-2</c:v>
                </c:pt>
                <c:pt idx="15">
                  <c:v>5.1574307692307669E-2</c:v>
                </c:pt>
                <c:pt idx="16">
                  <c:v>3.9566769230769211E-2</c:v>
                </c:pt>
                <c:pt idx="17">
                  <c:v>4.2855303030303035E-2</c:v>
                </c:pt>
                <c:pt idx="18">
                  <c:v>4.5752857142857151E-2</c:v>
                </c:pt>
                <c:pt idx="19">
                  <c:v>4.4938147321428562E-2</c:v>
                </c:pt>
                <c:pt idx="20">
                  <c:v>4.7675846153846152E-2</c:v>
                </c:pt>
                <c:pt idx="21">
                  <c:v>5.4718333333333327E-2</c:v>
                </c:pt>
                <c:pt idx="22">
                  <c:v>4.7794393939393935E-2</c:v>
                </c:pt>
                <c:pt idx="23">
                  <c:v>5.5204205128205099E-2</c:v>
                </c:pt>
                <c:pt idx="24">
                  <c:v>5.9368030303030304E-2</c:v>
                </c:pt>
                <c:pt idx="25">
                  <c:v>6.5852727272727257E-2</c:v>
                </c:pt>
                <c:pt idx="26">
                  <c:v>5.4436979166666656E-2</c:v>
                </c:pt>
                <c:pt idx="27">
                  <c:v>5.4559692307692323E-2</c:v>
                </c:pt>
                <c:pt idx="28">
                  <c:v>4.1221515151515134E-2</c:v>
                </c:pt>
                <c:pt idx="29">
                  <c:v>4.363738461538462E-2</c:v>
                </c:pt>
                <c:pt idx="30">
                  <c:v>5.0610102564102574E-2</c:v>
                </c:pt>
                <c:pt idx="31">
                  <c:v>5.5468124999999979E-2</c:v>
                </c:pt>
                <c:pt idx="32">
                  <c:v>6.4138923076923093E-2</c:v>
                </c:pt>
                <c:pt idx="33">
                  <c:v>5.932406249999999E-2</c:v>
                </c:pt>
                <c:pt idx="34">
                  <c:v>5.0506615384615358E-2</c:v>
                </c:pt>
                <c:pt idx="35">
                  <c:v>5.3529090909090922E-2</c:v>
                </c:pt>
                <c:pt idx="36">
                  <c:v>5.1534479166666675E-2</c:v>
                </c:pt>
                <c:pt idx="37">
                  <c:v>6.0295846153846151E-2</c:v>
                </c:pt>
                <c:pt idx="38">
                  <c:v>6.4151409090909092E-2</c:v>
                </c:pt>
                <c:pt idx="39">
                  <c:v>6.0803792929292909E-2</c:v>
                </c:pt>
                <c:pt idx="40">
                  <c:v>6.5329046874999991E-2</c:v>
                </c:pt>
                <c:pt idx="41">
                  <c:v>6.7645953846153836E-2</c:v>
                </c:pt>
                <c:pt idx="42">
                  <c:v>5.5015136363636384E-2</c:v>
                </c:pt>
                <c:pt idx="43">
                  <c:v>5.7275984848484847E-2</c:v>
                </c:pt>
                <c:pt idx="44">
                  <c:v>6.1846861538461514E-2</c:v>
                </c:pt>
                <c:pt idx="45">
                  <c:v>5.2540471794871813E-2</c:v>
                </c:pt>
                <c:pt idx="46">
                  <c:v>5.309948484848484E-2</c:v>
                </c:pt>
                <c:pt idx="47">
                  <c:v>5.7934878787878771E-2</c:v>
                </c:pt>
                <c:pt idx="48">
                  <c:v>5.9572687500000027E-2</c:v>
                </c:pt>
                <c:pt idx="49">
                  <c:v>6.0709061538461541E-2</c:v>
                </c:pt>
                <c:pt idx="50">
                  <c:v>6.033825757575758E-2</c:v>
                </c:pt>
                <c:pt idx="51">
                  <c:v>5.6335207589285723E-2</c:v>
                </c:pt>
                <c:pt idx="52">
                  <c:v>6.0468169230769246E-2</c:v>
                </c:pt>
                <c:pt idx="53">
                  <c:v>5.459349230769231E-2</c:v>
                </c:pt>
                <c:pt idx="54">
                  <c:v>5.3449307692307692E-2</c:v>
                </c:pt>
                <c:pt idx="55">
                  <c:v>5.4024399999999986E-2</c:v>
                </c:pt>
                <c:pt idx="56">
                  <c:v>5.7217710489510472E-2</c:v>
                </c:pt>
                <c:pt idx="57">
                  <c:v>5.1375282051282042E-2</c:v>
                </c:pt>
                <c:pt idx="58">
                  <c:v>5.0792069230769198E-2</c:v>
                </c:pt>
                <c:pt idx="59">
                  <c:v>5.5039074592074591E-2</c:v>
                </c:pt>
                <c:pt idx="60">
                  <c:v>5.9699158241758261E-2</c:v>
                </c:pt>
                <c:pt idx="61">
                  <c:v>5.5968805128205158E-2</c:v>
                </c:pt>
                <c:pt idx="62">
                  <c:v>6.1062535353535348E-2</c:v>
                </c:pt>
                <c:pt idx="63">
                  <c:v>6.6899160839160837E-2</c:v>
                </c:pt>
                <c:pt idx="64">
                  <c:v>6.8053171874999985E-2</c:v>
                </c:pt>
                <c:pt idx="65">
                  <c:v>5.9399661538461546E-2</c:v>
                </c:pt>
                <c:pt idx="66">
                  <c:v>5.5592075757575764E-2</c:v>
                </c:pt>
                <c:pt idx="67">
                  <c:v>5.9680984848484879E-2</c:v>
                </c:pt>
                <c:pt idx="68">
                  <c:v>5.6133385416666653E-2</c:v>
                </c:pt>
                <c:pt idx="69">
                  <c:v>5.6218991608391611E-2</c:v>
                </c:pt>
                <c:pt idx="70">
                  <c:v>6.5695363636363635E-2</c:v>
                </c:pt>
                <c:pt idx="71">
                  <c:v>5.9260289044289025E-2</c:v>
                </c:pt>
                <c:pt idx="72">
                  <c:v>5.5416203125000028E-2</c:v>
                </c:pt>
                <c:pt idx="73">
                  <c:v>5.5069553846153856E-2</c:v>
                </c:pt>
                <c:pt idx="74">
                  <c:v>5.9571742424242423E-2</c:v>
                </c:pt>
                <c:pt idx="75">
                  <c:v>6.835718461538462E-2</c:v>
                </c:pt>
                <c:pt idx="76">
                  <c:v>6.4968661538461522E-2</c:v>
                </c:pt>
                <c:pt idx="77">
                  <c:v>6.8971669230769223E-2</c:v>
                </c:pt>
                <c:pt idx="78">
                  <c:v>7.0087061538461545E-2</c:v>
                </c:pt>
                <c:pt idx="79">
                  <c:v>7.1907833333333337E-2</c:v>
                </c:pt>
                <c:pt idx="80">
                  <c:v>6.4371057291666672E-2</c:v>
                </c:pt>
                <c:pt idx="81">
                  <c:v>6.3284533333333323E-2</c:v>
                </c:pt>
                <c:pt idx="82">
                  <c:v>5.88863787878788E-2</c:v>
                </c:pt>
                <c:pt idx="83">
                  <c:v>6.0418636363636369E-2</c:v>
                </c:pt>
                <c:pt idx="84">
                  <c:v>5.8523760416666674E-2</c:v>
                </c:pt>
                <c:pt idx="85">
                  <c:v>6.3942330769230768E-2</c:v>
                </c:pt>
                <c:pt idx="86">
                  <c:v>6.1862348484848499E-2</c:v>
                </c:pt>
                <c:pt idx="87">
                  <c:v>7.3198893939393925E-2</c:v>
                </c:pt>
                <c:pt idx="88">
                  <c:v>6.9130479166666675E-2</c:v>
                </c:pt>
                <c:pt idx="89">
                  <c:v>6.5486410256410263E-2</c:v>
                </c:pt>
                <c:pt idx="90">
                  <c:v>6.7908772727272734E-2</c:v>
                </c:pt>
                <c:pt idx="91">
                  <c:v>6.7185186868686866E-2</c:v>
                </c:pt>
                <c:pt idx="92">
                  <c:v>6.763613333333332E-2</c:v>
                </c:pt>
                <c:pt idx="93">
                  <c:v>6.8483953846153842E-2</c:v>
                </c:pt>
                <c:pt idx="94">
                  <c:v>7.1876666666666644E-2</c:v>
                </c:pt>
                <c:pt idx="95">
                  <c:v>6.8395714529914525E-2</c:v>
                </c:pt>
                <c:pt idx="96">
                  <c:v>6.5564507692307705E-2</c:v>
                </c:pt>
                <c:pt idx="97">
                  <c:v>6.5758931868131865E-2</c:v>
                </c:pt>
                <c:pt idx="98">
                  <c:v>7.3225856410256404E-2</c:v>
                </c:pt>
                <c:pt idx="99">
                  <c:v>6.8829369230769225E-2</c:v>
                </c:pt>
                <c:pt idx="100">
                  <c:v>6.6582697435897426E-2</c:v>
                </c:pt>
                <c:pt idx="101">
                  <c:v>6.3422083516483513E-2</c:v>
                </c:pt>
                <c:pt idx="102">
                  <c:v>6.6523810256410271E-2</c:v>
                </c:pt>
                <c:pt idx="103">
                  <c:v>6.2605248917748907E-2</c:v>
                </c:pt>
                <c:pt idx="104">
                  <c:v>6.5397296875000011E-2</c:v>
                </c:pt>
                <c:pt idx="105">
                  <c:v>6.9443066666666664E-2</c:v>
                </c:pt>
                <c:pt idx="106">
                  <c:v>7.664468181818182E-2</c:v>
                </c:pt>
                <c:pt idx="107">
                  <c:v>7.4771129870129904E-2</c:v>
                </c:pt>
                <c:pt idx="108">
                  <c:v>7.4641899145299159E-2</c:v>
                </c:pt>
                <c:pt idx="109">
                  <c:v>8.1743153846153827E-2</c:v>
                </c:pt>
                <c:pt idx="110">
                  <c:v>8.1536530303030319E-2</c:v>
                </c:pt>
                <c:pt idx="111">
                  <c:v>7.8568426406926406E-2</c:v>
                </c:pt>
                <c:pt idx="112">
                  <c:v>7.6386453125000003E-2</c:v>
                </c:pt>
                <c:pt idx="113">
                  <c:v>7.2246948717948706E-2</c:v>
                </c:pt>
                <c:pt idx="114">
                  <c:v>7.4648924242424225E-2</c:v>
                </c:pt>
                <c:pt idx="115">
                  <c:v>7.6607709302325563E-2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9-4817-B803-63AA38BE1EF1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589-4817-B803-63AA38BE1EF1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3-4589-4817-B803-63AA38BE1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gradFill flip="none" rotWithShape="1">
                  <a:gsLst>
                    <a:gs pos="10000">
                      <a:schemeClr val="accent5">
                        <a:lumMod val="67000"/>
                      </a:schemeClr>
                    </a:gs>
                    <a:gs pos="48000">
                      <a:schemeClr val="accent5">
                        <a:lumMod val="97000"/>
                        <a:lumOff val="3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F2-446E-A94A-C55F5BC6738E}"/>
              </c:ext>
            </c:extLst>
          </c:dPt>
          <c:dPt>
            <c:idx val="12"/>
            <c:invertIfNegative val="0"/>
            <c:bubble3D val="0"/>
            <c:spPr>
              <a:pattFill prst="ltDnDiag">
                <a:fgClr>
                  <a:srgbClr val="0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B-48FC-BE90-74E9757C83A3}"/>
              </c:ext>
            </c:extLst>
          </c:dPt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2'!$E$29:$E$42</c:f>
              <c:numCache>
                <c:formatCode>0.00%</c:formatCode>
                <c:ptCount val="14"/>
                <c:pt idx="0">
                  <c:v>0.38619554753309265</c:v>
                </c:pt>
                <c:pt idx="1">
                  <c:v>0.40264765958417964</c:v>
                </c:pt>
                <c:pt idx="2">
                  <c:v>0.47396096226453188</c:v>
                </c:pt>
                <c:pt idx="3">
                  <c:v>0.47715662312685309</c:v>
                </c:pt>
                <c:pt idx="4">
                  <c:v>0.50924421037946421</c:v>
                </c:pt>
                <c:pt idx="5">
                  <c:v>0.51141855996382957</c:v>
                </c:pt>
                <c:pt idx="6">
                  <c:v>0.51307789424722172</c:v>
                </c:pt>
                <c:pt idx="7">
                  <c:v>0.53283338195822139</c:v>
                </c:pt>
                <c:pt idx="8">
                  <c:v>0.54325727590221184</c:v>
                </c:pt>
                <c:pt idx="9">
                  <c:v>0.55704613137045567</c:v>
                </c:pt>
                <c:pt idx="10">
                  <c:v>0.63095673511098438</c:v>
                </c:pt>
                <c:pt idx="11">
                  <c:v>0.64690332748908863</c:v>
                </c:pt>
                <c:pt idx="12">
                  <c:v>0.66037978723404256</c:v>
                </c:pt>
                <c:pt idx="13">
                  <c:v>0.89489668093635277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2-446E-A94A-C55F5BC6738E}"/>
            </c:ext>
          </c:extLst>
        </c:ser>
        <c:ser>
          <c:idx val="1"/>
          <c:order val="1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2'!$F$29:$F$42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821231"/>
        <c:axId val="196480625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2'!$G$29:$G$42</c:f>
              <c:numCache>
                <c:formatCode>0.00%</c:formatCode>
                <c:ptCount val="14"/>
                <c:pt idx="0">
                  <c:v>0.51307789424722172</c:v>
                </c:pt>
                <c:pt idx="1">
                  <c:v>0.51307789424722172</c:v>
                </c:pt>
                <c:pt idx="2">
                  <c:v>0.51307789424722172</c:v>
                </c:pt>
                <c:pt idx="3">
                  <c:v>0.51307789424722172</c:v>
                </c:pt>
                <c:pt idx="4">
                  <c:v>0.51307789424722172</c:v>
                </c:pt>
                <c:pt idx="5">
                  <c:v>0.51307789424722172</c:v>
                </c:pt>
                <c:pt idx="6">
                  <c:v>0.51307789424722172</c:v>
                </c:pt>
                <c:pt idx="7">
                  <c:v>0.51307789424722172</c:v>
                </c:pt>
                <c:pt idx="8">
                  <c:v>0.51307789424722172</c:v>
                </c:pt>
                <c:pt idx="9">
                  <c:v>0.51307789424722172</c:v>
                </c:pt>
                <c:pt idx="10">
                  <c:v>0.51307789424722172</c:v>
                </c:pt>
                <c:pt idx="11">
                  <c:v>0.51307789424722172</c:v>
                </c:pt>
                <c:pt idx="12">
                  <c:v>0.51307789424722172</c:v>
                </c:pt>
                <c:pt idx="13">
                  <c:v>0.51307789424722172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821231"/>
        <c:axId val="1964806255"/>
      </c:lineChart>
      <c:catAx>
        <c:axId val="19648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06255"/>
        <c:crosses val="autoZero"/>
        <c:auto val="1"/>
        <c:lblAlgn val="ctr"/>
        <c:lblOffset val="100"/>
        <c:noMultiLvlLbl val="0"/>
      </c:catAx>
      <c:valAx>
        <c:axId val="196480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670718</xdr:colOff>
      <xdr:row>2</xdr:row>
      <xdr:rowOff>95250</xdr:rowOff>
    </xdr:from>
    <xdr:to>
      <xdr:col>24</xdr:col>
      <xdr:colOff>324829</xdr:colOff>
      <xdr:row>27</xdr:row>
      <xdr:rowOff>174624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4129B5C-692D-48C6-9177-8AB257EF7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0.33924</cdr:x>
      <cdr:y>0.40159</cdr:y>
    </cdr:from>
    <cdr:to>
      <cdr:x>0.44354</cdr:x>
      <cdr:y>0.46463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DBD36EBF-BD50-466C-AFE0-D5229E37A9A2}"/>
            </a:ext>
          </a:extLst>
        </cdr:cNvPr>
        <cdr:cNvSpPr txBox="1"/>
      </cdr:nvSpPr>
      <cdr:spPr>
        <a:xfrm xmlns:a="http://schemas.openxmlformats.org/drawingml/2006/main">
          <a:off x="2899422" y="2401530"/>
          <a:ext cx="891433" cy="3769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lIns="18288" rIns="18288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/>
            <a:t>Recommended ROE Range </a:t>
          </a:r>
          <a:endParaRPr lang="en-US" sz="1000" b="1"/>
        </a:p>
      </cdr:txBody>
    </cdr: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0.27881</cdr:x>
      <cdr:y>0.73784</cdr:y>
    </cdr:from>
    <cdr:to>
      <cdr:x>0.42428</cdr:x>
      <cdr:y>0.7713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3BBCFFA-00EF-4E4C-81B0-E1289839159B}"/>
            </a:ext>
          </a:extLst>
        </cdr:cNvPr>
        <cdr:cNvSpPr txBox="1"/>
      </cdr:nvSpPr>
      <cdr:spPr>
        <a:xfrm xmlns:a="http://schemas.openxmlformats.org/drawingml/2006/main">
          <a:off x="2382904" y="4412375"/>
          <a:ext cx="1243305" cy="2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Risk</a:t>
          </a:r>
          <a:r>
            <a:rPr lang="en-US" sz="1100" b="1" baseline="0"/>
            <a:t> Premium </a:t>
          </a:r>
          <a:endParaRPr lang="en-US" sz="1100" b="1"/>
        </a:p>
      </cdr:txBody>
    </cdr:sp>
  </cdr:relSizeAnchor>
  <cdr:relSizeAnchor xmlns:cdr="http://schemas.openxmlformats.org/drawingml/2006/chartDrawing">
    <cdr:from>
      <cdr:x>0.61767</cdr:x>
      <cdr:y>0.58512</cdr:y>
    </cdr:from>
    <cdr:to>
      <cdr:x>0.74801</cdr:x>
      <cdr:y>0.61414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6D5E5F3-DBA7-49AB-B258-C72160824321}"/>
            </a:ext>
          </a:extLst>
        </cdr:cNvPr>
        <cdr:cNvSpPr txBox="1"/>
      </cdr:nvSpPr>
      <cdr:spPr>
        <a:xfrm xmlns:a="http://schemas.openxmlformats.org/drawingml/2006/main">
          <a:off x="5279099" y="3499109"/>
          <a:ext cx="1113993" cy="1735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0.35945</cdr:x>
      <cdr:y>0.47024</cdr:y>
    </cdr:from>
    <cdr:to>
      <cdr:x>0.43493</cdr:x>
      <cdr:y>0.47128</cdr:y>
    </cdr:to>
    <cdr:cxnSp macro="">
      <cdr:nvCxnSpPr>
        <cdr:cNvPr id="6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9F01876B-71F8-41C9-A303-BD7CE57754DC}"/>
            </a:ext>
          </a:extLst>
        </cdr:cNvPr>
        <cdr:cNvCxnSpPr/>
      </cdr:nvCxnSpPr>
      <cdr:spPr>
        <a:xfrm xmlns:a="http://schemas.openxmlformats.org/drawingml/2006/main">
          <a:off x="3072183" y="2812064"/>
          <a:ext cx="645043" cy="62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0.52414</cdr:x>
      <cdr:y>0.80332</cdr:y>
    </cdr:from>
    <cdr:to>
      <cdr:x>0.67712</cdr:x>
      <cdr:y>0.83865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9D37C4C-A76A-41FD-B5E7-541954A28301}"/>
            </a:ext>
          </a:extLst>
        </cdr:cNvPr>
        <cdr:cNvSpPr txBox="1"/>
      </cdr:nvSpPr>
      <cdr:spPr>
        <a:xfrm xmlns:a="http://schemas.openxmlformats.org/drawingml/2006/main">
          <a:off x="4598988" y="4801394"/>
          <a:ext cx="1342232" cy="2111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Expected Earnings</a:t>
          </a:r>
          <a:endParaRPr lang="en-US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38099</xdr:rowOff>
    </xdr:from>
    <xdr:to>
      <xdr:col>4</xdr:col>
      <xdr:colOff>1200150</xdr:colOff>
      <xdr:row>20</xdr:row>
      <xdr:rowOff>28574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E34FB4A-D434-4CF6-9D5C-291BF6A2A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0.10417</cdr:y>
    </cdr:from>
    <cdr:to>
      <cdr:x>0.60625</cdr:x>
      <cdr:y>0.40625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D847A64C-D524-49E9-B8E2-E6C58D45863A}"/>
            </a:ext>
          </a:extLst>
        </cdr:cNvPr>
        <cdr:cNvGrpSpPr/>
      </cdr:nvGrpSpPr>
      <cdr:grpSpPr>
        <a:xfrm xmlns:a="http://schemas.openxmlformats.org/drawingml/2006/main">
          <a:off x="740367" y="288169"/>
          <a:ext cx="1986862" cy="835653"/>
          <a:chOff x="741486" y="285759"/>
          <a:chExt cx="1989867" cy="828666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8853EE7F-3403-436C-9332-BA3B5EF1683D}"/>
              </a:ext>
            </a:extLst>
          </cdr:cNvPr>
          <cdr:cNvCxnSpPr/>
        </cdr:nvCxnSpPr>
        <cdr:spPr>
          <a:xfrm xmlns:a="http://schemas.openxmlformats.org/drawingml/2006/main">
            <a:off x="1581150" y="561976"/>
            <a:ext cx="127134" cy="552449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FB30E1CD-1ED0-47DB-BF61-6D6E0DD4E4BE}"/>
              </a:ext>
            </a:extLst>
          </cdr:cNvPr>
          <cdr:cNvSpPr/>
        </cdr:nvSpPr>
        <cdr:spPr>
          <a:xfrm xmlns:a="http://schemas.openxmlformats.org/drawingml/2006/main">
            <a:off x="741486" y="285759"/>
            <a:ext cx="1989867" cy="238110"/>
          </a:xfrm>
          <a:prstGeom xmlns:a="http://schemas.openxmlformats.org/drawingml/2006/main" prst="rect">
            <a:avLst/>
          </a:prstGeom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r>
              <a:rPr lang="en-US"/>
              <a:t>Proxy Group Median =51.31%</a:t>
            </a:r>
          </a:p>
        </cdr:txBody>
      </cdr:sp>
    </cdr:grp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Jack Gross" id="{898AF792-F71A-4AE8-A996-3183C20586AB}" userId="S::JGross@ceadvisors.com::01d95afe-2c15-427a-9b53-a066025e47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12-08T14:45:43.44" personId="{898AF792-F71A-4AE8-A996-3183C20586AB}" id="{F7CF8C68-943D-49B9-AFF0-85B8E96DEAFF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K60"/>
  <sheetViews>
    <sheetView showGridLines="0" view="pageLayout" topLeftCell="H1" zoomScale="85" zoomScaleNormal="80" zoomScaleSheetLayoutView="85" zoomScalePageLayoutView="85" workbookViewId="0">
      <selection activeCell="C19" sqref="C19:E20"/>
    </sheetView>
  </sheetViews>
  <sheetFormatPr defaultColWidth="9" defaultRowHeight="13.8"/>
  <cols>
    <col min="1" max="1" width="9.109375" style="45" customWidth="1"/>
    <col min="2" max="2" width="28.88671875" style="45" customWidth="1"/>
    <col min="3" max="3" width="15.33203125" style="45" customWidth="1"/>
    <col min="4" max="4" width="15.5546875" style="45" customWidth="1"/>
    <col min="5" max="5" width="17.6640625" style="45" customWidth="1"/>
    <col min="6" max="6" width="9.109375" style="45" customWidth="1"/>
    <col min="7" max="7" width="14.33203125" style="45" customWidth="1"/>
    <col min="8" max="8" width="9" style="45"/>
    <col min="9" max="11" width="10.5546875" style="45" customWidth="1"/>
    <col min="12" max="16384" width="9" style="45"/>
  </cols>
  <sheetData>
    <row r="1" spans="2:11" s="36" customFormat="1">
      <c r="B1" s="35"/>
      <c r="C1" s="35"/>
      <c r="D1" s="35"/>
      <c r="E1" s="35"/>
    </row>
    <row r="2" spans="2:11" s="36" customFormat="1" ht="12.75" customHeight="1">
      <c r="B2" s="348" t="s">
        <v>0</v>
      </c>
      <c r="C2" s="348"/>
      <c r="D2" s="348"/>
      <c r="E2" s="348"/>
      <c r="I2" s="39"/>
      <c r="J2" s="39"/>
      <c r="K2" s="39"/>
    </row>
    <row r="3" spans="2:11" s="36" customFormat="1" ht="14.4" thickBot="1">
      <c r="B3" s="35"/>
      <c r="C3" s="35"/>
      <c r="D3" s="35"/>
      <c r="E3" s="35"/>
      <c r="I3" s="41"/>
      <c r="J3" s="38"/>
      <c r="K3" s="46"/>
    </row>
    <row r="4" spans="2:11" s="39" customFormat="1">
      <c r="B4" s="349" t="s">
        <v>1</v>
      </c>
      <c r="C4" s="350"/>
      <c r="D4" s="350"/>
      <c r="E4" s="351"/>
      <c r="F4" s="38"/>
      <c r="I4" s="41"/>
      <c r="J4" s="38"/>
      <c r="K4" s="46"/>
    </row>
    <row r="5" spans="2:11" s="39" customFormat="1">
      <c r="B5" s="73"/>
      <c r="C5" s="40" t="s">
        <v>2</v>
      </c>
      <c r="D5" s="40" t="s">
        <v>3</v>
      </c>
      <c r="E5" s="74" t="s">
        <v>4</v>
      </c>
      <c r="G5" s="41"/>
      <c r="H5" s="41"/>
      <c r="I5" s="41"/>
      <c r="J5" s="38"/>
      <c r="K5" s="46"/>
    </row>
    <row r="6" spans="2:11" s="39" customFormat="1">
      <c r="B6" s="75" t="s">
        <v>5</v>
      </c>
      <c r="C6" s="42">
        <f>'AEB-4 Constant DCF'!K21</f>
        <v>8.6778312987528097E-2</v>
      </c>
      <c r="D6" s="42">
        <f>'AEB-4 Constant DCF'!L21</f>
        <v>9.3623359953135366E-2</v>
      </c>
      <c r="E6" s="76">
        <f>'AEB-4 Constant DCF'!M21</f>
        <v>9.9762350711735934E-2</v>
      </c>
      <c r="G6" s="84"/>
      <c r="H6" s="85"/>
      <c r="I6" s="86" t="s">
        <v>6</v>
      </c>
      <c r="J6" s="86" t="s">
        <v>7</v>
      </c>
      <c r="K6" s="46"/>
    </row>
    <row r="7" spans="2:11" s="39" customFormat="1">
      <c r="B7" s="75" t="s">
        <v>8</v>
      </c>
      <c r="C7" s="42">
        <f>'AEB-4 Constant DCF'!K56</f>
        <v>8.6172250600745348E-2</v>
      </c>
      <c r="D7" s="42">
        <f>'AEB-4 Constant DCF'!L56</f>
        <v>9.2945948963424771E-2</v>
      </c>
      <c r="E7" s="76">
        <f>'AEB-4 Constant DCF'!M56</f>
        <v>9.9152517374850715E-2</v>
      </c>
      <c r="G7" s="84"/>
      <c r="H7" s="85" t="s">
        <v>9</v>
      </c>
      <c r="I7" s="87">
        <f>C9</f>
        <v>8.6381885544404555E-2</v>
      </c>
      <c r="J7" s="86">
        <v>5</v>
      </c>
      <c r="K7" s="46"/>
    </row>
    <row r="8" spans="2:11" s="39" customFormat="1" ht="14.4" thickBot="1">
      <c r="B8" s="77" t="s">
        <v>10</v>
      </c>
      <c r="C8" s="42">
        <f>'AEB-4 Constant DCF'!K91</f>
        <v>8.6195093044940219E-2</v>
      </c>
      <c r="D8" s="42">
        <f>'AEB-4 Constant DCF'!L91</f>
        <v>9.2372851410391851E-2</v>
      </c>
      <c r="E8" s="76">
        <f>'AEB-4 Constant DCF'!M91</f>
        <v>9.9175501945861486E-2</v>
      </c>
      <c r="G8" s="84"/>
      <c r="H8" s="85"/>
      <c r="I8" s="87">
        <f>D9</f>
        <v>9.2980720108984005E-2</v>
      </c>
      <c r="J8" s="86">
        <v>5</v>
      </c>
      <c r="K8" s="46"/>
    </row>
    <row r="9" spans="2:11" s="39" customFormat="1" ht="14.4" thickBot="1">
      <c r="B9" s="78" t="s">
        <v>11</v>
      </c>
      <c r="C9" s="44">
        <f>AVERAGE(C6:C8)</f>
        <v>8.6381885544404555E-2</v>
      </c>
      <c r="D9" s="44">
        <f>AVERAGE(D6:D8)</f>
        <v>9.2980720108984005E-2</v>
      </c>
      <c r="E9" s="79">
        <f>AVERAGE(E6:E8)</f>
        <v>9.9363456677482712E-2</v>
      </c>
      <c r="F9" s="84"/>
      <c r="G9" s="85" t="s">
        <v>12</v>
      </c>
      <c r="H9" s="85"/>
      <c r="I9" s="87">
        <f>E9</f>
        <v>9.9363456677482712E-2</v>
      </c>
      <c r="J9" s="86">
        <v>5</v>
      </c>
      <c r="K9" s="46"/>
    </row>
    <row r="10" spans="2:11" s="39" customFormat="1">
      <c r="B10" s="349" t="s">
        <v>13</v>
      </c>
      <c r="C10" s="350"/>
      <c r="D10" s="350"/>
      <c r="E10" s="351"/>
      <c r="F10" s="84"/>
      <c r="G10" s="85"/>
      <c r="I10" s="87">
        <f>C15</f>
        <v>8.5161899603700811E-2</v>
      </c>
      <c r="J10" s="86">
        <v>4</v>
      </c>
      <c r="K10" s="46"/>
    </row>
    <row r="11" spans="2:11" s="39" customFormat="1">
      <c r="B11" s="73"/>
      <c r="C11" s="40" t="s">
        <v>14</v>
      </c>
      <c r="D11" s="40" t="s">
        <v>15</v>
      </c>
      <c r="E11" s="74" t="s">
        <v>16</v>
      </c>
      <c r="F11" s="84"/>
      <c r="G11" s="85"/>
      <c r="I11" s="87">
        <f>D15</f>
        <v>9.3457719323491117E-2</v>
      </c>
      <c r="J11" s="86">
        <v>4</v>
      </c>
      <c r="K11" s="46"/>
    </row>
    <row r="12" spans="2:11" s="39" customFormat="1">
      <c r="B12" s="75" t="s">
        <v>5</v>
      </c>
      <c r="C12" s="42">
        <f>'AEB-4 Constant DCF'!O20</f>
        <v>8.5206916046982106E-2</v>
      </c>
      <c r="D12" s="42">
        <f>'AEB-4 Constant DCF'!P20</f>
        <v>9.3911723753010476E-2</v>
      </c>
      <c r="E12" s="76">
        <f>'AEB-4 Constant DCF'!Q20</f>
        <v>0.10147284929289971</v>
      </c>
      <c r="F12" s="84"/>
      <c r="G12" s="88" t="s">
        <v>17</v>
      </c>
      <c r="I12" s="87">
        <f>E15</f>
        <v>0.10101735664423071</v>
      </c>
      <c r="J12" s="86">
        <v>4</v>
      </c>
      <c r="K12" s="46"/>
    </row>
    <row r="13" spans="2:11" s="39" customFormat="1">
      <c r="B13" s="75" t="s">
        <v>8</v>
      </c>
      <c r="C13" s="42">
        <f>'AEB-4 Constant DCF'!O55</f>
        <v>8.4601252753109257E-2</v>
      </c>
      <c r="D13" s="42">
        <f>'AEB-4 Constant DCF'!P55</f>
        <v>9.3304128581313414E-2</v>
      </c>
      <c r="E13" s="76">
        <f>'AEB-4 Constant DCF'!Q55</f>
        <v>0.1008635717355869</v>
      </c>
      <c r="F13" s="84"/>
      <c r="G13" s="88"/>
      <c r="I13" s="89">
        <f>MIN(C18:E20)</f>
        <v>9.5481622565848287E-2</v>
      </c>
      <c r="J13" s="84">
        <v>3</v>
      </c>
      <c r="K13" s="46"/>
    </row>
    <row r="14" spans="2:11" s="39" customFormat="1" ht="14.4" thickBot="1">
      <c r="B14" s="77" t="s">
        <v>10</v>
      </c>
      <c r="C14" s="42">
        <f>'AEB-4 Constant DCF'!O90</f>
        <v>8.5677530011011097E-2</v>
      </c>
      <c r="D14" s="42">
        <f>'AEB-4 Constant DCF'!P90</f>
        <v>9.315730563614949E-2</v>
      </c>
      <c r="E14" s="76">
        <f>'AEB-4 Constant DCF'!Q90</f>
        <v>0.10071564890420552</v>
      </c>
      <c r="I14" s="89">
        <f>MAX(C18:E20)</f>
        <v>0.1325757499260371</v>
      </c>
      <c r="J14" s="84">
        <v>3</v>
      </c>
      <c r="K14" s="46"/>
    </row>
    <row r="15" spans="2:11" s="39" customFormat="1" ht="14.4" thickBot="1">
      <c r="B15" s="78" t="s">
        <v>11</v>
      </c>
      <c r="C15" s="44">
        <f>AVERAGE(C12:C14)</f>
        <v>8.5161899603700811E-2</v>
      </c>
      <c r="D15" s="44">
        <f>AVERAGE(D12:D14)</f>
        <v>9.3457719323491117E-2</v>
      </c>
      <c r="E15" s="79">
        <f>AVERAGE(E12:E14)</f>
        <v>0.10101735664423071</v>
      </c>
      <c r="F15" s="38"/>
      <c r="G15" s="84"/>
      <c r="H15" s="88" t="s">
        <v>18</v>
      </c>
      <c r="I15" s="89">
        <f>MIN(C23:E25)</f>
        <v>0.10403472732278661</v>
      </c>
      <c r="J15" s="84">
        <v>2</v>
      </c>
      <c r="K15" s="46"/>
    </row>
    <row r="16" spans="2:11" s="39" customFormat="1">
      <c r="B16" s="345" t="s">
        <v>17</v>
      </c>
      <c r="C16" s="346"/>
      <c r="D16" s="346"/>
      <c r="E16" s="347"/>
      <c r="G16" s="84"/>
      <c r="H16" s="90"/>
      <c r="I16" s="89">
        <f>MAX(C23:E25)</f>
        <v>0.13185532284292825</v>
      </c>
      <c r="J16" s="84">
        <v>2</v>
      </c>
      <c r="K16" s="46"/>
    </row>
    <row r="17" spans="2:11" s="39" customFormat="1" ht="55.2">
      <c r="B17" s="73"/>
      <c r="C17" s="40" t="s">
        <v>19</v>
      </c>
      <c r="D17" s="40" t="s">
        <v>20</v>
      </c>
      <c r="E17" s="74" t="s">
        <v>21</v>
      </c>
      <c r="G17" s="84"/>
      <c r="H17" s="91" t="s">
        <v>22</v>
      </c>
      <c r="I17" s="89">
        <f>C28</f>
        <v>9.5162735312479874E-2</v>
      </c>
      <c r="J17" s="84">
        <v>1</v>
      </c>
      <c r="K17" s="46"/>
    </row>
    <row r="18" spans="2:11" s="39" customFormat="1">
      <c r="B18" s="92" t="s">
        <v>23</v>
      </c>
      <c r="C18" s="42">
        <f>'AEB-5 CAPM'!H22</f>
        <v>0.11531107718007932</v>
      </c>
      <c r="D18" s="42">
        <f>'AEB-5 CAPM'!H53</f>
        <v>0.11595097461597678</v>
      </c>
      <c r="E18" s="76">
        <f>'AEB-5 CAPM'!H84</f>
        <v>0.11718020538520757</v>
      </c>
      <c r="G18" s="84"/>
      <c r="H18" s="90"/>
      <c r="I18" s="89">
        <f>E28</f>
        <v>0.10128427222275213</v>
      </c>
      <c r="J18" s="84">
        <v>1</v>
      </c>
      <c r="K18" s="46"/>
    </row>
    <row r="19" spans="2:11" s="39" customFormat="1">
      <c r="B19" s="92" t="s">
        <v>24</v>
      </c>
      <c r="C19" s="42">
        <f>'AEB-5 CAPM'!H115</f>
        <v>0.1325757499260371</v>
      </c>
      <c r="D19" s="42">
        <f>'AEB-5 CAPM'!H146</f>
        <v>0.13244754285273058</v>
      </c>
      <c r="E19" s="76">
        <f>'AEB-5 CAPM'!H177</f>
        <v>0.13220125951027523</v>
      </c>
      <c r="K19" s="46"/>
    </row>
    <row r="20" spans="2:11" s="39" customFormat="1" ht="14.4" thickBot="1">
      <c r="B20" s="92" t="s">
        <v>25</v>
      </c>
      <c r="C20" s="42">
        <f>'AEB-5 CAPM'!H208</f>
        <v>9.5481622565848287E-2</v>
      </c>
      <c r="D20" s="42">
        <f>'AEB-5 CAPM'!H239</f>
        <v>9.7003731540207236E-2</v>
      </c>
      <c r="E20" s="76">
        <f>'AEB-5 CAPM'!H270</f>
        <v>9.9927673847899551E-2</v>
      </c>
      <c r="H20" s="91" t="s">
        <v>26</v>
      </c>
      <c r="I20" s="89">
        <f>C32</f>
        <v>0.11251553438693646</v>
      </c>
      <c r="J20" s="39">
        <v>0.5</v>
      </c>
      <c r="K20" s="46"/>
    </row>
    <row r="21" spans="2:11" s="39" customFormat="1">
      <c r="B21" s="345" t="s">
        <v>18</v>
      </c>
      <c r="C21" s="346"/>
      <c r="D21" s="346"/>
      <c r="E21" s="347"/>
      <c r="I21" s="89">
        <f>C31</f>
        <v>0.11189456048680174</v>
      </c>
      <c r="J21" s="39">
        <v>0.5</v>
      </c>
      <c r="K21" s="46"/>
    </row>
    <row r="22" spans="2:11" s="39" customFormat="1" ht="55.2">
      <c r="B22" s="73"/>
      <c r="C22" s="40" t="s">
        <v>19</v>
      </c>
      <c r="D22" s="40" t="s">
        <v>20</v>
      </c>
      <c r="E22" s="74" t="s">
        <v>21</v>
      </c>
      <c r="K22" s="46"/>
    </row>
    <row r="23" spans="2:11" s="39" customFormat="1">
      <c r="B23" s="92" t="s">
        <v>23</v>
      </c>
      <c r="C23" s="93">
        <f>'AEB-5 CAPM'!I22</f>
        <v>0.11890681828345991</v>
      </c>
      <c r="D23" s="93">
        <f>'AEB-5 CAPM'!I53</f>
        <v>0.11938674136038295</v>
      </c>
      <c r="E23" s="94">
        <f>'AEB-5 CAPM'!I84</f>
        <v>0.12030866443730605</v>
      </c>
      <c r="G23" s="84"/>
      <c r="H23" s="91" t="s">
        <v>27</v>
      </c>
      <c r="I23" s="89">
        <v>9.9000000000000005E-2</v>
      </c>
      <c r="J23" s="84">
        <v>0</v>
      </c>
      <c r="K23" s="46"/>
    </row>
    <row r="24" spans="2:11" s="39" customFormat="1">
      <c r="B24" s="92" t="s">
        <v>24</v>
      </c>
      <c r="C24" s="93">
        <f>'AEB-5 CAPM'!I115</f>
        <v>0.13185532284292825</v>
      </c>
      <c r="D24" s="93">
        <f>'AEB-5 CAPM'!I146</f>
        <v>0.13175916753794834</v>
      </c>
      <c r="E24" s="94">
        <f>'AEB-5 CAPM'!I177</f>
        <v>0.13157445503110685</v>
      </c>
      <c r="G24" s="84"/>
      <c r="H24" s="84"/>
      <c r="I24" s="89">
        <v>9.9000000000000005E-2</v>
      </c>
      <c r="J24" s="84">
        <v>7</v>
      </c>
      <c r="K24" s="46"/>
    </row>
    <row r="25" spans="2:11" s="39" customFormat="1" ht="14.4" thickBot="1">
      <c r="B25" s="92" t="s">
        <v>25</v>
      </c>
      <c r="C25" s="93">
        <f>'AEB-5 CAPM'!I208</f>
        <v>0.10403472732278661</v>
      </c>
      <c r="D25" s="93">
        <f>'AEB-5 CAPM'!I239</f>
        <v>0.10517630905355582</v>
      </c>
      <c r="E25" s="94">
        <f>'AEB-5 CAPM'!I270</f>
        <v>0.10736926578432507</v>
      </c>
      <c r="G25" s="84"/>
      <c r="H25" s="91" t="s">
        <v>27</v>
      </c>
      <c r="I25" s="89">
        <v>0.105</v>
      </c>
      <c r="J25" s="84">
        <v>0</v>
      </c>
      <c r="K25" s="46"/>
    </row>
    <row r="26" spans="2:11" s="39" customFormat="1">
      <c r="B26" s="345" t="s">
        <v>28</v>
      </c>
      <c r="C26" s="346"/>
      <c r="D26" s="346"/>
      <c r="E26" s="347"/>
      <c r="G26" s="84"/>
      <c r="H26" s="84"/>
      <c r="I26" s="89">
        <v>0.105</v>
      </c>
      <c r="J26" s="84">
        <v>7</v>
      </c>
      <c r="K26" s="46"/>
    </row>
    <row r="27" spans="2:11" s="39" customFormat="1" ht="55.2">
      <c r="B27" s="80"/>
      <c r="C27" s="40" t="s">
        <v>19</v>
      </c>
      <c r="D27" s="40" t="s">
        <v>20</v>
      </c>
      <c r="E27" s="81" t="s">
        <v>21</v>
      </c>
      <c r="G27" s="41"/>
      <c r="H27" s="37"/>
      <c r="I27" s="38"/>
      <c r="J27" s="329"/>
      <c r="K27" s="46"/>
    </row>
    <row r="28" spans="2:11" s="39" customFormat="1">
      <c r="B28" s="95" t="s">
        <v>29</v>
      </c>
      <c r="C28" s="93">
        <f>'AEB-8 p1-3 Risk Premium- elec'!L50</f>
        <v>9.5162735312479874E-2</v>
      </c>
      <c r="D28" s="93">
        <f>'AEB-8 p1-3 Risk Premium- elec'!L51</f>
        <v>9.7258448042022702E-2</v>
      </c>
      <c r="E28" s="96">
        <f>'AEB-8 p1-3 Risk Premium- elec'!L52</f>
        <v>0.10128427222275213</v>
      </c>
      <c r="G28" s="41"/>
      <c r="H28" s="37"/>
      <c r="I28" s="38"/>
      <c r="J28" s="328"/>
      <c r="K28" s="46"/>
    </row>
    <row r="29" spans="2:11" s="39" customFormat="1" ht="14.4" thickBot="1">
      <c r="B29" s="77" t="s">
        <v>30</v>
      </c>
      <c r="C29" s="97"/>
      <c r="D29" s="98">
        <f>AVERAGE(C28:E28)</f>
        <v>9.7901818525751569E-2</v>
      </c>
      <c r="E29" s="99"/>
      <c r="G29" s="41"/>
      <c r="H29" s="41"/>
      <c r="K29" s="46"/>
    </row>
    <row r="30" spans="2:11" s="39" customFormat="1" ht="14.4" thickBot="1">
      <c r="B30" s="352" t="s">
        <v>26</v>
      </c>
      <c r="C30" s="353"/>
      <c r="D30" s="353"/>
      <c r="E30" s="354"/>
      <c r="G30" s="41"/>
      <c r="H30" s="41"/>
      <c r="K30" s="46"/>
    </row>
    <row r="31" spans="2:11" s="39" customFormat="1">
      <c r="B31" s="234" t="s">
        <v>15</v>
      </c>
      <c r="C31" s="355">
        <f>'Exhibit AEB-9 Expected Earning'!M21</f>
        <v>0.11189456048680174</v>
      </c>
      <c r="D31" s="355"/>
      <c r="E31" s="356"/>
      <c r="G31" s="41"/>
      <c r="H31" s="41"/>
      <c r="K31" s="46"/>
    </row>
    <row r="32" spans="2:11" s="39" customFormat="1" ht="14.4" thickBot="1">
      <c r="B32" s="77" t="s">
        <v>3</v>
      </c>
      <c r="C32" s="357">
        <f>'Exhibit AEB-9 Expected Earning'!M22</f>
        <v>0.11251553438693646</v>
      </c>
      <c r="D32" s="357"/>
      <c r="E32" s="358"/>
      <c r="G32" s="41"/>
      <c r="H32" s="41"/>
      <c r="K32" s="46"/>
    </row>
    <row r="33" spans="2:11" s="39" customFormat="1">
      <c r="B33" s="36"/>
      <c r="C33" s="36"/>
      <c r="D33" s="36"/>
      <c r="E33" s="36"/>
      <c r="G33" s="41"/>
      <c r="K33" s="46"/>
    </row>
    <row r="34" spans="2:11" s="39" customFormat="1">
      <c r="B34" s="36"/>
      <c r="C34" s="83"/>
      <c r="D34" s="83"/>
      <c r="E34" s="83"/>
      <c r="G34" s="41"/>
    </row>
    <row r="35" spans="2:11" s="39" customFormat="1">
      <c r="B35" s="100"/>
      <c r="C35" s="35"/>
      <c r="D35" s="35"/>
      <c r="E35" s="35"/>
      <c r="G35" s="41"/>
    </row>
    <row r="36" spans="2:11" s="39" customFormat="1" ht="14.25" customHeight="1">
      <c r="B36" s="273" t="s">
        <v>31</v>
      </c>
      <c r="C36" s="35"/>
      <c r="D36" s="35"/>
      <c r="E36" s="35"/>
      <c r="G36" s="41"/>
    </row>
    <row r="37" spans="2:11" s="39" customFormat="1" ht="15.75" customHeight="1">
      <c r="B37" s="344" t="s">
        <v>32</v>
      </c>
      <c r="C37" s="344"/>
      <c r="D37" s="344"/>
      <c r="E37" s="344"/>
      <c r="F37" s="38"/>
      <c r="G37" s="41"/>
    </row>
    <row r="38" spans="2:11" s="39" customFormat="1" ht="14.25" customHeight="1">
      <c r="B38" s="344"/>
      <c r="C38" s="344"/>
      <c r="D38" s="344"/>
      <c r="E38" s="344"/>
    </row>
    <row r="39" spans="2:11" s="39" customFormat="1" ht="14.25" customHeight="1">
      <c r="B39" s="344"/>
      <c r="C39" s="344"/>
      <c r="D39" s="344"/>
      <c r="E39" s="344"/>
    </row>
    <row r="40" spans="2:11" s="39" customFormat="1">
      <c r="B40" s="344"/>
      <c r="C40" s="344"/>
      <c r="D40" s="344"/>
      <c r="E40" s="344"/>
      <c r="H40" s="43"/>
    </row>
    <row r="41" spans="2:11" s="39" customFormat="1">
      <c r="B41" s="26"/>
      <c r="C41" s="26"/>
      <c r="D41" s="26"/>
      <c r="E41" s="26"/>
    </row>
    <row r="42" spans="2:11" s="39" customFormat="1">
      <c r="B42" s="26"/>
      <c r="C42" s="26"/>
      <c r="D42" s="26"/>
      <c r="E42" s="26"/>
    </row>
    <row r="43" spans="2:11" s="39" customFormat="1" ht="19.5" customHeight="1">
      <c r="B43" s="27"/>
      <c r="C43" s="82"/>
      <c r="D43" s="27"/>
      <c r="E43" s="27"/>
      <c r="G43" s="45"/>
      <c r="H43" s="36"/>
    </row>
    <row r="44" spans="2:11" s="39" customFormat="1" ht="19.5" customHeight="1">
      <c r="B44" s="27"/>
      <c r="C44" s="27"/>
      <c r="D44" s="27"/>
      <c r="E44" s="27"/>
      <c r="F44" s="38"/>
      <c r="G44" s="45"/>
      <c r="H44" s="36"/>
    </row>
    <row r="45" spans="2:11" s="39" customFormat="1">
      <c r="B45" s="27"/>
      <c r="C45" s="27"/>
      <c r="D45" s="27"/>
      <c r="E45" s="27"/>
      <c r="G45" s="45"/>
      <c r="H45" s="45"/>
      <c r="J45" s="45"/>
    </row>
    <row r="46" spans="2:11" s="39" customFormat="1">
      <c r="B46" s="27"/>
      <c r="C46" s="27"/>
      <c r="D46" s="27"/>
      <c r="E46" s="27"/>
      <c r="G46" s="45"/>
      <c r="H46" s="45"/>
      <c r="J46" s="45"/>
    </row>
    <row r="47" spans="2:11" s="39" customFormat="1">
      <c r="B47" s="27"/>
      <c r="C47" s="27"/>
      <c r="D47" s="27"/>
      <c r="E47" s="27"/>
      <c r="F47" s="38"/>
      <c r="G47" s="45"/>
      <c r="H47" s="45"/>
      <c r="J47" s="45"/>
      <c r="K47" s="45"/>
    </row>
    <row r="48" spans="2:11" s="39" customFormat="1">
      <c r="B48" s="45"/>
      <c r="C48" s="45"/>
      <c r="D48" s="45"/>
      <c r="E48" s="45"/>
      <c r="G48" s="45"/>
      <c r="H48" s="45"/>
      <c r="J48" s="45"/>
      <c r="K48" s="45"/>
    </row>
    <row r="49" spans="1:11" s="39" customFormat="1">
      <c r="B49" s="45"/>
      <c r="C49" s="45"/>
      <c r="D49" s="45"/>
      <c r="E49" s="45"/>
      <c r="G49" s="45"/>
      <c r="H49" s="45"/>
      <c r="J49" s="45"/>
      <c r="K49" s="45"/>
    </row>
    <row r="50" spans="1:11" s="39" customFormat="1">
      <c r="B50" s="45"/>
      <c r="C50" s="45"/>
      <c r="D50" s="45"/>
      <c r="E50" s="45"/>
      <c r="G50" s="45"/>
      <c r="H50" s="45"/>
      <c r="I50" s="36"/>
      <c r="J50" s="45"/>
      <c r="K50" s="45"/>
    </row>
    <row r="51" spans="1:11" s="39" customFormat="1">
      <c r="B51" s="45"/>
      <c r="C51" s="45"/>
      <c r="D51" s="45"/>
      <c r="E51" s="45"/>
      <c r="F51" s="36"/>
      <c r="G51" s="45"/>
      <c r="H51" s="45"/>
      <c r="I51" s="36"/>
      <c r="J51" s="45"/>
      <c r="K51" s="45"/>
    </row>
    <row r="52" spans="1:11" s="39" customFormat="1" ht="19.5" customHeight="1">
      <c r="B52" s="45"/>
      <c r="C52" s="45"/>
      <c r="D52" s="45"/>
      <c r="E52" s="45"/>
      <c r="F52" s="36"/>
      <c r="G52" s="45"/>
      <c r="H52" s="45"/>
      <c r="I52" s="45"/>
      <c r="J52" s="45"/>
      <c r="K52" s="45"/>
    </row>
    <row r="53" spans="1:11" s="39" customFormat="1" ht="19.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s="36" customFormat="1" ht="19.5" customHeight="1">
      <c r="A54" s="39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s="36" customFormat="1" ht="12.7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2.75" customHeight="1">
      <c r="A56" s="36"/>
    </row>
    <row r="58" spans="1:11" ht="12.75" customHeight="1"/>
    <row r="60" spans="1:11" ht="12.75" customHeight="1"/>
  </sheetData>
  <mergeCells count="10">
    <mergeCell ref="B37:E40"/>
    <mergeCell ref="B26:E26"/>
    <mergeCell ref="B2:E2"/>
    <mergeCell ref="B21:E21"/>
    <mergeCell ref="B4:E4"/>
    <mergeCell ref="B16:E16"/>
    <mergeCell ref="B10:E10"/>
    <mergeCell ref="B30:E30"/>
    <mergeCell ref="C31:E31"/>
    <mergeCell ref="C32:E32"/>
  </mergeCells>
  <printOptions horizontalCentered="1"/>
  <pageMargins left="0.7" right="0.7" top="1.25" bottom="0.75" header="0.3" footer="0.3"/>
  <pageSetup scale="33" orientation="portrait" useFirstPageNumber="1" r:id="rId1"/>
  <headerFooter>
    <oddHeader>&amp;LDRAFT- PRIVILEGED AND CONFIDENTIAL
PREPARED AT THE REQUEST OF COUNSEL
&amp;RExh. AEB-2
Page &amp;P of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92"/>
  <sheetViews>
    <sheetView view="pageLayout" zoomScale="70" zoomScaleNormal="100" zoomScalePageLayoutView="70" workbookViewId="0">
      <selection activeCell="I85" sqref="I85"/>
    </sheetView>
  </sheetViews>
  <sheetFormatPr defaultColWidth="9.109375" defaultRowHeight="13.2"/>
  <cols>
    <col min="1" max="1" width="2.5546875" style="138" customWidth="1"/>
    <col min="2" max="2" width="30.5546875" style="138" customWidth="1"/>
    <col min="3" max="3" width="11.6640625" style="138" customWidth="1"/>
    <col min="4" max="4" width="16.109375" style="138" bestFit="1" customWidth="1"/>
    <col min="5" max="8" width="10.5546875" style="138" customWidth="1"/>
    <col min="9" max="9" width="16.44140625" style="138" bestFit="1" customWidth="1"/>
    <col min="10" max="11" width="10.5546875" style="138" customWidth="1"/>
    <col min="12" max="14" width="9.109375" style="138"/>
    <col min="15" max="15" width="15" style="138" bestFit="1" customWidth="1"/>
    <col min="16" max="16" width="18.88671875" style="138" customWidth="1"/>
    <col min="17" max="16384" width="9.109375" style="138"/>
  </cols>
  <sheetData>
    <row r="2" spans="1:12">
      <c r="A2" s="371" t="s">
        <v>1369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</row>
    <row r="3" spans="1:12">
      <c r="A3" s="372" t="s">
        <v>1370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</row>
    <row r="4" spans="1:12">
      <c r="A4" s="156"/>
    </row>
    <row r="5" spans="1:12" ht="13.8" thickBot="1">
      <c r="A5" s="156"/>
      <c r="E5" s="151"/>
      <c r="F5" s="151"/>
      <c r="G5" s="151"/>
      <c r="H5" s="151"/>
      <c r="I5" s="151"/>
      <c r="J5" s="151"/>
      <c r="K5" s="151" t="s">
        <v>40</v>
      </c>
    </row>
    <row r="6" spans="1:12">
      <c r="A6" s="155"/>
      <c r="B6" s="154"/>
      <c r="C6" s="154"/>
      <c r="D6" s="154"/>
      <c r="E6" s="154"/>
      <c r="F6" s="154"/>
      <c r="G6" s="154"/>
      <c r="H6" s="154"/>
      <c r="I6" s="154"/>
      <c r="J6" s="154"/>
      <c r="K6" s="153" t="s">
        <v>1371</v>
      </c>
    </row>
    <row r="7" spans="1:12">
      <c r="K7" s="151" t="s">
        <v>1372</v>
      </c>
    </row>
    <row r="8" spans="1:12">
      <c r="K8" s="151">
        <v>2020</v>
      </c>
    </row>
    <row r="9" spans="1:12">
      <c r="A9" s="140"/>
      <c r="B9" s="140"/>
      <c r="C9" s="140"/>
      <c r="D9" s="152">
        <v>2020</v>
      </c>
      <c r="E9" s="152">
        <v>2021</v>
      </c>
      <c r="F9" s="152">
        <f>E9+1</f>
        <v>2022</v>
      </c>
      <c r="G9" s="152">
        <v>2023</v>
      </c>
      <c r="H9" s="152">
        <v>2024</v>
      </c>
      <c r="I9" s="152">
        <v>2025</v>
      </c>
      <c r="J9" s="152" t="s">
        <v>1373</v>
      </c>
      <c r="K9" s="151" t="s">
        <v>1374</v>
      </c>
    </row>
    <row r="10" spans="1:12">
      <c r="D10" s="151"/>
      <c r="E10" s="151"/>
      <c r="F10" s="151"/>
      <c r="G10" s="151"/>
      <c r="H10" s="151"/>
      <c r="I10" s="151"/>
      <c r="J10" s="151"/>
    </row>
    <row r="11" spans="1:12">
      <c r="A11" s="138" t="s">
        <v>56</v>
      </c>
      <c r="C11" s="138" t="s">
        <v>57</v>
      </c>
    </row>
    <row r="12" spans="1:12">
      <c r="A12" s="139"/>
      <c r="B12" s="139" t="s">
        <v>1375</v>
      </c>
      <c r="C12" s="150"/>
      <c r="E12" s="143">
        <v>4.55</v>
      </c>
      <c r="F12" s="143">
        <v>4.5</v>
      </c>
      <c r="G12" s="143">
        <f>AVERAGE(F12,H12)</f>
        <v>4.4249999999999998</v>
      </c>
      <c r="H12" s="143">
        <v>4.3499999999999996</v>
      </c>
      <c r="I12" s="143">
        <v>4.3499999999999996</v>
      </c>
    </row>
    <row r="13" spans="1:12">
      <c r="A13" s="139"/>
      <c r="B13" s="139" t="s">
        <v>1376</v>
      </c>
      <c r="C13" s="150"/>
      <c r="D13" s="140"/>
      <c r="E13" s="149">
        <v>395</v>
      </c>
      <c r="F13" s="148">
        <v>13.8</v>
      </c>
      <c r="G13" s="148">
        <f>AVERAGE(F13,H13)</f>
        <v>214.4</v>
      </c>
      <c r="H13" s="148">
        <v>415</v>
      </c>
      <c r="I13" s="148">
        <v>415</v>
      </c>
      <c r="J13" s="140"/>
    </row>
    <row r="14" spans="1:12">
      <c r="A14" s="139"/>
      <c r="B14" s="139" t="s">
        <v>1377</v>
      </c>
      <c r="C14" s="150"/>
      <c r="D14" s="142"/>
      <c r="E14" s="142">
        <f>E12*E13</f>
        <v>1797.25</v>
      </c>
      <c r="F14" s="142">
        <f>F12*F13</f>
        <v>62.1</v>
      </c>
      <c r="G14" s="142">
        <f>G12*G13</f>
        <v>948.72</v>
      </c>
      <c r="H14" s="142">
        <f>H12*H13</f>
        <v>1805.2499999999998</v>
      </c>
      <c r="I14" s="142">
        <f>I12*I13</f>
        <v>1805.2499999999998</v>
      </c>
      <c r="J14" s="212">
        <f>SUM(E14:I14)/D15</f>
        <v>0.38619554753309265</v>
      </c>
      <c r="K14" s="138">
        <f>IFERROR(RANK(J14,$J$14:$J$80,1),"")</f>
        <v>1</v>
      </c>
      <c r="L14" s="138" t="str">
        <f>C11</f>
        <v>NI</v>
      </c>
    </row>
    <row r="15" spans="1:12">
      <c r="A15" s="139"/>
      <c r="B15" s="139" t="s">
        <v>1373</v>
      </c>
      <c r="C15" s="150"/>
      <c r="D15" s="142">
        <v>16620</v>
      </c>
      <c r="K15" s="138" t="str">
        <f t="shared" ref="K15:K77" si="0">IFERROR(RANK(J15,$J$14:$J$80,1),"")</f>
        <v/>
      </c>
    </row>
    <row r="16" spans="1:12">
      <c r="A16" s="139" t="s">
        <v>61</v>
      </c>
      <c r="C16" s="139" t="s">
        <v>62</v>
      </c>
      <c r="K16" s="138" t="str">
        <f t="shared" si="0"/>
        <v/>
      </c>
    </row>
    <row r="17" spans="1:12">
      <c r="A17" s="139"/>
      <c r="B17" s="139" t="s">
        <v>1375</v>
      </c>
      <c r="C17" s="150"/>
      <c r="E17" s="143">
        <v>4.8</v>
      </c>
      <c r="F17" s="143">
        <v>5.3</v>
      </c>
      <c r="G17" s="143">
        <f>AVERAGE(F17,H17)</f>
        <v>5.9</v>
      </c>
      <c r="H17" s="143">
        <v>6.5</v>
      </c>
      <c r="I17" s="143">
        <v>6.5</v>
      </c>
      <c r="K17" s="138" t="str">
        <f t="shared" si="0"/>
        <v/>
      </c>
    </row>
    <row r="18" spans="1:12">
      <c r="A18" s="139"/>
      <c r="B18" s="139" t="s">
        <v>1376</v>
      </c>
      <c r="C18" s="150"/>
      <c r="D18" s="140"/>
      <c r="E18" s="149">
        <v>250.5</v>
      </c>
      <c r="F18" s="148">
        <v>251</v>
      </c>
      <c r="G18" s="148">
        <f>AVERAGE(F18,H18)</f>
        <v>251.75</v>
      </c>
      <c r="H18" s="148">
        <v>252.5</v>
      </c>
      <c r="I18" s="148">
        <v>252.5</v>
      </c>
      <c r="J18" s="140"/>
      <c r="K18" s="138" t="str">
        <f t="shared" si="0"/>
        <v/>
      </c>
    </row>
    <row r="19" spans="1:12">
      <c r="A19" s="139"/>
      <c r="B19" s="139" t="s">
        <v>1377</v>
      </c>
      <c r="C19" s="150"/>
      <c r="E19" s="142">
        <f>E17*E18</f>
        <v>1202.3999999999999</v>
      </c>
      <c r="F19" s="142">
        <f>F17*F18</f>
        <v>1330.3</v>
      </c>
      <c r="G19" s="142">
        <f>G17*G18</f>
        <v>1485.325</v>
      </c>
      <c r="H19" s="142">
        <f>H17*H18</f>
        <v>1641.25</v>
      </c>
      <c r="I19" s="142">
        <f>I17*I18</f>
        <v>1641.25</v>
      </c>
      <c r="J19" s="212">
        <f>SUM(E19:I19)/D20</f>
        <v>0.50924421037946421</v>
      </c>
      <c r="K19" s="138">
        <f t="shared" si="0"/>
        <v>5</v>
      </c>
      <c r="L19" s="138" t="str">
        <f>C16</f>
        <v>LNT</v>
      </c>
    </row>
    <row r="20" spans="1:12">
      <c r="A20" s="139"/>
      <c r="B20" s="139" t="s">
        <v>1373</v>
      </c>
      <c r="C20" s="150"/>
      <c r="D20" s="142">
        <v>14336</v>
      </c>
      <c r="K20" s="138" t="str">
        <f t="shared" si="0"/>
        <v/>
      </c>
    </row>
    <row r="21" spans="1:12">
      <c r="A21" s="138" t="s">
        <v>64</v>
      </c>
      <c r="C21" s="138" t="s">
        <v>65</v>
      </c>
      <c r="K21" s="138" t="str">
        <f t="shared" si="0"/>
        <v/>
      </c>
    </row>
    <row r="22" spans="1:12">
      <c r="A22" s="139"/>
      <c r="B22" s="139" t="s">
        <v>1375</v>
      </c>
      <c r="C22" s="150"/>
      <c r="E22" s="143">
        <v>14.4</v>
      </c>
      <c r="F22" s="143">
        <v>11.8</v>
      </c>
      <c r="G22" s="143">
        <f>AVERAGE(F22,H22)</f>
        <v>12.275</v>
      </c>
      <c r="H22" s="143">
        <v>12.75</v>
      </c>
      <c r="I22" s="143">
        <v>12.75</v>
      </c>
      <c r="K22" s="138" t="str">
        <f t="shared" si="0"/>
        <v/>
      </c>
    </row>
    <row r="23" spans="1:12">
      <c r="A23" s="139"/>
      <c r="B23" s="139" t="s">
        <v>1376</v>
      </c>
      <c r="C23" s="150"/>
      <c r="D23" s="140"/>
      <c r="E23" s="149">
        <v>259</v>
      </c>
      <c r="F23" s="148">
        <v>265</v>
      </c>
      <c r="G23" s="148">
        <f>AVERAGE(F23,H23)</f>
        <v>272.5</v>
      </c>
      <c r="H23" s="148">
        <v>280</v>
      </c>
      <c r="I23" s="148">
        <v>280</v>
      </c>
      <c r="J23" s="140"/>
      <c r="K23" s="138" t="str">
        <f t="shared" si="0"/>
        <v/>
      </c>
    </row>
    <row r="24" spans="1:12">
      <c r="A24" s="139"/>
      <c r="B24" s="139" t="s">
        <v>1377</v>
      </c>
      <c r="C24" s="150"/>
      <c r="E24" s="142">
        <f>E22*E23</f>
        <v>3729.6</v>
      </c>
      <c r="F24" s="142">
        <f>F22*F23</f>
        <v>3127</v>
      </c>
      <c r="G24" s="142">
        <f>G22*G23</f>
        <v>3344.9375</v>
      </c>
      <c r="H24" s="142">
        <f>H22*H23</f>
        <v>3570</v>
      </c>
      <c r="I24" s="142">
        <f>I22*I23</f>
        <v>3570</v>
      </c>
      <c r="J24" s="212">
        <f>SUM(E24:I24)/D25</f>
        <v>0.64690332748908863</v>
      </c>
      <c r="K24" s="138">
        <f t="shared" si="0"/>
        <v>12</v>
      </c>
      <c r="L24" s="138" t="str">
        <f>C21</f>
        <v>AEE</v>
      </c>
    </row>
    <row r="25" spans="1:12">
      <c r="A25" s="139"/>
      <c r="B25" s="139" t="s">
        <v>1373</v>
      </c>
      <c r="C25" s="150"/>
      <c r="D25" s="142">
        <v>26807</v>
      </c>
      <c r="K25" s="138" t="str">
        <f t="shared" si="0"/>
        <v/>
      </c>
    </row>
    <row r="26" spans="1:12">
      <c r="A26" s="139" t="s">
        <v>66</v>
      </c>
      <c r="C26" s="139" t="s">
        <v>67</v>
      </c>
      <c r="D26" s="142"/>
      <c r="K26" s="138" t="str">
        <f t="shared" si="0"/>
        <v/>
      </c>
    </row>
    <row r="27" spans="1:12">
      <c r="A27" s="139"/>
      <c r="B27" s="139" t="s">
        <v>1375</v>
      </c>
      <c r="C27" s="210"/>
      <c r="E27" s="143">
        <v>6.6</v>
      </c>
      <c r="F27" s="143">
        <v>6.5</v>
      </c>
      <c r="G27" s="143">
        <f>AVERAGE(F27,H27)</f>
        <v>6.25</v>
      </c>
      <c r="H27" s="143">
        <v>6</v>
      </c>
      <c r="I27" s="143">
        <v>6</v>
      </c>
      <c r="K27" s="138" t="str">
        <f t="shared" si="0"/>
        <v/>
      </c>
    </row>
    <row r="28" spans="1:12">
      <c r="A28" s="139"/>
      <c r="B28" s="139" t="s">
        <v>1376</v>
      </c>
      <c r="C28" s="210"/>
      <c r="D28" s="140"/>
      <c r="E28" s="149">
        <v>71.5</v>
      </c>
      <c r="F28" s="148">
        <v>73.5</v>
      </c>
      <c r="G28" s="148">
        <f>AVERAGE(F28,H28)</f>
        <v>76.5</v>
      </c>
      <c r="H28" s="148">
        <v>79.5</v>
      </c>
      <c r="I28" s="148">
        <v>79.5</v>
      </c>
      <c r="J28" s="140"/>
      <c r="K28" s="138" t="str">
        <f t="shared" si="0"/>
        <v/>
      </c>
    </row>
    <row r="29" spans="1:12">
      <c r="A29" s="139"/>
      <c r="B29" s="139" t="s">
        <v>1377</v>
      </c>
      <c r="C29" s="210"/>
      <c r="E29" s="142">
        <f>E27*E28</f>
        <v>471.9</v>
      </c>
      <c r="F29" s="142">
        <f>F27*F28</f>
        <v>477.75</v>
      </c>
      <c r="G29" s="142">
        <f>G27*G28</f>
        <v>478.125</v>
      </c>
      <c r="H29" s="142">
        <f>H27*H28</f>
        <v>477</v>
      </c>
      <c r="I29" s="142">
        <f>I27*I28</f>
        <v>477</v>
      </c>
      <c r="J29" s="212">
        <f>SUM(E29:I29)/D30</f>
        <v>0.47715662312685309</v>
      </c>
      <c r="K29" s="138">
        <f t="shared" si="0"/>
        <v>4</v>
      </c>
      <c r="L29" s="138" t="str">
        <f>C26</f>
        <v>AVA</v>
      </c>
    </row>
    <row r="30" spans="1:12">
      <c r="A30" s="139"/>
      <c r="B30" s="139" t="s">
        <v>1373</v>
      </c>
      <c r="C30" s="210"/>
      <c r="D30" s="142">
        <v>4991.6000000000004</v>
      </c>
      <c r="K30" s="138" t="str">
        <f t="shared" si="0"/>
        <v/>
      </c>
    </row>
    <row r="31" spans="1:12">
      <c r="A31" s="139" t="s">
        <v>69</v>
      </c>
      <c r="C31" s="139" t="s">
        <v>70</v>
      </c>
      <c r="K31" s="138" t="str">
        <f t="shared" si="0"/>
        <v/>
      </c>
    </row>
    <row r="32" spans="1:12">
      <c r="A32" s="139"/>
      <c r="B32" s="139" t="s">
        <v>1375</v>
      </c>
      <c r="C32" s="210"/>
      <c r="E32" s="143">
        <v>10.050000000000001</v>
      </c>
      <c r="F32" s="143">
        <v>9.15</v>
      </c>
      <c r="G32" s="143">
        <f>AVERAGE(F32,H32)</f>
        <v>9.0749999999999993</v>
      </c>
      <c r="H32" s="143">
        <v>9</v>
      </c>
      <c r="I32" s="143">
        <v>9</v>
      </c>
      <c r="K32" s="138" t="str">
        <f t="shared" si="0"/>
        <v/>
      </c>
    </row>
    <row r="33" spans="1:12">
      <c r="A33" s="139"/>
      <c r="B33" s="139" t="s">
        <v>1376</v>
      </c>
      <c r="C33" s="210"/>
      <c r="D33" s="140"/>
      <c r="E33" s="149">
        <v>64.5</v>
      </c>
      <c r="F33" s="148">
        <v>65.5</v>
      </c>
      <c r="G33" s="148">
        <f>AVERAGE(F33,H33)</f>
        <v>67</v>
      </c>
      <c r="H33" s="148">
        <v>68.5</v>
      </c>
      <c r="I33" s="148">
        <f>H33</f>
        <v>68.5</v>
      </c>
      <c r="J33" s="140"/>
      <c r="K33" s="138" t="str">
        <f t="shared" si="0"/>
        <v/>
      </c>
    </row>
    <row r="34" spans="1:12">
      <c r="A34" s="139"/>
      <c r="B34" s="139" t="s">
        <v>1377</v>
      </c>
      <c r="C34" s="210"/>
      <c r="E34" s="142">
        <f>E32*E33</f>
        <v>648.22500000000002</v>
      </c>
      <c r="F34" s="142">
        <f>F32*F33</f>
        <v>599.32500000000005</v>
      </c>
      <c r="G34" s="142">
        <f>G32*G33</f>
        <v>608.02499999999998</v>
      </c>
      <c r="H34" s="142">
        <f>H32*H33</f>
        <v>616.5</v>
      </c>
      <c r="I34" s="142">
        <f>I32*I33</f>
        <v>616.5</v>
      </c>
      <c r="J34" s="212">
        <f>SUM(E34:I34)/D35</f>
        <v>0.51307789424722172</v>
      </c>
      <c r="K34" s="138">
        <f t="shared" si="0"/>
        <v>7</v>
      </c>
      <c r="L34" s="138" t="str">
        <f>C31</f>
        <v>BKH</v>
      </c>
    </row>
    <row r="35" spans="1:12">
      <c r="A35" s="139"/>
      <c r="B35" s="139" t="s">
        <v>1373</v>
      </c>
      <c r="C35" s="210"/>
      <c r="D35" s="142">
        <v>6019.7</v>
      </c>
      <c r="K35" s="138" t="str">
        <f t="shared" si="0"/>
        <v/>
      </c>
    </row>
    <row r="36" spans="1:12">
      <c r="A36" s="139" t="s">
        <v>71</v>
      </c>
      <c r="C36" s="139" t="s">
        <v>72</v>
      </c>
      <c r="K36" s="138" t="str">
        <f t="shared" si="0"/>
        <v/>
      </c>
    </row>
    <row r="37" spans="1:12">
      <c r="A37" s="139"/>
      <c r="B37" s="139" t="s">
        <v>1375</v>
      </c>
      <c r="C37" s="210"/>
      <c r="E37" s="143">
        <v>8.65</v>
      </c>
      <c r="F37" s="143">
        <v>10.35</v>
      </c>
      <c r="G37" s="143">
        <f>AVERAGE(F37,H37)</f>
        <v>9.4250000000000007</v>
      </c>
      <c r="H37" s="143">
        <v>8.5</v>
      </c>
      <c r="I37" s="143">
        <v>8.5</v>
      </c>
      <c r="K37" s="138" t="str">
        <f t="shared" si="0"/>
        <v/>
      </c>
    </row>
    <row r="38" spans="1:12">
      <c r="A38" s="139"/>
      <c r="B38" s="139" t="s">
        <v>1376</v>
      </c>
      <c r="C38" s="210"/>
      <c r="D38" s="140"/>
      <c r="E38" s="149">
        <v>289.7</v>
      </c>
      <c r="F38" s="148">
        <v>289.7</v>
      </c>
      <c r="G38" s="148">
        <f>AVERAGE(F38,H38)</f>
        <v>292.35000000000002</v>
      </c>
      <c r="H38" s="148">
        <v>295</v>
      </c>
      <c r="I38" s="148">
        <v>295</v>
      </c>
      <c r="J38" s="140"/>
      <c r="K38" s="138" t="str">
        <f t="shared" si="0"/>
        <v/>
      </c>
    </row>
    <row r="39" spans="1:12">
      <c r="A39" s="139"/>
      <c r="B39" s="139" t="s">
        <v>1377</v>
      </c>
      <c r="C39" s="210"/>
      <c r="E39" s="142">
        <f>E37*E38</f>
        <v>2505.9050000000002</v>
      </c>
      <c r="F39" s="142">
        <f>F37*F38</f>
        <v>2998.395</v>
      </c>
      <c r="G39" s="142">
        <f>G37*G38</f>
        <v>2755.3987500000003</v>
      </c>
      <c r="H39" s="142">
        <f>H37*H38</f>
        <v>2507.5</v>
      </c>
      <c r="I39" s="142">
        <f>I37*I38</f>
        <v>2507.5</v>
      </c>
      <c r="J39" s="212">
        <f>SUM(E39:I39)/D40</f>
        <v>0.63095673511098438</v>
      </c>
      <c r="K39" s="138">
        <f t="shared" si="0"/>
        <v>11</v>
      </c>
      <c r="L39" s="138" t="str">
        <f>C36</f>
        <v>CMS</v>
      </c>
    </row>
    <row r="40" spans="1:12">
      <c r="A40" s="139"/>
      <c r="B40" s="139" t="s">
        <v>1373</v>
      </c>
      <c r="C40" s="210"/>
      <c r="D40" s="142">
        <v>21039</v>
      </c>
      <c r="K40" s="138" t="str">
        <f t="shared" si="0"/>
        <v/>
      </c>
    </row>
    <row r="41" spans="1:12">
      <c r="A41" s="139" t="s">
        <v>73</v>
      </c>
      <c r="C41" s="139" t="s">
        <v>74</v>
      </c>
      <c r="K41" s="138" t="str">
        <f t="shared" si="0"/>
        <v/>
      </c>
    </row>
    <row r="42" spans="1:12">
      <c r="A42" s="139"/>
      <c r="B42" s="139" t="s">
        <v>1375</v>
      </c>
      <c r="C42" s="210"/>
      <c r="E42" s="143">
        <v>13.6</v>
      </c>
      <c r="F42" s="143">
        <v>16.600000000000001</v>
      </c>
      <c r="G42" s="143">
        <f>AVERAGE(F42,H42)</f>
        <v>16.05</v>
      </c>
      <c r="H42" s="143">
        <v>15.5</v>
      </c>
      <c r="I42" s="143">
        <v>15.5</v>
      </c>
      <c r="K42" s="138" t="str">
        <f t="shared" si="0"/>
        <v/>
      </c>
    </row>
    <row r="43" spans="1:12">
      <c r="A43" s="139"/>
      <c r="B43" s="139" t="s">
        <v>1376</v>
      </c>
      <c r="C43" s="210"/>
      <c r="D43" s="140"/>
      <c r="E43" s="149">
        <v>770</v>
      </c>
      <c r="F43" s="148">
        <v>770</v>
      </c>
      <c r="G43" s="148">
        <f>AVERAGE(F43,H43)</f>
        <v>770</v>
      </c>
      <c r="H43" s="148">
        <v>770</v>
      </c>
      <c r="I43" s="148">
        <v>770</v>
      </c>
      <c r="J43" s="140"/>
      <c r="K43" s="138" t="str">
        <f t="shared" si="0"/>
        <v/>
      </c>
    </row>
    <row r="44" spans="1:12">
      <c r="A44" s="139"/>
      <c r="B44" s="139" t="s">
        <v>1377</v>
      </c>
      <c r="C44" s="210"/>
      <c r="E44" s="142">
        <f>E42*E43</f>
        <v>10472</v>
      </c>
      <c r="F44" s="142">
        <f>F42*F43</f>
        <v>12782.000000000002</v>
      </c>
      <c r="G44" s="142">
        <f>G42*G43</f>
        <v>12358.5</v>
      </c>
      <c r="H44" s="142">
        <f>H42*H43</f>
        <v>11935</v>
      </c>
      <c r="I44" s="142">
        <f>I42*I43</f>
        <v>11935</v>
      </c>
      <c r="J44" s="212">
        <f>SUM(E44:I44)/D45</f>
        <v>0.55704613137045567</v>
      </c>
      <c r="K44" s="138">
        <f t="shared" si="0"/>
        <v>10</v>
      </c>
      <c r="L44" s="138" t="str">
        <f>C41</f>
        <v>DUK</v>
      </c>
    </row>
    <row r="45" spans="1:12">
      <c r="A45" s="139"/>
      <c r="B45" s="139" t="s">
        <v>1373</v>
      </c>
      <c r="C45" s="210"/>
      <c r="D45" s="142">
        <v>106782</v>
      </c>
      <c r="K45" s="138" t="str">
        <f t="shared" si="0"/>
        <v/>
      </c>
    </row>
    <row r="46" spans="1:12">
      <c r="A46" s="139" t="s">
        <v>75</v>
      </c>
      <c r="C46" s="139" t="s">
        <v>76</v>
      </c>
      <c r="K46" s="138" t="str">
        <f t="shared" si="0"/>
        <v/>
      </c>
    </row>
    <row r="47" spans="1:12">
      <c r="A47" s="139"/>
      <c r="B47" s="139" t="s">
        <v>1375</v>
      </c>
      <c r="C47" s="210"/>
      <c r="E47" s="143">
        <v>4.75</v>
      </c>
      <c r="F47" s="143">
        <v>5.6</v>
      </c>
      <c r="G47" s="143">
        <f>AVERAGE(F47,H47)</f>
        <v>5.1749999999999998</v>
      </c>
      <c r="H47" s="143">
        <v>4.75</v>
      </c>
      <c r="I47" s="143">
        <f>H47</f>
        <v>4.75</v>
      </c>
      <c r="K47" s="138" t="str">
        <f t="shared" si="0"/>
        <v/>
      </c>
    </row>
    <row r="48" spans="1:12">
      <c r="A48" s="139"/>
      <c r="B48" s="139" t="s">
        <v>1376</v>
      </c>
      <c r="C48" s="210"/>
      <c r="D48" s="140"/>
      <c r="E48" s="149">
        <v>36.159999999999997</v>
      </c>
      <c r="F48" s="148">
        <v>36.159999999999997</v>
      </c>
      <c r="G48" s="148">
        <v>36.159999999999997</v>
      </c>
      <c r="H48" s="148">
        <f>F48</f>
        <v>36.159999999999997</v>
      </c>
      <c r="I48" s="148">
        <f>H48</f>
        <v>36.159999999999997</v>
      </c>
      <c r="J48" s="140"/>
      <c r="K48" s="138" t="str">
        <f t="shared" si="0"/>
        <v/>
      </c>
    </row>
    <row r="49" spans="1:12">
      <c r="A49" s="139"/>
      <c r="B49" s="139" t="s">
        <v>1377</v>
      </c>
      <c r="C49" s="210"/>
      <c r="E49" s="142">
        <f>E47*E48</f>
        <v>171.76</v>
      </c>
      <c r="F49" s="142">
        <f>F47*F48</f>
        <v>202.49599999999998</v>
      </c>
      <c r="G49" s="142">
        <f>G47*G48</f>
        <v>187.12799999999999</v>
      </c>
      <c r="H49" s="142">
        <f>H47*H48</f>
        <v>171.76</v>
      </c>
      <c r="I49" s="142">
        <f>I47*I48</f>
        <v>171.76</v>
      </c>
      <c r="J49" s="212">
        <f>SUM(E49:I49)/D50</f>
        <v>0.51141855996382957</v>
      </c>
      <c r="K49" s="138">
        <f t="shared" si="0"/>
        <v>6</v>
      </c>
      <c r="L49" s="138" t="str">
        <f>C46</f>
        <v>MGEE</v>
      </c>
    </row>
    <row r="50" spans="1:12">
      <c r="A50" s="139"/>
      <c r="B50" s="139" t="s">
        <v>1373</v>
      </c>
      <c r="C50" s="210"/>
      <c r="D50" s="142">
        <v>1769.4</v>
      </c>
      <c r="K50" s="138" t="str">
        <f t="shared" si="0"/>
        <v/>
      </c>
    </row>
    <row r="51" spans="1:12">
      <c r="A51" s="139" t="s">
        <v>78</v>
      </c>
      <c r="C51" s="139" t="s">
        <v>79</v>
      </c>
      <c r="D51" s="142"/>
      <c r="K51" s="138" t="str">
        <f t="shared" si="0"/>
        <v/>
      </c>
    </row>
    <row r="52" spans="1:12">
      <c r="A52" s="139"/>
      <c r="B52" s="139" t="s">
        <v>1375</v>
      </c>
      <c r="C52" s="210"/>
      <c r="E52" s="143">
        <v>7.15</v>
      </c>
      <c r="F52" s="143">
        <v>7.6</v>
      </c>
      <c r="G52" s="143">
        <f>AVERAGE(F52,H52)</f>
        <v>8.3000000000000007</v>
      </c>
      <c r="H52" s="143">
        <v>9</v>
      </c>
      <c r="I52" s="143">
        <v>9</v>
      </c>
      <c r="K52" s="138" t="str">
        <f t="shared" si="0"/>
        <v/>
      </c>
    </row>
    <row r="53" spans="1:12">
      <c r="A53" s="139"/>
      <c r="B53" s="139" t="s">
        <v>1376</v>
      </c>
      <c r="C53" s="210"/>
      <c r="D53" s="140"/>
      <c r="E53" s="149">
        <v>1963</v>
      </c>
      <c r="F53" s="148">
        <v>1980</v>
      </c>
      <c r="G53" s="148">
        <f>AVERAGE(F53,H53)</f>
        <v>2002.5</v>
      </c>
      <c r="H53" s="148">
        <v>2025</v>
      </c>
      <c r="I53" s="148">
        <v>2025</v>
      </c>
      <c r="J53" s="140"/>
      <c r="K53" s="138" t="str">
        <f t="shared" si="0"/>
        <v/>
      </c>
    </row>
    <row r="54" spans="1:12">
      <c r="A54" s="139"/>
      <c r="B54" s="139" t="s">
        <v>1377</v>
      </c>
      <c r="C54" s="210"/>
      <c r="E54" s="142">
        <f>E52*E53</f>
        <v>14035.45</v>
      </c>
      <c r="F54" s="142">
        <f>F52*F53</f>
        <v>15048</v>
      </c>
      <c r="G54" s="142">
        <f>G52*G53</f>
        <v>16620.75</v>
      </c>
      <c r="H54" s="142">
        <f>H52*H53</f>
        <v>18225</v>
      </c>
      <c r="I54" s="142">
        <f>I52*I53</f>
        <v>18225</v>
      </c>
      <c r="J54" s="212">
        <f>SUM(E54:I54)/D55</f>
        <v>0.89489668093635277</v>
      </c>
      <c r="K54" s="138">
        <f t="shared" si="0"/>
        <v>14</v>
      </c>
      <c r="L54" s="138" t="str">
        <f>C51</f>
        <v>NEE</v>
      </c>
    </row>
    <row r="55" spans="1:12">
      <c r="A55" s="139"/>
      <c r="B55" s="139" t="s">
        <v>1373</v>
      </c>
      <c r="C55" s="210"/>
      <c r="D55" s="142">
        <v>91803</v>
      </c>
      <c r="K55" s="138" t="str">
        <f t="shared" si="0"/>
        <v/>
      </c>
    </row>
    <row r="56" spans="1:12">
      <c r="A56" s="139" t="s">
        <v>80</v>
      </c>
      <c r="C56" s="139" t="s">
        <v>81</v>
      </c>
      <c r="K56" s="138" t="str">
        <f t="shared" si="0"/>
        <v/>
      </c>
    </row>
    <row r="57" spans="1:12">
      <c r="A57" s="139"/>
      <c r="B57" s="139" t="s">
        <v>1375</v>
      </c>
      <c r="C57" s="210"/>
      <c r="E57" s="143">
        <v>8.3000000000000007</v>
      </c>
      <c r="F57" s="143">
        <v>10.95</v>
      </c>
      <c r="G57" s="143">
        <f>AVERAGE(F57,H57)</f>
        <v>8.9749999999999996</v>
      </c>
      <c r="H57" s="143">
        <f>7</f>
        <v>7</v>
      </c>
      <c r="I57" s="143">
        <v>7</v>
      </c>
      <c r="K57" s="138" t="str">
        <f t="shared" si="0"/>
        <v/>
      </c>
    </row>
    <row r="58" spans="1:12">
      <c r="A58" s="139"/>
      <c r="B58" s="139" t="s">
        <v>1376</v>
      </c>
      <c r="C58" s="210"/>
      <c r="D58" s="140"/>
      <c r="E58" s="149">
        <v>54.5</v>
      </c>
      <c r="F58" s="148">
        <v>54.5</v>
      </c>
      <c r="G58" s="148">
        <f>AVERAGE(F58,H58)</f>
        <v>55.75</v>
      </c>
      <c r="H58" s="148">
        <v>57</v>
      </c>
      <c r="I58" s="148">
        <f>H58</f>
        <v>57</v>
      </c>
      <c r="J58" s="140"/>
      <c r="K58" s="138" t="str">
        <f t="shared" si="0"/>
        <v/>
      </c>
    </row>
    <row r="59" spans="1:12">
      <c r="A59" s="139"/>
      <c r="B59" s="139" t="s">
        <v>1377</v>
      </c>
      <c r="C59" s="210"/>
      <c r="E59" s="142">
        <f>E57*E58</f>
        <v>452.35</v>
      </c>
      <c r="F59" s="142">
        <f>F57*F58</f>
        <v>596.77499999999998</v>
      </c>
      <c r="G59" s="142">
        <f>G57*G58</f>
        <v>500.35624999999999</v>
      </c>
      <c r="H59" s="142">
        <f>H57*H58</f>
        <v>399</v>
      </c>
      <c r="I59" s="142">
        <f>I57*I58</f>
        <v>399</v>
      </c>
      <c r="J59" s="212">
        <f>SUM(E59:I59)/D60</f>
        <v>0.47396096226453188</v>
      </c>
      <c r="K59" s="138">
        <f t="shared" si="0"/>
        <v>3</v>
      </c>
      <c r="L59" s="138" t="str">
        <f>C56</f>
        <v>NWE</v>
      </c>
    </row>
    <row r="60" spans="1:12">
      <c r="A60" s="139"/>
      <c r="B60" s="139" t="s">
        <v>1373</v>
      </c>
      <c r="C60" s="210"/>
      <c r="D60" s="142">
        <v>4952.8999999999996</v>
      </c>
      <c r="K60" s="138" t="str">
        <f t="shared" si="0"/>
        <v/>
      </c>
    </row>
    <row r="61" spans="1:12">
      <c r="A61" s="139" t="s">
        <v>84</v>
      </c>
      <c r="C61" s="139" t="s">
        <v>85</v>
      </c>
      <c r="K61" s="138" t="str">
        <f t="shared" si="0"/>
        <v/>
      </c>
    </row>
    <row r="62" spans="1:12">
      <c r="A62" s="139"/>
      <c r="B62" s="139" t="s">
        <v>1375</v>
      </c>
      <c r="C62" s="210"/>
      <c r="E62" s="143">
        <v>6.9</v>
      </c>
      <c r="F62" s="143">
        <v>9.35</v>
      </c>
      <c r="G62" s="143">
        <f>AVERAGE(F62,H62)</f>
        <v>9.1750000000000007</v>
      </c>
      <c r="H62" s="143">
        <v>9</v>
      </c>
      <c r="I62" s="143">
        <v>9</v>
      </c>
      <c r="K62" s="138" t="str">
        <f t="shared" si="0"/>
        <v/>
      </c>
    </row>
    <row r="63" spans="1:12">
      <c r="A63" s="139"/>
      <c r="B63" s="139" t="s">
        <v>1376</v>
      </c>
      <c r="C63" s="210"/>
      <c r="D63" s="140"/>
      <c r="E63" s="149">
        <v>315.43</v>
      </c>
      <c r="F63" s="148">
        <v>315.43</v>
      </c>
      <c r="G63" s="148">
        <f>AVERAGE(F63,H63)</f>
        <v>315.43</v>
      </c>
      <c r="H63" s="148">
        <v>315.43</v>
      </c>
      <c r="I63" s="148">
        <v>315.43</v>
      </c>
      <c r="J63" s="140"/>
      <c r="K63" s="138" t="str">
        <f t="shared" si="0"/>
        <v/>
      </c>
    </row>
    <row r="64" spans="1:12">
      <c r="A64" s="139"/>
      <c r="B64" s="139" t="s">
        <v>1377</v>
      </c>
      <c r="C64" s="210"/>
      <c r="E64" s="142">
        <f>E62*E63</f>
        <v>2176.4670000000001</v>
      </c>
      <c r="F64" s="142">
        <f>F62*F63</f>
        <v>2949.2705000000001</v>
      </c>
      <c r="G64" s="142">
        <f>G62*G63</f>
        <v>2894.0702500000002</v>
      </c>
      <c r="H64" s="142">
        <f>H62*H63</f>
        <v>2838.87</v>
      </c>
      <c r="I64" s="142">
        <f>I62*I63</f>
        <v>2838.87</v>
      </c>
      <c r="J64" s="212">
        <f>SUM(E64:I64)/D65</f>
        <v>0.53283338195822139</v>
      </c>
      <c r="K64" s="138">
        <f t="shared" si="0"/>
        <v>8</v>
      </c>
      <c r="L64" s="138" t="str">
        <f>C61</f>
        <v>WEC</v>
      </c>
    </row>
    <row r="65" spans="1:15">
      <c r="A65" s="139"/>
      <c r="B65" s="139" t="s">
        <v>1373</v>
      </c>
      <c r="C65" s="210"/>
      <c r="D65" s="142">
        <v>25707</v>
      </c>
      <c r="K65" s="138" t="str">
        <f t="shared" si="0"/>
        <v/>
      </c>
    </row>
    <row r="66" spans="1:15">
      <c r="A66" s="139" t="s">
        <v>82</v>
      </c>
      <c r="C66" s="139" t="s">
        <v>83</v>
      </c>
      <c r="D66" s="142"/>
      <c r="K66" s="138" t="str">
        <f t="shared" si="0"/>
        <v/>
      </c>
    </row>
    <row r="67" spans="1:15">
      <c r="A67" s="139"/>
      <c r="B67" s="139" t="s">
        <v>1375</v>
      </c>
      <c r="C67" s="210"/>
      <c r="E67" s="143">
        <v>7.65</v>
      </c>
      <c r="F67" s="143">
        <v>6.35</v>
      </c>
      <c r="G67" s="143">
        <f>AVERAGE(F67,H67)</f>
        <v>6.1749999999999998</v>
      </c>
      <c r="H67" s="143">
        <v>6</v>
      </c>
      <c r="I67" s="143">
        <v>6</v>
      </c>
      <c r="K67" s="138" t="str">
        <f t="shared" si="0"/>
        <v/>
      </c>
    </row>
    <row r="68" spans="1:15">
      <c r="A68" s="139"/>
      <c r="B68" s="139" t="s">
        <v>1376</v>
      </c>
      <c r="C68" s="210"/>
      <c r="D68" s="140"/>
      <c r="E68" s="149">
        <v>1070</v>
      </c>
      <c r="F68" s="148">
        <v>1105</v>
      </c>
      <c r="G68" s="148">
        <f>AVERAGE(F68,H68)</f>
        <v>1105</v>
      </c>
      <c r="H68" s="148">
        <v>1105</v>
      </c>
      <c r="I68" s="148">
        <v>1105</v>
      </c>
      <c r="J68" s="140"/>
      <c r="K68" s="138" t="str">
        <f t="shared" si="0"/>
        <v/>
      </c>
    </row>
    <row r="69" spans="1:15">
      <c r="A69" s="139"/>
      <c r="B69" s="139" t="s">
        <v>1377</v>
      </c>
      <c r="C69" s="210"/>
      <c r="E69" s="142">
        <f>E67*E68</f>
        <v>8185.5</v>
      </c>
      <c r="F69" s="142">
        <f>F67*F68</f>
        <v>7016.75</v>
      </c>
      <c r="G69" s="142">
        <f>G67*G68</f>
        <v>6823.375</v>
      </c>
      <c r="H69" s="142">
        <f>H67*H68</f>
        <v>6630</v>
      </c>
      <c r="I69" s="142">
        <f>I67*I68</f>
        <v>6630</v>
      </c>
      <c r="J69" s="212">
        <f>SUM(E69:I69)/D70</f>
        <v>0.40264765958417964</v>
      </c>
      <c r="K69" s="138">
        <f t="shared" si="0"/>
        <v>2</v>
      </c>
      <c r="L69" s="138" t="str">
        <f>C66</f>
        <v>SO</v>
      </c>
    </row>
    <row r="70" spans="1:15">
      <c r="A70" s="139"/>
      <c r="B70" s="139" t="s">
        <v>1373</v>
      </c>
      <c r="C70" s="210"/>
      <c r="D70" s="142">
        <v>87634</v>
      </c>
      <c r="K70" s="138" t="str">
        <f t="shared" si="0"/>
        <v/>
      </c>
      <c r="O70" s="143"/>
    </row>
    <row r="71" spans="1:15">
      <c r="A71" s="139" t="s">
        <v>86</v>
      </c>
      <c r="C71" s="139" t="s">
        <v>87</v>
      </c>
      <c r="D71" s="142"/>
      <c r="K71" s="138" t="str">
        <f t="shared" si="0"/>
        <v/>
      </c>
    </row>
    <row r="72" spans="1:15">
      <c r="A72" s="139"/>
      <c r="B72" s="139" t="s">
        <v>1375</v>
      </c>
      <c r="C72" s="210"/>
      <c r="E72" s="143">
        <v>8.3000000000000007</v>
      </c>
      <c r="F72" s="143">
        <v>8.6999999999999993</v>
      </c>
      <c r="G72" s="143">
        <f>AVERAGE(F72,H72)</f>
        <v>8.6</v>
      </c>
      <c r="H72" s="143">
        <v>8.5</v>
      </c>
      <c r="I72" s="143">
        <v>8.5</v>
      </c>
      <c r="K72" s="138" t="str">
        <f t="shared" si="0"/>
        <v/>
      </c>
    </row>
    <row r="73" spans="1:15">
      <c r="A73" s="139"/>
      <c r="B73" s="139" t="s">
        <v>1376</v>
      </c>
      <c r="C73" s="210"/>
      <c r="D73" s="140"/>
      <c r="E73" s="149">
        <v>540</v>
      </c>
      <c r="F73" s="148">
        <v>544</v>
      </c>
      <c r="G73" s="148">
        <f>AVERAGE(F73,H73)</f>
        <v>548.5</v>
      </c>
      <c r="H73" s="148">
        <v>553</v>
      </c>
      <c r="I73" s="148">
        <f>H73</f>
        <v>553</v>
      </c>
      <c r="J73" s="140"/>
      <c r="K73" s="138" t="str">
        <f t="shared" si="0"/>
        <v/>
      </c>
    </row>
    <row r="74" spans="1:15">
      <c r="A74" s="139"/>
      <c r="B74" s="139" t="s">
        <v>1377</v>
      </c>
      <c r="C74" s="210"/>
      <c r="E74" s="142">
        <f>E72*E73</f>
        <v>4482</v>
      </c>
      <c r="F74" s="142">
        <f>F72*F73</f>
        <v>4732.7999999999993</v>
      </c>
      <c r="G74" s="142">
        <f>G72*G73</f>
        <v>4717.0999999999995</v>
      </c>
      <c r="H74" s="142">
        <f>H72*H73</f>
        <v>4700.5</v>
      </c>
      <c r="I74" s="142">
        <f>I72*I73</f>
        <v>4700.5</v>
      </c>
      <c r="J74" s="212">
        <f>SUM(E74:I74)/D75</f>
        <v>0.54325727590221184</v>
      </c>
      <c r="K74" s="138">
        <f t="shared" si="0"/>
        <v>9</v>
      </c>
      <c r="L74" s="138" t="str">
        <f>C71</f>
        <v>XEL</v>
      </c>
    </row>
    <row r="75" spans="1:15">
      <c r="A75" s="139"/>
      <c r="B75" s="139" t="s">
        <v>1373</v>
      </c>
      <c r="C75" s="210"/>
      <c r="D75" s="142">
        <v>42950</v>
      </c>
      <c r="K75" s="138" t="str">
        <f t="shared" si="0"/>
        <v/>
      </c>
      <c r="O75" s="143"/>
    </row>
    <row r="76" spans="1:15">
      <c r="J76" s="212"/>
      <c r="K76" s="138" t="str">
        <f t="shared" si="0"/>
        <v/>
      </c>
      <c r="O76" s="213"/>
    </row>
    <row r="77" spans="1:15">
      <c r="A77" s="147" t="s">
        <v>1378</v>
      </c>
      <c r="B77" s="147"/>
      <c r="C77" s="146" t="s">
        <v>1379</v>
      </c>
      <c r="E77" s="143"/>
      <c r="F77" s="143"/>
      <c r="G77" s="143"/>
      <c r="H77" s="143"/>
      <c r="I77" s="143"/>
      <c r="J77" s="212"/>
      <c r="K77" s="138" t="str">
        <f t="shared" si="0"/>
        <v/>
      </c>
      <c r="O77" s="145"/>
    </row>
    <row r="78" spans="1:15">
      <c r="E78" s="138">
        <v>2022</v>
      </c>
      <c r="F78" s="138">
        <v>2023</v>
      </c>
      <c r="G78" s="138">
        <v>2024</v>
      </c>
      <c r="H78" s="138">
        <v>2025</v>
      </c>
      <c r="I78" s="138">
        <v>2026</v>
      </c>
      <c r="K78" s="138" t="str">
        <f t="shared" ref="K78:K80" si="1">IFERROR(RANK(J78,$J$14:$J$80,1),"")</f>
        <v/>
      </c>
      <c r="O78" s="145"/>
    </row>
    <row r="79" spans="1:15">
      <c r="A79" s="138" t="s">
        <v>1378</v>
      </c>
      <c r="C79" s="144" t="s">
        <v>1379</v>
      </c>
      <c r="E79" s="333">
        <v>973.94</v>
      </c>
      <c r="F79" s="333">
        <v>1293.0999999999999</v>
      </c>
      <c r="G79" s="333">
        <v>1292.0999999999999</v>
      </c>
      <c r="H79" s="333">
        <v>1323.61</v>
      </c>
      <c r="I79" s="333">
        <v>1324.82</v>
      </c>
      <c r="K79" s="138" t="str">
        <f t="shared" si="1"/>
        <v/>
      </c>
    </row>
    <row r="80" spans="1:15">
      <c r="B80" s="139" t="s">
        <v>1380</v>
      </c>
      <c r="C80" s="139"/>
      <c r="D80" s="139"/>
      <c r="E80" s="263"/>
      <c r="F80" s="263"/>
      <c r="G80" s="263"/>
      <c r="H80" s="263"/>
      <c r="I80" s="263">
        <f>SUM(E79:I79)</f>
        <v>6207.57</v>
      </c>
      <c r="J80" s="264">
        <f>SUM(F80:I80)/D81</f>
        <v>0.66037978723404256</v>
      </c>
      <c r="K80" s="139">
        <f t="shared" si="1"/>
        <v>13</v>
      </c>
      <c r="L80" s="138" t="str">
        <f>C79</f>
        <v>PSE</v>
      </c>
    </row>
    <row r="81" spans="1:12">
      <c r="B81" s="139" t="s">
        <v>1381</v>
      </c>
      <c r="C81" s="139"/>
      <c r="D81" s="265">
        <v>9400</v>
      </c>
      <c r="E81" s="266"/>
      <c r="F81" s="266"/>
      <c r="G81" s="266"/>
      <c r="H81" s="266"/>
      <c r="I81" s="266"/>
      <c r="J81" s="266"/>
      <c r="K81" s="267"/>
      <c r="L81" s="138" t="str">
        <f>IFERROR(RANK(K81,$J$14:$J$80,1),"")</f>
        <v/>
      </c>
    </row>
    <row r="82" spans="1:12">
      <c r="B82" s="139"/>
      <c r="C82" s="139"/>
      <c r="D82" s="139"/>
      <c r="E82" s="139"/>
      <c r="F82" s="139"/>
      <c r="G82" s="139"/>
      <c r="H82" s="139"/>
      <c r="I82" s="139"/>
      <c r="J82" s="139"/>
      <c r="K82" s="139"/>
    </row>
    <row r="83" spans="1:12">
      <c r="B83" s="171" t="s">
        <v>1519</v>
      </c>
      <c r="C83" s="139"/>
      <c r="D83" s="266"/>
      <c r="E83" s="139"/>
      <c r="F83" s="139"/>
      <c r="G83" s="139"/>
      <c r="H83" s="139"/>
      <c r="I83" s="139"/>
      <c r="J83" s="139"/>
      <c r="K83" s="268">
        <f>SUM(F80:I80)</f>
        <v>6207.57</v>
      </c>
    </row>
    <row r="84" spans="1:12">
      <c r="B84" s="139" t="s">
        <v>1382</v>
      </c>
      <c r="C84" s="139"/>
      <c r="D84" s="139"/>
      <c r="E84" s="139"/>
      <c r="F84" s="139"/>
      <c r="G84" s="139"/>
      <c r="H84" s="139"/>
      <c r="I84" s="139"/>
      <c r="J84" s="139"/>
      <c r="K84" s="268">
        <f>AVERAGE(F80:I80)</f>
        <v>6207.57</v>
      </c>
    </row>
    <row r="85" spans="1:12">
      <c r="B85" s="139" t="s">
        <v>1383</v>
      </c>
      <c r="C85" s="139"/>
      <c r="D85" s="139"/>
      <c r="E85" s="139"/>
      <c r="F85" s="139"/>
      <c r="G85" s="139"/>
      <c r="H85" s="139"/>
      <c r="I85" s="139"/>
      <c r="J85" s="139"/>
      <c r="K85" s="267">
        <f>MEDIAN(J14:J75)</f>
        <v>0.51307789424722172</v>
      </c>
    </row>
    <row r="86" spans="1:12">
      <c r="B86" s="139" t="s">
        <v>1384</v>
      </c>
      <c r="C86" s="139"/>
      <c r="D86" s="139"/>
      <c r="E86" s="139"/>
      <c r="F86" s="139"/>
      <c r="G86" s="139"/>
      <c r="H86" s="139"/>
      <c r="I86" s="139"/>
      <c r="J86" s="139"/>
      <c r="K86" s="269">
        <f>J80/K85</f>
        <v>1.2870946003295258</v>
      </c>
    </row>
    <row r="87" spans="1:12">
      <c r="K87" s="141"/>
    </row>
    <row r="88" spans="1:12">
      <c r="A88" s="140" t="s">
        <v>31</v>
      </c>
      <c r="B88" s="140"/>
    </row>
    <row r="89" spans="1:12">
      <c r="A89" s="138" t="s">
        <v>1520</v>
      </c>
    </row>
    <row r="90" spans="1:12">
      <c r="A90" s="138" t="s">
        <v>1386</v>
      </c>
    </row>
    <row r="91" spans="1:12">
      <c r="A91" s="138" t="s">
        <v>1387</v>
      </c>
    </row>
    <row r="92" spans="1:12">
      <c r="A92" s="138" t="s">
        <v>1388</v>
      </c>
      <c r="B92" s="139"/>
    </row>
  </sheetData>
  <mergeCells count="2">
    <mergeCell ref="A2:K2"/>
    <mergeCell ref="A3:K3"/>
  </mergeCells>
  <printOptions horizontalCentered="1"/>
  <pageMargins left="0.7" right="0.7" top="1.25" bottom="0.75" header="0.3" footer="0.3"/>
  <pageSetup scale="58" fitToHeight="0" orientation="portrait" useFirstPageNumber="1" r:id="rId1"/>
  <rowBreaks count="1" manualBreakCount="1">
    <brk id="5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89"/>
  <sheetViews>
    <sheetView view="pageLayout" topLeftCell="A16" zoomScale="70" zoomScaleNormal="110" zoomScaleSheetLayoutView="100" zoomScalePageLayoutView="70" workbookViewId="0">
      <selection activeCell="G37" sqref="G37"/>
    </sheetView>
  </sheetViews>
  <sheetFormatPr defaultColWidth="9" defaultRowHeight="13.2"/>
  <cols>
    <col min="1" max="1" width="12.5546875" style="139" customWidth="1"/>
    <col min="2" max="2" width="5.33203125" style="139" bestFit="1" customWidth="1"/>
    <col min="3" max="3" width="35.5546875" style="139" customWidth="1"/>
    <col min="4" max="4" width="12.5546875" style="139" customWidth="1"/>
    <col min="5" max="5" width="21" style="139" bestFit="1" customWidth="1"/>
    <col min="6" max="6" width="12.5546875" style="139" customWidth="1"/>
    <col min="7" max="16384" width="9" style="139"/>
  </cols>
  <sheetData>
    <row r="2" spans="1:6" ht="15.6">
      <c r="A2" s="157" t="s">
        <v>1522</v>
      </c>
      <c r="B2" s="157"/>
      <c r="C2" s="158"/>
      <c r="D2" s="158"/>
      <c r="E2" s="158"/>
      <c r="F2" s="158"/>
    </row>
    <row r="25" spans="2:10" ht="15.6">
      <c r="C25" s="373" t="s">
        <v>1523</v>
      </c>
      <c r="D25" s="373"/>
      <c r="E25" s="373"/>
    </row>
    <row r="26" spans="2:10">
      <c r="G26" s="147"/>
      <c r="H26" s="147"/>
      <c r="I26" s="147"/>
      <c r="J26" s="147"/>
    </row>
    <row r="27" spans="2:10">
      <c r="B27" s="159" t="s">
        <v>1374</v>
      </c>
      <c r="C27" s="159" t="s">
        <v>44</v>
      </c>
      <c r="D27" s="160"/>
      <c r="E27" s="338" t="s">
        <v>1521</v>
      </c>
      <c r="G27" s="139" t="s">
        <v>1389</v>
      </c>
      <c r="H27" s="147"/>
      <c r="I27" s="147"/>
      <c r="J27" s="147"/>
    </row>
    <row r="28" spans="2:10">
      <c r="C28" s="150"/>
      <c r="G28" s="161"/>
      <c r="H28" s="161"/>
      <c r="I28" s="147"/>
      <c r="J28" s="147"/>
    </row>
    <row r="29" spans="2:10">
      <c r="B29" s="139">
        <v>1</v>
      </c>
      <c r="C29" s="138" t="str">
        <f>INDEX('Exhibit AEB-10 CapEx 1'!A:A,MATCH('Exhibit AEB-10 CapEx 2'!$B29,'Exhibit AEB-10 CapEx 1'!K:K,0)-3)</f>
        <v>NiSource Inc.</v>
      </c>
      <c r="D29" s="138" t="str">
        <f>INDEX('Exhibit AEB-10 CapEx 1'!C:C,MATCH('Exhibit AEB-10 CapEx 2'!$C29,'Exhibit AEB-10 CapEx 1'!A:A,0))</f>
        <v>NI</v>
      </c>
      <c r="E29" s="335">
        <f>INDEX('Exhibit AEB-10 CapEx 1'!J:J,MATCH('Exhibit AEB-10 CapEx 2'!$D29,'Exhibit AEB-10 CapEx 1'!C:C,0)+3)</f>
        <v>0.38619554753309265</v>
      </c>
      <c r="G29" s="164">
        <f>$E$44</f>
        <v>0.51307789424722172</v>
      </c>
      <c r="H29" s="163"/>
      <c r="I29" s="163"/>
      <c r="J29" s="147"/>
    </row>
    <row r="30" spans="2:10">
      <c r="B30" s="139">
        <v>2</v>
      </c>
      <c r="C30" s="138" t="str">
        <f>INDEX('Exhibit AEB-10 CapEx 1'!A:A,MATCH('Exhibit AEB-10 CapEx 2'!$B30,'Exhibit AEB-10 CapEx 1'!K:K,0)-3)</f>
        <v>Southern Company</v>
      </c>
      <c r="D30" s="138" t="str">
        <f>INDEX('Exhibit AEB-10 CapEx 1'!C:C,MATCH('Exhibit AEB-10 CapEx 2'!$C30,'Exhibit AEB-10 CapEx 1'!A:A,0))</f>
        <v>SO</v>
      </c>
      <c r="E30" s="335">
        <f>INDEX('Exhibit AEB-10 CapEx 1'!J:J,MATCH('Exhibit AEB-10 CapEx 2'!$D30,'Exhibit AEB-10 CapEx 1'!C:C,0)+3)</f>
        <v>0.40264765958417964</v>
      </c>
      <c r="G30" s="164">
        <f t="shared" ref="G30:G42" si="0">$E$44</f>
        <v>0.51307789424722172</v>
      </c>
      <c r="H30" s="163"/>
      <c r="I30" s="147"/>
      <c r="J30" s="147"/>
    </row>
    <row r="31" spans="2:10">
      <c r="B31" s="139">
        <v>3</v>
      </c>
      <c r="C31" s="138" t="str">
        <f>INDEX('Exhibit AEB-10 CapEx 1'!A:A,MATCH('Exhibit AEB-10 CapEx 2'!$B31,'Exhibit AEB-10 CapEx 1'!K:K,0)-3)</f>
        <v>NorthWestern Corporation</v>
      </c>
      <c r="D31" s="138" t="str">
        <f>INDEX('Exhibit AEB-10 CapEx 1'!C:C,MATCH('Exhibit AEB-10 CapEx 2'!$C31,'Exhibit AEB-10 CapEx 1'!A:A,0))</f>
        <v>NWE</v>
      </c>
      <c r="E31" s="335">
        <f>INDEX('Exhibit AEB-10 CapEx 1'!J:J,MATCH('Exhibit AEB-10 CapEx 2'!$D31,'Exhibit AEB-10 CapEx 1'!C:C,0)+3)</f>
        <v>0.47396096226453188</v>
      </c>
      <c r="G31" s="164">
        <f t="shared" si="0"/>
        <v>0.51307789424722172</v>
      </c>
      <c r="H31" s="147"/>
      <c r="I31" s="147"/>
      <c r="J31" s="147"/>
    </row>
    <row r="32" spans="2:10">
      <c r="B32" s="139">
        <v>4</v>
      </c>
      <c r="C32" s="138" t="str">
        <f>INDEX('Exhibit AEB-10 CapEx 1'!A:A,MATCH('Exhibit AEB-10 CapEx 2'!$B32,'Exhibit AEB-10 CapEx 1'!K:K,0)-3)</f>
        <v>Avista Corporation</v>
      </c>
      <c r="D32" s="138" t="str">
        <f>INDEX('Exhibit AEB-10 CapEx 1'!C:C,MATCH('Exhibit AEB-10 CapEx 2'!$C32,'Exhibit AEB-10 CapEx 1'!A:A,0))</f>
        <v>AVA</v>
      </c>
      <c r="E32" s="335">
        <f>INDEX('Exhibit AEB-10 CapEx 1'!J:J,MATCH('Exhibit AEB-10 CapEx 2'!$D32,'Exhibit AEB-10 CapEx 1'!C:C,0)+3)</f>
        <v>0.47715662312685309</v>
      </c>
      <c r="G32" s="164">
        <f t="shared" si="0"/>
        <v>0.51307789424722172</v>
      </c>
      <c r="H32" s="147"/>
      <c r="I32" s="147"/>
      <c r="J32" s="147"/>
    </row>
    <row r="33" spans="2:10">
      <c r="B33" s="139">
        <v>5</v>
      </c>
      <c r="C33" s="138" t="str">
        <f>INDEX('Exhibit AEB-10 CapEx 1'!A:A,MATCH('Exhibit AEB-10 CapEx 2'!$B33,'Exhibit AEB-10 CapEx 1'!K:K,0)-3)</f>
        <v>Alliant Energy Corporation</v>
      </c>
      <c r="D33" s="138" t="str">
        <f>INDEX('Exhibit AEB-10 CapEx 1'!C:C,MATCH('Exhibit AEB-10 CapEx 2'!$C33,'Exhibit AEB-10 CapEx 1'!A:A,0))</f>
        <v>LNT</v>
      </c>
      <c r="E33" s="335">
        <f>INDEX('Exhibit AEB-10 CapEx 1'!J:J,MATCH('Exhibit AEB-10 CapEx 2'!$D33,'Exhibit AEB-10 CapEx 1'!C:C,0)+3)</f>
        <v>0.50924421037946421</v>
      </c>
      <c r="G33" s="164">
        <f t="shared" si="0"/>
        <v>0.51307789424722172</v>
      </c>
      <c r="H33" s="147"/>
      <c r="I33" s="147"/>
      <c r="J33" s="147"/>
    </row>
    <row r="34" spans="2:10">
      <c r="B34" s="139">
        <v>6</v>
      </c>
      <c r="C34" s="138" t="str">
        <f>INDEX('Exhibit AEB-10 CapEx 1'!A:A,MATCH('Exhibit AEB-10 CapEx 2'!$B34,'Exhibit AEB-10 CapEx 1'!K:K,0)-3)</f>
        <v>MGE Energy, Inc.</v>
      </c>
      <c r="D34" s="138" t="str">
        <f>INDEX('Exhibit AEB-10 CapEx 1'!C:C,MATCH('Exhibit AEB-10 CapEx 2'!$C34,'Exhibit AEB-10 CapEx 1'!A:A,0))</f>
        <v>MGEE</v>
      </c>
      <c r="E34" s="335">
        <f>INDEX('Exhibit AEB-10 CapEx 1'!J:J,MATCH('Exhibit AEB-10 CapEx 2'!$D34,'Exhibit AEB-10 CapEx 1'!C:C,0)+3)</f>
        <v>0.51141855996382957</v>
      </c>
      <c r="G34" s="164">
        <f t="shared" si="0"/>
        <v>0.51307789424722172</v>
      </c>
    </row>
    <row r="35" spans="2:10">
      <c r="B35" s="139">
        <v>7</v>
      </c>
      <c r="C35" s="138" t="str">
        <f>INDEX('Exhibit AEB-10 CapEx 1'!A:A,MATCH('Exhibit AEB-10 CapEx 2'!$B35,'Exhibit AEB-10 CapEx 1'!K:K,0)-3)</f>
        <v>Black Hills Corporation</v>
      </c>
      <c r="D35" s="138" t="str">
        <f>INDEX('Exhibit AEB-10 CapEx 1'!C:C,MATCH('Exhibit AEB-10 CapEx 2'!$C35,'Exhibit AEB-10 CapEx 1'!A:A,0))</f>
        <v>BKH</v>
      </c>
      <c r="E35" s="335">
        <f>INDEX('Exhibit AEB-10 CapEx 1'!J:J,MATCH('Exhibit AEB-10 CapEx 2'!$D35,'Exhibit AEB-10 CapEx 1'!C:C,0)+3)</f>
        <v>0.51307789424722172</v>
      </c>
      <c r="G35" s="164">
        <f t="shared" si="0"/>
        <v>0.51307789424722172</v>
      </c>
    </row>
    <row r="36" spans="2:10">
      <c r="B36" s="139">
        <v>8</v>
      </c>
      <c r="C36" s="138" t="str">
        <f>INDEX('Exhibit AEB-10 CapEx 1'!A:A,MATCH('Exhibit AEB-10 CapEx 2'!$B36,'Exhibit AEB-10 CapEx 1'!K:K,0)-3)</f>
        <v>Wisconsin Energy Corporation</v>
      </c>
      <c r="D36" s="138" t="str">
        <f>INDEX('Exhibit AEB-10 CapEx 1'!C:C,MATCH('Exhibit AEB-10 CapEx 2'!$C36,'Exhibit AEB-10 CapEx 1'!A:A,0))</f>
        <v>WEC</v>
      </c>
      <c r="E36" s="335">
        <f>INDEX('Exhibit AEB-10 CapEx 1'!J:J,MATCH('Exhibit AEB-10 CapEx 2'!$D36,'Exhibit AEB-10 CapEx 1'!C:C,0)+3)</f>
        <v>0.53283338195822139</v>
      </c>
      <c r="F36" s="162"/>
      <c r="G36" s="164">
        <f t="shared" si="0"/>
        <v>0.51307789424722172</v>
      </c>
    </row>
    <row r="37" spans="2:10">
      <c r="B37" s="139">
        <v>9</v>
      </c>
      <c r="C37" s="138" t="str">
        <f>INDEX('Exhibit AEB-10 CapEx 1'!A:A,MATCH('Exhibit AEB-10 CapEx 2'!$B37,'Exhibit AEB-10 CapEx 1'!K:K,0)-3)</f>
        <v>Xcel Energy Inc.</v>
      </c>
      <c r="D37" s="138" t="str">
        <f>INDEX('Exhibit AEB-10 CapEx 1'!C:C,MATCH('Exhibit AEB-10 CapEx 2'!$C37,'Exhibit AEB-10 CapEx 1'!A:A,0))</f>
        <v>XEL</v>
      </c>
      <c r="E37" s="335">
        <f>INDEX('Exhibit AEB-10 CapEx 1'!J:J,MATCH('Exhibit AEB-10 CapEx 2'!$D37,'Exhibit AEB-10 CapEx 1'!C:C,0)+3)</f>
        <v>0.54325727590221184</v>
      </c>
      <c r="F37" s="162"/>
      <c r="G37" s="164">
        <f t="shared" si="0"/>
        <v>0.51307789424722172</v>
      </c>
    </row>
    <row r="38" spans="2:10">
      <c r="B38" s="139">
        <v>10</v>
      </c>
      <c r="C38" s="138" t="str">
        <f>INDEX('Exhibit AEB-10 CapEx 1'!A:A,MATCH('Exhibit AEB-10 CapEx 2'!$B38,'Exhibit AEB-10 CapEx 1'!K:K,0)-3)</f>
        <v>Duke Energy Corporation</v>
      </c>
      <c r="D38" s="138" t="str">
        <f>INDEX('Exhibit AEB-10 CapEx 1'!C:C,MATCH('Exhibit AEB-10 CapEx 2'!$C38,'Exhibit AEB-10 CapEx 1'!A:A,0))</f>
        <v>DUK</v>
      </c>
      <c r="E38" s="335">
        <f>INDEX('Exhibit AEB-10 CapEx 1'!J:J,MATCH('Exhibit AEB-10 CapEx 2'!$D38,'Exhibit AEB-10 CapEx 1'!C:C,0)+3)</f>
        <v>0.55704613137045567</v>
      </c>
      <c r="F38" s="162"/>
      <c r="G38" s="164">
        <f t="shared" si="0"/>
        <v>0.51307789424722172</v>
      </c>
    </row>
    <row r="39" spans="2:10">
      <c r="B39" s="139">
        <v>11</v>
      </c>
      <c r="C39" s="138" t="str">
        <f>INDEX('Exhibit AEB-10 CapEx 1'!A:A,MATCH('Exhibit AEB-10 CapEx 2'!$B39,'Exhibit AEB-10 CapEx 1'!K:K,0)-3)</f>
        <v>CMS Energy Corporation</v>
      </c>
      <c r="D39" s="138" t="str">
        <f>INDEX('Exhibit AEB-10 CapEx 1'!C:C,MATCH('Exhibit AEB-10 CapEx 2'!$C39,'Exhibit AEB-10 CapEx 1'!A:A,0))</f>
        <v>CMS</v>
      </c>
      <c r="E39" s="335">
        <f>INDEX('Exhibit AEB-10 CapEx 1'!J:J,MATCH('Exhibit AEB-10 CapEx 2'!$D39,'Exhibit AEB-10 CapEx 1'!C:C,0)+3)</f>
        <v>0.63095673511098438</v>
      </c>
      <c r="F39" s="162"/>
      <c r="G39" s="164">
        <f t="shared" si="0"/>
        <v>0.51307789424722172</v>
      </c>
    </row>
    <row r="40" spans="2:10">
      <c r="B40" s="139">
        <v>12</v>
      </c>
      <c r="C40" s="138" t="str">
        <f>INDEX('Exhibit AEB-10 CapEx 1'!A:A,MATCH('Exhibit AEB-10 CapEx 2'!$B40,'Exhibit AEB-10 CapEx 1'!K:K,0)-3)</f>
        <v>Ameren Corporation</v>
      </c>
      <c r="D40" s="138" t="str">
        <f>INDEX('Exhibit AEB-10 CapEx 1'!C:C,MATCH('Exhibit AEB-10 CapEx 2'!$C40,'Exhibit AEB-10 CapEx 1'!A:A,0))</f>
        <v>AEE</v>
      </c>
      <c r="E40" s="335">
        <f>INDEX('Exhibit AEB-10 CapEx 1'!J:J,MATCH('Exhibit AEB-10 CapEx 2'!$D40,'Exhibit AEB-10 CapEx 1'!C:C,0)+3)</f>
        <v>0.64690332748908863</v>
      </c>
      <c r="F40" s="162"/>
      <c r="G40" s="164">
        <f t="shared" si="0"/>
        <v>0.51307789424722172</v>
      </c>
    </row>
    <row r="41" spans="2:10">
      <c r="B41" s="139">
        <v>13</v>
      </c>
      <c r="C41" s="138" t="str">
        <f>INDEX('Exhibit AEB-10 CapEx 1'!A:A,MATCH('Exhibit AEB-10 CapEx 2'!$B41,'Exhibit AEB-10 CapEx 1'!K:K,0)-3)</f>
        <v>Puget Sound Energy</v>
      </c>
      <c r="D41" s="138" t="str">
        <f>INDEX('Exhibit AEB-10 CapEx 1'!C:C,MATCH('Exhibit AEB-10 CapEx 2'!$C41,'Exhibit AEB-10 CapEx 1'!A:A,0))</f>
        <v>PSE</v>
      </c>
      <c r="E41" s="335">
        <f>INDEX('Exhibit AEB-10 CapEx 1'!J:J,MATCH('Exhibit AEB-10 CapEx 2'!$D41,'Exhibit AEB-10 CapEx 1'!C:C,0)+3)</f>
        <v>0.66037978723404256</v>
      </c>
      <c r="F41" s="162"/>
      <c r="G41" s="164">
        <f t="shared" si="0"/>
        <v>0.51307789424722172</v>
      </c>
    </row>
    <row r="42" spans="2:10">
      <c r="B42" s="139">
        <v>14</v>
      </c>
      <c r="C42" s="138" t="str">
        <f>INDEX('Exhibit AEB-10 CapEx 1'!A:A,MATCH('Exhibit AEB-10 CapEx 2'!$B42,'Exhibit AEB-10 CapEx 1'!K:K,0)-3)</f>
        <v>NextEra Energy, Inc.</v>
      </c>
      <c r="D42" s="138" t="str">
        <f>INDEX('Exhibit AEB-10 CapEx 1'!C:C,MATCH('Exhibit AEB-10 CapEx 2'!$C42,'Exhibit AEB-10 CapEx 1'!A:A,0))</f>
        <v>NEE</v>
      </c>
      <c r="E42" s="335">
        <f>INDEX('Exhibit AEB-10 CapEx 1'!J:J,MATCH('Exhibit AEB-10 CapEx 2'!$D42,'Exhibit AEB-10 CapEx 1'!C:C,0)+3)</f>
        <v>0.89489668093635277</v>
      </c>
      <c r="F42" s="162"/>
      <c r="G42" s="164">
        <f t="shared" si="0"/>
        <v>0.51307789424722172</v>
      </c>
    </row>
    <row r="43" spans="2:10">
      <c r="D43" s="138"/>
      <c r="E43" s="160"/>
      <c r="F43" s="162"/>
      <c r="G43" s="164"/>
    </row>
    <row r="44" spans="2:10">
      <c r="C44" s="303" t="s">
        <v>1383</v>
      </c>
      <c r="D44" s="304"/>
      <c r="E44" s="336">
        <f>MEDIAN(E29:E40,E42)</f>
        <v>0.51307789424722172</v>
      </c>
      <c r="F44" s="162"/>
    </row>
    <row r="45" spans="2:10" ht="13.8" thickBot="1">
      <c r="C45" s="165" t="s">
        <v>1390</v>
      </c>
      <c r="D45" s="334"/>
      <c r="E45" s="337">
        <f>E41/E44</f>
        <v>1.2870946003295258</v>
      </c>
      <c r="F45" s="162"/>
    </row>
    <row r="46" spans="2:10">
      <c r="D46" s="138"/>
      <c r="F46" s="162"/>
    </row>
    <row r="47" spans="2:10">
      <c r="D47" s="138"/>
      <c r="F47" s="162"/>
      <c r="G47" s="164"/>
    </row>
    <row r="48" spans="2:10">
      <c r="C48" s="138"/>
      <c r="D48" s="138"/>
      <c r="F48" s="162"/>
      <c r="H48" s="164"/>
      <c r="I48" s="164"/>
    </row>
    <row r="49" spans="2:9">
      <c r="B49" s="340" t="s">
        <v>1526</v>
      </c>
      <c r="C49" s="138"/>
      <c r="D49" s="138"/>
      <c r="F49" s="162"/>
    </row>
    <row r="50" spans="2:9" ht="15.6">
      <c r="C50" s="171" t="s">
        <v>1525</v>
      </c>
      <c r="D50" s="138"/>
      <c r="F50" s="162"/>
    </row>
    <row r="51" spans="2:9" ht="15.6">
      <c r="C51" s="339" t="s">
        <v>1524</v>
      </c>
      <c r="D51" s="138"/>
      <c r="E51" s="138"/>
      <c r="F51" s="162"/>
    </row>
    <row r="52" spans="2:9">
      <c r="C52" s="138"/>
      <c r="D52" s="138"/>
      <c r="E52" s="138"/>
      <c r="F52" s="162"/>
      <c r="G52" s="164"/>
    </row>
    <row r="53" spans="2:9">
      <c r="C53" s="138"/>
      <c r="D53" s="138"/>
      <c r="E53" s="138"/>
    </row>
    <row r="54" spans="2:9">
      <c r="C54" s="138"/>
      <c r="D54" s="138"/>
      <c r="E54" s="138"/>
    </row>
    <row r="55" spans="2:9">
      <c r="C55" s="138"/>
      <c r="D55" s="138"/>
      <c r="E55" s="138"/>
    </row>
    <row r="56" spans="2:9">
      <c r="C56" s="138"/>
      <c r="D56" s="138"/>
      <c r="E56" s="138"/>
    </row>
    <row r="57" spans="2:9">
      <c r="C57" s="138"/>
      <c r="D57" s="138"/>
      <c r="E57" s="138"/>
    </row>
    <row r="58" spans="2:9">
      <c r="C58" s="138"/>
      <c r="D58" s="138"/>
      <c r="E58" s="138"/>
    </row>
    <row r="59" spans="2:9">
      <c r="C59" s="138"/>
      <c r="D59" s="138"/>
      <c r="E59" s="138"/>
    </row>
    <row r="60" spans="2:9">
      <c r="C60" s="138"/>
      <c r="D60" s="138"/>
      <c r="E60" s="138"/>
    </row>
    <row r="61" spans="2:9">
      <c r="D61" s="138"/>
      <c r="E61" s="138"/>
      <c r="F61" s="138"/>
    </row>
    <row r="62" spans="2:9">
      <c r="D62" s="138"/>
      <c r="E62" s="138"/>
      <c r="F62" s="138"/>
    </row>
    <row r="63" spans="2:9">
      <c r="D63" s="138"/>
      <c r="E63" s="138"/>
      <c r="F63" s="138"/>
      <c r="G63" s="138"/>
      <c r="H63" s="138"/>
      <c r="I63" s="138"/>
    </row>
    <row r="64" spans="2:9">
      <c r="D64" s="138"/>
      <c r="E64" s="138"/>
      <c r="F64" s="138"/>
    </row>
    <row r="65" spans="6:11">
      <c r="F65" s="138"/>
    </row>
    <row r="66" spans="6:11">
      <c r="F66" s="138"/>
    </row>
    <row r="67" spans="6:11">
      <c r="F67" s="138"/>
    </row>
    <row r="68" spans="6:11">
      <c r="F68" s="138"/>
    </row>
    <row r="69" spans="6:11">
      <c r="F69" s="138"/>
    </row>
    <row r="70" spans="6:11">
      <c r="F70" s="138"/>
    </row>
    <row r="80" spans="6:11">
      <c r="K80" s="139" t="str">
        <f>IFERROR(RANK(J80,$J$14:$J$80,1),"")</f>
        <v/>
      </c>
    </row>
    <row r="89" spans="1:1">
      <c r="A89" s="139" t="s">
        <v>1385</v>
      </c>
    </row>
  </sheetData>
  <sortState xmlns:xlrd2="http://schemas.microsoft.com/office/spreadsheetml/2017/richdata2" ref="C29:E42">
    <sortCondition ref="E29:E42"/>
  </sortState>
  <mergeCells count="1">
    <mergeCell ref="C25:E25"/>
  </mergeCells>
  <printOptions horizontalCentered="1"/>
  <pageMargins left="0.7" right="0.7" top="1.25" bottom="0.75" header="0.3" footer="0.3"/>
  <pageSetup scale="85" firstPageNumber="3" orientation="portrait" useFirstPageNumber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5"/>
  <sheetViews>
    <sheetView view="pageLayout" topLeftCell="A91" zoomScale="40" zoomScaleNormal="70" zoomScaleSheetLayoutView="85" zoomScalePageLayoutView="40" workbookViewId="0">
      <selection activeCell="M8" sqref="M8"/>
    </sheetView>
  </sheetViews>
  <sheetFormatPr defaultColWidth="9" defaultRowHeight="13.2"/>
  <cols>
    <col min="1" max="1" width="30.6640625" style="166" customWidth="1"/>
    <col min="2" max="2" width="17.6640625" style="166" customWidth="1"/>
    <col min="3" max="3" width="16.5546875" style="166" bestFit="1" customWidth="1"/>
    <col min="4" max="4" width="21.44140625" style="166" customWidth="1"/>
    <col min="5" max="6" width="14.88671875" style="166" bestFit="1" customWidth="1"/>
    <col min="7" max="7" width="9.5546875" style="166" customWidth="1"/>
    <col min="8" max="8" width="8.33203125" style="166" bestFit="1" customWidth="1"/>
    <col min="9" max="9" width="9.5546875" style="166" customWidth="1"/>
    <col min="10" max="10" width="9.33203125" style="166" customWidth="1"/>
    <col min="11" max="11" width="9.109375" style="166" customWidth="1"/>
    <col min="12" max="12" width="12" style="166" customWidth="1"/>
    <col min="13" max="13" width="11" style="166" customWidth="1"/>
    <col min="14" max="16384" width="9" style="166"/>
  </cols>
  <sheetData>
    <row r="1" spans="1:1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>
      <c r="A2" s="374" t="s">
        <v>1516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139"/>
      <c r="N2" s="139"/>
    </row>
    <row r="3" spans="1:14">
      <c r="A3" s="373" t="s">
        <v>1391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139"/>
      <c r="N3" s="139"/>
    </row>
    <row r="4" spans="1:14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3.8" thickBot="1">
      <c r="A5" s="139"/>
      <c r="B5" s="139"/>
      <c r="C5" s="139"/>
      <c r="D5" s="167" t="s">
        <v>34</v>
      </c>
      <c r="E5" s="375" t="s">
        <v>35</v>
      </c>
      <c r="F5" s="376"/>
      <c r="G5" s="375" t="s">
        <v>36</v>
      </c>
      <c r="H5" s="377"/>
      <c r="I5" s="375" t="s">
        <v>37</v>
      </c>
      <c r="J5" s="377"/>
      <c r="K5" s="375" t="s">
        <v>38</v>
      </c>
      <c r="L5" s="377"/>
      <c r="M5" s="139"/>
      <c r="N5" s="139"/>
    </row>
    <row r="6" spans="1:14" ht="42" customHeight="1">
      <c r="A6" s="168" t="s">
        <v>1392</v>
      </c>
      <c r="B6" s="168" t="s">
        <v>1393</v>
      </c>
      <c r="C6" s="168" t="s">
        <v>1394</v>
      </c>
      <c r="D6" s="169" t="s">
        <v>1508</v>
      </c>
      <c r="E6" s="170"/>
      <c r="F6" s="168" t="s">
        <v>1395</v>
      </c>
      <c r="G6" s="380" t="s">
        <v>1396</v>
      </c>
      <c r="H6" s="380"/>
      <c r="I6" s="381" t="s">
        <v>1397</v>
      </c>
      <c r="J6" s="381"/>
      <c r="K6" s="381" t="s">
        <v>1398</v>
      </c>
      <c r="L6" s="381"/>
      <c r="M6" s="139"/>
      <c r="N6" s="139"/>
    </row>
    <row r="7" spans="1:14">
      <c r="A7" s="139"/>
      <c r="B7" s="171" t="s">
        <v>196</v>
      </c>
      <c r="C7" s="172"/>
      <c r="D7" s="150"/>
      <c r="E7" s="150"/>
      <c r="F7" s="150"/>
      <c r="G7" s="150"/>
      <c r="H7" s="150"/>
      <c r="I7" s="151"/>
      <c r="J7" s="151" t="s">
        <v>196</v>
      </c>
      <c r="K7" s="151"/>
      <c r="L7" s="151" t="s">
        <v>196</v>
      </c>
      <c r="M7" s="139"/>
      <c r="N7" s="150"/>
    </row>
    <row r="8" spans="1:14">
      <c r="A8" s="238" t="s">
        <v>56</v>
      </c>
      <c r="B8" s="171" t="s">
        <v>1399</v>
      </c>
      <c r="C8" s="172" t="s">
        <v>1400</v>
      </c>
      <c r="D8" s="150" t="s">
        <v>58</v>
      </c>
      <c r="E8" s="150"/>
      <c r="F8" s="150" t="s">
        <v>1401</v>
      </c>
      <c r="G8" s="150"/>
      <c r="H8" s="150" t="s">
        <v>1402</v>
      </c>
      <c r="I8" s="151"/>
      <c r="J8" s="151" t="s">
        <v>1403</v>
      </c>
      <c r="K8" s="151"/>
      <c r="L8" s="151" t="s">
        <v>58</v>
      </c>
      <c r="M8" s="139"/>
      <c r="N8" s="150"/>
    </row>
    <row r="9" spans="1:14">
      <c r="A9" s="238"/>
      <c r="B9" s="171" t="s">
        <v>1399</v>
      </c>
      <c r="C9" s="172" t="s">
        <v>1404</v>
      </c>
      <c r="D9" s="150" t="s">
        <v>58</v>
      </c>
      <c r="E9" s="150"/>
      <c r="F9" s="150" t="s">
        <v>1401</v>
      </c>
      <c r="G9" s="150"/>
      <c r="H9" s="150" t="s">
        <v>1402</v>
      </c>
      <c r="I9" s="151"/>
      <c r="J9" s="151" t="s">
        <v>60</v>
      </c>
      <c r="K9" s="151"/>
      <c r="L9" s="151" t="s">
        <v>58</v>
      </c>
      <c r="M9" s="139"/>
      <c r="N9" s="150"/>
    </row>
    <row r="10" spans="1:14">
      <c r="A10" s="238"/>
      <c r="B10" s="171" t="s">
        <v>1405</v>
      </c>
      <c r="C10" s="172" t="s">
        <v>1404</v>
      </c>
      <c r="D10" s="150" t="s">
        <v>58</v>
      </c>
      <c r="E10" s="150"/>
      <c r="F10" s="150" t="s">
        <v>1401</v>
      </c>
      <c r="G10" s="150"/>
      <c r="H10" s="150" t="s">
        <v>159</v>
      </c>
      <c r="I10" s="151"/>
      <c r="J10" s="151" t="s">
        <v>1403</v>
      </c>
      <c r="K10" s="151"/>
      <c r="L10" s="151" t="s">
        <v>58</v>
      </c>
      <c r="M10" s="139"/>
      <c r="N10" s="150"/>
    </row>
    <row r="11" spans="1:14">
      <c r="A11" s="238"/>
      <c r="B11" s="171" t="s">
        <v>1406</v>
      </c>
      <c r="C11" s="172" t="s">
        <v>1404</v>
      </c>
      <c r="D11" s="150" t="s">
        <v>58</v>
      </c>
      <c r="E11" s="150"/>
      <c r="F11" s="150" t="s">
        <v>1407</v>
      </c>
      <c r="G11" s="150"/>
      <c r="H11" s="150" t="s">
        <v>159</v>
      </c>
      <c r="I11" s="151"/>
      <c r="J11" s="151" t="s">
        <v>60</v>
      </c>
      <c r="K11" s="151"/>
      <c r="L11" s="151" t="s">
        <v>58</v>
      </c>
      <c r="M11" s="139"/>
      <c r="N11" s="150"/>
    </row>
    <row r="12" spans="1:14">
      <c r="A12" s="238"/>
      <c r="B12" s="171" t="s">
        <v>1408</v>
      </c>
      <c r="C12" s="172" t="s">
        <v>1404</v>
      </c>
      <c r="D12" s="150" t="s">
        <v>58</v>
      </c>
      <c r="E12" s="150"/>
      <c r="F12" s="150" t="s">
        <v>1407</v>
      </c>
      <c r="G12" s="150"/>
      <c r="H12" s="150" t="s">
        <v>1402</v>
      </c>
      <c r="I12" s="151"/>
      <c r="J12" s="151" t="s">
        <v>1509</v>
      </c>
      <c r="K12" s="151"/>
      <c r="L12" s="151" t="s">
        <v>58</v>
      </c>
      <c r="M12" s="139"/>
      <c r="N12" s="150"/>
    </row>
    <row r="13" spans="1:14">
      <c r="A13" s="238"/>
      <c r="B13" s="171" t="s">
        <v>1409</v>
      </c>
      <c r="C13" s="172" t="s">
        <v>1404</v>
      </c>
      <c r="D13" s="150" t="s">
        <v>58</v>
      </c>
      <c r="E13" s="150"/>
      <c r="F13" s="150" t="s">
        <v>1401</v>
      </c>
      <c r="G13" s="150"/>
      <c r="H13" s="150" t="s">
        <v>1402</v>
      </c>
      <c r="I13" s="151"/>
      <c r="J13" s="151" t="s">
        <v>60</v>
      </c>
      <c r="K13" s="151"/>
      <c r="L13" s="151" t="s">
        <v>58</v>
      </c>
      <c r="M13" s="139"/>
      <c r="N13" s="150"/>
    </row>
    <row r="14" spans="1:14">
      <c r="A14" s="238"/>
      <c r="B14" s="171" t="s">
        <v>1410</v>
      </c>
      <c r="C14" s="172" t="s">
        <v>1404</v>
      </c>
      <c r="D14" s="150" t="s">
        <v>58</v>
      </c>
      <c r="E14" s="150"/>
      <c r="F14" s="150" t="s">
        <v>1411</v>
      </c>
      <c r="G14" s="150"/>
      <c r="H14" s="150" t="s">
        <v>159</v>
      </c>
      <c r="I14" s="151"/>
      <c r="J14" s="151" t="s">
        <v>1403</v>
      </c>
      <c r="K14" s="151"/>
      <c r="L14" s="151" t="s">
        <v>58</v>
      </c>
      <c r="M14" s="139"/>
      <c r="N14" s="150"/>
    </row>
    <row r="15" spans="1:14">
      <c r="A15" s="238" t="s">
        <v>61</v>
      </c>
      <c r="B15" s="138" t="s">
        <v>1412</v>
      </c>
      <c r="C15" s="172" t="s">
        <v>1400</v>
      </c>
      <c r="D15" s="150" t="s">
        <v>58</v>
      </c>
      <c r="E15" s="150"/>
      <c r="F15" s="150" t="s">
        <v>1411</v>
      </c>
      <c r="G15" s="150"/>
      <c r="H15" s="150" t="s">
        <v>159</v>
      </c>
      <c r="I15" s="151"/>
      <c r="J15" s="151" t="s">
        <v>60</v>
      </c>
      <c r="K15" s="151"/>
      <c r="L15" s="151" t="s">
        <v>60</v>
      </c>
      <c r="M15" s="139"/>
      <c r="N15" s="237"/>
    </row>
    <row r="16" spans="1:14">
      <c r="A16" s="238"/>
      <c r="B16" s="138" t="s">
        <v>1412</v>
      </c>
      <c r="C16" s="172" t="s">
        <v>1404</v>
      </c>
      <c r="D16" s="150" t="s">
        <v>58</v>
      </c>
      <c r="E16" s="150"/>
      <c r="F16" s="150" t="s">
        <v>1411</v>
      </c>
      <c r="G16" s="150"/>
      <c r="H16" s="150" t="s">
        <v>159</v>
      </c>
      <c r="I16" s="151"/>
      <c r="J16" s="151" t="s">
        <v>60</v>
      </c>
      <c r="K16" s="151"/>
      <c r="L16" s="151" t="s">
        <v>60</v>
      </c>
      <c r="M16" s="139"/>
      <c r="N16" s="150"/>
    </row>
    <row r="17" spans="1:14">
      <c r="A17" s="238"/>
      <c r="B17" s="138" t="s">
        <v>1413</v>
      </c>
      <c r="C17" s="172" t="s">
        <v>1400</v>
      </c>
      <c r="D17" s="150" t="s">
        <v>58</v>
      </c>
      <c r="E17" s="150"/>
      <c r="F17" s="150" t="s">
        <v>1401</v>
      </c>
      <c r="G17" s="150"/>
      <c r="H17" s="150" t="s">
        <v>159</v>
      </c>
      <c r="I17" s="151"/>
      <c r="J17" s="151" t="s">
        <v>60</v>
      </c>
      <c r="K17" s="151"/>
      <c r="L17" s="151" t="s">
        <v>60</v>
      </c>
      <c r="M17" s="139"/>
      <c r="N17" s="150"/>
    </row>
    <row r="18" spans="1:14">
      <c r="A18" s="238"/>
      <c r="B18" s="138" t="s">
        <v>1413</v>
      </c>
      <c r="C18" s="172" t="s">
        <v>1404</v>
      </c>
      <c r="D18" s="150" t="s">
        <v>58</v>
      </c>
      <c r="E18" s="150"/>
      <c r="F18" s="150" t="s">
        <v>1401</v>
      </c>
      <c r="G18" s="150"/>
      <c r="H18" s="150" t="s">
        <v>159</v>
      </c>
      <c r="I18" s="151"/>
      <c r="J18" s="151" t="s">
        <v>60</v>
      </c>
      <c r="K18" s="151"/>
      <c r="L18" s="151" t="s">
        <v>60</v>
      </c>
      <c r="M18" s="139"/>
      <c r="N18" s="150"/>
    </row>
    <row r="19" spans="1:14">
      <c r="A19" s="238" t="s">
        <v>66</v>
      </c>
      <c r="B19" s="138" t="s">
        <v>1414</v>
      </c>
      <c r="C19" s="172" t="s">
        <v>1400</v>
      </c>
      <c r="D19" s="167" t="s">
        <v>58</v>
      </c>
      <c r="E19" s="167"/>
      <c r="F19" s="167" t="s">
        <v>1411</v>
      </c>
      <c r="G19" s="167"/>
      <c r="H19" s="167" t="s">
        <v>159</v>
      </c>
      <c r="I19" s="151"/>
      <c r="J19" s="151" t="s">
        <v>60</v>
      </c>
      <c r="K19" s="151"/>
      <c r="L19" s="151" t="s">
        <v>60</v>
      </c>
      <c r="M19" s="139"/>
      <c r="N19" s="237"/>
    </row>
    <row r="20" spans="1:14">
      <c r="A20" s="238"/>
      <c r="B20" s="138" t="s">
        <v>1415</v>
      </c>
      <c r="C20" s="172" t="s">
        <v>1400</v>
      </c>
      <c r="D20" s="151" t="s">
        <v>1416</v>
      </c>
      <c r="E20" s="167"/>
      <c r="F20" s="167" t="s">
        <v>1411</v>
      </c>
      <c r="G20" s="167"/>
      <c r="H20" s="151" t="s">
        <v>1402</v>
      </c>
      <c r="I20" s="151"/>
      <c r="J20" s="151" t="s">
        <v>1417</v>
      </c>
      <c r="K20" s="151"/>
      <c r="L20" s="151" t="s">
        <v>60</v>
      </c>
      <c r="M20" s="139"/>
      <c r="N20" s="150"/>
    </row>
    <row r="21" spans="1:14">
      <c r="A21" s="238"/>
      <c r="B21" s="138" t="s">
        <v>1415</v>
      </c>
      <c r="C21" s="172" t="s">
        <v>1404</v>
      </c>
      <c r="D21" s="167" t="s">
        <v>58</v>
      </c>
      <c r="E21" s="167"/>
      <c r="F21" s="167" t="s">
        <v>1411</v>
      </c>
      <c r="G21" s="167"/>
      <c r="H21" s="151" t="s">
        <v>1402</v>
      </c>
      <c r="I21" s="151"/>
      <c r="J21" s="151" t="s">
        <v>1417</v>
      </c>
      <c r="K21" s="151"/>
      <c r="L21" s="151" t="s">
        <v>60</v>
      </c>
      <c r="M21" s="139"/>
      <c r="N21" s="150"/>
    </row>
    <row r="22" spans="1:14">
      <c r="A22" s="238"/>
      <c r="B22" s="138" t="s">
        <v>1418</v>
      </c>
      <c r="C22" s="172" t="s">
        <v>1404</v>
      </c>
      <c r="D22" s="151" t="s">
        <v>1416</v>
      </c>
      <c r="E22" s="167"/>
      <c r="F22" s="167" t="s">
        <v>1401</v>
      </c>
      <c r="G22" s="167"/>
      <c r="H22" s="167" t="s">
        <v>1402</v>
      </c>
      <c r="I22" s="151"/>
      <c r="J22" s="151" t="s">
        <v>1417</v>
      </c>
      <c r="K22" s="151"/>
      <c r="L22" s="151" t="s">
        <v>60</v>
      </c>
      <c r="M22" s="139"/>
      <c r="N22" s="150"/>
    </row>
    <row r="23" spans="1:14">
      <c r="A23" s="238"/>
      <c r="B23" s="138" t="s">
        <v>1419</v>
      </c>
      <c r="C23" s="172" t="s">
        <v>1400</v>
      </c>
      <c r="D23" s="151" t="s">
        <v>1416</v>
      </c>
      <c r="E23" s="167"/>
      <c r="F23" s="167" t="s">
        <v>1411</v>
      </c>
      <c r="G23" s="167"/>
      <c r="H23" s="167" t="s">
        <v>159</v>
      </c>
      <c r="I23" s="151"/>
      <c r="J23" s="151" t="s">
        <v>1403</v>
      </c>
      <c r="K23" s="151"/>
      <c r="L23" s="151" t="s">
        <v>60</v>
      </c>
      <c r="M23" s="139"/>
      <c r="N23" s="150"/>
    </row>
    <row r="24" spans="1:14">
      <c r="A24" s="238"/>
      <c r="B24" s="138" t="s">
        <v>1419</v>
      </c>
      <c r="C24" s="172" t="s">
        <v>1404</v>
      </c>
      <c r="D24" s="167" t="s">
        <v>58</v>
      </c>
      <c r="E24" s="167"/>
      <c r="F24" s="167" t="s">
        <v>1411</v>
      </c>
      <c r="G24" s="167"/>
      <c r="H24" s="167" t="s">
        <v>159</v>
      </c>
      <c r="I24" s="151"/>
      <c r="J24" s="151" t="s">
        <v>1403</v>
      </c>
      <c r="K24" s="151"/>
      <c r="L24" s="151" t="s">
        <v>60</v>
      </c>
      <c r="M24" s="139"/>
      <c r="N24" s="150"/>
    </row>
    <row r="25" spans="1:14">
      <c r="A25" s="238" t="s">
        <v>69</v>
      </c>
      <c r="B25" s="166" t="s">
        <v>1420</v>
      </c>
      <c r="C25" s="166" t="s">
        <v>1404</v>
      </c>
      <c r="D25" s="167" t="s">
        <v>58</v>
      </c>
      <c r="F25" s="150" t="s">
        <v>1407</v>
      </c>
      <c r="G25" s="150"/>
      <c r="H25" s="150" t="s">
        <v>1402</v>
      </c>
      <c r="J25" s="151" t="s">
        <v>60</v>
      </c>
      <c r="K25" s="151"/>
      <c r="L25" s="151" t="s">
        <v>60</v>
      </c>
      <c r="M25" s="139"/>
      <c r="N25" s="150"/>
    </row>
    <row r="26" spans="1:14">
      <c r="A26" s="238"/>
      <c r="B26" s="166" t="s">
        <v>1421</v>
      </c>
      <c r="C26" s="166" t="s">
        <v>1400</v>
      </c>
      <c r="D26" s="167" t="s">
        <v>58</v>
      </c>
      <c r="F26" s="150" t="s">
        <v>1411</v>
      </c>
      <c r="G26" s="150"/>
      <c r="H26" s="150" t="s">
        <v>159</v>
      </c>
      <c r="J26" s="151" t="s">
        <v>60</v>
      </c>
      <c r="K26" s="151"/>
      <c r="L26" s="151" t="s">
        <v>58</v>
      </c>
      <c r="M26" s="139"/>
      <c r="N26" s="150"/>
    </row>
    <row r="27" spans="1:14">
      <c r="A27" s="238"/>
      <c r="B27" s="166" t="s">
        <v>1421</v>
      </c>
      <c r="C27" s="166" t="s">
        <v>1404</v>
      </c>
      <c r="D27" s="167" t="s">
        <v>58</v>
      </c>
      <c r="F27" s="150" t="s">
        <v>1411</v>
      </c>
      <c r="G27" s="150"/>
      <c r="H27" s="150" t="s">
        <v>159</v>
      </c>
      <c r="J27" s="151" t="s">
        <v>60</v>
      </c>
      <c r="K27" s="151"/>
      <c r="L27" s="151" t="s">
        <v>60</v>
      </c>
      <c r="M27" s="139"/>
      <c r="N27" s="150"/>
    </row>
    <row r="28" spans="1:14">
      <c r="A28" s="238"/>
      <c r="B28" s="166" t="s">
        <v>1412</v>
      </c>
      <c r="C28" s="166" t="s">
        <v>1404</v>
      </c>
      <c r="D28" s="167" t="s">
        <v>58</v>
      </c>
      <c r="F28" s="150" t="s">
        <v>1411</v>
      </c>
      <c r="G28" s="150"/>
      <c r="H28" s="150" t="s">
        <v>159</v>
      </c>
      <c r="J28" s="151" t="s">
        <v>60</v>
      </c>
      <c r="K28" s="151"/>
      <c r="L28" s="151" t="s">
        <v>58</v>
      </c>
      <c r="M28" s="139"/>
      <c r="N28" s="150"/>
    </row>
    <row r="29" spans="1:14">
      <c r="A29" s="238"/>
      <c r="B29" s="166" t="s">
        <v>1422</v>
      </c>
      <c r="C29" s="166" t="s">
        <v>1404</v>
      </c>
      <c r="D29" s="167" t="s">
        <v>58</v>
      </c>
      <c r="F29" s="150" t="s">
        <v>1411</v>
      </c>
      <c r="G29" s="150"/>
      <c r="H29" s="150" t="s">
        <v>1402</v>
      </c>
      <c r="J29" s="151" t="s">
        <v>1403</v>
      </c>
      <c r="K29" s="151"/>
      <c r="L29" s="151" t="s">
        <v>58</v>
      </c>
      <c r="M29" s="139"/>
      <c r="N29" s="150"/>
    </row>
    <row r="30" spans="1:14">
      <c r="A30" s="238"/>
      <c r="B30" s="166" t="s">
        <v>1423</v>
      </c>
      <c r="C30" s="166" t="s">
        <v>1404</v>
      </c>
      <c r="D30" s="167" t="s">
        <v>58</v>
      </c>
      <c r="F30" s="150" t="s">
        <v>1411</v>
      </c>
      <c r="G30" s="150"/>
      <c r="H30" s="150" t="s">
        <v>1402</v>
      </c>
      <c r="J30" s="151" t="s">
        <v>60</v>
      </c>
      <c r="K30" s="151"/>
      <c r="L30" s="151" t="s">
        <v>58</v>
      </c>
      <c r="M30" s="139"/>
      <c r="N30" s="150"/>
    </row>
    <row r="31" spans="1:14">
      <c r="A31" s="238"/>
      <c r="B31" s="166" t="s">
        <v>1424</v>
      </c>
      <c r="C31" s="166" t="s">
        <v>1400</v>
      </c>
      <c r="D31" s="167" t="s">
        <v>58</v>
      </c>
      <c r="F31" s="150" t="s">
        <v>1411</v>
      </c>
      <c r="G31" s="150"/>
      <c r="H31" s="150" t="s">
        <v>159</v>
      </c>
      <c r="J31" s="151" t="s">
        <v>60</v>
      </c>
      <c r="K31" s="151"/>
      <c r="L31" s="151" t="s">
        <v>58</v>
      </c>
      <c r="M31" s="139"/>
      <c r="N31" s="150"/>
    </row>
    <row r="32" spans="1:14">
      <c r="A32" s="238"/>
      <c r="B32" s="138" t="s">
        <v>1425</v>
      </c>
      <c r="C32" s="172" t="s">
        <v>1404</v>
      </c>
      <c r="D32" s="167" t="s">
        <v>58</v>
      </c>
      <c r="E32" s="167"/>
      <c r="F32" s="150" t="s">
        <v>1411</v>
      </c>
      <c r="G32" s="167"/>
      <c r="H32" s="167" t="s">
        <v>1402</v>
      </c>
      <c r="I32" s="151"/>
      <c r="J32" s="151" t="s">
        <v>1403</v>
      </c>
      <c r="K32" s="151"/>
      <c r="L32" s="151" t="s">
        <v>58</v>
      </c>
      <c r="M32" s="139"/>
      <c r="N32" s="150"/>
    </row>
    <row r="33" spans="1:14">
      <c r="A33" s="238"/>
      <c r="B33" s="138" t="s">
        <v>1425</v>
      </c>
      <c r="C33" s="172" t="s">
        <v>1400</v>
      </c>
      <c r="D33" s="167" t="s">
        <v>58</v>
      </c>
      <c r="E33" s="167"/>
      <c r="F33" s="150" t="s">
        <v>1411</v>
      </c>
      <c r="G33" s="167"/>
      <c r="H33" s="167" t="s">
        <v>1402</v>
      </c>
      <c r="I33" s="151"/>
      <c r="J33" s="151" t="s">
        <v>1403</v>
      </c>
      <c r="K33" s="151"/>
      <c r="L33" s="151" t="s">
        <v>60</v>
      </c>
      <c r="M33" s="139"/>
      <c r="N33" s="150"/>
    </row>
    <row r="34" spans="1:14">
      <c r="A34" s="238" t="s">
        <v>71</v>
      </c>
      <c r="B34" s="138" t="s">
        <v>1426</v>
      </c>
      <c r="C34" s="172" t="s">
        <v>1400</v>
      </c>
      <c r="D34" s="167" t="s">
        <v>58</v>
      </c>
      <c r="E34" s="167"/>
      <c r="F34" s="167" t="s">
        <v>1401</v>
      </c>
      <c r="G34" s="167"/>
      <c r="H34" s="167" t="s">
        <v>159</v>
      </c>
      <c r="I34" s="151"/>
      <c r="J34" s="151" t="s">
        <v>60</v>
      </c>
      <c r="K34" s="151"/>
      <c r="L34" s="151" t="s">
        <v>60</v>
      </c>
      <c r="M34" s="139"/>
      <c r="N34" s="150"/>
    </row>
    <row r="35" spans="1:14">
      <c r="A35" s="238"/>
      <c r="B35" s="138" t="s">
        <v>1426</v>
      </c>
      <c r="C35" s="172" t="s">
        <v>1404</v>
      </c>
      <c r="D35" s="167" t="s">
        <v>58</v>
      </c>
      <c r="E35" s="167"/>
      <c r="F35" s="167" t="s">
        <v>1401</v>
      </c>
      <c r="G35" s="167"/>
      <c r="H35" s="167" t="s">
        <v>159</v>
      </c>
      <c r="I35" s="151"/>
      <c r="J35" s="151" t="s">
        <v>1403</v>
      </c>
      <c r="K35" s="151"/>
      <c r="L35" s="151" t="s">
        <v>58</v>
      </c>
      <c r="M35" s="139"/>
      <c r="N35" s="150"/>
    </row>
    <row r="36" spans="1:14">
      <c r="A36" s="238" t="s">
        <v>73</v>
      </c>
      <c r="B36" s="138" t="s">
        <v>1427</v>
      </c>
      <c r="C36" s="172" t="s">
        <v>1400</v>
      </c>
      <c r="D36" s="167" t="s">
        <v>58</v>
      </c>
      <c r="E36" s="167"/>
      <c r="F36" s="167" t="s">
        <v>1401</v>
      </c>
      <c r="G36" s="167"/>
      <c r="H36" s="167" t="s">
        <v>159</v>
      </c>
      <c r="I36" s="151"/>
      <c r="J36" s="151" t="s">
        <v>60</v>
      </c>
      <c r="K36" s="151"/>
      <c r="L36" s="151" t="s">
        <v>58</v>
      </c>
      <c r="M36" s="139"/>
    </row>
    <row r="37" spans="1:14">
      <c r="A37" s="238"/>
      <c r="B37" s="138" t="s">
        <v>1399</v>
      </c>
      <c r="C37" s="172" t="s">
        <v>1400</v>
      </c>
      <c r="D37" s="167" t="s">
        <v>58</v>
      </c>
      <c r="E37" s="167"/>
      <c r="F37" s="167" t="s">
        <v>1411</v>
      </c>
      <c r="G37" s="167"/>
      <c r="H37" s="167" t="s">
        <v>1402</v>
      </c>
      <c r="I37" s="151"/>
      <c r="J37" s="151" t="s">
        <v>1403</v>
      </c>
      <c r="K37" s="151"/>
      <c r="L37" s="151" t="s">
        <v>58</v>
      </c>
      <c r="M37" s="139"/>
      <c r="N37" s="150"/>
    </row>
    <row r="38" spans="1:14">
      <c r="A38" s="238"/>
      <c r="B38" s="138" t="s">
        <v>1405</v>
      </c>
      <c r="C38" s="172" t="s">
        <v>1400</v>
      </c>
      <c r="D38" s="167" t="s">
        <v>58</v>
      </c>
      <c r="E38" s="167"/>
      <c r="F38" s="151" t="s">
        <v>1401</v>
      </c>
      <c r="G38" s="167"/>
      <c r="H38" s="151" t="s">
        <v>159</v>
      </c>
      <c r="I38" s="151"/>
      <c r="J38" s="151" t="s">
        <v>1403</v>
      </c>
      <c r="K38" s="151"/>
      <c r="L38" s="151" t="s">
        <v>60</v>
      </c>
      <c r="M38" s="139"/>
      <c r="N38" s="150"/>
    </row>
    <row r="39" spans="1:14">
      <c r="A39" s="238"/>
      <c r="B39" s="138" t="s">
        <v>1405</v>
      </c>
      <c r="C39" s="172" t="s">
        <v>1404</v>
      </c>
      <c r="D39" s="167" t="s">
        <v>58</v>
      </c>
      <c r="E39" s="167"/>
      <c r="F39" s="151" t="s">
        <v>1401</v>
      </c>
      <c r="G39" s="167"/>
      <c r="H39" s="151" t="s">
        <v>159</v>
      </c>
      <c r="I39" s="151"/>
      <c r="J39" s="151" t="s">
        <v>1403</v>
      </c>
      <c r="K39" s="151"/>
      <c r="L39" s="151" t="s">
        <v>60</v>
      </c>
      <c r="M39" s="139"/>
      <c r="N39" s="150"/>
    </row>
    <row r="40" spans="1:14">
      <c r="A40" s="238"/>
      <c r="B40" s="138" t="s">
        <v>1428</v>
      </c>
      <c r="C40" s="172" t="s">
        <v>1400</v>
      </c>
      <c r="D40" s="167" t="s">
        <v>58</v>
      </c>
      <c r="E40" s="167"/>
      <c r="F40" s="167" t="s">
        <v>1411</v>
      </c>
      <c r="G40" s="167"/>
      <c r="H40" s="167" t="s">
        <v>1402</v>
      </c>
      <c r="I40" s="151"/>
      <c r="J40" s="151" t="s">
        <v>60</v>
      </c>
      <c r="K40" s="151"/>
      <c r="L40" s="151" t="s">
        <v>60</v>
      </c>
      <c r="M40" s="139"/>
      <c r="N40" s="150"/>
    </row>
    <row r="41" spans="1:14">
      <c r="A41" s="238"/>
      <c r="B41" s="138" t="s">
        <v>1428</v>
      </c>
      <c r="C41" s="172" t="s">
        <v>1404</v>
      </c>
      <c r="D41" s="167" t="s">
        <v>58</v>
      </c>
      <c r="E41" s="167"/>
      <c r="F41" s="167" t="s">
        <v>1411</v>
      </c>
      <c r="G41" s="167"/>
      <c r="H41" s="167" t="s">
        <v>1402</v>
      </c>
      <c r="I41" s="151"/>
      <c r="J41" s="151" t="s">
        <v>1417</v>
      </c>
      <c r="K41" s="151"/>
      <c r="L41" s="151" t="s">
        <v>58</v>
      </c>
      <c r="M41" s="139"/>
      <c r="N41" s="150"/>
    </row>
    <row r="42" spans="1:14">
      <c r="A42" s="238"/>
      <c r="B42" s="138" t="s">
        <v>1408</v>
      </c>
      <c r="C42" s="172" t="s">
        <v>1400</v>
      </c>
      <c r="D42" s="167" t="s">
        <v>1429</v>
      </c>
      <c r="E42" s="167"/>
      <c r="F42" s="151" t="s">
        <v>1407</v>
      </c>
      <c r="G42" s="167"/>
      <c r="H42" s="167" t="s">
        <v>1402</v>
      </c>
      <c r="I42" s="151"/>
      <c r="J42" s="151" t="s">
        <v>1403</v>
      </c>
      <c r="K42" s="151"/>
      <c r="L42" s="151" t="s">
        <v>58</v>
      </c>
      <c r="M42" s="139"/>
      <c r="N42" s="150"/>
    </row>
    <row r="43" spans="1:14">
      <c r="A43" s="238"/>
      <c r="B43" s="138" t="s">
        <v>1430</v>
      </c>
      <c r="C43" s="172" t="s">
        <v>1404</v>
      </c>
      <c r="D43" s="167" t="s">
        <v>58</v>
      </c>
      <c r="E43" s="167"/>
      <c r="F43" s="151" t="s">
        <v>1407</v>
      </c>
      <c r="G43" s="167"/>
      <c r="H43" s="167" t="s">
        <v>1402</v>
      </c>
      <c r="I43" s="151"/>
      <c r="J43" s="151" t="s">
        <v>1417</v>
      </c>
      <c r="K43" s="151"/>
      <c r="L43" s="151" t="s">
        <v>58</v>
      </c>
      <c r="M43" s="139"/>
      <c r="N43" s="150"/>
    </row>
    <row r="44" spans="1:14">
      <c r="A44" s="238"/>
      <c r="B44" s="138" t="s">
        <v>1431</v>
      </c>
      <c r="C44" s="172" t="s">
        <v>1400</v>
      </c>
      <c r="D44" s="167" t="s">
        <v>58</v>
      </c>
      <c r="E44" s="167"/>
      <c r="F44" s="167" t="s">
        <v>1411</v>
      </c>
      <c r="G44" s="167"/>
      <c r="H44" s="167" t="s">
        <v>1402</v>
      </c>
      <c r="I44" s="151"/>
      <c r="J44" s="151" t="s">
        <v>60</v>
      </c>
      <c r="K44" s="151"/>
      <c r="L44" s="151" t="s">
        <v>60</v>
      </c>
      <c r="M44" s="139"/>
      <c r="N44" s="150"/>
    </row>
    <row r="45" spans="1:14">
      <c r="A45" s="238"/>
      <c r="B45" s="138" t="s">
        <v>1431</v>
      </c>
      <c r="C45" s="172" t="s">
        <v>1404</v>
      </c>
      <c r="D45" s="167" t="s">
        <v>58</v>
      </c>
      <c r="E45" s="167"/>
      <c r="F45" s="167" t="s">
        <v>1411</v>
      </c>
      <c r="G45" s="167"/>
      <c r="H45" s="167" t="s">
        <v>1402</v>
      </c>
      <c r="I45" s="151"/>
      <c r="J45" s="151" t="s">
        <v>1403</v>
      </c>
      <c r="K45" s="151"/>
      <c r="L45" s="151" t="s">
        <v>60</v>
      </c>
      <c r="M45" s="139"/>
      <c r="N45" s="150"/>
    </row>
    <row r="46" spans="1:14">
      <c r="A46" s="238"/>
      <c r="B46" s="138" t="s">
        <v>1432</v>
      </c>
      <c r="C46" s="172" t="s">
        <v>1404</v>
      </c>
      <c r="D46" s="167" t="s">
        <v>58</v>
      </c>
      <c r="E46" s="167"/>
      <c r="F46" s="167" t="s">
        <v>1401</v>
      </c>
      <c r="G46" s="167"/>
      <c r="H46" s="167" t="s">
        <v>159</v>
      </c>
      <c r="I46" s="151"/>
      <c r="J46" s="151" t="s">
        <v>1403</v>
      </c>
      <c r="K46" s="151"/>
      <c r="L46" s="151" t="s">
        <v>58</v>
      </c>
      <c r="M46" s="139"/>
      <c r="N46" s="150"/>
    </row>
    <row r="47" spans="1:14">
      <c r="A47" s="238" t="s">
        <v>1433</v>
      </c>
      <c r="B47" s="138" t="s">
        <v>1413</v>
      </c>
      <c r="C47" s="172" t="s">
        <v>1400</v>
      </c>
      <c r="D47" s="167" t="s">
        <v>58</v>
      </c>
      <c r="E47" s="167"/>
      <c r="F47" s="167" t="s">
        <v>1401</v>
      </c>
      <c r="G47" s="167"/>
      <c r="H47" s="167" t="s">
        <v>159</v>
      </c>
      <c r="I47" s="151"/>
      <c r="J47" s="151" t="s">
        <v>60</v>
      </c>
      <c r="K47" s="151"/>
      <c r="L47" s="151" t="s">
        <v>60</v>
      </c>
      <c r="M47" s="139"/>
      <c r="N47" s="150"/>
    </row>
    <row r="48" spans="1:14">
      <c r="A48" s="238"/>
      <c r="B48" s="138" t="s">
        <v>1413</v>
      </c>
      <c r="C48" s="172" t="s">
        <v>1404</v>
      </c>
      <c r="D48" s="167" t="s">
        <v>58</v>
      </c>
      <c r="E48" s="167"/>
      <c r="F48" s="167" t="s">
        <v>1401</v>
      </c>
      <c r="G48" s="167"/>
      <c r="H48" s="167" t="s">
        <v>159</v>
      </c>
      <c r="I48" s="151"/>
      <c r="J48" s="151" t="s">
        <v>60</v>
      </c>
      <c r="K48" s="151"/>
      <c r="L48" s="151" t="s">
        <v>60</v>
      </c>
      <c r="M48" s="139"/>
      <c r="N48" s="150"/>
    </row>
    <row r="49" spans="1:14">
      <c r="A49" s="238" t="s">
        <v>78</v>
      </c>
      <c r="B49" s="138" t="s">
        <v>1427</v>
      </c>
      <c r="C49" s="139" t="s">
        <v>1400</v>
      </c>
      <c r="D49" s="167" t="s">
        <v>58</v>
      </c>
      <c r="E49" s="167"/>
      <c r="F49" s="167" t="s">
        <v>1401</v>
      </c>
      <c r="G49" s="167"/>
      <c r="H49" s="167" t="s">
        <v>159</v>
      </c>
      <c r="I49" s="151"/>
      <c r="J49" s="151" t="s">
        <v>60</v>
      </c>
      <c r="K49" s="151"/>
      <c r="L49" s="151" t="s">
        <v>58</v>
      </c>
      <c r="M49" s="139"/>
      <c r="N49" s="150"/>
    </row>
    <row r="50" spans="1:14">
      <c r="A50" s="238"/>
      <c r="B50" s="138" t="s">
        <v>1427</v>
      </c>
      <c r="C50" s="139" t="s">
        <v>1404</v>
      </c>
      <c r="D50" s="167" t="s">
        <v>58</v>
      </c>
      <c r="E50" s="167"/>
      <c r="F50" s="151" t="s">
        <v>1401</v>
      </c>
      <c r="G50" s="167"/>
      <c r="H50" s="167" t="s">
        <v>159</v>
      </c>
      <c r="I50" s="151"/>
      <c r="J50" s="151" t="s">
        <v>60</v>
      </c>
      <c r="K50" s="151"/>
      <c r="L50" s="151" t="s">
        <v>58</v>
      </c>
      <c r="M50" s="139"/>
      <c r="N50" s="150"/>
    </row>
    <row r="51" spans="1:14">
      <c r="A51" s="238"/>
      <c r="B51" s="138" t="s">
        <v>1434</v>
      </c>
      <c r="C51" s="139" t="s">
        <v>1400</v>
      </c>
      <c r="D51" s="167" t="s">
        <v>1429</v>
      </c>
      <c r="E51" s="167"/>
      <c r="F51" s="167" t="s">
        <v>1411</v>
      </c>
      <c r="G51" s="167"/>
      <c r="H51" s="167" t="s">
        <v>1402</v>
      </c>
      <c r="I51" s="151"/>
      <c r="J51" s="151" t="s">
        <v>60</v>
      </c>
      <c r="K51" s="151"/>
      <c r="L51" s="151" t="s">
        <v>58</v>
      </c>
      <c r="M51" s="139"/>
      <c r="N51" s="150"/>
    </row>
    <row r="52" spans="1:14">
      <c r="A52" s="238" t="s">
        <v>80</v>
      </c>
      <c r="B52" s="138" t="s">
        <v>1435</v>
      </c>
      <c r="C52" s="139" t="s">
        <v>1400</v>
      </c>
      <c r="D52" s="151" t="s">
        <v>1416</v>
      </c>
      <c r="E52" s="167"/>
      <c r="F52" s="167" t="s">
        <v>1411</v>
      </c>
      <c r="G52" s="167"/>
      <c r="H52" s="167" t="s">
        <v>159</v>
      </c>
      <c r="I52" s="151"/>
      <c r="J52" s="151" t="s">
        <v>60</v>
      </c>
      <c r="K52" s="151"/>
      <c r="L52" s="151" t="s">
        <v>60</v>
      </c>
      <c r="M52" s="139"/>
      <c r="N52" s="150"/>
    </row>
    <row r="53" spans="1:14">
      <c r="A53" s="238"/>
      <c r="B53" s="138" t="s">
        <v>1435</v>
      </c>
      <c r="C53" s="139" t="s">
        <v>1404</v>
      </c>
      <c r="D53" s="167" t="s">
        <v>58</v>
      </c>
      <c r="E53" s="167"/>
      <c r="F53" s="167" t="s">
        <v>1411</v>
      </c>
      <c r="G53" s="167"/>
      <c r="H53" s="167" t="s">
        <v>159</v>
      </c>
      <c r="I53" s="151"/>
      <c r="J53" s="151" t="s">
        <v>60</v>
      </c>
      <c r="K53" s="151"/>
      <c r="L53" s="151" t="s">
        <v>60</v>
      </c>
      <c r="M53" s="139"/>
      <c r="N53" s="150"/>
    </row>
    <row r="54" spans="1:14">
      <c r="A54" s="238"/>
      <c r="B54" s="138" t="s">
        <v>1423</v>
      </c>
      <c r="C54" s="139" t="s">
        <v>1404</v>
      </c>
      <c r="D54" s="167" t="s">
        <v>58</v>
      </c>
      <c r="E54" s="167"/>
      <c r="F54" s="167" t="s">
        <v>1411</v>
      </c>
      <c r="G54" s="167"/>
      <c r="H54" s="167" t="s">
        <v>1402</v>
      </c>
      <c r="I54" s="151"/>
      <c r="J54" s="151" t="s">
        <v>60</v>
      </c>
      <c r="K54" s="151"/>
      <c r="L54" s="151" t="s">
        <v>60</v>
      </c>
      <c r="M54" s="139"/>
      <c r="N54" s="150"/>
    </row>
    <row r="55" spans="1:14">
      <c r="A55" s="238"/>
      <c r="B55" s="138" t="s">
        <v>1424</v>
      </c>
      <c r="C55" s="139" t="s">
        <v>1400</v>
      </c>
      <c r="D55" s="167" t="s">
        <v>58</v>
      </c>
      <c r="E55" s="167"/>
      <c r="F55" s="167" t="s">
        <v>1411</v>
      </c>
      <c r="G55" s="167"/>
      <c r="H55" s="151" t="s">
        <v>159</v>
      </c>
      <c r="I55" s="151"/>
      <c r="J55" s="151" t="s">
        <v>60</v>
      </c>
      <c r="K55" s="151"/>
      <c r="L55" s="151" t="s">
        <v>60</v>
      </c>
      <c r="M55" s="139"/>
      <c r="N55" s="150"/>
    </row>
    <row r="56" spans="1:14">
      <c r="A56" s="238"/>
      <c r="B56" s="138" t="s">
        <v>1424</v>
      </c>
      <c r="C56" s="139" t="s">
        <v>1404</v>
      </c>
      <c r="D56" s="151" t="s">
        <v>58</v>
      </c>
      <c r="E56" s="167"/>
      <c r="F56" s="151" t="s">
        <v>1411</v>
      </c>
      <c r="G56" s="167"/>
      <c r="H56" s="151" t="s">
        <v>159</v>
      </c>
      <c r="I56" s="151"/>
      <c r="J56" s="151" t="s">
        <v>60</v>
      </c>
      <c r="K56" s="151"/>
      <c r="L56" s="151" t="s">
        <v>60</v>
      </c>
      <c r="M56" s="139"/>
      <c r="N56" s="150"/>
    </row>
    <row r="57" spans="1:14">
      <c r="A57" s="238" t="s">
        <v>82</v>
      </c>
      <c r="B57" s="138" t="s">
        <v>1436</v>
      </c>
      <c r="C57" s="172" t="s">
        <v>1400</v>
      </c>
      <c r="D57" s="167" t="s">
        <v>58</v>
      </c>
      <c r="E57" s="167"/>
      <c r="F57" s="151" t="s">
        <v>1401</v>
      </c>
      <c r="G57" s="167"/>
      <c r="H57" s="151" t="s">
        <v>159</v>
      </c>
      <c r="I57" s="151"/>
      <c r="J57" s="151" t="s">
        <v>60</v>
      </c>
      <c r="K57" s="151"/>
      <c r="L57" s="151" t="s">
        <v>58</v>
      </c>
      <c r="M57" s="139"/>
      <c r="N57" s="150"/>
    </row>
    <row r="58" spans="1:14">
      <c r="A58" s="238"/>
      <c r="B58" s="138" t="s">
        <v>1437</v>
      </c>
      <c r="C58" s="172" t="s">
        <v>1400</v>
      </c>
      <c r="D58" s="167" t="s">
        <v>58</v>
      </c>
      <c r="E58" s="167"/>
      <c r="F58" s="151" t="s">
        <v>1401</v>
      </c>
      <c r="G58" s="167"/>
      <c r="H58" s="167" t="s">
        <v>159</v>
      </c>
      <c r="I58" s="151"/>
      <c r="J58" s="151" t="s">
        <v>60</v>
      </c>
      <c r="K58" s="151"/>
      <c r="L58" s="151" t="s">
        <v>58</v>
      </c>
      <c r="M58" s="139"/>
      <c r="N58" s="150"/>
    </row>
    <row r="59" spans="1:14">
      <c r="A59" s="238"/>
      <c r="B59" s="138" t="s">
        <v>1438</v>
      </c>
      <c r="C59" s="172" t="s">
        <v>1404</v>
      </c>
      <c r="D59" s="167" t="s">
        <v>1429</v>
      </c>
      <c r="E59" s="167"/>
      <c r="F59" s="151" t="s">
        <v>1401</v>
      </c>
      <c r="G59" s="167"/>
      <c r="H59" s="167" t="s">
        <v>159</v>
      </c>
      <c r="I59" s="151"/>
      <c r="J59" s="151" t="s">
        <v>1417</v>
      </c>
      <c r="K59" s="151"/>
      <c r="L59" s="151" t="s">
        <v>58</v>
      </c>
      <c r="M59" s="139"/>
      <c r="N59" s="150"/>
    </row>
    <row r="60" spans="1:14">
      <c r="A60" s="238"/>
      <c r="B60" s="138" t="s">
        <v>1439</v>
      </c>
      <c r="C60" s="172" t="s">
        <v>1404</v>
      </c>
      <c r="D60" s="167" t="s">
        <v>58</v>
      </c>
      <c r="E60" s="167"/>
      <c r="F60" s="167" t="s">
        <v>1401</v>
      </c>
      <c r="G60" s="167"/>
      <c r="H60" s="167" t="s">
        <v>159</v>
      </c>
      <c r="I60" s="151"/>
      <c r="J60" s="151" t="s">
        <v>1403</v>
      </c>
      <c r="K60" s="151"/>
      <c r="L60" s="151" t="s">
        <v>58</v>
      </c>
      <c r="M60" s="139"/>
      <c r="N60" s="150"/>
    </row>
    <row r="61" spans="1:14">
      <c r="A61" s="238"/>
      <c r="B61" s="138" t="s">
        <v>1440</v>
      </c>
      <c r="C61" s="172" t="s">
        <v>1400</v>
      </c>
      <c r="D61" s="167" t="s">
        <v>58</v>
      </c>
      <c r="E61" s="167"/>
      <c r="F61" s="167" t="s">
        <v>1401</v>
      </c>
      <c r="G61" s="167"/>
      <c r="H61" s="167" t="s">
        <v>159</v>
      </c>
      <c r="I61" s="151"/>
      <c r="J61" s="151" t="s">
        <v>1403</v>
      </c>
      <c r="K61" s="151"/>
      <c r="L61" s="151" t="s">
        <v>60</v>
      </c>
      <c r="M61" s="139"/>
      <c r="N61" s="150"/>
    </row>
    <row r="62" spans="1:14">
      <c r="A62" s="238"/>
      <c r="B62" s="138" t="s">
        <v>1432</v>
      </c>
      <c r="C62" s="172" t="s">
        <v>1404</v>
      </c>
      <c r="D62" s="167" t="s">
        <v>58</v>
      </c>
      <c r="E62" s="167"/>
      <c r="F62" s="167" t="s">
        <v>1401</v>
      </c>
      <c r="G62" s="167"/>
      <c r="H62" s="167" t="s">
        <v>159</v>
      </c>
      <c r="I62" s="151"/>
      <c r="J62" s="151" t="s">
        <v>1417</v>
      </c>
      <c r="K62" s="151"/>
      <c r="L62" s="151" t="s">
        <v>60</v>
      </c>
      <c r="M62" s="139"/>
      <c r="N62" s="150"/>
    </row>
    <row r="63" spans="1:14">
      <c r="A63" s="238"/>
      <c r="B63" s="138" t="s">
        <v>1410</v>
      </c>
      <c r="C63" s="172" t="s">
        <v>1404</v>
      </c>
      <c r="D63" s="167" t="s">
        <v>58</v>
      </c>
      <c r="E63" s="167"/>
      <c r="F63" s="167" t="s">
        <v>1411</v>
      </c>
      <c r="G63" s="167"/>
      <c r="H63" s="167" t="s">
        <v>1402</v>
      </c>
      <c r="I63" s="151"/>
      <c r="J63" s="151" t="s">
        <v>1403</v>
      </c>
      <c r="K63" s="151"/>
      <c r="L63" s="151" t="s">
        <v>58</v>
      </c>
      <c r="M63" s="139"/>
      <c r="N63" s="150"/>
    </row>
    <row r="64" spans="1:14">
      <c r="A64" s="238" t="s">
        <v>84</v>
      </c>
      <c r="B64" s="138" t="s">
        <v>1439</v>
      </c>
      <c r="C64" s="172" t="s">
        <v>1404</v>
      </c>
      <c r="D64" s="167" t="s">
        <v>58</v>
      </c>
      <c r="E64" s="167"/>
      <c r="F64" s="167" t="s">
        <v>1401</v>
      </c>
      <c r="G64" s="167"/>
      <c r="H64" s="167" t="s">
        <v>159</v>
      </c>
      <c r="I64" s="151"/>
      <c r="J64" s="151" t="s">
        <v>1403</v>
      </c>
      <c r="K64" s="151"/>
      <c r="L64" s="151" t="s">
        <v>58</v>
      </c>
      <c r="M64" s="139"/>
      <c r="N64" s="150"/>
    </row>
    <row r="65" spans="1:14">
      <c r="A65" s="238"/>
      <c r="B65" s="138" t="s">
        <v>1426</v>
      </c>
      <c r="C65" s="172" t="s">
        <v>1400</v>
      </c>
      <c r="D65" s="167" t="s">
        <v>58</v>
      </c>
      <c r="E65" s="167"/>
      <c r="F65" s="167" t="s">
        <v>1401</v>
      </c>
      <c r="G65" s="167"/>
      <c r="H65" s="167" t="s">
        <v>159</v>
      </c>
      <c r="I65" s="151"/>
      <c r="J65" s="151" t="s">
        <v>60</v>
      </c>
      <c r="K65" s="151"/>
      <c r="L65" s="151" t="s">
        <v>60</v>
      </c>
      <c r="M65" s="139"/>
      <c r="N65" s="150"/>
    </row>
    <row r="66" spans="1:14">
      <c r="A66" s="238"/>
      <c r="B66" s="138" t="s">
        <v>1426</v>
      </c>
      <c r="C66" s="172" t="s">
        <v>1404</v>
      </c>
      <c r="D66" s="167" t="s">
        <v>58</v>
      </c>
      <c r="E66" s="167"/>
      <c r="F66" s="167" t="s">
        <v>1401</v>
      </c>
      <c r="G66" s="167"/>
      <c r="H66" s="167" t="s">
        <v>159</v>
      </c>
      <c r="I66" s="151"/>
      <c r="J66" s="151" t="s">
        <v>60</v>
      </c>
      <c r="K66" s="151"/>
      <c r="L66" s="151" t="s">
        <v>60</v>
      </c>
      <c r="M66" s="139"/>
      <c r="N66" s="150"/>
    </row>
    <row r="67" spans="1:14">
      <c r="A67" s="238"/>
      <c r="B67" s="138" t="s">
        <v>1441</v>
      </c>
      <c r="C67" s="172" t="s">
        <v>1404</v>
      </c>
      <c r="D67" s="167" t="s">
        <v>58</v>
      </c>
      <c r="E67" s="167"/>
      <c r="F67" s="167" t="s">
        <v>1401</v>
      </c>
      <c r="G67" s="167"/>
      <c r="H67" s="167" t="s">
        <v>159</v>
      </c>
      <c r="I67" s="151"/>
      <c r="J67" s="151" t="s">
        <v>1403</v>
      </c>
      <c r="K67" s="151"/>
      <c r="L67" s="151" t="s">
        <v>60</v>
      </c>
      <c r="M67" s="139"/>
      <c r="N67" s="150"/>
    </row>
    <row r="68" spans="1:14">
      <c r="A68" s="238"/>
      <c r="B68" s="138" t="s">
        <v>1413</v>
      </c>
      <c r="C68" s="172" t="s">
        <v>1400</v>
      </c>
      <c r="D68" s="167" t="s">
        <v>58</v>
      </c>
      <c r="E68" s="167"/>
      <c r="F68" s="167" t="s">
        <v>1401</v>
      </c>
      <c r="G68" s="167"/>
      <c r="H68" s="167" t="s">
        <v>159</v>
      </c>
      <c r="I68" s="151"/>
      <c r="J68" s="151" t="s">
        <v>60</v>
      </c>
      <c r="K68" s="151"/>
      <c r="L68" s="151" t="s">
        <v>60</v>
      </c>
      <c r="M68" s="139"/>
      <c r="N68" s="150"/>
    </row>
    <row r="69" spans="1:14">
      <c r="A69" s="238"/>
      <c r="B69" s="138" t="s">
        <v>1413</v>
      </c>
      <c r="C69" s="172" t="s">
        <v>1404</v>
      </c>
      <c r="D69" s="167" t="s">
        <v>58</v>
      </c>
      <c r="E69" s="167"/>
      <c r="F69" s="167" t="s">
        <v>1401</v>
      </c>
      <c r="G69" s="167"/>
      <c r="H69" s="167" t="s">
        <v>159</v>
      </c>
      <c r="I69" s="151"/>
      <c r="J69" s="151" t="s">
        <v>60</v>
      </c>
      <c r="K69" s="151"/>
      <c r="L69" s="151" t="s">
        <v>60</v>
      </c>
      <c r="M69" s="139"/>
      <c r="N69" s="150"/>
    </row>
    <row r="70" spans="1:14">
      <c r="A70" s="238" t="s">
        <v>86</v>
      </c>
      <c r="B70" s="138" t="s">
        <v>1421</v>
      </c>
      <c r="C70" s="172" t="s">
        <v>1400</v>
      </c>
      <c r="D70" s="167" t="s">
        <v>58</v>
      </c>
      <c r="E70" s="167"/>
      <c r="F70" s="167" t="s">
        <v>1411</v>
      </c>
      <c r="G70" s="167"/>
      <c r="H70" s="151" t="s">
        <v>1402</v>
      </c>
      <c r="I70" s="151"/>
      <c r="J70" s="151" t="s">
        <v>60</v>
      </c>
      <c r="K70" s="151"/>
      <c r="L70" s="151" t="s">
        <v>58</v>
      </c>
      <c r="M70" s="139"/>
      <c r="N70" s="150"/>
    </row>
    <row r="71" spans="1:14">
      <c r="A71" s="139"/>
      <c r="B71" s="138" t="s">
        <v>1421</v>
      </c>
      <c r="C71" s="172" t="s">
        <v>1404</v>
      </c>
      <c r="D71" s="167" t="s">
        <v>58</v>
      </c>
      <c r="E71" s="167"/>
      <c r="F71" s="167" t="s">
        <v>1411</v>
      </c>
      <c r="G71" s="167"/>
      <c r="H71" s="167" t="s">
        <v>159</v>
      </c>
      <c r="I71" s="151"/>
      <c r="J71" s="151" t="s">
        <v>1403</v>
      </c>
      <c r="K71" s="151"/>
      <c r="L71" s="151" t="s">
        <v>58</v>
      </c>
      <c r="M71" s="139"/>
      <c r="N71" s="150"/>
    </row>
    <row r="72" spans="1:14">
      <c r="A72" s="139"/>
      <c r="B72" s="138" t="s">
        <v>1441</v>
      </c>
      <c r="C72" s="172" t="s">
        <v>1400</v>
      </c>
      <c r="D72" s="167" t="s">
        <v>58</v>
      </c>
      <c r="E72" s="167"/>
      <c r="F72" s="167" t="s">
        <v>1401</v>
      </c>
      <c r="G72" s="167"/>
      <c r="H72" s="167" t="s">
        <v>159</v>
      </c>
      <c r="I72" s="151"/>
      <c r="J72" s="151" t="s">
        <v>1403</v>
      </c>
      <c r="K72" s="151"/>
      <c r="L72" s="151" t="s">
        <v>60</v>
      </c>
      <c r="M72" s="139"/>
      <c r="N72" s="150"/>
    </row>
    <row r="73" spans="1:14">
      <c r="A73" s="139"/>
      <c r="B73" s="138" t="s">
        <v>1441</v>
      </c>
      <c r="C73" s="172" t="s">
        <v>1404</v>
      </c>
      <c r="D73" s="167" t="s">
        <v>58</v>
      </c>
      <c r="E73" s="167"/>
      <c r="F73" s="167" t="s">
        <v>1401</v>
      </c>
      <c r="G73" s="167"/>
      <c r="H73" s="167" t="s">
        <v>159</v>
      </c>
      <c r="I73" s="151"/>
      <c r="J73" s="151" t="s">
        <v>60</v>
      </c>
      <c r="K73" s="151"/>
      <c r="L73" s="151" t="s">
        <v>58</v>
      </c>
      <c r="M73" s="139"/>
      <c r="N73" s="150"/>
    </row>
    <row r="74" spans="1:14">
      <c r="A74" s="139"/>
      <c r="B74" s="138" t="s">
        <v>1442</v>
      </c>
      <c r="C74" s="172" t="s">
        <v>1400</v>
      </c>
      <c r="D74" s="167" t="s">
        <v>58</v>
      </c>
      <c r="E74" s="167"/>
      <c r="F74" s="167" t="s">
        <v>1411</v>
      </c>
      <c r="G74" s="167"/>
      <c r="H74" s="167" t="s">
        <v>1402</v>
      </c>
      <c r="I74" s="151"/>
      <c r="J74" s="151" t="s">
        <v>60</v>
      </c>
      <c r="K74" s="151"/>
      <c r="L74" s="151" t="s">
        <v>60</v>
      </c>
      <c r="M74" s="139"/>
      <c r="N74" s="150"/>
    </row>
    <row r="75" spans="1:14">
      <c r="A75" s="139"/>
      <c r="B75" s="138" t="s">
        <v>1443</v>
      </c>
      <c r="C75" s="172" t="s">
        <v>1400</v>
      </c>
      <c r="D75" s="167" t="s">
        <v>58</v>
      </c>
      <c r="E75" s="167"/>
      <c r="F75" s="167" t="s">
        <v>1401</v>
      </c>
      <c r="G75" s="167"/>
      <c r="H75" s="167" t="s">
        <v>159</v>
      </c>
      <c r="I75" s="151"/>
      <c r="J75" s="151" t="s">
        <v>60</v>
      </c>
      <c r="K75" s="151"/>
      <c r="L75" s="151" t="s">
        <v>58</v>
      </c>
      <c r="M75" s="139"/>
      <c r="N75" s="150"/>
    </row>
    <row r="76" spans="1:14">
      <c r="A76" s="139"/>
      <c r="B76" s="138" t="s">
        <v>1444</v>
      </c>
      <c r="C76" s="172" t="s">
        <v>1404</v>
      </c>
      <c r="D76" s="167" t="s">
        <v>58</v>
      </c>
      <c r="E76" s="167"/>
      <c r="F76" s="167" t="s">
        <v>1401</v>
      </c>
      <c r="G76" s="167"/>
      <c r="H76" s="167" t="s">
        <v>159</v>
      </c>
      <c r="I76" s="151"/>
      <c r="J76" s="151" t="s">
        <v>1417</v>
      </c>
      <c r="K76" s="151"/>
      <c r="L76" s="151" t="s">
        <v>60</v>
      </c>
      <c r="M76" s="139"/>
      <c r="N76" s="150"/>
    </row>
    <row r="77" spans="1:14">
      <c r="A77" s="139"/>
      <c r="B77" s="138" t="s">
        <v>1424</v>
      </c>
      <c r="C77" s="172" t="s">
        <v>1400</v>
      </c>
      <c r="D77" s="167" t="s">
        <v>58</v>
      </c>
      <c r="E77" s="167"/>
      <c r="F77" s="167" t="s">
        <v>1411</v>
      </c>
      <c r="G77" s="167"/>
      <c r="H77" s="167" t="s">
        <v>159</v>
      </c>
      <c r="I77" s="151"/>
      <c r="J77" s="151" t="s">
        <v>1403</v>
      </c>
      <c r="K77" s="151"/>
      <c r="L77" s="151" t="s">
        <v>58</v>
      </c>
      <c r="M77" s="139"/>
      <c r="N77" s="150"/>
    </row>
    <row r="78" spans="1:14">
      <c r="A78" s="139"/>
      <c r="B78" s="138" t="s">
        <v>1434</v>
      </c>
      <c r="C78" s="172" t="s">
        <v>1400</v>
      </c>
      <c r="D78" s="167" t="s">
        <v>58</v>
      </c>
      <c r="E78" s="167"/>
      <c r="F78" s="167" t="s">
        <v>1411</v>
      </c>
      <c r="G78" s="167"/>
      <c r="H78" s="167" t="s">
        <v>1402</v>
      </c>
      <c r="I78" s="151"/>
      <c r="J78" s="151" t="s">
        <v>60</v>
      </c>
      <c r="K78" s="151"/>
      <c r="L78" s="151" t="s">
        <v>58</v>
      </c>
      <c r="M78" s="139"/>
      <c r="N78" s="150"/>
    </row>
    <row r="79" spans="1:14">
      <c r="A79" s="139"/>
      <c r="B79" s="138" t="s">
        <v>1413</v>
      </c>
      <c r="C79" s="172" t="s">
        <v>1400</v>
      </c>
      <c r="D79" s="167" t="s">
        <v>58</v>
      </c>
      <c r="E79" s="167"/>
      <c r="F79" s="167" t="s">
        <v>1401</v>
      </c>
      <c r="G79" s="167"/>
      <c r="H79" s="167" t="s">
        <v>159</v>
      </c>
      <c r="I79" s="151"/>
      <c r="J79" s="151" t="s">
        <v>60</v>
      </c>
      <c r="K79" s="151"/>
      <c r="L79" s="151" t="s">
        <v>60</v>
      </c>
      <c r="M79" s="139"/>
      <c r="N79" s="150"/>
    </row>
    <row r="80" spans="1:14">
      <c r="A80" s="139"/>
      <c r="B80" s="138" t="s">
        <v>1413</v>
      </c>
      <c r="C80" s="172" t="s">
        <v>1404</v>
      </c>
      <c r="D80" s="167" t="s">
        <v>58</v>
      </c>
      <c r="E80" s="167"/>
      <c r="F80" s="167" t="s">
        <v>1401</v>
      </c>
      <c r="G80" s="167"/>
      <c r="H80" s="167" t="s">
        <v>159</v>
      </c>
      <c r="I80" s="151"/>
      <c r="J80" s="151" t="s">
        <v>60</v>
      </c>
      <c r="K80" s="151"/>
      <c r="L80" s="151" t="s">
        <v>60</v>
      </c>
      <c r="M80" s="139"/>
      <c r="N80" s="150"/>
    </row>
    <row r="81" spans="1:14">
      <c r="A81" s="139"/>
      <c r="B81" s="171"/>
      <c r="C81" s="172"/>
      <c r="D81" s="150"/>
      <c r="E81" s="150"/>
      <c r="F81" s="150"/>
      <c r="G81" s="150"/>
      <c r="H81" s="150"/>
      <c r="I81" s="151"/>
      <c r="J81" s="151"/>
      <c r="K81" s="151"/>
      <c r="L81" s="151"/>
      <c r="M81" s="139"/>
      <c r="N81" s="150"/>
    </row>
    <row r="82" spans="1:14">
      <c r="A82" s="139"/>
      <c r="B82" s="171"/>
      <c r="C82" s="172"/>
      <c r="D82" s="150"/>
      <c r="E82" s="150"/>
      <c r="F82" s="150"/>
      <c r="G82" s="150"/>
      <c r="H82" s="150"/>
      <c r="I82" s="382" t="s">
        <v>1397</v>
      </c>
      <c r="J82" s="382"/>
      <c r="K82" s="382" t="s">
        <v>1445</v>
      </c>
      <c r="L82" s="382"/>
      <c r="M82" s="139"/>
      <c r="N82" s="150"/>
    </row>
    <row r="83" spans="1:14">
      <c r="A83" s="139"/>
      <c r="B83" s="171"/>
      <c r="C83" s="172"/>
      <c r="D83" s="150"/>
      <c r="E83" s="150"/>
      <c r="F83" s="150"/>
      <c r="G83" s="150"/>
      <c r="H83" s="150"/>
      <c r="I83" s="151"/>
      <c r="J83" s="151"/>
      <c r="K83" s="151"/>
      <c r="L83" s="151"/>
      <c r="M83" s="139"/>
      <c r="N83" s="150"/>
    </row>
    <row r="84" spans="1:14">
      <c r="A84" s="173" t="s">
        <v>1446</v>
      </c>
      <c r="B84" s="139"/>
      <c r="C84" s="173" t="s">
        <v>58</v>
      </c>
      <c r="D84" s="174">
        <f>COUNTIF($D$8:$D$80,"Yes")</f>
        <v>66</v>
      </c>
      <c r="E84" s="173" t="s">
        <v>1401</v>
      </c>
      <c r="F84" s="174">
        <f>COUNTIF($F$8:$F$80,"Fully Forecast")</f>
        <v>35</v>
      </c>
      <c r="G84" s="175" t="s">
        <v>1402</v>
      </c>
      <c r="H84" s="174">
        <f>COUNTIF($H$8:$H$80,G84)</f>
        <v>25</v>
      </c>
      <c r="I84" s="174" t="s">
        <v>1417</v>
      </c>
      <c r="J84" s="174">
        <f>COUNTIF($J$8:$J$80,"Full")</f>
        <v>8</v>
      </c>
      <c r="K84" s="174" t="s">
        <v>58</v>
      </c>
      <c r="L84" s="174">
        <f>COUNTIF($L$8:$L$80,"Yes")</f>
        <v>35</v>
      </c>
      <c r="M84" s="139"/>
      <c r="N84" s="150"/>
    </row>
    <row r="85" spans="1:14">
      <c r="A85" s="173"/>
      <c r="B85" s="139"/>
      <c r="C85" s="173" t="s">
        <v>60</v>
      </c>
      <c r="D85" s="174">
        <f>COUNTIF($D$15:$D$80,"No")</f>
        <v>0</v>
      </c>
      <c r="E85" s="173" t="s">
        <v>1407</v>
      </c>
      <c r="F85" s="174">
        <f>COUNTIF($F$8:$F$80,"Partially Forecast")</f>
        <v>5</v>
      </c>
      <c r="G85" s="175" t="s">
        <v>159</v>
      </c>
      <c r="H85" s="174">
        <f>COUNTIF($H$8:$H$80,G85)</f>
        <v>48</v>
      </c>
      <c r="I85" s="174" t="s">
        <v>1403</v>
      </c>
      <c r="J85" s="174">
        <f>COUNTIF($J$8:$J$80,"Partial")</f>
        <v>23</v>
      </c>
      <c r="K85" s="174" t="s">
        <v>60</v>
      </c>
      <c r="L85" s="174">
        <f>COUNTIF($L$8:$L$80,"No")</f>
        <v>38</v>
      </c>
      <c r="M85" s="139"/>
      <c r="N85" s="150"/>
    </row>
    <row r="86" spans="1:14">
      <c r="A86" s="176"/>
      <c r="B86" s="139"/>
      <c r="C86" s="177" t="s">
        <v>1429</v>
      </c>
      <c r="D86" s="174">
        <f>COUNTIF($D$15:$D$80,"N/A")</f>
        <v>3</v>
      </c>
      <c r="E86" s="177" t="s">
        <v>1411</v>
      </c>
      <c r="F86" s="174">
        <f>COUNTIF($F$15:$F$80,"Historical")</f>
        <v>32</v>
      </c>
      <c r="G86" s="175"/>
      <c r="H86" s="178"/>
      <c r="I86" s="174" t="s">
        <v>60</v>
      </c>
      <c r="J86" s="174">
        <f>COUNTIF($J$15:$J$80,"No")</f>
        <v>38</v>
      </c>
      <c r="K86" s="174"/>
      <c r="L86" s="173"/>
      <c r="M86" s="139"/>
      <c r="N86" s="150"/>
    </row>
    <row r="87" spans="1:14">
      <c r="A87" s="176"/>
      <c r="B87" s="139"/>
      <c r="C87" s="177" t="s">
        <v>1416</v>
      </c>
      <c r="D87" s="174">
        <f>COUNTIF($D$8:$D$80,"Yes - Sharing Band")</f>
        <v>4</v>
      </c>
      <c r="E87" s="177"/>
      <c r="F87" s="174"/>
      <c r="G87" s="175"/>
      <c r="H87" s="178"/>
      <c r="I87" s="174"/>
      <c r="J87" s="174"/>
      <c r="K87" s="174"/>
      <c r="L87" s="173"/>
      <c r="M87" s="139"/>
      <c r="N87" s="150"/>
    </row>
    <row r="88" spans="1:14">
      <c r="B88" s="139"/>
      <c r="C88" s="177"/>
      <c r="D88" s="174"/>
      <c r="E88" s="177"/>
      <c r="F88" s="174"/>
      <c r="G88" s="175"/>
      <c r="H88" s="178"/>
      <c r="I88" s="174"/>
      <c r="J88" s="174"/>
      <c r="K88" s="174"/>
      <c r="L88" s="173"/>
      <c r="M88" s="139"/>
      <c r="N88" s="150"/>
    </row>
    <row r="89" spans="1:14">
      <c r="A89" s="171"/>
      <c r="B89" s="139"/>
      <c r="C89" s="179" t="s">
        <v>1447</v>
      </c>
      <c r="D89" s="180">
        <f>(D84+D86)/(D84+D85+D86+D87)</f>
        <v>0.9452054794520548</v>
      </c>
      <c r="E89" s="181" t="s">
        <v>1448</v>
      </c>
      <c r="F89" s="180">
        <f>(F84+F85)/(F84+F85+F86)</f>
        <v>0.55555555555555558</v>
      </c>
      <c r="G89" s="182" t="s">
        <v>1402</v>
      </c>
      <c r="H89" s="178">
        <f>H84/(H84+H85)</f>
        <v>0.34246575342465752</v>
      </c>
      <c r="I89" s="183" t="s">
        <v>1449</v>
      </c>
      <c r="J89" s="180">
        <f>(J84+J85)/(J84+J85+J86)</f>
        <v>0.44927536231884058</v>
      </c>
      <c r="K89" s="183" t="s">
        <v>1450</v>
      </c>
      <c r="L89" s="180">
        <f>L84/(L84+L85)</f>
        <v>0.47945205479452052</v>
      </c>
      <c r="M89" s="139"/>
      <c r="N89" s="150"/>
    </row>
    <row r="90" spans="1:14">
      <c r="A90" s="305"/>
      <c r="B90" s="306"/>
      <c r="C90" s="307"/>
      <c r="D90" s="308"/>
      <c r="E90" s="308"/>
      <c r="F90" s="308"/>
      <c r="G90" s="308"/>
      <c r="H90" s="308"/>
      <c r="I90" s="309"/>
      <c r="J90" s="310"/>
      <c r="K90" s="309"/>
      <c r="L90" s="310"/>
      <c r="M90" s="139"/>
      <c r="N90" s="150"/>
    </row>
    <row r="91" spans="1:14" ht="13.8" thickBot="1">
      <c r="A91" s="185" t="s">
        <v>1451</v>
      </c>
      <c r="B91" s="185" t="s">
        <v>1419</v>
      </c>
      <c r="C91" s="186" t="s">
        <v>1452</v>
      </c>
      <c r="D91" s="239" t="s">
        <v>1416</v>
      </c>
      <c r="E91" s="239"/>
      <c r="F91" s="239" t="s">
        <v>1411</v>
      </c>
      <c r="G91" s="239"/>
      <c r="H91" s="239" t="s">
        <v>1402</v>
      </c>
      <c r="I91" s="240"/>
      <c r="J91" s="240" t="s">
        <v>1403</v>
      </c>
      <c r="K91" s="240"/>
      <c r="L91" s="240" t="s">
        <v>58</v>
      </c>
      <c r="M91" s="139"/>
      <c r="N91" s="150"/>
    </row>
    <row r="92" spans="1:14">
      <c r="A92" s="139"/>
      <c r="B92" s="139"/>
      <c r="C92" s="139"/>
      <c r="D92" s="139"/>
      <c r="E92" s="139"/>
      <c r="F92" s="139"/>
      <c r="G92" s="139"/>
      <c r="H92" s="150"/>
      <c r="I92" s="139"/>
      <c r="J92" s="139"/>
      <c r="K92" s="139"/>
      <c r="L92" s="139"/>
      <c r="M92" s="139"/>
      <c r="N92" s="150"/>
    </row>
    <row r="93" spans="1:14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0"/>
    </row>
    <row r="94" spans="1:14">
      <c r="A94" s="160" t="s">
        <v>31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50"/>
    </row>
    <row r="95" spans="1:14">
      <c r="A95" s="378" t="s">
        <v>1453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139"/>
      <c r="N95" s="150"/>
    </row>
    <row r="96" spans="1:14">
      <c r="A96" s="378" t="s">
        <v>1454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139"/>
      <c r="N96" s="150"/>
    </row>
    <row r="97" spans="1:14">
      <c r="A97" s="187" t="s">
        <v>1455</v>
      </c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39"/>
      <c r="N97" s="150"/>
    </row>
    <row r="98" spans="1:14">
      <c r="A98" s="378" t="s">
        <v>1456</v>
      </c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139"/>
      <c r="N98" s="150"/>
    </row>
    <row r="99" spans="1:14">
      <c r="A99" s="189" t="s">
        <v>1457</v>
      </c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39"/>
      <c r="N99" s="150"/>
    </row>
    <row r="100" spans="1:14">
      <c r="A100" s="187" t="s">
        <v>1458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50"/>
    </row>
    <row r="101" spans="1:14">
      <c r="A101" s="139" t="s">
        <v>1510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50"/>
    </row>
    <row r="102" spans="1:14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50"/>
    </row>
    <row r="103" spans="1:14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50"/>
    </row>
    <row r="104" spans="1:14">
      <c r="A104" s="171"/>
      <c r="B104" s="171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50"/>
    </row>
    <row r="105" spans="1:14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50"/>
    </row>
    <row r="106" spans="1:14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50"/>
    </row>
    <row r="107" spans="1:14">
      <c r="A107" s="139"/>
      <c r="B107" s="139"/>
      <c r="C107" s="139"/>
      <c r="D107" s="150"/>
      <c r="E107" s="150"/>
      <c r="F107" s="150"/>
      <c r="G107" s="150"/>
      <c r="H107" s="150"/>
      <c r="I107" s="139"/>
      <c r="J107" s="139"/>
      <c r="K107" s="139"/>
      <c r="L107" s="139"/>
      <c r="M107" s="139"/>
      <c r="N107" s="150"/>
    </row>
    <row r="108" spans="1:14">
      <c r="A108" s="139"/>
      <c r="B108" s="139"/>
      <c r="C108" s="139"/>
      <c r="D108" s="150"/>
      <c r="E108" s="150"/>
      <c r="F108" s="150"/>
      <c r="G108" s="150"/>
      <c r="H108" s="150"/>
      <c r="I108" s="139"/>
      <c r="J108" s="139"/>
      <c r="K108" s="139"/>
      <c r="L108" s="139"/>
      <c r="M108" s="139"/>
      <c r="N108" s="150"/>
    </row>
    <row r="109" spans="1:14">
      <c r="A109" s="190"/>
      <c r="B109" s="190"/>
      <c r="C109" s="191"/>
      <c r="D109" s="192"/>
      <c r="E109" s="192"/>
      <c r="F109" s="192"/>
      <c r="G109" s="192"/>
      <c r="H109" s="192"/>
      <c r="I109" s="139"/>
      <c r="J109" s="139"/>
      <c r="K109" s="139"/>
      <c r="L109" s="139"/>
      <c r="M109" s="139"/>
      <c r="N109" s="150"/>
    </row>
    <row r="110" spans="1:14">
      <c r="A110" s="139"/>
      <c r="B110" s="139"/>
      <c r="C110" s="139"/>
      <c r="D110" s="150"/>
      <c r="E110" s="150"/>
      <c r="F110" s="150"/>
      <c r="G110" s="150"/>
      <c r="H110" s="150"/>
      <c r="I110" s="139"/>
      <c r="J110" s="139"/>
      <c r="K110" s="139"/>
      <c r="L110" s="139"/>
      <c r="M110" s="139"/>
      <c r="N110" s="150"/>
    </row>
    <row r="111" spans="1:14">
      <c r="A111" s="139"/>
      <c r="B111" s="139"/>
      <c r="C111" s="139"/>
      <c r="D111" s="150"/>
      <c r="E111" s="150"/>
      <c r="F111" s="150"/>
      <c r="G111" s="150"/>
      <c r="H111" s="150"/>
      <c r="I111" s="139"/>
      <c r="J111" s="139"/>
      <c r="K111" s="139"/>
      <c r="L111" s="139"/>
      <c r="M111" s="139"/>
      <c r="N111" s="150"/>
    </row>
    <row r="112" spans="1:14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50"/>
    </row>
    <row r="113" spans="1:14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50"/>
    </row>
    <row r="114" spans="1:14">
      <c r="M114" s="139"/>
      <c r="N114" s="150"/>
    </row>
    <row r="115" spans="1:14">
      <c r="M115" s="139"/>
      <c r="N115" s="150"/>
    </row>
    <row r="116" spans="1:14">
      <c r="M116" s="139"/>
      <c r="N116" s="150"/>
    </row>
    <row r="117" spans="1:14">
      <c r="M117" s="139"/>
      <c r="N117" s="150"/>
    </row>
    <row r="118" spans="1:14">
      <c r="M118" s="139"/>
      <c r="N118" s="150"/>
    </row>
    <row r="119" spans="1:14">
      <c r="M119" s="139"/>
      <c r="N119" s="150"/>
    </row>
    <row r="120" spans="1:14">
      <c r="M120" s="139"/>
      <c r="N120" s="150"/>
    </row>
    <row r="121" spans="1:14">
      <c r="M121" s="139"/>
      <c r="N121" s="150"/>
    </row>
    <row r="122" spans="1:14">
      <c r="M122" s="139"/>
      <c r="N122" s="150"/>
    </row>
    <row r="123" spans="1:14">
      <c r="M123" s="139"/>
      <c r="N123" s="150"/>
    </row>
    <row r="124" spans="1:14">
      <c r="M124" s="139"/>
      <c r="N124" s="150"/>
    </row>
    <row r="125" spans="1:14">
      <c r="M125" s="139"/>
      <c r="N125" s="150"/>
    </row>
    <row r="126" spans="1:14">
      <c r="M126" s="139"/>
      <c r="N126" s="150"/>
    </row>
    <row r="127" spans="1:14">
      <c r="M127" s="139"/>
      <c r="N127" s="150"/>
    </row>
    <row r="128" spans="1:14">
      <c r="M128" s="139"/>
      <c r="N128" s="150"/>
    </row>
    <row r="129" spans="13:14">
      <c r="M129" s="139"/>
      <c r="N129" s="150"/>
    </row>
    <row r="130" spans="13:14">
      <c r="M130" s="139"/>
      <c r="N130" s="150"/>
    </row>
    <row r="131" spans="13:14">
      <c r="M131" s="139"/>
      <c r="N131" s="150"/>
    </row>
    <row r="132" spans="13:14">
      <c r="M132" s="139"/>
      <c r="N132" s="150"/>
    </row>
    <row r="133" spans="13:14">
      <c r="M133" s="139"/>
      <c r="N133" s="150"/>
    </row>
    <row r="134" spans="13:14">
      <c r="M134" s="139"/>
      <c r="N134" s="150"/>
    </row>
    <row r="135" spans="13:14">
      <c r="M135" s="139"/>
      <c r="N135" s="150"/>
    </row>
    <row r="136" spans="13:14">
      <c r="M136" s="139"/>
      <c r="N136" s="150"/>
    </row>
    <row r="137" spans="13:14">
      <c r="M137" s="139"/>
      <c r="N137" s="150"/>
    </row>
    <row r="138" spans="13:14">
      <c r="M138" s="139"/>
      <c r="N138" s="150"/>
    </row>
    <row r="139" spans="13:14">
      <c r="M139" s="139"/>
      <c r="N139" s="150"/>
    </row>
    <row r="140" spans="13:14">
      <c r="M140" s="139"/>
      <c r="N140" s="150"/>
    </row>
    <row r="141" spans="13:14">
      <c r="M141" s="139"/>
      <c r="N141" s="150"/>
    </row>
    <row r="142" spans="13:14">
      <c r="M142" s="139"/>
      <c r="N142" s="150"/>
    </row>
    <row r="143" spans="13:14">
      <c r="M143" s="139"/>
      <c r="N143" s="150"/>
    </row>
    <row r="144" spans="13:14">
      <c r="M144" s="139"/>
      <c r="N144" s="150"/>
    </row>
    <row r="145" spans="13:14">
      <c r="M145" s="139"/>
      <c r="N145" s="150"/>
    </row>
    <row r="146" spans="13:14">
      <c r="M146" s="139"/>
      <c r="N146" s="150"/>
    </row>
    <row r="147" spans="13:14">
      <c r="M147" s="139"/>
      <c r="N147" s="150"/>
    </row>
    <row r="148" spans="13:14">
      <c r="M148" s="151"/>
      <c r="N148" s="151"/>
    </row>
    <row r="149" spans="13:14">
      <c r="M149" s="151"/>
      <c r="N149" s="151"/>
    </row>
    <row r="150" spans="13:14">
      <c r="M150" s="139"/>
      <c r="N150" s="150"/>
    </row>
    <row r="151" spans="13:14">
      <c r="M151" s="184"/>
      <c r="N151" s="184"/>
    </row>
    <row r="152" spans="13:14">
      <c r="M152" s="139"/>
      <c r="N152" s="150"/>
    </row>
    <row r="153" spans="13:14">
      <c r="M153" s="139"/>
      <c r="N153" s="150"/>
    </row>
    <row r="154" spans="13:14">
      <c r="M154" s="139"/>
      <c r="N154" s="150"/>
    </row>
    <row r="155" spans="13:14">
      <c r="M155" s="139"/>
      <c r="N155" s="150"/>
    </row>
    <row r="156" spans="13:14">
      <c r="M156" s="139"/>
      <c r="N156" s="150"/>
    </row>
    <row r="157" spans="13:14">
      <c r="M157" s="139"/>
      <c r="N157" s="150"/>
    </row>
    <row r="158" spans="13:14" ht="25.5" customHeight="1">
      <c r="M158" s="139"/>
      <c r="N158" s="150"/>
    </row>
    <row r="159" spans="13:14">
      <c r="M159" s="139"/>
      <c r="N159" s="150"/>
    </row>
    <row r="160" spans="13:14">
      <c r="M160" s="139"/>
      <c r="N160" s="150"/>
    </row>
    <row r="161" spans="13:14">
      <c r="M161" s="139"/>
      <c r="N161" s="150"/>
    </row>
    <row r="162" spans="13:14">
      <c r="M162" s="139"/>
      <c r="N162" s="150"/>
    </row>
    <row r="163" spans="13:14">
      <c r="M163" s="139"/>
      <c r="N163" s="150"/>
    </row>
    <row r="164" spans="13:14">
      <c r="M164" s="139"/>
      <c r="N164" s="150"/>
    </row>
    <row r="165" spans="13:14">
      <c r="M165" s="139"/>
      <c r="N165" s="150"/>
    </row>
    <row r="166" spans="13:14">
      <c r="M166" s="139"/>
      <c r="N166" s="150"/>
    </row>
    <row r="167" spans="13:14">
      <c r="M167" s="139"/>
      <c r="N167" s="150"/>
    </row>
    <row r="168" spans="13:14">
      <c r="M168" s="139"/>
      <c r="N168" s="150"/>
    </row>
    <row r="169" spans="13:14">
      <c r="M169" s="139"/>
      <c r="N169" s="150"/>
    </row>
    <row r="170" spans="13:14">
      <c r="M170" s="139"/>
      <c r="N170" s="150"/>
    </row>
    <row r="171" spans="13:14">
      <c r="M171" s="139"/>
      <c r="N171" s="150"/>
    </row>
    <row r="172" spans="13:14">
      <c r="M172" s="139"/>
      <c r="N172" s="150"/>
    </row>
    <row r="173" spans="13:14">
      <c r="M173" s="139"/>
      <c r="N173" s="150"/>
    </row>
    <row r="174" spans="13:14">
      <c r="M174" s="139"/>
      <c r="N174" s="150"/>
    </row>
    <row r="175" spans="13:14">
      <c r="M175" s="139"/>
      <c r="N175" s="150"/>
    </row>
  </sheetData>
  <mergeCells count="14">
    <mergeCell ref="A96:L96"/>
    <mergeCell ref="A98:L98"/>
    <mergeCell ref="G6:H6"/>
    <mergeCell ref="I6:J6"/>
    <mergeCell ref="K6:L6"/>
    <mergeCell ref="I82:J82"/>
    <mergeCell ref="K82:L82"/>
    <mergeCell ref="A95:L95"/>
    <mergeCell ref="A2:L2"/>
    <mergeCell ref="A3:L3"/>
    <mergeCell ref="E5:F5"/>
    <mergeCell ref="G5:H5"/>
    <mergeCell ref="I5:J5"/>
    <mergeCell ref="K5:L5"/>
  </mergeCells>
  <printOptions horizontalCentered="1"/>
  <pageMargins left="0.7" right="0.7" top="1.25" bottom="0.75" header="0.3" footer="0.3"/>
  <pageSetup scale="66" pageOrder="overThenDown" orientation="landscape" useFirstPageNumber="1" r:id="rId1"/>
  <rowBreaks count="1" manualBreakCount="1">
    <brk id="1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Y87"/>
  <sheetViews>
    <sheetView view="pageLayout" topLeftCell="A43" zoomScale="50" zoomScaleNormal="80" zoomScalePageLayoutView="50" workbookViewId="0">
      <selection activeCell="L8" sqref="L8"/>
    </sheetView>
  </sheetViews>
  <sheetFormatPr defaultColWidth="9.109375" defaultRowHeight="13.2"/>
  <cols>
    <col min="1" max="1" width="3.109375" style="216" customWidth="1"/>
    <col min="2" max="2" width="47.88671875" style="214" customWidth="1"/>
    <col min="3" max="3" width="5.6640625" style="132" customWidth="1"/>
    <col min="4" max="4" width="9.5546875" style="132" customWidth="1"/>
    <col min="5" max="5" width="9" style="132" customWidth="1"/>
    <col min="6" max="12" width="8.44140625" style="132" customWidth="1"/>
    <col min="13" max="13" width="3" style="214" customWidth="1"/>
    <col min="14" max="14" width="2.33203125" style="214" customWidth="1"/>
    <col min="15" max="15" width="42" style="214" customWidth="1"/>
    <col min="16" max="16" width="5.6640625" style="132" customWidth="1"/>
    <col min="17" max="25" width="8.44140625" style="132" customWidth="1"/>
    <col min="26" max="26" width="2.33203125" style="214" customWidth="1"/>
    <col min="27" max="27" width="2.5546875" style="214" customWidth="1"/>
    <col min="28" max="28" width="42" style="214" customWidth="1"/>
    <col min="29" max="29" width="5.6640625" style="214" customWidth="1"/>
    <col min="30" max="37" width="8.44140625" style="214" customWidth="1"/>
    <col min="38" max="38" width="9.109375" style="214" customWidth="1"/>
    <col min="39" max="39" width="3.109375" style="215" customWidth="1"/>
    <col min="40" max="40" width="3.33203125" style="215" customWidth="1"/>
    <col min="41" max="16384" width="9.109375" style="216"/>
  </cols>
  <sheetData>
    <row r="1" spans="2:38">
      <c r="B1" s="370" t="s">
        <v>1459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O1" s="370" t="s">
        <v>1459</v>
      </c>
      <c r="P1" s="370"/>
      <c r="Q1" s="370"/>
      <c r="R1" s="370"/>
      <c r="S1" s="370"/>
      <c r="T1" s="370"/>
      <c r="U1" s="370"/>
      <c r="V1" s="370"/>
      <c r="W1" s="370"/>
      <c r="X1" s="370"/>
      <c r="Y1" s="370"/>
      <c r="AB1" s="370" t="s">
        <v>1459</v>
      </c>
      <c r="AC1" s="370"/>
      <c r="AD1" s="370"/>
      <c r="AE1" s="370"/>
      <c r="AF1" s="370"/>
      <c r="AG1" s="370"/>
      <c r="AH1" s="370"/>
      <c r="AI1" s="370"/>
      <c r="AJ1" s="370"/>
      <c r="AK1" s="370"/>
      <c r="AL1" s="370"/>
    </row>
    <row r="2" spans="2:38">
      <c r="B2" s="132"/>
      <c r="O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</row>
    <row r="3" spans="2:38">
      <c r="B3" s="370" t="s">
        <v>1460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O3" s="370" t="s">
        <v>1461</v>
      </c>
      <c r="P3" s="370"/>
      <c r="Q3" s="370"/>
      <c r="R3" s="370"/>
      <c r="S3" s="370"/>
      <c r="T3" s="370"/>
      <c r="U3" s="370"/>
      <c r="V3" s="370"/>
      <c r="W3" s="370"/>
      <c r="X3" s="370"/>
      <c r="Y3" s="370"/>
      <c r="AB3" s="370" t="s">
        <v>1462</v>
      </c>
      <c r="AC3" s="370"/>
      <c r="AD3" s="370"/>
      <c r="AE3" s="370"/>
      <c r="AF3" s="370"/>
      <c r="AG3" s="370"/>
      <c r="AH3" s="370"/>
      <c r="AI3" s="370"/>
      <c r="AJ3" s="370"/>
      <c r="AK3" s="370"/>
      <c r="AL3" s="370"/>
    </row>
    <row r="4" spans="2:38">
      <c r="B4" s="122" t="s">
        <v>1392</v>
      </c>
      <c r="C4" s="217" t="s">
        <v>45</v>
      </c>
      <c r="D4" s="218" t="s">
        <v>1463</v>
      </c>
      <c r="E4" s="218" t="s">
        <v>1464</v>
      </c>
      <c r="F4" s="218" t="s">
        <v>1465</v>
      </c>
      <c r="G4" s="218" t="s">
        <v>1466</v>
      </c>
      <c r="H4" s="218" t="s">
        <v>1467</v>
      </c>
      <c r="I4" s="218" t="s">
        <v>1468</v>
      </c>
      <c r="J4" s="218" t="s">
        <v>1469</v>
      </c>
      <c r="K4" s="218" t="s">
        <v>1470</v>
      </c>
      <c r="L4" s="217" t="s">
        <v>159</v>
      </c>
      <c r="O4" s="122" t="s">
        <v>1392</v>
      </c>
      <c r="P4" s="217" t="s">
        <v>45</v>
      </c>
      <c r="Q4" s="218" t="s">
        <v>1463</v>
      </c>
      <c r="R4" s="218" t="s">
        <v>1464</v>
      </c>
      <c r="S4" s="218" t="s">
        <v>1465</v>
      </c>
      <c r="T4" s="218" t="s">
        <v>1466</v>
      </c>
      <c r="U4" s="218" t="s">
        <v>1467</v>
      </c>
      <c r="V4" s="218" t="s">
        <v>1468</v>
      </c>
      <c r="W4" s="218" t="s">
        <v>1469</v>
      </c>
      <c r="X4" s="218" t="s">
        <v>1470</v>
      </c>
      <c r="Y4" s="217" t="s">
        <v>159</v>
      </c>
      <c r="AB4" s="122" t="s">
        <v>1392</v>
      </c>
      <c r="AC4" s="217" t="s">
        <v>45</v>
      </c>
      <c r="AD4" s="218" t="s">
        <v>1463</v>
      </c>
      <c r="AE4" s="218" t="s">
        <v>1464</v>
      </c>
      <c r="AF4" s="218" t="s">
        <v>1465</v>
      </c>
      <c r="AG4" s="218" t="s">
        <v>1466</v>
      </c>
      <c r="AH4" s="218" t="s">
        <v>1467</v>
      </c>
      <c r="AI4" s="218" t="s">
        <v>1468</v>
      </c>
      <c r="AJ4" s="218" t="s">
        <v>1469</v>
      </c>
      <c r="AK4" s="218" t="s">
        <v>1470</v>
      </c>
      <c r="AL4" s="217" t="s">
        <v>159</v>
      </c>
    </row>
    <row r="5" spans="2:38" s="195" customFormat="1">
      <c r="B5" s="278" t="s">
        <v>56</v>
      </c>
      <c r="C5" s="311" t="s">
        <v>57</v>
      </c>
      <c r="D5" s="193">
        <v>0.56433755376952499</v>
      </c>
      <c r="E5" s="193">
        <v>0.58029873615653371</v>
      </c>
      <c r="F5" s="193">
        <v>0.57336349686458343</v>
      </c>
      <c r="G5" s="193">
        <v>0.56691748755794469</v>
      </c>
      <c r="H5" s="193">
        <v>0.56212750801811751</v>
      </c>
      <c r="I5" s="193">
        <v>0.5647445962149048</v>
      </c>
      <c r="J5" s="193">
        <v>0.55685985085978296</v>
      </c>
      <c r="K5" s="193">
        <v>0.56159620532478383</v>
      </c>
      <c r="L5" s="194">
        <f t="shared" ref="L5:L17" si="0">AVERAGE(D5:K5)</f>
        <v>0.56628067934577198</v>
      </c>
      <c r="O5" s="196" t="s">
        <v>56</v>
      </c>
      <c r="P5" s="196" t="s">
        <v>57</v>
      </c>
      <c r="Q5" s="193">
        <v>0.41770500451485154</v>
      </c>
      <c r="R5" s="193">
        <v>0.40555832841780481</v>
      </c>
      <c r="S5" s="193">
        <v>0.41503764071512356</v>
      </c>
      <c r="T5" s="193">
        <v>0.41825625486397427</v>
      </c>
      <c r="U5" s="193">
        <v>0.42531949846592421</v>
      </c>
      <c r="V5" s="193">
        <v>0.42230071240870004</v>
      </c>
      <c r="W5" s="193">
        <v>0.42995519535109311</v>
      </c>
      <c r="X5" s="193">
        <v>0.39426252143318458</v>
      </c>
      <c r="Y5" s="194">
        <v>0.41604939452133199</v>
      </c>
      <c r="AB5" s="196" t="s">
        <v>56</v>
      </c>
      <c r="AC5" s="196" t="s">
        <v>57</v>
      </c>
      <c r="AD5" s="197">
        <v>1.7957441715623527E-2</v>
      </c>
      <c r="AE5" s="197">
        <v>1.4142935425661501E-2</v>
      </c>
      <c r="AF5" s="197">
        <v>1.1598862420292982E-2</v>
      </c>
      <c r="AG5" s="197">
        <v>1.4826257578080961E-2</v>
      </c>
      <c r="AH5" s="197">
        <v>1.2552993515958269E-2</v>
      </c>
      <c r="AI5" s="197">
        <v>1.2954691376395197E-2</v>
      </c>
      <c r="AJ5" s="197">
        <v>1.318495378912393E-2</v>
      </c>
      <c r="AK5" s="197">
        <v>4.414127324203166E-2</v>
      </c>
      <c r="AL5" s="194">
        <v>1.7669926132896002E-2</v>
      </c>
    </row>
    <row r="6" spans="2:38" s="195" customFormat="1">
      <c r="B6" s="2" t="s">
        <v>61</v>
      </c>
      <c r="C6" s="219" t="s">
        <v>62</v>
      </c>
      <c r="D6" s="193">
        <v>0.54198062073077014</v>
      </c>
      <c r="E6" s="193">
        <v>0.53750042876258064</v>
      </c>
      <c r="F6" s="193">
        <v>0.53249226176655828</v>
      </c>
      <c r="G6" s="193">
        <v>0.53114013755998357</v>
      </c>
      <c r="H6" s="193">
        <v>0.51966472571907052</v>
      </c>
      <c r="I6" s="193">
        <v>0.53409293745077469</v>
      </c>
      <c r="J6" s="193">
        <v>0.52486468447412382</v>
      </c>
      <c r="K6" s="193">
        <v>0.52240742581876909</v>
      </c>
      <c r="L6" s="194">
        <f t="shared" si="0"/>
        <v>0.53051790278532884</v>
      </c>
      <c r="O6" s="196" t="s">
        <v>61</v>
      </c>
      <c r="P6" s="196" t="s">
        <v>62</v>
      </c>
      <c r="Q6" s="193">
        <v>0.45714851576019816</v>
      </c>
      <c r="R6" s="193">
        <v>0.46164253376820291</v>
      </c>
      <c r="S6" s="193">
        <v>0.4666806464559875</v>
      </c>
      <c r="T6" s="193">
        <v>0.46804917441369104</v>
      </c>
      <c r="U6" s="193">
        <v>0.47950562793556262</v>
      </c>
      <c r="V6" s="193">
        <v>0.46496647335815322</v>
      </c>
      <c r="W6" s="193">
        <v>0.47419465267140093</v>
      </c>
      <c r="X6" s="193">
        <v>0.47665781497848547</v>
      </c>
      <c r="Y6" s="194">
        <v>0.46860567991771024</v>
      </c>
      <c r="AB6" s="196" t="s">
        <v>61</v>
      </c>
      <c r="AC6" s="196" t="s">
        <v>62</v>
      </c>
      <c r="AD6" s="193">
        <v>8.7086350903167655E-4</v>
      </c>
      <c r="AE6" s="193">
        <v>8.5703746921647237E-4</v>
      </c>
      <c r="AF6" s="193">
        <v>8.270917774541634E-4</v>
      </c>
      <c r="AG6" s="193">
        <v>8.1068802632542247E-4</v>
      </c>
      <c r="AH6" s="193">
        <v>8.2964634536680218E-4</v>
      </c>
      <c r="AI6" s="193">
        <v>9.4058919107210923E-4</v>
      </c>
      <c r="AJ6" s="193">
        <v>9.4066285447522548E-4</v>
      </c>
      <c r="AK6" s="193">
        <v>9.3475920274540072E-4</v>
      </c>
      <c r="AL6" s="194">
        <v>8.7641729696090898E-4</v>
      </c>
    </row>
    <row r="7" spans="2:38" s="195" customFormat="1">
      <c r="B7" s="2" t="s">
        <v>64</v>
      </c>
      <c r="C7" s="219" t="s">
        <v>65</v>
      </c>
      <c r="D7" s="193">
        <v>0.52178741731640244</v>
      </c>
      <c r="E7" s="193">
        <v>0.54053789143619591</v>
      </c>
      <c r="F7" s="193">
        <v>0.53193134036629941</v>
      </c>
      <c r="G7" s="193">
        <v>0.5435016034077037</v>
      </c>
      <c r="H7" s="193">
        <v>0.53138165571677176</v>
      </c>
      <c r="I7" s="193">
        <v>0.51965478670739029</v>
      </c>
      <c r="J7" s="193">
        <v>0.5257824297557071</v>
      </c>
      <c r="K7" s="193">
        <v>0.5376177661655055</v>
      </c>
      <c r="L7" s="194">
        <f t="shared" si="0"/>
        <v>0.53152436135899706</v>
      </c>
      <c r="O7" s="196" t="s">
        <v>64</v>
      </c>
      <c r="P7" s="196" t="s">
        <v>65</v>
      </c>
      <c r="Q7" s="193">
        <v>0.47503936888898801</v>
      </c>
      <c r="R7" s="193">
        <v>0.45600004607718114</v>
      </c>
      <c r="S7" s="193">
        <v>0.46352351755292304</v>
      </c>
      <c r="T7" s="193">
        <v>0.4521932397941037</v>
      </c>
      <c r="U7" s="193">
        <v>0.46013944828744413</v>
      </c>
      <c r="V7" s="193">
        <v>0.47511142731365724</v>
      </c>
      <c r="W7" s="193">
        <v>0.46905914375315688</v>
      </c>
      <c r="X7" s="193">
        <v>0.45717135113135848</v>
      </c>
      <c r="Y7" s="194">
        <v>0.46352969284985163</v>
      </c>
      <c r="AB7" s="196" t="s">
        <v>64</v>
      </c>
      <c r="AC7" s="196" t="s">
        <v>65</v>
      </c>
      <c r="AD7" s="193">
        <v>3.1732137946096062E-3</v>
      </c>
      <c r="AE7" s="193">
        <v>3.4620624866229612E-3</v>
      </c>
      <c r="AF7" s="193">
        <v>4.545142080777608E-3</v>
      </c>
      <c r="AG7" s="193">
        <v>4.3051567981925738E-3</v>
      </c>
      <c r="AH7" s="193">
        <v>8.478895995784122E-3</v>
      </c>
      <c r="AI7" s="193">
        <v>5.2337859789524394E-3</v>
      </c>
      <c r="AJ7" s="193">
        <v>5.1584264911360414E-3</v>
      </c>
      <c r="AK7" s="193">
        <v>5.2108827031360138E-3</v>
      </c>
      <c r="AL7" s="194">
        <v>4.9459457911514206E-3</v>
      </c>
    </row>
    <row r="8" spans="2:38" s="195" customFormat="1">
      <c r="B8" s="2" t="s">
        <v>66</v>
      </c>
      <c r="C8" s="219" t="s">
        <v>67</v>
      </c>
      <c r="D8" s="193">
        <v>0.48039999999999999</v>
      </c>
      <c r="E8" s="193">
        <v>0.4914</v>
      </c>
      <c r="F8" s="193">
        <v>0.48549999999999999</v>
      </c>
      <c r="G8" s="193">
        <v>0.48020000000000002</v>
      </c>
      <c r="H8" s="193">
        <v>0.4783</v>
      </c>
      <c r="I8" s="193">
        <v>0.4914</v>
      </c>
      <c r="J8" s="193">
        <v>0.4879</v>
      </c>
      <c r="K8" s="193">
        <v>0.49170000000000003</v>
      </c>
      <c r="L8" s="194">
        <f>AVERAGE(D8:K8)</f>
        <v>0.48585</v>
      </c>
      <c r="O8" s="196" t="s">
        <v>66</v>
      </c>
      <c r="P8" s="196" t="s">
        <v>67</v>
      </c>
      <c r="Q8" s="193">
        <v>0.4521</v>
      </c>
      <c r="R8" s="193">
        <v>0.46310000000000001</v>
      </c>
      <c r="S8" s="193">
        <v>0.46650000000000003</v>
      </c>
      <c r="T8" s="193">
        <v>0.48309999999999997</v>
      </c>
      <c r="U8" s="193">
        <v>0.44529999999999997</v>
      </c>
      <c r="V8" s="193">
        <v>0.46139999999999998</v>
      </c>
      <c r="W8" s="193">
        <v>0.46429999999999999</v>
      </c>
      <c r="X8" s="193">
        <v>0.47499999999999998</v>
      </c>
      <c r="Y8" s="194">
        <v>0.46389999999999998</v>
      </c>
      <c r="AB8" s="196" t="s">
        <v>66</v>
      </c>
      <c r="AC8" s="196" t="s">
        <v>67</v>
      </c>
      <c r="AD8" s="193">
        <v>6.7500000000000004E-2</v>
      </c>
      <c r="AE8" s="193">
        <v>4.5499999999999999E-2</v>
      </c>
      <c r="AF8" s="193">
        <v>4.8000000000000001E-2</v>
      </c>
      <c r="AG8" s="193">
        <v>3.6799999999999999E-2</v>
      </c>
      <c r="AH8" s="193">
        <v>7.6399999999999996E-2</v>
      </c>
      <c r="AI8" s="193">
        <v>4.7199999999999999E-2</v>
      </c>
      <c r="AJ8" s="193">
        <v>4.7800000000000002E-2</v>
      </c>
      <c r="AK8" s="193">
        <v>3.3300000000000003E-2</v>
      </c>
      <c r="AL8" s="194">
        <v>5.0299999999999997E-2</v>
      </c>
    </row>
    <row r="9" spans="2:38" s="195" customFormat="1">
      <c r="B9" s="2" t="s">
        <v>69</v>
      </c>
      <c r="C9" s="219" t="s">
        <v>70</v>
      </c>
      <c r="D9" s="193">
        <v>0.4786693131538684</v>
      </c>
      <c r="E9" s="193">
        <v>0.47072159823871096</v>
      </c>
      <c r="F9" s="193">
        <v>0.48482069036233139</v>
      </c>
      <c r="G9" s="193">
        <v>0.48975784058951266</v>
      </c>
      <c r="H9" s="193">
        <v>0.48862859308539691</v>
      </c>
      <c r="I9" s="193">
        <v>0.48305208820593665</v>
      </c>
      <c r="J9" s="193">
        <v>0.48795489827600297</v>
      </c>
      <c r="K9" s="193">
        <v>0.50988722004325793</v>
      </c>
      <c r="L9" s="194">
        <f t="shared" si="0"/>
        <v>0.48668653024437725</v>
      </c>
      <c r="O9" s="196" t="s">
        <v>69</v>
      </c>
      <c r="P9" s="196" t="s">
        <v>70</v>
      </c>
      <c r="Q9" s="193">
        <v>0.28322540627713683</v>
      </c>
      <c r="R9" s="193">
        <v>0.28419416502458661</v>
      </c>
      <c r="S9" s="193">
        <v>0.29633151721276474</v>
      </c>
      <c r="T9" s="193">
        <v>0.30477777580007831</v>
      </c>
      <c r="U9" s="193">
        <v>0.31107216764592299</v>
      </c>
      <c r="V9" s="193">
        <v>0.31856190216610619</v>
      </c>
      <c r="W9" s="193">
        <v>0.32438364478890663</v>
      </c>
      <c r="X9" s="193">
        <v>0.42844795760205284</v>
      </c>
      <c r="Y9" s="194">
        <v>0.31887431706469438</v>
      </c>
      <c r="AB9" s="196" t="s">
        <v>69</v>
      </c>
      <c r="AC9" s="196" t="s">
        <v>70</v>
      </c>
      <c r="AD9" s="193">
        <v>0.23810528056899474</v>
      </c>
      <c r="AE9" s="193">
        <v>0.24508423673670246</v>
      </c>
      <c r="AF9" s="193">
        <v>0.21884779242490385</v>
      </c>
      <c r="AG9" s="193">
        <v>0.20546438361040903</v>
      </c>
      <c r="AH9" s="193">
        <v>0.2002992392686801</v>
      </c>
      <c r="AI9" s="193">
        <v>0.19838600962795716</v>
      </c>
      <c r="AJ9" s="193">
        <v>0.1876614569350904</v>
      </c>
      <c r="AK9" s="193">
        <v>6.1664822354689203E-2</v>
      </c>
      <c r="AL9" s="194">
        <v>0.19443915269092837</v>
      </c>
    </row>
    <row r="10" spans="2:38" s="195" customFormat="1">
      <c r="B10" s="2" t="s">
        <v>71</v>
      </c>
      <c r="C10" s="219" t="s">
        <v>72</v>
      </c>
      <c r="D10" s="193">
        <v>0.52371419219658177</v>
      </c>
      <c r="E10" s="193">
        <v>0.51586105816726557</v>
      </c>
      <c r="F10" s="193">
        <v>0.50213293118409064</v>
      </c>
      <c r="G10" s="193">
        <v>0.51525844348510497</v>
      </c>
      <c r="H10" s="193">
        <v>0.50091192114764393</v>
      </c>
      <c r="I10" s="193">
        <v>0.49784672071794484</v>
      </c>
      <c r="J10" s="193">
        <v>0.51421438124807828</v>
      </c>
      <c r="K10" s="193">
        <v>0.51651189122529428</v>
      </c>
      <c r="L10" s="194">
        <f t="shared" si="0"/>
        <v>0.51080644242150053</v>
      </c>
      <c r="O10" s="196" t="s">
        <v>71</v>
      </c>
      <c r="P10" s="196" t="s">
        <v>72</v>
      </c>
      <c r="Q10" s="193">
        <v>0.47352981890157464</v>
      </c>
      <c r="R10" s="193">
        <v>0.47804476539683227</v>
      </c>
      <c r="S10" s="193">
        <v>0.47716031057379327</v>
      </c>
      <c r="T10" s="193">
        <v>0.48202471813335751</v>
      </c>
      <c r="U10" s="193">
        <v>0.49633470938997909</v>
      </c>
      <c r="V10" s="193">
        <v>0.49938498795652603</v>
      </c>
      <c r="W10" s="193">
        <v>0.48265062753317983</v>
      </c>
      <c r="X10" s="193">
        <v>0.48027141338798168</v>
      </c>
      <c r="Y10" s="194">
        <v>0.48367516890915302</v>
      </c>
      <c r="AB10" s="196" t="s">
        <v>71</v>
      </c>
      <c r="AC10" s="196" t="s">
        <v>72</v>
      </c>
      <c r="AD10" s="193">
        <v>2.7559889018435695E-3</v>
      </c>
      <c r="AE10" s="193">
        <v>6.0941764359021119E-3</v>
      </c>
      <c r="AF10" s="193">
        <v>2.0706758242116135E-2</v>
      </c>
      <c r="AG10" s="193">
        <v>2.716838381537556E-3</v>
      </c>
      <c r="AH10" s="193">
        <v>2.7533694623769374E-3</v>
      </c>
      <c r="AI10" s="193">
        <v>2.7682913255290932E-3</v>
      </c>
      <c r="AJ10" s="193">
        <v>3.1349912187418742E-3</v>
      </c>
      <c r="AK10" s="193">
        <v>3.2166953867240901E-3</v>
      </c>
      <c r="AL10" s="194">
        <v>5.5183886693464211E-3</v>
      </c>
    </row>
    <row r="11" spans="2:38" s="195" customFormat="1">
      <c r="B11" s="2" t="s">
        <v>73</v>
      </c>
      <c r="C11" s="219" t="s">
        <v>74</v>
      </c>
      <c r="D11" s="193">
        <v>0.52013674951727717</v>
      </c>
      <c r="E11" s="193">
        <v>0.52143909811439604</v>
      </c>
      <c r="F11" s="193">
        <v>0.51670474473316064</v>
      </c>
      <c r="G11" s="193">
        <v>0.52029038700539854</v>
      </c>
      <c r="H11" s="193">
        <v>0.51430412049709329</v>
      </c>
      <c r="I11" s="193">
        <v>0.50977586907776118</v>
      </c>
      <c r="J11" s="193">
        <v>0.51825829132152879</v>
      </c>
      <c r="K11" s="193">
        <v>0.51716933834121148</v>
      </c>
      <c r="L11" s="194">
        <f t="shared" si="0"/>
        <v>0.51725982482597832</v>
      </c>
      <c r="O11" s="196" t="s">
        <v>73</v>
      </c>
      <c r="P11" s="196" t="s">
        <v>74</v>
      </c>
      <c r="Q11" s="193">
        <v>0.45470787615567432</v>
      </c>
      <c r="R11" s="193">
        <v>0.45578562274782897</v>
      </c>
      <c r="S11" s="193">
        <v>0.45910053769958042</v>
      </c>
      <c r="T11" s="193">
        <v>0.4670437474578164</v>
      </c>
      <c r="U11" s="193">
        <v>0.46894968479339449</v>
      </c>
      <c r="V11" s="193">
        <v>0.47011521774278198</v>
      </c>
      <c r="W11" s="193">
        <v>0.46782013895797908</v>
      </c>
      <c r="X11" s="193">
        <v>0.46558592249670877</v>
      </c>
      <c r="Y11" s="194">
        <v>0.46363859350647052</v>
      </c>
      <c r="AB11" s="196" t="s">
        <v>73</v>
      </c>
      <c r="AC11" s="196" t="s">
        <v>74</v>
      </c>
      <c r="AD11" s="193">
        <v>2.5155374327048528E-2</v>
      </c>
      <c r="AE11" s="193">
        <v>2.2775279137774954E-2</v>
      </c>
      <c r="AF11" s="193">
        <v>2.4194717567258994E-2</v>
      </c>
      <c r="AG11" s="193">
        <v>1.2665865536785044E-2</v>
      </c>
      <c r="AH11" s="193">
        <v>1.674619470951226E-2</v>
      </c>
      <c r="AI11" s="193">
        <v>2.0108913179456882E-2</v>
      </c>
      <c r="AJ11" s="193">
        <v>1.3921569720492149E-2</v>
      </c>
      <c r="AK11" s="193">
        <v>1.7244739162079737E-2</v>
      </c>
      <c r="AL11" s="194">
        <v>1.9101581667551069E-2</v>
      </c>
    </row>
    <row r="12" spans="2:38" s="195" customFormat="1">
      <c r="B12" s="2" t="s">
        <v>75</v>
      </c>
      <c r="C12" s="219" t="s">
        <v>76</v>
      </c>
      <c r="D12" s="193">
        <v>0.61874308865778871</v>
      </c>
      <c r="E12" s="193">
        <v>0.63067688403076971</v>
      </c>
      <c r="F12" s="193">
        <v>0.62255954914321787</v>
      </c>
      <c r="G12" s="193">
        <v>0.61302974033151525</v>
      </c>
      <c r="H12" s="193">
        <v>0.60616247872724927</v>
      </c>
      <c r="I12" s="193">
        <v>0.59245922521388372</v>
      </c>
      <c r="J12" s="193">
        <v>0.58651148478650428</v>
      </c>
      <c r="K12" s="193">
        <v>0.59636831211696795</v>
      </c>
      <c r="L12" s="194">
        <f t="shared" si="0"/>
        <v>0.60831384537598709</v>
      </c>
      <c r="O12" s="196" t="s">
        <v>75</v>
      </c>
      <c r="P12" s="196" t="s">
        <v>76</v>
      </c>
      <c r="Q12" s="193">
        <v>0.38098618202976947</v>
      </c>
      <c r="R12" s="193">
        <v>0.36900656630454881</v>
      </c>
      <c r="S12" s="193">
        <v>0.37710482191671263</v>
      </c>
      <c r="T12" s="193">
        <v>0.38662004748110063</v>
      </c>
      <c r="U12" s="193">
        <v>0.3934717634217621</v>
      </c>
      <c r="V12" s="193">
        <v>0.40715043931363532</v>
      </c>
      <c r="W12" s="193">
        <v>0.41308728679083628</v>
      </c>
      <c r="X12" s="193">
        <v>0.40317990901383705</v>
      </c>
      <c r="Y12" s="194">
        <v>0.39132587703402533</v>
      </c>
      <c r="AB12" s="196" t="s">
        <v>75</v>
      </c>
      <c r="AC12" s="196" t="s">
        <v>76</v>
      </c>
      <c r="AD12" s="193">
        <v>2.7072931244183026E-4</v>
      </c>
      <c r="AE12" s="193">
        <v>3.1654966468146141E-4</v>
      </c>
      <c r="AF12" s="193">
        <v>3.3562894006952519E-4</v>
      </c>
      <c r="AG12" s="193">
        <v>3.5021218738412094E-4</v>
      </c>
      <c r="AH12" s="193">
        <v>3.6575785098866438E-4</v>
      </c>
      <c r="AI12" s="193">
        <v>3.9033547248097672E-4</v>
      </c>
      <c r="AJ12" s="193">
        <v>4.0122842265945057E-4</v>
      </c>
      <c r="AK12" s="193">
        <v>4.5177886919506581E-4</v>
      </c>
      <c r="AL12" s="194">
        <v>3.6027758998763686E-4</v>
      </c>
    </row>
    <row r="13" spans="2:38" s="195" customFormat="1">
      <c r="B13" s="2" t="s">
        <v>78</v>
      </c>
      <c r="C13" s="219" t="s">
        <v>79</v>
      </c>
      <c r="D13" s="193">
        <v>0.60588729039206712</v>
      </c>
      <c r="E13" s="193">
        <v>0.61712712497563027</v>
      </c>
      <c r="F13" s="193">
        <v>0.60394353681386637</v>
      </c>
      <c r="G13" s="193">
        <v>0.60302075204079009</v>
      </c>
      <c r="H13" s="193">
        <v>0.62950762703838192</v>
      </c>
      <c r="I13" s="193">
        <v>0.5971760922503363</v>
      </c>
      <c r="J13" s="193">
        <v>0.59313037655755685</v>
      </c>
      <c r="K13" s="193">
        <v>0.59096400822805817</v>
      </c>
      <c r="L13" s="194">
        <f t="shared" si="0"/>
        <v>0.6050946010370859</v>
      </c>
      <c r="O13" s="196" t="s">
        <v>78</v>
      </c>
      <c r="P13" s="196" t="s">
        <v>79</v>
      </c>
      <c r="Q13" s="193">
        <v>0.39329936086184764</v>
      </c>
      <c r="R13" s="193">
        <v>0.38204817227630861</v>
      </c>
      <c r="S13" s="193">
        <v>0.3952040371537538</v>
      </c>
      <c r="T13" s="193">
        <v>0.39613227382169208</v>
      </c>
      <c r="U13" s="193">
        <v>0.36965852375601355</v>
      </c>
      <c r="V13" s="193">
        <v>0.40200291904482915</v>
      </c>
      <c r="W13" s="193">
        <v>0.40599039303597595</v>
      </c>
      <c r="X13" s="193">
        <v>0.4081489005173799</v>
      </c>
      <c r="Y13" s="194">
        <v>0.3940605725584751</v>
      </c>
      <c r="AB13" s="196" t="s">
        <v>78</v>
      </c>
      <c r="AC13" s="196" t="s">
        <v>79</v>
      </c>
      <c r="AD13" s="193">
        <v>8.1334874608524651E-4</v>
      </c>
      <c r="AE13" s="193">
        <v>8.2470274806110098E-4</v>
      </c>
      <c r="AF13" s="193">
        <v>8.5242603237985866E-4</v>
      </c>
      <c r="AG13" s="193">
        <v>8.4697413751780499E-4</v>
      </c>
      <c r="AH13" s="193">
        <v>8.3384920560452365E-4</v>
      </c>
      <c r="AI13" s="193">
        <v>8.2098870483448378E-4</v>
      </c>
      <c r="AJ13" s="193">
        <v>8.7923040646724468E-4</v>
      </c>
      <c r="AK13" s="193">
        <v>8.870912545618897E-4</v>
      </c>
      <c r="AL13" s="194">
        <v>8.4482640443901908E-4</v>
      </c>
    </row>
    <row r="14" spans="2:38" s="195" customFormat="1">
      <c r="B14" s="2" t="s">
        <v>80</v>
      </c>
      <c r="C14" s="219" t="s">
        <v>81</v>
      </c>
      <c r="D14" s="193">
        <v>0.46324078514406464</v>
      </c>
      <c r="E14" s="193">
        <v>0.45978129299234904</v>
      </c>
      <c r="F14" s="193">
        <v>0.4710514820564547</v>
      </c>
      <c r="G14" s="193">
        <v>0.48194412255655816</v>
      </c>
      <c r="H14" s="193">
        <v>0.48540824138952338</v>
      </c>
      <c r="I14" s="193">
        <v>0.47732721445457693</v>
      </c>
      <c r="J14" s="193">
        <v>0.47541256887805422</v>
      </c>
      <c r="K14" s="193">
        <v>0.47753879286213718</v>
      </c>
      <c r="L14" s="194">
        <f t="shared" si="0"/>
        <v>0.47396306254171483</v>
      </c>
      <c r="O14" s="196" t="s">
        <v>80</v>
      </c>
      <c r="P14" s="196" t="s">
        <v>81</v>
      </c>
      <c r="Q14" s="193">
        <v>0.53541777743925656</v>
      </c>
      <c r="R14" s="193">
        <v>0.53889450187331089</v>
      </c>
      <c r="S14" s="193">
        <v>0.52758912412443715</v>
      </c>
      <c r="T14" s="193">
        <v>0.51668174196653849</v>
      </c>
      <c r="U14" s="193">
        <v>0.51308345228885066</v>
      </c>
      <c r="V14" s="193">
        <v>0.52161132533106924</v>
      </c>
      <c r="W14" s="193">
        <v>0.52356810353309391</v>
      </c>
      <c r="X14" s="193">
        <v>0.52140012840624972</v>
      </c>
      <c r="Y14" s="194">
        <v>0.5247807693703509</v>
      </c>
      <c r="AB14" s="196" t="s">
        <v>80</v>
      </c>
      <c r="AC14" s="196" t="s">
        <v>81</v>
      </c>
      <c r="AD14" s="193">
        <v>1.3414374166787583E-3</v>
      </c>
      <c r="AE14" s="193">
        <v>1.3242051343400453E-3</v>
      </c>
      <c r="AF14" s="193">
        <v>1.3593938191081834E-3</v>
      </c>
      <c r="AG14" s="193">
        <v>1.3741354769033582E-3</v>
      </c>
      <c r="AH14" s="193">
        <v>1.5083063216259358E-3</v>
      </c>
      <c r="AI14" s="193">
        <v>1.0614602143538055E-3</v>
      </c>
      <c r="AJ14" s="193">
        <v>1.0193275888519323E-3</v>
      </c>
      <c r="AK14" s="193">
        <v>1.0610787316130707E-3</v>
      </c>
      <c r="AL14" s="194">
        <v>1.2561680879343863E-3</v>
      </c>
    </row>
    <row r="15" spans="2:38" s="195" customFormat="1">
      <c r="B15" s="2" t="s">
        <v>1471</v>
      </c>
      <c r="C15" s="219" t="s">
        <v>83</v>
      </c>
      <c r="D15" s="193">
        <v>0.53422549642619777</v>
      </c>
      <c r="E15" s="193">
        <v>0.54766646045054823</v>
      </c>
      <c r="F15" s="193">
        <v>0.54412949269570965</v>
      </c>
      <c r="G15" s="193">
        <v>0.54648820564662148</v>
      </c>
      <c r="H15" s="193">
        <v>0.53771656288967917</v>
      </c>
      <c r="I15" s="193">
        <v>0.54372481075748846</v>
      </c>
      <c r="J15" s="193">
        <v>0.53620265141071421</v>
      </c>
      <c r="K15" s="193">
        <v>0.53415304698863253</v>
      </c>
      <c r="L15" s="194">
        <f t="shared" si="0"/>
        <v>0.54053834090819897</v>
      </c>
      <c r="O15" s="196" t="s">
        <v>1471</v>
      </c>
      <c r="P15" s="196" t="s">
        <v>83</v>
      </c>
      <c r="Q15" s="193">
        <v>0.45297709968168093</v>
      </c>
      <c r="R15" s="193">
        <v>0.44018446157362151</v>
      </c>
      <c r="S15" s="193">
        <v>0.44660578905373627</v>
      </c>
      <c r="T15" s="193">
        <v>0.44584900971039587</v>
      </c>
      <c r="U15" s="193">
        <v>0.45241137955985106</v>
      </c>
      <c r="V15" s="193">
        <v>0.4456723343115675</v>
      </c>
      <c r="W15" s="193">
        <v>0.45316193683152411</v>
      </c>
      <c r="X15" s="193">
        <v>0.45759836964788192</v>
      </c>
      <c r="Y15" s="194">
        <v>0.44930754754628244</v>
      </c>
      <c r="AB15" s="196" t="s">
        <v>1471</v>
      </c>
      <c r="AC15" s="196" t="s">
        <v>83</v>
      </c>
      <c r="AD15" s="193">
        <v>1.2797403892121311E-2</v>
      </c>
      <c r="AE15" s="193">
        <v>1.2149077975830206E-2</v>
      </c>
      <c r="AF15" s="193">
        <v>9.2647182505540895E-3</v>
      </c>
      <c r="AG15" s="193">
        <v>7.6627846429826625E-3</v>
      </c>
      <c r="AH15" s="193">
        <v>9.872057550469748E-3</v>
      </c>
      <c r="AI15" s="193">
        <v>1.0602854930944044E-2</v>
      </c>
      <c r="AJ15" s="193">
        <v>1.0635411757761693E-2</v>
      </c>
      <c r="AK15" s="193">
        <v>8.2485833634855562E-3</v>
      </c>
      <c r="AL15" s="194">
        <v>1.0154111545518664E-2</v>
      </c>
    </row>
    <row r="16" spans="2:38" s="195" customFormat="1">
      <c r="B16" s="2" t="s">
        <v>84</v>
      </c>
      <c r="C16" s="219" t="s">
        <v>85</v>
      </c>
      <c r="D16" s="193">
        <v>0.57672745152679927</v>
      </c>
      <c r="E16" s="193">
        <v>0.57454856355413841</v>
      </c>
      <c r="F16" s="193">
        <v>0.56851876183211802</v>
      </c>
      <c r="G16" s="193">
        <v>0.57683501427022787</v>
      </c>
      <c r="H16" s="193">
        <v>0.56996428199497695</v>
      </c>
      <c r="I16" s="193">
        <v>0.56498169871858561</v>
      </c>
      <c r="J16" s="193">
        <v>0.55640073053620887</v>
      </c>
      <c r="K16" s="193">
        <v>0.55968021595407913</v>
      </c>
      <c r="L16" s="194">
        <f t="shared" si="0"/>
        <v>0.56845708979839171</v>
      </c>
      <c r="O16" s="196" t="s">
        <v>84</v>
      </c>
      <c r="P16" s="196" t="s">
        <v>85</v>
      </c>
      <c r="Q16" s="193">
        <v>0.42161503254577098</v>
      </c>
      <c r="R16" s="193">
        <v>0.42341466075632583</v>
      </c>
      <c r="S16" s="193">
        <v>0.42880610817930875</v>
      </c>
      <c r="T16" s="193">
        <v>0.42034223283132344</v>
      </c>
      <c r="U16" s="193">
        <v>0.42707184216828797</v>
      </c>
      <c r="V16" s="193">
        <v>0.432046691829166</v>
      </c>
      <c r="W16" s="193">
        <v>0.44061262777711219</v>
      </c>
      <c r="X16" s="193">
        <v>0.43737078810402702</v>
      </c>
      <c r="Y16" s="194">
        <v>0.42890999802391533</v>
      </c>
      <c r="AB16" s="196" t="s">
        <v>84</v>
      </c>
      <c r="AC16" s="196" t="s">
        <v>85</v>
      </c>
      <c r="AD16" s="193">
        <v>1.6575159274297246E-3</v>
      </c>
      <c r="AE16" s="193">
        <v>2.0367756895357456E-3</v>
      </c>
      <c r="AF16" s="193">
        <v>2.6751299885732268E-3</v>
      </c>
      <c r="AG16" s="193">
        <v>2.8227528984486488E-3</v>
      </c>
      <c r="AH16" s="193">
        <v>2.9638758367350826E-3</v>
      </c>
      <c r="AI16" s="193">
        <v>2.9716094522483434E-3</v>
      </c>
      <c r="AJ16" s="193">
        <v>2.9866416866789519E-3</v>
      </c>
      <c r="AK16" s="193">
        <v>2.948995941893828E-3</v>
      </c>
      <c r="AL16" s="194">
        <v>2.632912177692944E-3</v>
      </c>
    </row>
    <row r="17" spans="2:51" s="195" customFormat="1">
      <c r="B17" s="235" t="s">
        <v>86</v>
      </c>
      <c r="C17" s="236" t="s">
        <v>87</v>
      </c>
      <c r="D17" s="193">
        <v>0.53656564329179846</v>
      </c>
      <c r="E17" s="193">
        <v>0.53338473240643047</v>
      </c>
      <c r="F17" s="193">
        <v>0.54603142463909882</v>
      </c>
      <c r="G17" s="193">
        <v>0.54078898659535657</v>
      </c>
      <c r="H17" s="193">
        <v>0.52651568434378959</v>
      </c>
      <c r="I17" s="193">
        <v>0.53901365763862896</v>
      </c>
      <c r="J17" s="193">
        <v>0.54051886970619989</v>
      </c>
      <c r="K17" s="193">
        <v>0.53958376190850887</v>
      </c>
      <c r="L17" s="194">
        <f t="shared" si="0"/>
        <v>0.53780034506622643</v>
      </c>
      <c r="O17" s="196" t="s">
        <v>86</v>
      </c>
      <c r="P17" s="196" t="s">
        <v>87</v>
      </c>
      <c r="Q17" s="193">
        <v>0.45884311829737834</v>
      </c>
      <c r="R17" s="193">
        <v>0.4641660332463069</v>
      </c>
      <c r="S17" s="193">
        <v>0.45001169405937991</v>
      </c>
      <c r="T17" s="193">
        <v>0.45480961011658477</v>
      </c>
      <c r="U17" s="193">
        <v>0.47105904782941432</v>
      </c>
      <c r="V17" s="193">
        <v>0.44887823691539863</v>
      </c>
      <c r="W17" s="193">
        <v>0.45511030776121925</v>
      </c>
      <c r="X17" s="193">
        <v>0.45721453493040187</v>
      </c>
      <c r="Y17" s="194">
        <v>0.4575115728945105</v>
      </c>
      <c r="AB17" s="196" t="s">
        <v>86</v>
      </c>
      <c r="AC17" s="196" t="s">
        <v>87</v>
      </c>
      <c r="AD17" s="193">
        <v>4.5912384108232687E-3</v>
      </c>
      <c r="AE17" s="193">
        <v>2.4492343472626702E-3</v>
      </c>
      <c r="AF17" s="193">
        <v>3.9568813015212539E-3</v>
      </c>
      <c r="AG17" s="193">
        <v>4.4014032880586211E-3</v>
      </c>
      <c r="AH17" s="193">
        <v>2.4252678267960865E-3</v>
      </c>
      <c r="AI17" s="193">
        <v>1.2108105445972421E-2</v>
      </c>
      <c r="AJ17" s="193">
        <v>4.3708225325808977E-3</v>
      </c>
      <c r="AK17" s="193">
        <v>3.2017031610892307E-3</v>
      </c>
      <c r="AL17" s="194">
        <v>4.688082039263056E-3</v>
      </c>
    </row>
    <row r="18" spans="2:51">
      <c r="B18" s="196" t="s">
        <v>1472</v>
      </c>
      <c r="C18" s="198"/>
      <c r="D18" s="312">
        <f>AVERAGE(D5:D17)</f>
        <v>0.53587812324024153</v>
      </c>
      <c r="E18" s="312">
        <f t="shared" ref="E18:K18" si="1">AVERAGE(E5:E17)</f>
        <v>0.54007260532965762</v>
      </c>
      <c r="F18" s="312">
        <f t="shared" si="1"/>
        <v>0.53716767018903766</v>
      </c>
      <c r="G18" s="312">
        <f t="shared" si="1"/>
        <v>0.53916713238820901</v>
      </c>
      <c r="H18" s="312">
        <f t="shared" si="1"/>
        <v>0.53466103081289962</v>
      </c>
      <c r="I18" s="312">
        <f t="shared" si="1"/>
        <v>0.53194228441601632</v>
      </c>
      <c r="J18" s="312">
        <f t="shared" si="1"/>
        <v>0.53107778598542021</v>
      </c>
      <c r="K18" s="312">
        <f t="shared" si="1"/>
        <v>0.53501369115209274</v>
      </c>
      <c r="L18" s="312">
        <f>AVERAGE(L5:L17)</f>
        <v>0.53562254043919677</v>
      </c>
      <c r="M18" s="313"/>
      <c r="N18" s="313"/>
      <c r="O18" s="314" t="s">
        <v>1472</v>
      </c>
      <c r="P18" s="315"/>
      <c r="Q18" s="312">
        <f>AVERAGE(Q5:Q17)</f>
        <v>0.43512265856570209</v>
      </c>
      <c r="R18" s="312">
        <f t="shared" ref="R18" si="2">AVERAGE(R5:R17)</f>
        <v>0.43246460442022</v>
      </c>
      <c r="S18" s="312">
        <f t="shared" ref="S18" si="3">AVERAGE(S5:S17)</f>
        <v>0.43612736497673082</v>
      </c>
      <c r="T18" s="312">
        <f t="shared" ref="T18" si="4">AVERAGE(T5:T17)</f>
        <v>0.43814460203005051</v>
      </c>
      <c r="U18" s="312">
        <f t="shared" ref="U18" si="5">AVERAGE(U5:U17)</f>
        <v>0.43949054965710821</v>
      </c>
      <c r="V18" s="312">
        <f t="shared" ref="V18" si="6">AVERAGE(V5:V17)</f>
        <v>0.44378482059166086</v>
      </c>
      <c r="W18" s="312">
        <f t="shared" ref="W18" si="7">AVERAGE(W5:W17)</f>
        <v>0.44645338913734445</v>
      </c>
      <c r="X18" s="312">
        <f t="shared" ref="X18" si="8">AVERAGE(X5:X17)</f>
        <v>0.45094689320381148</v>
      </c>
      <c r="Y18" s="312">
        <f>AVERAGE(Y5:Y17)</f>
        <v>0.44032070647667471</v>
      </c>
      <c r="Z18" s="313"/>
      <c r="AA18" s="313"/>
      <c r="AB18" s="314" t="s">
        <v>1472</v>
      </c>
      <c r="AC18" s="315"/>
      <c r="AD18" s="312">
        <f>AVERAGE(AD5:AD17)</f>
        <v>2.8999218194056289E-2</v>
      </c>
      <c r="AE18" s="312">
        <f t="shared" ref="AE18" si="9">AVERAGE(AE5:AE17)</f>
        <v>2.7462790250122441E-2</v>
      </c>
      <c r="AF18" s="312">
        <f t="shared" ref="AF18" si="10">AVERAGE(AF5:AF17)</f>
        <v>2.6704964834231522E-2</v>
      </c>
      <c r="AG18" s="312">
        <f t="shared" ref="AG18" si="11">AVERAGE(AG5:AG17)</f>
        <v>2.2695957889432756E-2</v>
      </c>
      <c r="AH18" s="312">
        <f t="shared" ref="AH18" si="12">AVERAGE(AH5:AH17)</f>
        <v>2.5848419529992197E-2</v>
      </c>
      <c r="AI18" s="312">
        <f t="shared" ref="AI18" si="13">AVERAGE(AI5:AI17)</f>
        <v>2.4272894992322842E-2</v>
      </c>
      <c r="AJ18" s="312">
        <f t="shared" ref="AJ18" si="14">AVERAGE(AJ5:AJ17)</f>
        <v>2.246882487723537E-2</v>
      </c>
      <c r="AK18" s="312">
        <f t="shared" ref="AK18" si="15">AVERAGE(AK5:AK17)</f>
        <v>1.4039415644095748E-2</v>
      </c>
      <c r="AL18" s="312">
        <f>AVERAGE(AL5:AL17)</f>
        <v>2.4060599237974604E-2</v>
      </c>
    </row>
    <row r="19" spans="2:51">
      <c r="B19" s="196" t="s">
        <v>505</v>
      </c>
      <c r="C19" s="198"/>
      <c r="D19" s="128">
        <f>MIN(D5:D17)</f>
        <v>0.46324078514406464</v>
      </c>
      <c r="E19" s="128">
        <f t="shared" ref="E19:L19" si="16">MIN(E5:E17)</f>
        <v>0.45978129299234904</v>
      </c>
      <c r="F19" s="128">
        <f t="shared" si="16"/>
        <v>0.4710514820564547</v>
      </c>
      <c r="G19" s="128">
        <f t="shared" si="16"/>
        <v>0.48020000000000002</v>
      </c>
      <c r="H19" s="128">
        <f t="shared" si="16"/>
        <v>0.4783</v>
      </c>
      <c r="I19" s="128">
        <f t="shared" si="16"/>
        <v>0.47732721445457693</v>
      </c>
      <c r="J19" s="128">
        <f t="shared" si="16"/>
        <v>0.47541256887805422</v>
      </c>
      <c r="K19" s="128">
        <f t="shared" si="16"/>
        <v>0.47753879286213718</v>
      </c>
      <c r="L19" s="128">
        <f t="shared" si="16"/>
        <v>0.47396306254171483</v>
      </c>
      <c r="O19" s="196" t="s">
        <v>505</v>
      </c>
      <c r="P19" s="198"/>
      <c r="Q19" s="128">
        <f>MIN(Q5:Q17)</f>
        <v>0.28322540627713683</v>
      </c>
      <c r="R19" s="128">
        <f t="shared" ref="R19:Y19" si="17">MIN(R5:R17)</f>
        <v>0.28419416502458661</v>
      </c>
      <c r="S19" s="128">
        <f t="shared" si="17"/>
        <v>0.29633151721276474</v>
      </c>
      <c r="T19" s="128">
        <f t="shared" si="17"/>
        <v>0.30477777580007831</v>
      </c>
      <c r="U19" s="128">
        <f t="shared" si="17"/>
        <v>0.31107216764592299</v>
      </c>
      <c r="V19" s="128">
        <f t="shared" si="17"/>
        <v>0.31856190216610619</v>
      </c>
      <c r="W19" s="128">
        <f t="shared" si="17"/>
        <v>0.32438364478890663</v>
      </c>
      <c r="X19" s="128">
        <f t="shared" si="17"/>
        <v>0.39426252143318458</v>
      </c>
      <c r="Y19" s="128">
        <f t="shared" si="17"/>
        <v>0.31887431706469438</v>
      </c>
      <c r="AB19" s="196" t="s">
        <v>505</v>
      </c>
      <c r="AC19" s="198"/>
      <c r="AD19" s="128">
        <f>MIN(AD5:AD17)</f>
        <v>2.7072931244183026E-4</v>
      </c>
      <c r="AE19" s="128">
        <f t="shared" ref="AE19:AL19" si="18">MIN(AE5:AE17)</f>
        <v>3.1654966468146141E-4</v>
      </c>
      <c r="AF19" s="128">
        <f t="shared" si="18"/>
        <v>3.3562894006952519E-4</v>
      </c>
      <c r="AG19" s="128">
        <f t="shared" si="18"/>
        <v>3.5021218738412094E-4</v>
      </c>
      <c r="AH19" s="128">
        <f t="shared" si="18"/>
        <v>3.6575785098866438E-4</v>
      </c>
      <c r="AI19" s="128">
        <f t="shared" si="18"/>
        <v>3.9033547248097672E-4</v>
      </c>
      <c r="AJ19" s="128">
        <f t="shared" si="18"/>
        <v>4.0122842265945057E-4</v>
      </c>
      <c r="AK19" s="128">
        <f t="shared" si="18"/>
        <v>4.5177886919506581E-4</v>
      </c>
      <c r="AL19" s="128">
        <f t="shared" si="18"/>
        <v>3.6027758998763686E-4</v>
      </c>
    </row>
    <row r="20" spans="2:51">
      <c r="B20" s="196" t="s">
        <v>1473</v>
      </c>
      <c r="C20" s="198"/>
      <c r="D20" s="128">
        <f>MAX(D5:D17)</f>
        <v>0.61874308865778871</v>
      </c>
      <c r="E20" s="128">
        <f t="shared" ref="E20:L20" si="19">MAX(E5:E17)</f>
        <v>0.63067688403076971</v>
      </c>
      <c r="F20" s="128">
        <f t="shared" si="19"/>
        <v>0.62255954914321787</v>
      </c>
      <c r="G20" s="128">
        <f t="shared" si="19"/>
        <v>0.61302974033151525</v>
      </c>
      <c r="H20" s="128">
        <f t="shared" si="19"/>
        <v>0.62950762703838192</v>
      </c>
      <c r="I20" s="128">
        <f t="shared" si="19"/>
        <v>0.5971760922503363</v>
      </c>
      <c r="J20" s="128">
        <f t="shared" si="19"/>
        <v>0.59313037655755685</v>
      </c>
      <c r="K20" s="128">
        <f t="shared" si="19"/>
        <v>0.59636831211696795</v>
      </c>
      <c r="L20" s="128">
        <f t="shared" si="19"/>
        <v>0.60831384537598709</v>
      </c>
      <c r="O20" s="196" t="s">
        <v>1473</v>
      </c>
      <c r="P20" s="198"/>
      <c r="Q20" s="128">
        <f>MAX(Q5:Q17)</f>
        <v>0.53541777743925656</v>
      </c>
      <c r="R20" s="128">
        <f t="shared" ref="R20:Y20" si="20">MAX(R5:R17)</f>
        <v>0.53889450187331089</v>
      </c>
      <c r="S20" s="128">
        <f t="shared" si="20"/>
        <v>0.52758912412443715</v>
      </c>
      <c r="T20" s="128">
        <f t="shared" si="20"/>
        <v>0.51668174196653849</v>
      </c>
      <c r="U20" s="128">
        <f t="shared" si="20"/>
        <v>0.51308345228885066</v>
      </c>
      <c r="V20" s="128">
        <f t="shared" si="20"/>
        <v>0.52161132533106924</v>
      </c>
      <c r="W20" s="128">
        <f t="shared" si="20"/>
        <v>0.52356810353309391</v>
      </c>
      <c r="X20" s="128">
        <f t="shared" si="20"/>
        <v>0.52140012840624972</v>
      </c>
      <c r="Y20" s="128">
        <f t="shared" si="20"/>
        <v>0.5247807693703509</v>
      </c>
      <c r="AB20" s="196" t="s">
        <v>1473</v>
      </c>
      <c r="AC20" s="198"/>
      <c r="AD20" s="128">
        <f>MAX(AD5:AD17)</f>
        <v>0.23810528056899474</v>
      </c>
      <c r="AE20" s="128">
        <f t="shared" ref="AE20:AL20" si="21">MAX(AE5:AE17)</f>
        <v>0.24508423673670246</v>
      </c>
      <c r="AF20" s="128">
        <f t="shared" si="21"/>
        <v>0.21884779242490385</v>
      </c>
      <c r="AG20" s="128">
        <f t="shared" si="21"/>
        <v>0.20546438361040903</v>
      </c>
      <c r="AH20" s="128">
        <f t="shared" si="21"/>
        <v>0.2002992392686801</v>
      </c>
      <c r="AI20" s="128">
        <f t="shared" si="21"/>
        <v>0.19838600962795716</v>
      </c>
      <c r="AJ20" s="128">
        <f t="shared" si="21"/>
        <v>0.1876614569350904</v>
      </c>
      <c r="AK20" s="128">
        <f t="shared" si="21"/>
        <v>6.1664822354689203E-2</v>
      </c>
      <c r="AL20" s="128">
        <f t="shared" si="21"/>
        <v>0.19443915269092837</v>
      </c>
    </row>
    <row r="21" spans="2:51">
      <c r="B21" s="196"/>
      <c r="C21" s="198"/>
      <c r="O21" s="196"/>
      <c r="P21" s="198"/>
      <c r="AB21" s="196"/>
      <c r="AC21" s="198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2:51" s="214" customFormat="1">
      <c r="B22" s="370" t="s">
        <v>1474</v>
      </c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O22" s="370" t="s">
        <v>1475</v>
      </c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AB22" s="370" t="s">
        <v>1476</v>
      </c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0"/>
    </row>
    <row r="23" spans="2:51" s="214" customFormat="1">
      <c r="B23" s="122" t="s">
        <v>1477</v>
      </c>
      <c r="C23" s="217" t="s">
        <v>45</v>
      </c>
      <c r="D23" s="218" t="s">
        <v>1463</v>
      </c>
      <c r="E23" s="218" t="s">
        <v>1464</v>
      </c>
      <c r="F23" s="218" t="s">
        <v>1465</v>
      </c>
      <c r="G23" s="218" t="s">
        <v>1466</v>
      </c>
      <c r="H23" s="218" t="s">
        <v>1467</v>
      </c>
      <c r="I23" s="218" t="s">
        <v>1468</v>
      </c>
      <c r="J23" s="218" t="s">
        <v>1469</v>
      </c>
      <c r="K23" s="218" t="s">
        <v>1470</v>
      </c>
      <c r="L23" s="217" t="s">
        <v>159</v>
      </c>
      <c r="O23" s="122" t="s">
        <v>1477</v>
      </c>
      <c r="P23" s="217" t="s">
        <v>45</v>
      </c>
      <c r="Q23" s="218" t="s">
        <v>1463</v>
      </c>
      <c r="R23" s="218" t="s">
        <v>1464</v>
      </c>
      <c r="S23" s="218" t="s">
        <v>1465</v>
      </c>
      <c r="T23" s="218" t="s">
        <v>1466</v>
      </c>
      <c r="U23" s="218" t="s">
        <v>1467</v>
      </c>
      <c r="V23" s="218" t="s">
        <v>1468</v>
      </c>
      <c r="W23" s="218" t="s">
        <v>1469</v>
      </c>
      <c r="X23" s="218" t="s">
        <v>1470</v>
      </c>
      <c r="Y23" s="217" t="s">
        <v>159</v>
      </c>
      <c r="AB23" s="122" t="s">
        <v>1477</v>
      </c>
      <c r="AC23" s="217" t="s">
        <v>45</v>
      </c>
      <c r="AD23" s="218" t="s">
        <v>1463</v>
      </c>
      <c r="AE23" s="218" t="s">
        <v>1464</v>
      </c>
      <c r="AF23" s="218" t="s">
        <v>1465</v>
      </c>
      <c r="AG23" s="218" t="s">
        <v>1466</v>
      </c>
      <c r="AH23" s="218" t="s">
        <v>1467</v>
      </c>
      <c r="AI23" s="218" t="s">
        <v>1468</v>
      </c>
      <c r="AJ23" s="218" t="s">
        <v>1469</v>
      </c>
      <c r="AK23" s="218" t="s">
        <v>1470</v>
      </c>
      <c r="AL23" s="217" t="s">
        <v>159</v>
      </c>
      <c r="AO23" s="122"/>
      <c r="AP23" s="217"/>
      <c r="AQ23" s="218"/>
      <c r="AR23" s="218"/>
      <c r="AS23" s="218"/>
      <c r="AT23" s="218"/>
      <c r="AU23" s="218"/>
      <c r="AV23" s="218"/>
      <c r="AW23" s="218"/>
      <c r="AX23" s="218"/>
      <c r="AY23" s="217"/>
    </row>
    <row r="24" spans="2:51">
      <c r="B24" s="220" t="s">
        <v>1478</v>
      </c>
      <c r="C24" s="114" t="s">
        <v>62</v>
      </c>
      <c r="D24" s="221">
        <v>0.53669026868834346</v>
      </c>
      <c r="E24" s="221">
        <v>0.53433105059067032</v>
      </c>
      <c r="F24" s="221">
        <v>0.5362201007948979</v>
      </c>
      <c r="G24" s="221">
        <v>0.53397201311310394</v>
      </c>
      <c r="H24" s="221">
        <v>0.51701858577949156</v>
      </c>
      <c r="I24" s="221">
        <v>0.52676991960804709</v>
      </c>
      <c r="J24" s="221">
        <v>0.51709103571825399</v>
      </c>
      <c r="K24" s="221">
        <v>0.51549217817576476</v>
      </c>
      <c r="L24" s="128">
        <v>0.52719814405857168</v>
      </c>
      <c r="O24" s="114" t="s">
        <v>1478</v>
      </c>
      <c r="P24" s="114" t="s">
        <v>62</v>
      </c>
      <c r="Q24" s="221">
        <v>0.46328563937575234</v>
      </c>
      <c r="R24" s="221">
        <v>0.4656450002983491</v>
      </c>
      <c r="S24" s="221">
        <v>0.46375287427068146</v>
      </c>
      <c r="T24" s="221">
        <v>0.46599877358481595</v>
      </c>
      <c r="U24" s="221">
        <v>0.48292451754009175</v>
      </c>
      <c r="V24" s="221">
        <v>0.47308591111612514</v>
      </c>
      <c r="W24" s="221">
        <v>0.48275644819829949</v>
      </c>
      <c r="X24" s="221">
        <v>0.48434497629010931</v>
      </c>
      <c r="Y24" s="128">
        <v>0.47272426758427805</v>
      </c>
      <c r="AB24" s="114" t="s">
        <v>1478</v>
      </c>
      <c r="AC24" s="114" t="s">
        <v>62</v>
      </c>
      <c r="AD24" s="221">
        <v>2.4091935904144782E-5</v>
      </c>
      <c r="AE24" s="221">
        <v>2.3949110980586202E-5</v>
      </c>
      <c r="AF24" s="221">
        <v>2.7024934420618512E-5</v>
      </c>
      <c r="AG24" s="221">
        <v>2.9213302080082221E-5</v>
      </c>
      <c r="AH24" s="221">
        <v>5.6896680416697769E-5</v>
      </c>
      <c r="AI24" s="221">
        <v>1.4416927582776461E-4</v>
      </c>
      <c r="AJ24" s="221">
        <v>1.5251608344655368E-4</v>
      </c>
      <c r="AK24" s="221">
        <v>1.6284553412586821E-4</v>
      </c>
      <c r="AL24" s="128">
        <v>7.7588357150289503E-5</v>
      </c>
    </row>
    <row r="25" spans="2:51">
      <c r="B25" s="220" t="s">
        <v>1479</v>
      </c>
      <c r="C25" s="114" t="s">
        <v>62</v>
      </c>
      <c r="D25" s="221">
        <v>0.54985591447873661</v>
      </c>
      <c r="E25" s="221">
        <v>0.54226895418017473</v>
      </c>
      <c r="F25" s="221">
        <v>0.52667291601100585</v>
      </c>
      <c r="G25" s="221">
        <v>0.52674539605959425</v>
      </c>
      <c r="H25" s="221">
        <v>0.52364945683063258</v>
      </c>
      <c r="I25" s="221">
        <v>0.54519336859517054</v>
      </c>
      <c r="J25" s="221">
        <v>0.5366147093698509</v>
      </c>
      <c r="K25" s="221">
        <v>0.53290082126569394</v>
      </c>
      <c r="L25" s="128">
        <v>0.53548769209885749</v>
      </c>
      <c r="O25" s="114" t="s">
        <v>1479</v>
      </c>
      <c r="P25" s="114" t="s">
        <v>62</v>
      </c>
      <c r="Q25" s="221">
        <v>0.44801270573234575</v>
      </c>
      <c r="R25" s="221">
        <v>0.45562057540702439</v>
      </c>
      <c r="S25" s="221">
        <v>0.4712510472995492</v>
      </c>
      <c r="T25" s="221">
        <v>0.4712311580305773</v>
      </c>
      <c r="U25" s="221">
        <v>0.47435723968504151</v>
      </c>
      <c r="V25" s="221">
        <v>0.45265880707913658</v>
      </c>
      <c r="W25" s="221">
        <v>0.46125332823643483</v>
      </c>
      <c r="X25" s="221">
        <v>0.46499309555390012</v>
      </c>
      <c r="Y25" s="128">
        <v>0.46242224462800113</v>
      </c>
      <c r="AB25" s="114" t="s">
        <v>1479</v>
      </c>
      <c r="AC25" s="114" t="s">
        <v>62</v>
      </c>
      <c r="AD25" s="221">
        <v>2.1313797889176665E-3</v>
      </c>
      <c r="AE25" s="221">
        <v>2.110470412800847E-3</v>
      </c>
      <c r="AF25" s="221">
        <v>2.0760366894449923E-3</v>
      </c>
      <c r="AG25" s="221">
        <v>2.0234459098284522E-3</v>
      </c>
      <c r="AH25" s="221">
        <v>1.9933034843258777E-3</v>
      </c>
      <c r="AI25" s="221">
        <v>2.1478243256928737E-3</v>
      </c>
      <c r="AJ25" s="221">
        <v>2.1319623937142455E-3</v>
      </c>
      <c r="AK25" s="221">
        <v>2.1060831804059089E-3</v>
      </c>
      <c r="AL25" s="128">
        <v>2.0900632731413581E-3</v>
      </c>
    </row>
    <row r="26" spans="2:51">
      <c r="B26" s="220" t="s">
        <v>1480</v>
      </c>
      <c r="C26" s="114" t="s">
        <v>65</v>
      </c>
      <c r="D26" s="221">
        <v>0.53994527730489028</v>
      </c>
      <c r="E26" s="221">
        <v>0.56042506784899504</v>
      </c>
      <c r="F26" s="221">
        <v>0.550668982581066</v>
      </c>
      <c r="G26" s="221">
        <v>0.56536214715380961</v>
      </c>
      <c r="H26" s="221">
        <v>0.5611401964653957</v>
      </c>
      <c r="I26" s="221">
        <v>0.54295718538234672</v>
      </c>
      <c r="J26" s="221">
        <v>0.53017848104254939</v>
      </c>
      <c r="K26" s="221">
        <v>0.54461678209222408</v>
      </c>
      <c r="L26" s="128">
        <v>0.54941176498390965</v>
      </c>
      <c r="O26" s="114" t="s">
        <v>1480</v>
      </c>
      <c r="P26" s="114" t="s">
        <v>65</v>
      </c>
      <c r="Q26" s="221">
        <v>0.45506040128127884</v>
      </c>
      <c r="R26" s="221">
        <v>0.43414156195712084</v>
      </c>
      <c r="S26" s="221">
        <v>0.44168322066338062</v>
      </c>
      <c r="T26" s="221">
        <v>0.42851292517184503</v>
      </c>
      <c r="U26" s="221">
        <v>0.43230125412746834</v>
      </c>
      <c r="V26" s="221">
        <v>0.45032759381237336</v>
      </c>
      <c r="W26" s="221">
        <v>0.46313605175375283</v>
      </c>
      <c r="X26" s="221">
        <v>0.4483789852159204</v>
      </c>
      <c r="Y26" s="128">
        <v>0.44419274924789248</v>
      </c>
      <c r="AB26" s="114" t="s">
        <v>1480</v>
      </c>
      <c r="AC26" s="114" t="s">
        <v>65</v>
      </c>
      <c r="AD26" s="221">
        <v>4.9943214138308571E-3</v>
      </c>
      <c r="AE26" s="221">
        <v>5.4333701938841716E-3</v>
      </c>
      <c r="AF26" s="221">
        <v>7.6477967555534307E-3</v>
      </c>
      <c r="AG26" s="221">
        <v>6.1249276743453466E-3</v>
      </c>
      <c r="AH26" s="221">
        <v>6.5585494071359312E-3</v>
      </c>
      <c r="AI26" s="221">
        <v>6.7152208052799348E-3</v>
      </c>
      <c r="AJ26" s="221">
        <v>6.6854672036977527E-3</v>
      </c>
      <c r="AK26" s="221">
        <v>7.0042326918554818E-3</v>
      </c>
      <c r="AL26" s="128">
        <v>6.3954857681978632E-3</v>
      </c>
    </row>
    <row r="27" spans="2:51">
      <c r="B27" s="220" t="s">
        <v>1481</v>
      </c>
      <c r="C27" s="114" t="s">
        <v>65</v>
      </c>
      <c r="D27" s="221">
        <v>0.50568070950932187</v>
      </c>
      <c r="E27" s="221">
        <v>0.52277839421310979</v>
      </c>
      <c r="F27" s="221">
        <v>0.51522538060485024</v>
      </c>
      <c r="G27" s="221">
        <v>0.52338034221521745</v>
      </c>
      <c r="H27" s="221">
        <v>0.50353132814238544</v>
      </c>
      <c r="I27" s="221">
        <v>0.49821446675169806</v>
      </c>
      <c r="J27" s="221">
        <v>0.52167403993137074</v>
      </c>
      <c r="K27" s="221">
        <v>0.53141337115573084</v>
      </c>
      <c r="L27" s="128">
        <v>0.51523725406546061</v>
      </c>
      <c r="O27" s="114" t="s">
        <v>1481</v>
      </c>
      <c r="P27" s="114" t="s">
        <v>65</v>
      </c>
      <c r="Q27" s="221">
        <v>0.49276146795509579</v>
      </c>
      <c r="R27" s="221">
        <v>0.47551994573378831</v>
      </c>
      <c r="S27" s="221">
        <v>0.48299571778136263</v>
      </c>
      <c r="T27" s="221">
        <v>0.47398948608919395</v>
      </c>
      <c r="U27" s="221">
        <v>0.48619256806182498</v>
      </c>
      <c r="V27" s="221">
        <v>0.49791480165327878</v>
      </c>
      <c r="W27" s="221">
        <v>0.4745946503501326</v>
      </c>
      <c r="X27" s="221">
        <v>0.46496549130492315</v>
      </c>
      <c r="Y27" s="128">
        <v>0.48111676611620002</v>
      </c>
      <c r="AB27" s="114" t="s">
        <v>1481</v>
      </c>
      <c r="AC27" s="114" t="s">
        <v>65</v>
      </c>
      <c r="AD27" s="221">
        <v>1.5578225355823211E-3</v>
      </c>
      <c r="AE27" s="221">
        <v>1.7016600531019178E-3</v>
      </c>
      <c r="AF27" s="221">
        <v>1.7789016137871104E-3</v>
      </c>
      <c r="AG27" s="221">
        <v>2.6301716955886099E-3</v>
      </c>
      <c r="AH27" s="221">
        <v>1.0276103795789582E-2</v>
      </c>
      <c r="AI27" s="221">
        <v>3.8707315950231714E-3</v>
      </c>
      <c r="AJ27" s="221">
        <v>3.7313097184966098E-3</v>
      </c>
      <c r="AK27" s="221">
        <v>3.6211375393459641E-3</v>
      </c>
      <c r="AL27" s="128">
        <v>3.6459798183394111E-3</v>
      </c>
    </row>
    <row r="28" spans="2:51">
      <c r="B28" s="220" t="s">
        <v>1527</v>
      </c>
      <c r="C28" s="343" t="s">
        <v>67</v>
      </c>
      <c r="D28" s="221">
        <v>0.47460000000000002</v>
      </c>
      <c r="E28" s="221">
        <v>0.48609999999999998</v>
      </c>
      <c r="F28" s="221">
        <v>0.48039999999999999</v>
      </c>
      <c r="G28" s="221">
        <v>0.47439999999999999</v>
      </c>
      <c r="H28" s="221">
        <v>0.47249999999999998</v>
      </c>
      <c r="I28" s="221">
        <v>0.48620000000000002</v>
      </c>
      <c r="J28" s="221">
        <v>0.48330000000000001</v>
      </c>
      <c r="K28" s="221">
        <v>0.48570000000000002</v>
      </c>
      <c r="L28" s="128">
        <v>0.48039999999999999</v>
      </c>
      <c r="O28" s="220" t="s">
        <v>1527</v>
      </c>
      <c r="P28" s="343" t="s">
        <v>67</v>
      </c>
      <c r="Q28" s="221">
        <v>0.45490000000000003</v>
      </c>
      <c r="R28" s="221">
        <v>0.46629999999999999</v>
      </c>
      <c r="S28" s="221">
        <v>0.46970000000000001</v>
      </c>
      <c r="T28" s="221">
        <v>0.48720000000000002</v>
      </c>
      <c r="U28" s="221">
        <v>0.44769999999999999</v>
      </c>
      <c r="V28" s="221">
        <v>0.46439999999999998</v>
      </c>
      <c r="W28" s="221">
        <v>0.46750000000000003</v>
      </c>
      <c r="X28" s="221">
        <v>0.4793</v>
      </c>
      <c r="Y28" s="128">
        <v>0.46710000000000002</v>
      </c>
      <c r="AB28" s="220" t="s">
        <v>1527</v>
      </c>
      <c r="AC28" s="343" t="s">
        <v>67</v>
      </c>
      <c r="AD28" s="221">
        <v>7.0499999999999993E-2</v>
      </c>
      <c r="AE28" s="221">
        <v>4.7500000000000001E-2</v>
      </c>
      <c r="AF28" s="221">
        <v>4.99E-2</v>
      </c>
      <c r="AG28" s="221">
        <v>3.8399999999999997E-2</v>
      </c>
      <c r="AH28" s="221">
        <v>7.9899999999999999E-2</v>
      </c>
      <c r="AI28" s="221">
        <v>4.9399999999999999E-2</v>
      </c>
      <c r="AJ28" s="221">
        <v>4.9200000000000001E-2</v>
      </c>
      <c r="AK28" s="221">
        <v>3.5000000000000003E-2</v>
      </c>
      <c r="AL28" s="128">
        <v>5.2499999999999998E-2</v>
      </c>
    </row>
    <row r="29" spans="2:51">
      <c r="B29" s="220" t="s">
        <v>1482</v>
      </c>
      <c r="C29" s="114" t="s">
        <v>67</v>
      </c>
      <c r="D29" s="221">
        <v>0.60985884189361717</v>
      </c>
      <c r="E29" s="221">
        <v>0.60715530742534851</v>
      </c>
      <c r="F29" s="221">
        <v>0.59989402569876804</v>
      </c>
      <c r="G29" s="221">
        <v>0.60507545729315915</v>
      </c>
      <c r="H29" s="221">
        <v>0.60446108333115167</v>
      </c>
      <c r="I29" s="221">
        <v>0.60161851539434841</v>
      </c>
      <c r="J29" s="221">
        <v>0.59437406055400477</v>
      </c>
      <c r="K29" s="221">
        <v>0.61104847221149639</v>
      </c>
      <c r="L29" s="128">
        <v>0.60418572047523678</v>
      </c>
      <c r="O29" s="114" t="s">
        <v>1482</v>
      </c>
      <c r="P29" s="114" t="s">
        <v>67</v>
      </c>
      <c r="Q29" s="221">
        <v>0.3876549973897897</v>
      </c>
      <c r="R29" s="221">
        <v>0.39023273480303655</v>
      </c>
      <c r="S29" s="221">
        <v>0.39740362961981718</v>
      </c>
      <c r="T29" s="221">
        <v>0.39218967338444</v>
      </c>
      <c r="U29" s="221">
        <v>0.39270099746053355</v>
      </c>
      <c r="V29" s="221">
        <v>0.39540278363559678</v>
      </c>
      <c r="W29" s="221">
        <v>0.40261971226111232</v>
      </c>
      <c r="X29" s="221">
        <v>0.38613020310448681</v>
      </c>
      <c r="Y29" s="128">
        <v>0.3930418414573516</v>
      </c>
      <c r="AB29" s="114" t="s">
        <v>1482</v>
      </c>
      <c r="AC29" s="114" t="s">
        <v>67</v>
      </c>
      <c r="AD29" s="221">
        <v>2.4861607165931844E-3</v>
      </c>
      <c r="AE29" s="221">
        <v>2.6119577716149913E-3</v>
      </c>
      <c r="AF29" s="221">
        <v>2.7023446814147568E-3</v>
      </c>
      <c r="AG29" s="221">
        <v>2.7348693224008283E-3</v>
      </c>
      <c r="AH29" s="221">
        <v>2.837919208314789E-3</v>
      </c>
      <c r="AI29" s="221">
        <v>2.9787009700548294E-3</v>
      </c>
      <c r="AJ29" s="221">
        <v>3.006227184882972E-3</v>
      </c>
      <c r="AK29" s="221">
        <v>2.8213246840167838E-3</v>
      </c>
      <c r="AL29" s="128">
        <v>2.7724380674116421E-3</v>
      </c>
    </row>
    <row r="30" spans="2:51">
      <c r="B30" s="220" t="s">
        <v>1483</v>
      </c>
      <c r="C30" s="114" t="s">
        <v>70</v>
      </c>
      <c r="D30" s="221">
        <v>0.46968204917978001</v>
      </c>
      <c r="E30" s="221">
        <v>0.47392412111503235</v>
      </c>
      <c r="F30" s="221">
        <v>0.4958759117525427</v>
      </c>
      <c r="G30" s="221">
        <v>0.50173510493762652</v>
      </c>
      <c r="H30" s="221">
        <v>0.50042319967524929</v>
      </c>
      <c r="I30" s="221">
        <v>0.49818384222778833</v>
      </c>
      <c r="J30" s="221">
        <v>0.49094056731093066</v>
      </c>
      <c r="K30" s="221">
        <v>0.49939158844232356</v>
      </c>
      <c r="L30" s="128">
        <v>0.49126954808015921</v>
      </c>
      <c r="O30" s="114" t="s">
        <v>1483</v>
      </c>
      <c r="P30" s="114" t="s">
        <v>70</v>
      </c>
      <c r="Q30" s="221">
        <v>0.16709628979398142</v>
      </c>
      <c r="R30" s="221">
        <v>0.17115023225086518</v>
      </c>
      <c r="S30" s="221">
        <v>0.17980329519505661</v>
      </c>
      <c r="T30" s="221">
        <v>0.17814219072140461</v>
      </c>
      <c r="U30" s="221">
        <v>0.17856526381827295</v>
      </c>
      <c r="V30" s="221">
        <v>0.17916715937635494</v>
      </c>
      <c r="W30" s="221">
        <v>0.18172170411345248</v>
      </c>
      <c r="X30" s="221">
        <v>0.41672024498387888</v>
      </c>
      <c r="Y30" s="128">
        <v>0.20654579753165839</v>
      </c>
      <c r="AB30" s="114" t="s">
        <v>1483</v>
      </c>
      <c r="AC30" s="114" t="s">
        <v>70</v>
      </c>
      <c r="AD30" s="221">
        <v>0.3632216610262386</v>
      </c>
      <c r="AE30" s="221">
        <v>0.35492564663410248</v>
      </c>
      <c r="AF30" s="221">
        <v>0.32432079305240069</v>
      </c>
      <c r="AG30" s="221">
        <v>0.3201227043409689</v>
      </c>
      <c r="AH30" s="221">
        <v>0.32101153650647773</v>
      </c>
      <c r="AI30" s="221">
        <v>0.3226489983958567</v>
      </c>
      <c r="AJ30" s="221">
        <v>0.32733772857561683</v>
      </c>
      <c r="AK30" s="221">
        <v>8.3888166573797579E-2</v>
      </c>
      <c r="AL30" s="128">
        <v>0.30218465438818237</v>
      </c>
    </row>
    <row r="31" spans="2:51" ht="12.75" customHeight="1">
      <c r="B31" s="220" t="s">
        <v>1484</v>
      </c>
      <c r="C31" s="114" t="s">
        <v>70</v>
      </c>
      <c r="D31" s="221">
        <v>0.48693566179573461</v>
      </c>
      <c r="E31" s="221">
        <v>0.46817819743156341</v>
      </c>
      <c r="F31" s="221">
        <v>0.48015894726816982</v>
      </c>
      <c r="G31" s="221">
        <v>0.49032156287573225</v>
      </c>
      <c r="H31" s="221">
        <v>0.49441771174638022</v>
      </c>
      <c r="I31" s="221">
        <v>0.49823472496129179</v>
      </c>
      <c r="J31" s="221">
        <v>0.51316484096608161</v>
      </c>
      <c r="K31" s="221">
        <v>0.53382791138014707</v>
      </c>
      <c r="L31" s="128">
        <v>0.49565494480313765</v>
      </c>
      <c r="O31" s="114" t="s">
        <v>1484</v>
      </c>
      <c r="P31" s="114" t="s">
        <v>70</v>
      </c>
      <c r="Q31" s="221">
        <v>0.33751716509570256</v>
      </c>
      <c r="R31" s="221">
        <v>0.33020827261953334</v>
      </c>
      <c r="S31" s="221">
        <v>0.34440128308784046</v>
      </c>
      <c r="T31" s="221">
        <v>0.36232423190729168</v>
      </c>
      <c r="U31" s="221">
        <v>0.37014169963336457</v>
      </c>
      <c r="V31" s="221">
        <v>0.38110544673398894</v>
      </c>
      <c r="W31" s="221">
        <v>0.38998807643822275</v>
      </c>
      <c r="X31" s="221">
        <v>0.41234191566991185</v>
      </c>
      <c r="Y31" s="128">
        <v>0.36600351139823206</v>
      </c>
      <c r="AB31" s="114" t="s">
        <v>1484</v>
      </c>
      <c r="AC31" s="114" t="s">
        <v>70</v>
      </c>
      <c r="AD31" s="221">
        <v>0.17554717310856283</v>
      </c>
      <c r="AE31" s="221">
        <v>0.20161352994890328</v>
      </c>
      <c r="AF31" s="221">
        <v>0.17543976964398972</v>
      </c>
      <c r="AG31" s="221">
        <v>0.14735420521697606</v>
      </c>
      <c r="AH31" s="221">
        <v>0.13544058862025521</v>
      </c>
      <c r="AI31" s="221">
        <v>0.12065982830471932</v>
      </c>
      <c r="AJ31" s="221">
        <v>9.6847082595695688E-2</v>
      </c>
      <c r="AK31" s="221">
        <v>5.3830172949941114E-2</v>
      </c>
      <c r="AL31" s="128">
        <v>0.1383415437986304</v>
      </c>
    </row>
    <row r="32" spans="2:51" ht="12.75" customHeight="1">
      <c r="B32" s="220" t="s">
        <v>1485</v>
      </c>
      <c r="C32" s="114" t="s">
        <v>70</v>
      </c>
      <c r="D32" s="221">
        <v>0.47816772901926646</v>
      </c>
      <c r="E32" s="221">
        <v>0.47034767259673549</v>
      </c>
      <c r="F32" s="221">
        <v>0.47539063615848259</v>
      </c>
      <c r="G32" s="221">
        <v>0.46703404925838388</v>
      </c>
      <c r="H32" s="221">
        <v>0.45595340042538851</v>
      </c>
      <c r="I32" s="221">
        <v>0.42386965082461747</v>
      </c>
      <c r="J32" s="221">
        <v>0.43166954315301004</v>
      </c>
      <c r="K32" s="221">
        <v>0.48331615655633581</v>
      </c>
      <c r="L32" s="128">
        <v>0.46071860474902754</v>
      </c>
      <c r="O32" s="114" t="s">
        <v>1485</v>
      </c>
      <c r="P32" s="114" t="s">
        <v>70</v>
      </c>
      <c r="Q32" s="221">
        <v>0.3797594078090219</v>
      </c>
      <c r="R32" s="221">
        <v>0.38674361873029095</v>
      </c>
      <c r="S32" s="221">
        <v>0.397879607751919</v>
      </c>
      <c r="T32" s="221">
        <v>0.41748021786044598</v>
      </c>
      <c r="U32" s="221">
        <v>0.43354431058942711</v>
      </c>
      <c r="V32" s="221">
        <v>0.45611373037807762</v>
      </c>
      <c r="W32" s="221">
        <v>0.4617617812117818</v>
      </c>
      <c r="X32" s="221">
        <v>0.48414543537137789</v>
      </c>
      <c r="Y32" s="128">
        <v>0.42717851371279281</v>
      </c>
      <c r="AB32" s="114" t="s">
        <v>1485</v>
      </c>
      <c r="AC32" s="114" t="s">
        <v>70</v>
      </c>
      <c r="AD32" s="221">
        <v>0.14207286317171161</v>
      </c>
      <c r="AE32" s="221">
        <v>0.14290870867297356</v>
      </c>
      <c r="AF32" s="221">
        <v>0.12672975608959841</v>
      </c>
      <c r="AG32" s="221">
        <v>0.11548573288117014</v>
      </c>
      <c r="AH32" s="221">
        <v>0.11050228898518437</v>
      </c>
      <c r="AI32" s="221">
        <v>0.12001661879730487</v>
      </c>
      <c r="AJ32" s="221">
        <v>0.10656867563520819</v>
      </c>
      <c r="AK32" s="221">
        <v>3.2538408072286272E-2</v>
      </c>
      <c r="AL32" s="128">
        <v>0.11210288153817967</v>
      </c>
    </row>
    <row r="33" spans="2:40" ht="12.75" customHeight="1">
      <c r="B33" s="220" t="s">
        <v>1486</v>
      </c>
      <c r="C33" s="114" t="s">
        <v>72</v>
      </c>
      <c r="D33" s="221">
        <v>0.52371419219658177</v>
      </c>
      <c r="E33" s="221">
        <v>0.51586105816726557</v>
      </c>
      <c r="F33" s="221">
        <v>0.50213293118409064</v>
      </c>
      <c r="G33" s="221">
        <v>0.51525844348510497</v>
      </c>
      <c r="H33" s="221">
        <v>0.50091192114764393</v>
      </c>
      <c r="I33" s="221">
        <v>0.49784672071794484</v>
      </c>
      <c r="J33" s="221">
        <v>0.51421438124807828</v>
      </c>
      <c r="K33" s="221">
        <v>0.51651189122529428</v>
      </c>
      <c r="L33" s="128">
        <v>0.51080644242150053</v>
      </c>
      <c r="O33" s="114" t="s">
        <v>1486</v>
      </c>
      <c r="P33" s="114" t="s">
        <v>72</v>
      </c>
      <c r="Q33" s="221">
        <v>0.47352981890157464</v>
      </c>
      <c r="R33" s="221">
        <v>0.47804476539683227</v>
      </c>
      <c r="S33" s="221">
        <v>0.47716031057379327</v>
      </c>
      <c r="T33" s="221">
        <v>0.48202471813335751</v>
      </c>
      <c r="U33" s="221">
        <v>0.49633470938997909</v>
      </c>
      <c r="V33" s="221">
        <v>0.49938498795652603</v>
      </c>
      <c r="W33" s="221">
        <v>0.48265062753317983</v>
      </c>
      <c r="X33" s="221">
        <v>0.48027141338798168</v>
      </c>
      <c r="Y33" s="128">
        <v>0.48367516890915302</v>
      </c>
      <c r="AB33" s="114" t="s">
        <v>1486</v>
      </c>
      <c r="AC33" s="114" t="s">
        <v>72</v>
      </c>
      <c r="AD33" s="221">
        <v>2.7559889018435695E-3</v>
      </c>
      <c r="AE33" s="221">
        <v>6.0941764359021119E-3</v>
      </c>
      <c r="AF33" s="221">
        <v>2.0706758242116135E-2</v>
      </c>
      <c r="AG33" s="221">
        <v>2.716838381537556E-3</v>
      </c>
      <c r="AH33" s="221">
        <v>2.7533694623769374E-3</v>
      </c>
      <c r="AI33" s="221">
        <v>2.7682913255290932E-3</v>
      </c>
      <c r="AJ33" s="221">
        <v>3.1349912187418742E-3</v>
      </c>
      <c r="AK33" s="221">
        <v>3.2166953867240901E-3</v>
      </c>
      <c r="AL33" s="128">
        <v>5.5183886693464211E-3</v>
      </c>
    </row>
    <row r="34" spans="2:40" ht="12.75" customHeight="1">
      <c r="B34" s="220" t="s">
        <v>1487</v>
      </c>
      <c r="C34" s="114" t="s">
        <v>74</v>
      </c>
      <c r="D34" s="221">
        <v>0.50372757221604147</v>
      </c>
      <c r="E34" s="221">
        <v>0.51424552666035184</v>
      </c>
      <c r="F34" s="221">
        <v>0.51048039480564877</v>
      </c>
      <c r="G34" s="221">
        <v>0.51676149233675783</v>
      </c>
      <c r="H34" s="221">
        <v>0.51040940722496475</v>
      </c>
      <c r="I34" s="221">
        <v>0.50004623533508885</v>
      </c>
      <c r="J34" s="221">
        <v>0.51775288829667476</v>
      </c>
      <c r="K34" s="221">
        <v>0.51419689513922717</v>
      </c>
      <c r="L34" s="128">
        <v>0.51095255150184438</v>
      </c>
      <c r="O34" s="114" t="s">
        <v>1487</v>
      </c>
      <c r="P34" s="114" t="s">
        <v>74</v>
      </c>
      <c r="Q34" s="221">
        <v>0.47619380527998068</v>
      </c>
      <c r="R34" s="221">
        <v>0.46172892441075342</v>
      </c>
      <c r="S34" s="221">
        <v>0.46503441923356342</v>
      </c>
      <c r="T34" s="221">
        <v>0.47827738408254195</v>
      </c>
      <c r="U34" s="221">
        <v>0.47949730260707041</v>
      </c>
      <c r="V34" s="221">
        <v>0.49490922267705045</v>
      </c>
      <c r="W34" s="221">
        <v>0.47585943383097751</v>
      </c>
      <c r="X34" s="221">
        <v>0.47851845057867648</v>
      </c>
      <c r="Y34" s="128">
        <v>0.4762523678375768</v>
      </c>
      <c r="AB34" s="114" t="s">
        <v>1487</v>
      </c>
      <c r="AC34" s="114" t="s">
        <v>74</v>
      </c>
      <c r="AD34" s="221">
        <v>2.0078622503977801E-2</v>
      </c>
      <c r="AE34" s="221">
        <v>2.4025548928894695E-2</v>
      </c>
      <c r="AF34" s="221">
        <v>2.4485185960787866E-2</v>
      </c>
      <c r="AG34" s="221">
        <v>4.9611235807002245E-3</v>
      </c>
      <c r="AH34" s="221">
        <v>1.0093290167964793E-2</v>
      </c>
      <c r="AI34" s="221">
        <v>5.0445419878606627E-3</v>
      </c>
      <c r="AJ34" s="221">
        <v>6.3876778723477847E-3</v>
      </c>
      <c r="AK34" s="221">
        <v>7.2846542820963331E-3</v>
      </c>
      <c r="AL34" s="128">
        <v>1.2795080660578771E-2</v>
      </c>
    </row>
    <row r="35" spans="2:40" ht="12.75" customHeight="1">
      <c r="B35" s="220" t="s">
        <v>1488</v>
      </c>
      <c r="C35" s="114" t="s">
        <v>74</v>
      </c>
      <c r="D35" s="221">
        <v>0.51679269086291069</v>
      </c>
      <c r="E35" s="221">
        <v>0.51284116770939947</v>
      </c>
      <c r="F35" s="221">
        <v>0.51171483125385664</v>
      </c>
      <c r="G35" s="221">
        <v>0.51132741926781733</v>
      </c>
      <c r="H35" s="221">
        <v>0.49568375390410946</v>
      </c>
      <c r="I35" s="221">
        <v>0.49416882659873801</v>
      </c>
      <c r="J35" s="221">
        <v>0.49154208203223726</v>
      </c>
      <c r="K35" s="221">
        <v>0.50557884374649353</v>
      </c>
      <c r="L35" s="128">
        <v>0.50495620192194535</v>
      </c>
      <c r="O35" s="114" t="s">
        <v>1488</v>
      </c>
      <c r="P35" s="114" t="s">
        <v>74</v>
      </c>
      <c r="Q35" s="221">
        <v>0.44625026667485629</v>
      </c>
      <c r="R35" s="221">
        <v>0.45510743636515905</v>
      </c>
      <c r="S35" s="221">
        <v>0.46132004038791624</v>
      </c>
      <c r="T35" s="221">
        <v>0.47014640644557615</v>
      </c>
      <c r="U35" s="221">
        <v>0.47392395347402538</v>
      </c>
      <c r="V35" s="221">
        <v>0.46914739403135514</v>
      </c>
      <c r="W35" s="221">
        <v>0.49333669151445597</v>
      </c>
      <c r="X35" s="221">
        <v>0.4515967448050543</v>
      </c>
      <c r="Y35" s="128">
        <v>0.46510361671229983</v>
      </c>
      <c r="AB35" s="114" t="s">
        <v>1488</v>
      </c>
      <c r="AC35" s="114" t="s">
        <v>74</v>
      </c>
      <c r="AD35" s="221">
        <v>3.6957042462233011E-2</v>
      </c>
      <c r="AE35" s="221">
        <v>3.2051395925441477E-2</v>
      </c>
      <c r="AF35" s="221">
        <v>2.6965128358227144E-2</v>
      </c>
      <c r="AG35" s="221">
        <v>1.8526174286606474E-2</v>
      </c>
      <c r="AH35" s="221">
        <v>3.039229262186521E-2</v>
      </c>
      <c r="AI35" s="221">
        <v>3.668377936990682E-2</v>
      </c>
      <c r="AJ35" s="221">
        <v>1.5121226453306815E-2</v>
      </c>
      <c r="AK35" s="221">
        <v>4.2824411448452122E-2</v>
      </c>
      <c r="AL35" s="128">
        <v>2.9940181365754884E-2</v>
      </c>
    </row>
    <row r="36" spans="2:40" ht="12.75" customHeight="1">
      <c r="B36" s="220" t="s">
        <v>1489</v>
      </c>
      <c r="C36" s="114" t="s">
        <v>74</v>
      </c>
      <c r="D36" s="221">
        <v>0.54638176116790949</v>
      </c>
      <c r="E36" s="221">
        <v>0.54117969957308476</v>
      </c>
      <c r="F36" s="221">
        <v>0.52745060605363425</v>
      </c>
      <c r="G36" s="221">
        <v>0.52335250907637232</v>
      </c>
      <c r="H36" s="221">
        <v>0.49870426028041293</v>
      </c>
      <c r="I36" s="221">
        <v>0.49959220981309221</v>
      </c>
      <c r="J36" s="221">
        <v>0.52367715479398769</v>
      </c>
      <c r="K36" s="221">
        <v>0.51241061423920653</v>
      </c>
      <c r="L36" s="128">
        <v>0.52159360187471249</v>
      </c>
      <c r="O36" s="114" t="s">
        <v>1489</v>
      </c>
      <c r="P36" s="114" t="s">
        <v>74</v>
      </c>
      <c r="Q36" s="221">
        <v>0.4498929083932533</v>
      </c>
      <c r="R36" s="221">
        <v>0.45506105653675349</v>
      </c>
      <c r="S36" s="221">
        <v>0.45405166189126961</v>
      </c>
      <c r="T36" s="221">
        <v>0.46262999692033097</v>
      </c>
      <c r="U36" s="221">
        <v>0.4962956139613563</v>
      </c>
      <c r="V36" s="221">
        <v>0.49521291645921423</v>
      </c>
      <c r="W36" s="221">
        <v>0.46729578274482897</v>
      </c>
      <c r="X36" s="221">
        <v>0.48220396222034961</v>
      </c>
      <c r="Y36" s="128">
        <v>0.47033048739091959</v>
      </c>
      <c r="AB36" s="114" t="s">
        <v>1489</v>
      </c>
      <c r="AC36" s="114" t="s">
        <v>74</v>
      </c>
      <c r="AD36" s="221">
        <v>3.7253304388372411E-3</v>
      </c>
      <c r="AE36" s="221">
        <v>3.7592438901617505E-3</v>
      </c>
      <c r="AF36" s="221">
        <v>1.8497732055096108E-2</v>
      </c>
      <c r="AG36" s="221">
        <v>1.401749400329674E-2</v>
      </c>
      <c r="AH36" s="221">
        <v>5.0001257582307683E-3</v>
      </c>
      <c r="AI36" s="221">
        <v>5.1948737276935443E-3</v>
      </c>
      <c r="AJ36" s="221">
        <v>9.0270624611833439E-3</v>
      </c>
      <c r="AK36" s="221">
        <v>5.3854235404438575E-3</v>
      </c>
      <c r="AL36" s="128">
        <v>8.075910734367921E-3</v>
      </c>
    </row>
    <row r="37" spans="2:40" ht="12.75" customHeight="1">
      <c r="B37" s="220" t="s">
        <v>1490</v>
      </c>
      <c r="C37" s="114" t="s">
        <v>74</v>
      </c>
      <c r="D37" s="221">
        <v>0.50862813044231026</v>
      </c>
      <c r="E37" s="221">
        <v>0.47435528589635234</v>
      </c>
      <c r="F37" s="221">
        <v>0.46809590844510485</v>
      </c>
      <c r="G37" s="221">
        <v>0.47646498457099457</v>
      </c>
      <c r="H37" s="221">
        <v>0.48138655740236247</v>
      </c>
      <c r="I37" s="221">
        <v>0.46560719564420977</v>
      </c>
      <c r="J37" s="221">
        <v>0.46092694979414928</v>
      </c>
      <c r="K37" s="221">
        <v>0.45099811606437384</v>
      </c>
      <c r="L37" s="128">
        <v>0.47330789103248216</v>
      </c>
      <c r="O37" s="114" t="s">
        <v>1490</v>
      </c>
      <c r="P37" s="114" t="s">
        <v>74</v>
      </c>
      <c r="Q37" s="221">
        <v>0.46564533705404881</v>
      </c>
      <c r="R37" s="221">
        <v>0.46873776553788704</v>
      </c>
      <c r="S37" s="221">
        <v>0.47676194945189587</v>
      </c>
      <c r="T37" s="221">
        <v>0.49041041891945342</v>
      </c>
      <c r="U37" s="221">
        <v>0.45601486759239857</v>
      </c>
      <c r="V37" s="221">
        <v>0.46427303135321174</v>
      </c>
      <c r="W37" s="221">
        <v>0.47266422684876225</v>
      </c>
      <c r="X37" s="221">
        <v>0.54158206498973405</v>
      </c>
      <c r="Y37" s="128">
        <v>0.47951120771842404</v>
      </c>
      <c r="AB37" s="114" t="s">
        <v>1490</v>
      </c>
      <c r="AC37" s="114" t="s">
        <v>74</v>
      </c>
      <c r="AD37" s="221">
        <v>2.5726532503640938E-2</v>
      </c>
      <c r="AE37" s="221">
        <v>5.6906948565760618E-2</v>
      </c>
      <c r="AF37" s="221">
        <v>5.514214210299926E-2</v>
      </c>
      <c r="AG37" s="221">
        <v>3.3124596509552039E-2</v>
      </c>
      <c r="AH37" s="221">
        <v>6.2598575005238952E-2</v>
      </c>
      <c r="AI37" s="221">
        <v>7.0119773002578489E-2</v>
      </c>
      <c r="AJ37" s="221">
        <v>6.6408823357088448E-2</v>
      </c>
      <c r="AK37" s="221">
        <v>7.4198189458921458E-3</v>
      </c>
      <c r="AL37" s="128">
        <v>4.7180901249093868E-2</v>
      </c>
    </row>
    <row r="38" spans="2:40" ht="12.75" customHeight="1">
      <c r="B38" s="220" t="s">
        <v>1491</v>
      </c>
      <c r="C38" s="114" t="s">
        <v>74</v>
      </c>
      <c r="D38" s="221">
        <v>0.59599439787789721</v>
      </c>
      <c r="E38" s="221">
        <v>0.60887640886699657</v>
      </c>
      <c r="F38" s="221">
        <v>0.61247777425080496</v>
      </c>
      <c r="G38" s="221">
        <v>0.61389880747833969</v>
      </c>
      <c r="H38" s="221">
        <v>0.61398082847570168</v>
      </c>
      <c r="I38" s="221">
        <v>0.6189342993578133</v>
      </c>
      <c r="J38" s="221">
        <v>0.62307282158267774</v>
      </c>
      <c r="K38" s="221">
        <v>0.62529609879218817</v>
      </c>
      <c r="L38" s="128">
        <v>0.61406642958530244</v>
      </c>
      <c r="M38" s="113"/>
      <c r="N38" s="113"/>
      <c r="O38" s="114" t="s">
        <v>1491</v>
      </c>
      <c r="P38" s="114" t="s">
        <v>74</v>
      </c>
      <c r="Q38" s="221">
        <v>0.34696143956462905</v>
      </c>
      <c r="R38" s="221">
        <v>0.35780673939282776</v>
      </c>
      <c r="S38" s="221">
        <v>0.36813508598871697</v>
      </c>
      <c r="T38" s="221">
        <v>0.37378410143464524</v>
      </c>
      <c r="U38" s="221">
        <v>0.38060404268401338</v>
      </c>
      <c r="V38" s="221">
        <v>0.32448641528075084</v>
      </c>
      <c r="W38" s="221">
        <v>0.33232626360374878</v>
      </c>
      <c r="X38" s="221">
        <v>0.33815658050917147</v>
      </c>
      <c r="Y38" s="128">
        <v>0.35278258355731296</v>
      </c>
      <c r="Z38" s="113"/>
      <c r="AA38" s="113"/>
      <c r="AB38" s="114" t="s">
        <v>1491</v>
      </c>
      <c r="AC38" s="114" t="s">
        <v>74</v>
      </c>
      <c r="AD38" s="221">
        <v>5.7044162557473736E-2</v>
      </c>
      <c r="AE38" s="221">
        <v>3.3316851740175679E-2</v>
      </c>
      <c r="AF38" s="221">
        <v>1.9387139760478019E-2</v>
      </c>
      <c r="AG38" s="221">
        <v>1.2317091087015052E-2</v>
      </c>
      <c r="AH38" s="221">
        <v>5.4151288402849241E-3</v>
      </c>
      <c r="AI38" s="221">
        <v>5.657928536143586E-2</v>
      </c>
      <c r="AJ38" s="221">
        <v>4.4600914813573464E-2</v>
      </c>
      <c r="AK38" s="221">
        <v>3.6547320698640355E-2</v>
      </c>
      <c r="AL38" s="128">
        <v>3.3150986857384636E-2</v>
      </c>
    </row>
    <row r="39" spans="2:40" ht="12.75" customHeight="1">
      <c r="B39" s="220" t="s">
        <v>1492</v>
      </c>
      <c r="C39" s="114" t="s">
        <v>74</v>
      </c>
      <c r="D39" s="221">
        <v>0.50695981338048235</v>
      </c>
      <c r="E39" s="221">
        <v>0.50201694867547597</v>
      </c>
      <c r="F39" s="221">
        <v>0.49502880701205143</v>
      </c>
      <c r="G39" s="221">
        <v>0.50259481425896291</v>
      </c>
      <c r="H39" s="221">
        <v>0.51108461228342961</v>
      </c>
      <c r="I39" s="221">
        <v>0.50778872110364792</v>
      </c>
      <c r="J39" s="221">
        <v>0.50692092405899758</v>
      </c>
      <c r="K39" s="221">
        <v>0.50228291598159469</v>
      </c>
      <c r="L39" s="128">
        <v>0.50433469459433033</v>
      </c>
      <c r="M39" s="113"/>
      <c r="N39" s="113"/>
      <c r="O39" s="114" t="s">
        <v>1492</v>
      </c>
      <c r="P39" s="114" t="s">
        <v>74</v>
      </c>
      <c r="Q39" s="221">
        <v>0.47146218736365142</v>
      </c>
      <c r="R39" s="221">
        <v>0.48172900150194481</v>
      </c>
      <c r="S39" s="221">
        <v>0.48149377754853634</v>
      </c>
      <c r="T39" s="221">
        <v>0.48088640268523514</v>
      </c>
      <c r="U39" s="221">
        <v>0.46751689902886745</v>
      </c>
      <c r="V39" s="221">
        <v>0.4720505507908962</v>
      </c>
      <c r="W39" s="221">
        <v>0.48150744838503728</v>
      </c>
      <c r="X39" s="221">
        <v>0.48539092960148628</v>
      </c>
      <c r="Y39" s="128">
        <v>0.47775464961320685</v>
      </c>
      <c r="Z39" s="113"/>
      <c r="AA39" s="113"/>
      <c r="AB39" s="114" t="s">
        <v>1492</v>
      </c>
      <c r="AC39" s="114" t="s">
        <v>74</v>
      </c>
      <c r="AD39" s="221">
        <v>2.1577999255866218E-2</v>
      </c>
      <c r="AE39" s="221">
        <v>1.6254049822579202E-2</v>
      </c>
      <c r="AF39" s="221">
        <v>2.3477415439412251E-2</v>
      </c>
      <c r="AG39" s="221">
        <v>1.6518783055801883E-2</v>
      </c>
      <c r="AH39" s="221">
        <v>2.1398488687702926E-2</v>
      </c>
      <c r="AI39" s="221">
        <v>2.0160728105455834E-2</v>
      </c>
      <c r="AJ39" s="221">
        <v>1.1571627555965145E-2</v>
      </c>
      <c r="AK39" s="221">
        <v>1.2326154416918983E-2</v>
      </c>
      <c r="AL39" s="128">
        <v>1.7910655792462805E-2</v>
      </c>
    </row>
    <row r="40" spans="2:40" s="223" customFormat="1" ht="12.75" customHeight="1">
      <c r="B40" s="220" t="s">
        <v>1493</v>
      </c>
      <c r="C40" s="114" t="s">
        <v>76</v>
      </c>
      <c r="D40" s="221">
        <v>0.61874308865778871</v>
      </c>
      <c r="E40" s="221">
        <v>0.63067688403076971</v>
      </c>
      <c r="F40" s="221">
        <v>0.62255954914321787</v>
      </c>
      <c r="G40" s="221">
        <v>0.61302974033151525</v>
      </c>
      <c r="H40" s="221">
        <v>0.60616247872724927</v>
      </c>
      <c r="I40" s="221">
        <v>0.59245922521388372</v>
      </c>
      <c r="J40" s="221">
        <v>0.58651148478650428</v>
      </c>
      <c r="K40" s="221">
        <v>0.59636831211696795</v>
      </c>
      <c r="L40" s="128">
        <v>0.60831384537598709</v>
      </c>
      <c r="M40" s="113"/>
      <c r="N40" s="113"/>
      <c r="O40" s="114" t="s">
        <v>1493</v>
      </c>
      <c r="P40" s="114" t="s">
        <v>76</v>
      </c>
      <c r="Q40" s="221">
        <v>0.38098618202976947</v>
      </c>
      <c r="R40" s="221">
        <v>0.36900656630454881</v>
      </c>
      <c r="S40" s="221">
        <v>0.37710482191671263</v>
      </c>
      <c r="T40" s="221">
        <v>0.38662004748110063</v>
      </c>
      <c r="U40" s="221">
        <v>0.3934717634217621</v>
      </c>
      <c r="V40" s="221">
        <v>0.40715043931363532</v>
      </c>
      <c r="W40" s="221">
        <v>0.41308728679083628</v>
      </c>
      <c r="X40" s="221">
        <v>0.40317990901383705</v>
      </c>
      <c r="Y40" s="128">
        <v>0.39132587703402533</v>
      </c>
      <c r="Z40" s="113"/>
      <c r="AA40" s="113"/>
      <c r="AB40" s="114" t="s">
        <v>1493</v>
      </c>
      <c r="AC40" s="114" t="s">
        <v>76</v>
      </c>
      <c r="AD40" s="221">
        <v>2.7072931244183026E-4</v>
      </c>
      <c r="AE40" s="221">
        <v>3.1654966468146141E-4</v>
      </c>
      <c r="AF40" s="221">
        <v>3.3562894006952519E-4</v>
      </c>
      <c r="AG40" s="221">
        <v>3.5021218738412094E-4</v>
      </c>
      <c r="AH40" s="221">
        <v>3.6575785098866438E-4</v>
      </c>
      <c r="AI40" s="221">
        <v>3.9033547248097672E-4</v>
      </c>
      <c r="AJ40" s="221">
        <v>4.0122842265945057E-4</v>
      </c>
      <c r="AK40" s="221">
        <v>4.5177886919506581E-4</v>
      </c>
      <c r="AL40" s="128">
        <v>3.6027758998763686E-4</v>
      </c>
      <c r="AM40" s="222"/>
      <c r="AN40" s="222"/>
    </row>
    <row r="41" spans="2:40" s="223" customFormat="1" ht="12.75" customHeight="1">
      <c r="B41" s="220" t="s">
        <v>1494</v>
      </c>
      <c r="C41" s="114" t="s">
        <v>79</v>
      </c>
      <c r="D41" s="221">
        <v>0.60234616917020944</v>
      </c>
      <c r="E41" s="221">
        <v>0.61435384273904248</v>
      </c>
      <c r="F41" s="221">
        <v>0.60044945346475875</v>
      </c>
      <c r="G41" s="221">
        <v>0.59992007409920489</v>
      </c>
      <c r="H41" s="221">
        <v>0.63159042100287388</v>
      </c>
      <c r="I41" s="221">
        <v>0.6014497583046241</v>
      </c>
      <c r="J41" s="221">
        <v>0.60235123910323818</v>
      </c>
      <c r="K41" s="221">
        <v>0.59782758676042613</v>
      </c>
      <c r="L41" s="128">
        <v>0.6062860680805473</v>
      </c>
      <c r="M41" s="113"/>
      <c r="N41" s="113"/>
      <c r="O41" s="114" t="s">
        <v>1494</v>
      </c>
      <c r="P41" s="114" t="s">
        <v>79</v>
      </c>
      <c r="Q41" s="221">
        <v>0.3976538308297905</v>
      </c>
      <c r="R41" s="221">
        <v>0.38564615726095752</v>
      </c>
      <c r="S41" s="221">
        <v>0.39955054653524119</v>
      </c>
      <c r="T41" s="221">
        <v>0.40007992590079511</v>
      </c>
      <c r="U41" s="221">
        <v>0.36840957899712606</v>
      </c>
      <c r="V41" s="221">
        <v>0.39855024169537584</v>
      </c>
      <c r="W41" s="221">
        <v>0.39764876089676182</v>
      </c>
      <c r="X41" s="221">
        <v>0.40217241323957392</v>
      </c>
      <c r="Y41" s="128">
        <v>0.39371393191945275</v>
      </c>
      <c r="Z41" s="113"/>
      <c r="AA41" s="113"/>
      <c r="AB41" s="114" t="s">
        <v>1494</v>
      </c>
      <c r="AC41" s="114" t="s">
        <v>79</v>
      </c>
      <c r="AD41" s="221">
        <v>0</v>
      </c>
      <c r="AE41" s="221">
        <v>0</v>
      </c>
      <c r="AF41" s="221">
        <v>0</v>
      </c>
      <c r="AG41" s="221">
        <v>0</v>
      </c>
      <c r="AH41" s="221">
        <v>0</v>
      </c>
      <c r="AI41" s="221">
        <v>0</v>
      </c>
      <c r="AJ41" s="221">
        <v>0</v>
      </c>
      <c r="AK41" s="221">
        <v>0</v>
      </c>
      <c r="AL41" s="128">
        <v>0</v>
      </c>
      <c r="AM41" s="222"/>
      <c r="AN41" s="222"/>
    </row>
    <row r="42" spans="2:40" s="223" customFormat="1">
      <c r="B42" s="220" t="s">
        <v>1495</v>
      </c>
      <c r="C42" s="114" t="s">
        <v>57</v>
      </c>
      <c r="D42" s="221">
        <v>0.56433755376952499</v>
      </c>
      <c r="E42" s="221">
        <v>0.58029873615653371</v>
      </c>
      <c r="F42" s="221">
        <v>0.57336349686458343</v>
      </c>
      <c r="G42" s="221">
        <v>0.56691748755794469</v>
      </c>
      <c r="H42" s="221">
        <v>0.56212750801811751</v>
      </c>
      <c r="I42" s="221">
        <v>0.5647445962149048</v>
      </c>
      <c r="J42" s="221">
        <v>0.55685985085978296</v>
      </c>
      <c r="K42" s="221">
        <v>0.56159620532478383</v>
      </c>
      <c r="L42" s="128">
        <v>0.56628067934577198</v>
      </c>
      <c r="M42" s="113"/>
      <c r="N42" s="113"/>
      <c r="O42" s="114" t="s">
        <v>1495</v>
      </c>
      <c r="P42" s="114" t="s">
        <v>57</v>
      </c>
      <c r="Q42" s="221">
        <v>0.41770500451485154</v>
      </c>
      <c r="R42" s="221">
        <v>0.40555832841780481</v>
      </c>
      <c r="S42" s="221">
        <v>0.41503764071512356</v>
      </c>
      <c r="T42" s="221">
        <v>0.41825625486397427</v>
      </c>
      <c r="U42" s="221">
        <v>0.42531949846592421</v>
      </c>
      <c r="V42" s="221">
        <v>0.42230071240870004</v>
      </c>
      <c r="W42" s="221">
        <v>0.42995519535109311</v>
      </c>
      <c r="X42" s="221">
        <v>0.39426252143318458</v>
      </c>
      <c r="Y42" s="128">
        <v>0.41604939452133199</v>
      </c>
      <c r="Z42" s="113"/>
      <c r="AA42" s="113"/>
      <c r="AB42" s="114" t="s">
        <v>1495</v>
      </c>
      <c r="AC42" s="114" t="s">
        <v>57</v>
      </c>
      <c r="AD42" s="221">
        <v>1.7957441715623527E-2</v>
      </c>
      <c r="AE42" s="221">
        <v>1.4142935425661501E-2</v>
      </c>
      <c r="AF42" s="221">
        <v>1.1598862420292982E-2</v>
      </c>
      <c r="AG42" s="221">
        <v>1.4826257578080961E-2</v>
      </c>
      <c r="AH42" s="221">
        <v>1.2552993515958269E-2</v>
      </c>
      <c r="AI42" s="221">
        <v>1.2954691376395197E-2</v>
      </c>
      <c r="AJ42" s="221">
        <v>1.318495378912393E-2</v>
      </c>
      <c r="AK42" s="221">
        <v>4.414127324203166E-2</v>
      </c>
      <c r="AL42" s="128">
        <v>1.7669926132896002E-2</v>
      </c>
      <c r="AM42" s="222"/>
      <c r="AN42" s="222"/>
    </row>
    <row r="43" spans="2:40" s="223" customFormat="1">
      <c r="B43" s="224" t="s">
        <v>80</v>
      </c>
      <c r="C43" s="114" t="s">
        <v>81</v>
      </c>
      <c r="D43" s="221">
        <v>0.46324078514406464</v>
      </c>
      <c r="E43" s="221">
        <v>0.45978129299234904</v>
      </c>
      <c r="F43" s="221">
        <v>0.4710514820564547</v>
      </c>
      <c r="G43" s="221">
        <v>0.48194412255655816</v>
      </c>
      <c r="H43" s="221">
        <v>0.48540824138952338</v>
      </c>
      <c r="I43" s="221">
        <v>0.47732721445457693</v>
      </c>
      <c r="J43" s="221">
        <v>0.47541256887805422</v>
      </c>
      <c r="K43" s="221">
        <v>0.47753879286213718</v>
      </c>
      <c r="L43" s="128">
        <v>0.47396306254171483</v>
      </c>
      <c r="M43" s="113"/>
      <c r="N43" s="113"/>
      <c r="O43" s="114" t="s">
        <v>80</v>
      </c>
      <c r="P43" s="114" t="s">
        <v>81</v>
      </c>
      <c r="Q43" s="221">
        <v>0.53541777743925656</v>
      </c>
      <c r="R43" s="221">
        <v>0.53889450187331089</v>
      </c>
      <c r="S43" s="221">
        <v>0.52758912412443715</v>
      </c>
      <c r="T43" s="221">
        <v>0.51668174196653849</v>
      </c>
      <c r="U43" s="221">
        <v>0.51308345228885066</v>
      </c>
      <c r="V43" s="221">
        <v>0.52161132533106924</v>
      </c>
      <c r="W43" s="221">
        <v>0.52356810353309391</v>
      </c>
      <c r="X43" s="221">
        <v>0.52140012840624972</v>
      </c>
      <c r="Y43" s="128">
        <v>0.5247807693703509</v>
      </c>
      <c r="Z43" s="113"/>
      <c r="AA43" s="113"/>
      <c r="AB43" s="114" t="s">
        <v>80</v>
      </c>
      <c r="AC43" s="114" t="s">
        <v>81</v>
      </c>
      <c r="AD43" s="221">
        <v>1.3414374166787583E-3</v>
      </c>
      <c r="AE43" s="221">
        <v>1.3242051343400453E-3</v>
      </c>
      <c r="AF43" s="221">
        <v>1.3593938191081834E-3</v>
      </c>
      <c r="AG43" s="221">
        <v>1.3741354769033582E-3</v>
      </c>
      <c r="AH43" s="221">
        <v>1.5083063216259358E-3</v>
      </c>
      <c r="AI43" s="221">
        <v>1.0614602143538055E-3</v>
      </c>
      <c r="AJ43" s="221">
        <v>1.0193275888519323E-3</v>
      </c>
      <c r="AK43" s="221">
        <v>1.0610787316130707E-3</v>
      </c>
      <c r="AL43" s="128">
        <v>1.2561680879343863E-3</v>
      </c>
      <c r="AM43" s="222"/>
      <c r="AN43" s="222"/>
    </row>
    <row r="44" spans="2:40">
      <c r="B44" s="220" t="s">
        <v>1496</v>
      </c>
      <c r="C44" s="114" t="s">
        <v>83</v>
      </c>
      <c r="D44" s="221">
        <v>0.53700623677125403</v>
      </c>
      <c r="E44" s="221">
        <v>0.54525977682214777</v>
      </c>
      <c r="F44" s="221">
        <v>0.52826300522789993</v>
      </c>
      <c r="G44" s="221">
        <v>0.52403787503825083</v>
      </c>
      <c r="H44" s="221">
        <v>0.53460539530993412</v>
      </c>
      <c r="I44" s="221">
        <v>0.53562425275581549</v>
      </c>
      <c r="J44" s="221">
        <v>0.51612456098385395</v>
      </c>
      <c r="K44" s="221">
        <v>0.51967626275068035</v>
      </c>
      <c r="L44" s="128">
        <v>0.53007467070747949</v>
      </c>
      <c r="O44" s="114" t="s">
        <v>1496</v>
      </c>
      <c r="P44" s="114" t="s">
        <v>83</v>
      </c>
      <c r="Q44" s="221">
        <v>0.45776755010565306</v>
      </c>
      <c r="R44" s="221">
        <v>0.44947129220248622</v>
      </c>
      <c r="S44" s="221">
        <v>0.4662971862220664</v>
      </c>
      <c r="T44" s="221">
        <v>0.47061126434279354</v>
      </c>
      <c r="U44" s="221">
        <v>0.45987722420893384</v>
      </c>
      <c r="V44" s="221">
        <v>0.45888813852620858</v>
      </c>
      <c r="W44" s="221">
        <v>0.47828466975016515</v>
      </c>
      <c r="X44" s="221">
        <v>0.4748233519336032</v>
      </c>
      <c r="Y44" s="128">
        <v>0.46450258466148875</v>
      </c>
      <c r="AB44" s="114" t="s">
        <v>1496</v>
      </c>
      <c r="AC44" s="114" t="s">
        <v>83</v>
      </c>
      <c r="AD44" s="221">
        <v>5.2262131230929485E-3</v>
      </c>
      <c r="AE44" s="221">
        <v>5.2689309753659519E-3</v>
      </c>
      <c r="AF44" s="221">
        <v>5.4398085500337451E-3</v>
      </c>
      <c r="AG44" s="221">
        <v>5.3508606189555923E-3</v>
      </c>
      <c r="AH44" s="221">
        <v>5.5173804811320662E-3</v>
      </c>
      <c r="AI44" s="221">
        <v>5.487608717975964E-3</v>
      </c>
      <c r="AJ44" s="221">
        <v>5.5907692659809133E-3</v>
      </c>
      <c r="AK44" s="221">
        <v>5.50038531571642E-3</v>
      </c>
      <c r="AL44" s="128">
        <v>5.4227446310317002E-3</v>
      </c>
    </row>
    <row r="45" spans="2:40" s="223" customFormat="1">
      <c r="B45" s="220" t="s">
        <v>1497</v>
      </c>
      <c r="C45" s="114" t="s">
        <v>83</v>
      </c>
      <c r="D45" s="221">
        <v>0.53814062629583914</v>
      </c>
      <c r="E45" s="221">
        <v>0.54834372477163551</v>
      </c>
      <c r="F45" s="221">
        <v>0.55414852914690294</v>
      </c>
      <c r="G45" s="221">
        <v>0.56054499059291396</v>
      </c>
      <c r="H45" s="221">
        <v>0.53881338497779907</v>
      </c>
      <c r="I45" s="221">
        <v>0.54887401541368552</v>
      </c>
      <c r="J45" s="221">
        <v>0.55305661900072256</v>
      </c>
      <c r="K45" s="221">
        <v>0.54804619099291751</v>
      </c>
      <c r="L45" s="128">
        <v>0.548746010149052</v>
      </c>
      <c r="M45" s="214"/>
      <c r="N45" s="214"/>
      <c r="O45" s="114" t="s">
        <v>1497</v>
      </c>
      <c r="P45" s="114" t="s">
        <v>83</v>
      </c>
      <c r="Q45" s="221">
        <v>0.44305547289287406</v>
      </c>
      <c r="R45" s="221">
        <v>0.43607019653901163</v>
      </c>
      <c r="S45" s="221">
        <v>0.43456819535597774</v>
      </c>
      <c r="T45" s="221">
        <v>0.43005449979745736</v>
      </c>
      <c r="U45" s="221">
        <v>0.4481499476609378</v>
      </c>
      <c r="V45" s="221">
        <v>0.43660318606115933</v>
      </c>
      <c r="W45" s="221">
        <v>0.43234672191903017</v>
      </c>
      <c r="X45" s="221">
        <v>0.44150146970767429</v>
      </c>
      <c r="Y45" s="128">
        <v>0.43779371124176525</v>
      </c>
      <c r="Z45" s="214"/>
      <c r="AA45" s="214"/>
      <c r="AB45" s="114" t="s">
        <v>1497</v>
      </c>
      <c r="AC45" s="114" t="s">
        <v>83</v>
      </c>
      <c r="AD45" s="221">
        <v>1.880390081128679E-2</v>
      </c>
      <c r="AE45" s="221">
        <v>1.5586078689352875E-2</v>
      </c>
      <c r="AF45" s="221">
        <v>1.1283275497119362E-2</v>
      </c>
      <c r="AG45" s="221">
        <v>9.4005096096286631E-3</v>
      </c>
      <c r="AH45" s="221">
        <v>1.3036667361263091E-2</v>
      </c>
      <c r="AI45" s="221">
        <v>1.4522798525155162E-2</v>
      </c>
      <c r="AJ45" s="221">
        <v>1.4596659080247263E-2</v>
      </c>
      <c r="AK45" s="221">
        <v>1.0452339299408224E-2</v>
      </c>
      <c r="AL45" s="128">
        <v>1.3460278609182677E-2</v>
      </c>
      <c r="AM45" s="222"/>
      <c r="AN45" s="222"/>
    </row>
    <row r="46" spans="2:40" s="223" customFormat="1">
      <c r="B46" s="220" t="s">
        <v>1498</v>
      </c>
      <c r="C46" s="114" t="s">
        <v>79</v>
      </c>
      <c r="D46" s="221">
        <v>0.64001371032858922</v>
      </c>
      <c r="E46" s="221">
        <v>0.64267097430747044</v>
      </c>
      <c r="F46" s="221">
        <v>0.6352907228525092</v>
      </c>
      <c r="G46" s="221">
        <v>0.63112484127273738</v>
      </c>
      <c r="H46" s="221">
        <v>0.60971846934411567</v>
      </c>
      <c r="I46" s="221">
        <v>0.55465243527125485</v>
      </c>
      <c r="J46" s="221">
        <v>0.49800916168811943</v>
      </c>
      <c r="K46" s="221">
        <v>0.51989352631884522</v>
      </c>
      <c r="L46" s="128">
        <v>0.59142173017295518</v>
      </c>
      <c r="M46" s="214"/>
      <c r="N46" s="214"/>
      <c r="O46" s="114" t="s">
        <v>1498</v>
      </c>
      <c r="P46" s="114" t="s">
        <v>79</v>
      </c>
      <c r="Q46" s="221">
        <v>0.35133455327216634</v>
      </c>
      <c r="R46" s="221">
        <v>0.34890823969621354</v>
      </c>
      <c r="S46" s="221">
        <v>0.35620930675186069</v>
      </c>
      <c r="T46" s="221">
        <v>0.36035133546629727</v>
      </c>
      <c r="U46" s="221">
        <v>0.38152506706582168</v>
      </c>
      <c r="V46" s="221">
        <v>0.43635760783018501</v>
      </c>
      <c r="W46" s="221">
        <v>0.49204158175558382</v>
      </c>
      <c r="X46" s="221">
        <v>0.47003379466623679</v>
      </c>
      <c r="Y46" s="128">
        <v>0.39959518581304565</v>
      </c>
      <c r="Z46" s="214"/>
      <c r="AA46" s="214"/>
      <c r="AB46" s="114" t="s">
        <v>1498</v>
      </c>
      <c r="AC46" s="114" t="s">
        <v>79</v>
      </c>
      <c r="AD46" s="221">
        <v>8.6517363992444102E-3</v>
      </c>
      <c r="AE46" s="221">
        <v>8.4207859963159899E-3</v>
      </c>
      <c r="AF46" s="221">
        <v>8.4999703956300781E-3</v>
      </c>
      <c r="AG46" s="221">
        <v>8.5238232609654054E-3</v>
      </c>
      <c r="AH46" s="221">
        <v>8.7564635900625951E-3</v>
      </c>
      <c r="AI46" s="221">
        <v>8.989956898560119E-3</v>
      </c>
      <c r="AJ46" s="221">
        <v>9.9492565562967743E-3</v>
      </c>
      <c r="AK46" s="221">
        <v>1.0072679014918045E-2</v>
      </c>
      <c r="AL46" s="128">
        <v>8.9830840139991756E-3</v>
      </c>
      <c r="AM46" s="222"/>
      <c r="AN46" s="222"/>
    </row>
    <row r="47" spans="2:40" s="223" customFormat="1">
      <c r="B47" s="220" t="s">
        <v>1499</v>
      </c>
      <c r="C47" s="114" t="s">
        <v>83</v>
      </c>
      <c r="D47" s="221">
        <v>0.48755379815856609</v>
      </c>
      <c r="E47" s="221">
        <v>0.55579276350704676</v>
      </c>
      <c r="F47" s="221">
        <v>0.54571288491932335</v>
      </c>
      <c r="G47" s="221">
        <v>0.55223467096385137</v>
      </c>
      <c r="H47" s="221">
        <v>0.54612334588289102</v>
      </c>
      <c r="I47" s="221">
        <v>0.54505507933076058</v>
      </c>
      <c r="J47" s="221">
        <v>0.50575377869233973</v>
      </c>
      <c r="K47" s="221">
        <v>0.49968339215806429</v>
      </c>
      <c r="L47" s="128">
        <v>0.52973871420160534</v>
      </c>
      <c r="M47" s="214"/>
      <c r="N47" s="214"/>
      <c r="O47" s="114" t="s">
        <v>1499</v>
      </c>
      <c r="P47" s="114" t="s">
        <v>83</v>
      </c>
      <c r="Q47" s="221">
        <v>0.50772354174979739</v>
      </c>
      <c r="R47" s="221">
        <v>0.42263210419857072</v>
      </c>
      <c r="S47" s="221">
        <v>0.44093995579663947</v>
      </c>
      <c r="T47" s="221">
        <v>0.44222410684226893</v>
      </c>
      <c r="U47" s="221">
        <v>0.44702280299073682</v>
      </c>
      <c r="V47" s="221">
        <v>0.44948146384808557</v>
      </c>
      <c r="W47" s="221">
        <v>0.48898116165699029</v>
      </c>
      <c r="X47" s="221">
        <v>0.4950499728208097</v>
      </c>
      <c r="Y47" s="128">
        <v>0.46175688873798737</v>
      </c>
      <c r="Z47" s="214"/>
      <c r="AA47" s="214"/>
      <c r="AB47" s="114" t="s">
        <v>1499</v>
      </c>
      <c r="AC47" s="114" t="s">
        <v>83</v>
      </c>
      <c r="AD47" s="221">
        <v>4.7226600916365378E-3</v>
      </c>
      <c r="AE47" s="221">
        <v>2.157513229438255E-2</v>
      </c>
      <c r="AF47" s="221">
        <v>1.3347159284037137E-2</v>
      </c>
      <c r="AG47" s="221">
        <v>5.5412221938797119E-3</v>
      </c>
      <c r="AH47" s="221">
        <v>6.853851126372156E-3</v>
      </c>
      <c r="AI47" s="221">
        <v>5.4634568211538569E-3</v>
      </c>
      <c r="AJ47" s="221">
        <v>5.2650596506699987E-3</v>
      </c>
      <c r="AK47" s="221">
        <v>5.2666350211259894E-3</v>
      </c>
      <c r="AL47" s="128">
        <v>8.5043970604072421E-3</v>
      </c>
      <c r="AM47" s="222"/>
      <c r="AN47" s="222"/>
    </row>
    <row r="48" spans="2:40" s="228" customFormat="1">
      <c r="B48" s="220" t="s">
        <v>1500</v>
      </c>
      <c r="C48" s="225" t="s">
        <v>85</v>
      </c>
      <c r="D48" s="221">
        <v>0.57799598236313177</v>
      </c>
      <c r="E48" s="221">
        <v>0.57647349055305397</v>
      </c>
      <c r="F48" s="221">
        <v>0.56953009851386405</v>
      </c>
      <c r="G48" s="221">
        <v>0.57930570891528077</v>
      </c>
      <c r="H48" s="221">
        <v>0.57148141199092295</v>
      </c>
      <c r="I48" s="221">
        <v>0.56645266094988511</v>
      </c>
      <c r="J48" s="221">
        <v>0.56240491841246187</v>
      </c>
      <c r="K48" s="221">
        <v>0.56883003323203107</v>
      </c>
      <c r="L48" s="226">
        <v>0.57155928811632895</v>
      </c>
      <c r="M48" s="227"/>
      <c r="N48" s="227"/>
      <c r="O48" s="225" t="s">
        <v>1500</v>
      </c>
      <c r="P48" s="225" t="s">
        <v>85</v>
      </c>
      <c r="Q48" s="221">
        <v>0.41967287294981104</v>
      </c>
      <c r="R48" s="221">
        <v>0.42062797149130471</v>
      </c>
      <c r="S48" s="221">
        <v>0.42658268844331826</v>
      </c>
      <c r="T48" s="221">
        <v>0.4166718845766208</v>
      </c>
      <c r="U48" s="221">
        <v>0.42428967875127921</v>
      </c>
      <c r="V48" s="221">
        <v>0.42932048440672554</v>
      </c>
      <c r="W48" s="221">
        <v>0.43332837976042143</v>
      </c>
      <c r="X48" s="221">
        <v>0.4269709379240243</v>
      </c>
      <c r="Y48" s="226">
        <v>0.42468311228793809</v>
      </c>
      <c r="Z48" s="227"/>
      <c r="AA48" s="227"/>
      <c r="AB48" s="225" t="s">
        <v>1500</v>
      </c>
      <c r="AC48" s="225" t="s">
        <v>85</v>
      </c>
      <c r="AD48" s="221">
        <v>2.3311446870571233E-3</v>
      </c>
      <c r="AE48" s="221">
        <v>2.8985379556413257E-3</v>
      </c>
      <c r="AF48" s="221">
        <v>3.8872130428177385E-3</v>
      </c>
      <c r="AG48" s="221">
        <v>4.0224065080983968E-3</v>
      </c>
      <c r="AH48" s="221">
        <v>4.2289092577979135E-3</v>
      </c>
      <c r="AI48" s="221">
        <v>4.226854643389389E-3</v>
      </c>
      <c r="AJ48" s="221">
        <v>4.2667018271167556E-3</v>
      </c>
      <c r="AK48" s="221">
        <v>4.1990288439446074E-3</v>
      </c>
      <c r="AL48" s="226">
        <v>3.7575995957329061E-3</v>
      </c>
      <c r="AM48" s="229"/>
      <c r="AN48" s="229"/>
    </row>
    <row r="49" spans="2:40" s="228" customFormat="1">
      <c r="B49" s="220" t="s">
        <v>1501</v>
      </c>
      <c r="C49" s="225" t="s">
        <v>85</v>
      </c>
      <c r="D49" s="221">
        <v>0.57453732386701384</v>
      </c>
      <c r="E49" s="221">
        <v>0.5712075099288404</v>
      </c>
      <c r="F49" s="221">
        <v>0.56677032200458799</v>
      </c>
      <c r="G49" s="221">
        <v>0.5725220865046885</v>
      </c>
      <c r="H49" s="221">
        <v>0.56733238470086833</v>
      </c>
      <c r="I49" s="221">
        <v>0.56243160813035287</v>
      </c>
      <c r="J49" s="221">
        <v>0.54569177036740157</v>
      </c>
      <c r="K49" s="221">
        <v>0.54333473238562746</v>
      </c>
      <c r="L49" s="226">
        <v>0.56297846723617262</v>
      </c>
      <c r="M49" s="227"/>
      <c r="N49" s="227"/>
      <c r="O49" s="225" t="s">
        <v>1501</v>
      </c>
      <c r="P49" s="225" t="s">
        <v>85</v>
      </c>
      <c r="Q49" s="221">
        <v>0.42496818512905954</v>
      </c>
      <c r="R49" s="221">
        <v>0.42825145626946648</v>
      </c>
      <c r="S49" s="221">
        <v>0.432650046295951</v>
      </c>
      <c r="T49" s="221">
        <v>0.42674931633255769</v>
      </c>
      <c r="U49" s="221">
        <v>0.43189830291229814</v>
      </c>
      <c r="V49" s="221">
        <v>0.43677290147725095</v>
      </c>
      <c r="W49" s="221">
        <v>0.45360467990442449</v>
      </c>
      <c r="X49" s="221">
        <v>0.45594936460098234</v>
      </c>
      <c r="Y49" s="226">
        <v>0.43635553161524887</v>
      </c>
      <c r="Z49" s="227"/>
      <c r="AA49" s="227"/>
      <c r="AB49" s="225" t="s">
        <v>1501</v>
      </c>
      <c r="AC49" s="225" t="s">
        <v>85</v>
      </c>
      <c r="AD49" s="221">
        <v>4.9449100392662487E-4</v>
      </c>
      <c r="AE49" s="221">
        <v>5.4103380169318266E-4</v>
      </c>
      <c r="AF49" s="221">
        <v>5.7963169946096381E-4</v>
      </c>
      <c r="AG49" s="221">
        <v>7.285971627538398E-4</v>
      </c>
      <c r="AH49" s="221">
        <v>7.6931238683356287E-4</v>
      </c>
      <c r="AI49" s="221">
        <v>7.954903923962091E-4</v>
      </c>
      <c r="AJ49" s="221">
        <v>7.0354972817396864E-4</v>
      </c>
      <c r="AK49" s="221">
        <v>7.1590301339019384E-4</v>
      </c>
      <c r="AL49" s="226">
        <v>6.6600114857856812E-4</v>
      </c>
      <c r="AM49" s="229"/>
      <c r="AN49" s="229"/>
    </row>
    <row r="50" spans="2:40" s="228" customFormat="1">
      <c r="B50" s="220" t="s">
        <v>1502</v>
      </c>
      <c r="C50" s="225" t="s">
        <v>87</v>
      </c>
      <c r="D50" s="221">
        <v>0.51976183765402639</v>
      </c>
      <c r="E50" s="221">
        <v>0.51272052638579013</v>
      </c>
      <c r="F50" s="221">
        <v>0.5305981729315169</v>
      </c>
      <c r="G50" s="221">
        <v>0.52072934632545664</v>
      </c>
      <c r="H50" s="221">
        <v>0.49987621874861166</v>
      </c>
      <c r="I50" s="221">
        <v>0.52374854186419439</v>
      </c>
      <c r="J50" s="221">
        <v>0.51987207810508196</v>
      </c>
      <c r="K50" s="221">
        <v>0.51562292470693472</v>
      </c>
      <c r="L50" s="226">
        <v>0.5178662058402016</v>
      </c>
      <c r="M50" s="227"/>
      <c r="N50" s="227"/>
      <c r="O50" s="225" t="s">
        <v>1502</v>
      </c>
      <c r="P50" s="225" t="s">
        <v>87</v>
      </c>
      <c r="Q50" s="221">
        <v>0.47834679457127055</v>
      </c>
      <c r="R50" s="221">
        <v>0.48530135500910504</v>
      </c>
      <c r="S50" s="221">
        <v>0.4670049842322872</v>
      </c>
      <c r="T50" s="221">
        <v>0.47681538246063349</v>
      </c>
      <c r="U50" s="221">
        <v>0.49726421578994173</v>
      </c>
      <c r="V50" s="221">
        <v>0.4728698651310877</v>
      </c>
      <c r="W50" s="221">
        <v>0.47603857898411112</v>
      </c>
      <c r="X50" s="221">
        <v>0.47996207985725559</v>
      </c>
      <c r="Y50" s="226">
        <v>0.47920040700446159</v>
      </c>
      <c r="Z50" s="227"/>
      <c r="AA50" s="227"/>
      <c r="AB50" s="225" t="s">
        <v>1502</v>
      </c>
      <c r="AC50" s="225" t="s">
        <v>87</v>
      </c>
      <c r="AD50" s="221">
        <v>1.8913677747030878E-3</v>
      </c>
      <c r="AE50" s="221">
        <v>1.9781186051047554E-3</v>
      </c>
      <c r="AF50" s="221">
        <v>2.3968428361958306E-3</v>
      </c>
      <c r="AG50" s="221">
        <v>2.4552712139098423E-3</v>
      </c>
      <c r="AH50" s="221">
        <v>2.8595654614465707E-3</v>
      </c>
      <c r="AI50" s="221">
        <v>3.3815930047179114E-3</v>
      </c>
      <c r="AJ50" s="221">
        <v>4.0893429108069352E-3</v>
      </c>
      <c r="AK50" s="221">
        <v>4.4149954358097118E-3</v>
      </c>
      <c r="AL50" s="226">
        <v>2.933387155336831E-3</v>
      </c>
      <c r="AM50" s="229"/>
      <c r="AN50" s="229"/>
    </row>
    <row r="51" spans="2:40" s="228" customFormat="1">
      <c r="B51" s="220" t="s">
        <v>1503</v>
      </c>
      <c r="C51" s="225" t="s">
        <v>87</v>
      </c>
      <c r="D51" s="221">
        <v>0.53828972111368756</v>
      </c>
      <c r="E51" s="221">
        <v>0.54316325986669489</v>
      </c>
      <c r="F51" s="221">
        <v>0.53684624486985877</v>
      </c>
      <c r="G51" s="221">
        <v>0.52960941789348692</v>
      </c>
      <c r="H51" s="221">
        <v>0.52448432244159937</v>
      </c>
      <c r="I51" s="221">
        <v>0.54718248286174087</v>
      </c>
      <c r="J51" s="221">
        <v>0.54000635788643292</v>
      </c>
      <c r="K51" s="221">
        <v>0.53370030532463009</v>
      </c>
      <c r="L51" s="226">
        <v>0.53666026403226641</v>
      </c>
      <c r="M51" s="227"/>
      <c r="N51" s="227"/>
      <c r="O51" s="225" t="s">
        <v>1503</v>
      </c>
      <c r="P51" s="225" t="s">
        <v>87</v>
      </c>
      <c r="Q51" s="221">
        <v>0.4426855174275523</v>
      </c>
      <c r="R51" s="221">
        <v>0.44747046508113575</v>
      </c>
      <c r="S51" s="221">
        <v>0.46010320378296526</v>
      </c>
      <c r="T51" s="221">
        <v>0.46725622135114087</v>
      </c>
      <c r="U51" s="221">
        <v>0.47246543427748333</v>
      </c>
      <c r="V51" s="221">
        <v>0.44951355056027492</v>
      </c>
      <c r="W51" s="221">
        <v>0.45580626436181176</v>
      </c>
      <c r="X51" s="221">
        <v>0.46282153542775517</v>
      </c>
      <c r="Y51" s="226">
        <v>0.45726527403376493</v>
      </c>
      <c r="Z51" s="227"/>
      <c r="AA51" s="227"/>
      <c r="AB51" s="225" t="s">
        <v>1503</v>
      </c>
      <c r="AC51" s="225" t="s">
        <v>87</v>
      </c>
      <c r="AD51" s="221">
        <v>1.902476145876017E-2</v>
      </c>
      <c r="AE51" s="221">
        <v>9.3662750521693507E-3</v>
      </c>
      <c r="AF51" s="221">
        <v>3.0505513471759771E-3</v>
      </c>
      <c r="AG51" s="221">
        <v>3.1343607553722596E-3</v>
      </c>
      <c r="AH51" s="221">
        <v>3.0502432809172836E-3</v>
      </c>
      <c r="AI51" s="221">
        <v>3.3039665779842444E-3</v>
      </c>
      <c r="AJ51" s="221">
        <v>4.187377751755263E-3</v>
      </c>
      <c r="AK51" s="221">
        <v>3.4781592476147579E-3</v>
      </c>
      <c r="AL51" s="226">
        <v>6.0744619339686626E-3</v>
      </c>
      <c r="AM51" s="229"/>
      <c r="AN51" s="229"/>
    </row>
    <row r="52" spans="2:40" s="228" customFormat="1">
      <c r="B52" s="220" t="s">
        <v>1504</v>
      </c>
      <c r="C52" s="225" t="s">
        <v>87</v>
      </c>
      <c r="D52" s="221">
        <v>0.55272323251017597</v>
      </c>
      <c r="E52" s="221">
        <v>0.54793872857862247</v>
      </c>
      <c r="F52" s="221">
        <v>0.56422587416048797</v>
      </c>
      <c r="G52" s="221">
        <v>0.56146939806844254</v>
      </c>
      <c r="H52" s="221">
        <v>0.5446270174860165</v>
      </c>
      <c r="I52" s="221">
        <v>0.55551391459264821</v>
      </c>
      <c r="J52" s="221">
        <v>0.55978399152250258</v>
      </c>
      <c r="K52" s="221">
        <v>0.56190050710935635</v>
      </c>
      <c r="L52" s="226">
        <v>0.5560228330035315</v>
      </c>
      <c r="M52" s="227"/>
      <c r="N52" s="227"/>
      <c r="O52" s="225" t="s">
        <v>1504</v>
      </c>
      <c r="P52" s="225" t="s">
        <v>87</v>
      </c>
      <c r="Q52" s="221">
        <v>0.44466013693037976</v>
      </c>
      <c r="R52" s="221">
        <v>0.44938847695962336</v>
      </c>
      <c r="S52" s="221">
        <v>0.42883023570624101</v>
      </c>
      <c r="T52" s="221">
        <v>0.43131473442393042</v>
      </c>
      <c r="U52" s="221">
        <v>0.45280741160362642</v>
      </c>
      <c r="V52" s="221">
        <v>0.42626302774749186</v>
      </c>
      <c r="W52" s="221">
        <v>0.43416633408086458</v>
      </c>
      <c r="X52" s="221">
        <v>0.43519503357669503</v>
      </c>
      <c r="Y52" s="226">
        <v>0.43782817387860656</v>
      </c>
      <c r="Z52" s="227"/>
      <c r="AA52" s="227"/>
      <c r="AB52" s="225" t="s">
        <v>1504</v>
      </c>
      <c r="AC52" s="225" t="s">
        <v>87</v>
      </c>
      <c r="AD52" s="221">
        <v>2.6166305594442531E-3</v>
      </c>
      <c r="AE52" s="221">
        <v>2.6727944617541259E-3</v>
      </c>
      <c r="AF52" s="221">
        <v>6.943890133271023E-3</v>
      </c>
      <c r="AG52" s="221">
        <v>7.215867507627028E-3</v>
      </c>
      <c r="AH52" s="221">
        <v>2.5655709103570997E-3</v>
      </c>
      <c r="AI52" s="221">
        <v>1.8223057659859928E-2</v>
      </c>
      <c r="AJ52" s="221">
        <v>6.0496743966328131E-3</v>
      </c>
      <c r="AK52" s="221">
        <v>2.9044593139486152E-3</v>
      </c>
      <c r="AL52" s="226">
        <v>6.1489931178618611E-3</v>
      </c>
      <c r="AM52" s="229"/>
      <c r="AN52" s="229"/>
    </row>
    <row r="53" spans="2:40" s="228" customFormat="1">
      <c r="B53" s="220" t="s">
        <v>1505</v>
      </c>
      <c r="C53" s="225" t="s">
        <v>87</v>
      </c>
      <c r="D53" s="221">
        <v>0.53637802608326168</v>
      </c>
      <c r="E53" s="221">
        <v>0.54221657002195833</v>
      </c>
      <c r="F53" s="221">
        <v>0.54116622442142293</v>
      </c>
      <c r="G53" s="221">
        <v>0.54011582515508139</v>
      </c>
      <c r="H53" s="221">
        <v>0.54165705738930892</v>
      </c>
      <c r="I53" s="221">
        <v>0.53071402711750726</v>
      </c>
      <c r="J53" s="221">
        <v>0.54083423661497854</v>
      </c>
      <c r="K53" s="221">
        <v>0.54148068725372411</v>
      </c>
      <c r="L53" s="226">
        <v>0.53932033175715532</v>
      </c>
      <c r="M53" s="227"/>
      <c r="N53" s="227"/>
      <c r="O53" s="225" t="s">
        <v>1505</v>
      </c>
      <c r="P53" s="225" t="s">
        <v>87</v>
      </c>
      <c r="Q53" s="221">
        <v>0.45343601028081948</v>
      </c>
      <c r="R53" s="221">
        <v>0.4569543381747625</v>
      </c>
      <c r="S53" s="221">
        <v>0.45791050076581263</v>
      </c>
      <c r="T53" s="221">
        <v>0.4572610815286115</v>
      </c>
      <c r="U53" s="221">
        <v>0.45732505583215521</v>
      </c>
      <c r="V53" s="221">
        <v>0.44964752614910375</v>
      </c>
      <c r="W53" s="221">
        <v>0.45805013789693533</v>
      </c>
      <c r="X53" s="221">
        <v>0.45735049988607679</v>
      </c>
      <c r="Y53" s="226">
        <v>0.45599189381428462</v>
      </c>
      <c r="Z53" s="227"/>
      <c r="AA53" s="227"/>
      <c r="AB53" s="225" t="s">
        <v>1505</v>
      </c>
      <c r="AC53" s="225" t="s">
        <v>87</v>
      </c>
      <c r="AD53" s="221">
        <v>1.0185963635918916E-2</v>
      </c>
      <c r="AE53" s="221">
        <v>8.2909180327918135E-4</v>
      </c>
      <c r="AF53" s="221">
        <v>9.2327481276443016E-4</v>
      </c>
      <c r="AG53" s="221">
        <v>2.623093316307099E-3</v>
      </c>
      <c r="AH53" s="221">
        <v>1.0178867785358657E-3</v>
      </c>
      <c r="AI53" s="221">
        <v>1.963844673338893E-2</v>
      </c>
      <c r="AJ53" s="221">
        <v>1.115625488086151E-3</v>
      </c>
      <c r="AK53" s="221">
        <v>1.1688128601990858E-3</v>
      </c>
      <c r="AL53" s="226">
        <v>4.6877744285599571E-3</v>
      </c>
      <c r="AM53" s="229"/>
      <c r="AN53" s="229"/>
    </row>
    <row r="54" spans="2:40" s="228" customFormat="1">
      <c r="B54" s="220"/>
      <c r="C54" s="225"/>
      <c r="D54" s="221"/>
      <c r="E54" s="221"/>
      <c r="F54" s="221"/>
      <c r="G54" s="221"/>
      <c r="H54" s="221"/>
      <c r="I54" s="221"/>
      <c r="J54" s="221"/>
      <c r="K54" s="221"/>
      <c r="L54" s="226"/>
      <c r="M54" s="227"/>
      <c r="N54" s="227"/>
      <c r="O54" s="225"/>
      <c r="P54" s="225"/>
      <c r="Q54" s="221"/>
      <c r="R54" s="221"/>
      <c r="S54" s="221"/>
      <c r="T54" s="221"/>
      <c r="U54" s="221"/>
      <c r="V54" s="221"/>
      <c r="W54" s="221"/>
      <c r="X54" s="221"/>
      <c r="Y54" s="226"/>
      <c r="Z54" s="227"/>
      <c r="AA54" s="227"/>
      <c r="AB54" s="225"/>
      <c r="AC54" s="225"/>
      <c r="AD54" s="221"/>
      <c r="AE54" s="221"/>
      <c r="AF54" s="221"/>
      <c r="AG54" s="221"/>
      <c r="AH54" s="221"/>
      <c r="AI54" s="221"/>
      <c r="AJ54" s="221"/>
      <c r="AK54" s="221"/>
      <c r="AL54" s="226"/>
      <c r="AM54" s="229"/>
      <c r="AN54" s="229"/>
    </row>
    <row r="55" spans="2:40">
      <c r="B55" s="220"/>
      <c r="C55" s="114"/>
      <c r="D55" s="221"/>
      <c r="E55" s="221"/>
      <c r="F55" s="221"/>
      <c r="G55" s="221"/>
      <c r="H55" s="221"/>
      <c r="I55" s="221"/>
      <c r="J55" s="221"/>
      <c r="K55" s="221"/>
      <c r="L55" s="128"/>
      <c r="O55" s="114"/>
      <c r="P55" s="114"/>
      <c r="Q55" s="221"/>
      <c r="R55" s="221"/>
      <c r="S55" s="221"/>
      <c r="T55" s="221"/>
      <c r="U55" s="221"/>
      <c r="V55" s="221"/>
      <c r="W55" s="221"/>
      <c r="X55" s="221"/>
      <c r="Y55" s="128"/>
      <c r="AB55" s="114"/>
      <c r="AC55" s="114"/>
      <c r="AD55" s="221"/>
      <c r="AE55" s="221"/>
      <c r="AF55" s="221"/>
      <c r="AG55" s="221"/>
      <c r="AH55" s="221"/>
      <c r="AI55" s="221"/>
      <c r="AJ55" s="221"/>
      <c r="AK55" s="221"/>
      <c r="AL55" s="128"/>
    </row>
    <row r="56" spans="2:40">
      <c r="B56" s="220"/>
      <c r="C56" s="114"/>
      <c r="D56" s="221"/>
      <c r="E56" s="221"/>
      <c r="F56" s="221"/>
      <c r="G56" s="221"/>
      <c r="H56" s="221"/>
      <c r="I56" s="221"/>
      <c r="J56" s="221"/>
      <c r="K56" s="221"/>
      <c r="L56" s="128"/>
      <c r="O56" s="113"/>
      <c r="P56" s="113"/>
      <c r="Q56" s="221"/>
      <c r="R56" s="221"/>
      <c r="S56" s="221"/>
      <c r="T56" s="221"/>
      <c r="U56" s="221"/>
      <c r="V56" s="221"/>
      <c r="W56" s="221"/>
      <c r="X56" s="221"/>
      <c r="Y56" s="128"/>
      <c r="AB56" s="113"/>
      <c r="AC56" s="113"/>
      <c r="AD56" s="221"/>
      <c r="AE56" s="221"/>
      <c r="AF56" s="221"/>
      <c r="AG56" s="221"/>
      <c r="AH56" s="221"/>
      <c r="AI56" s="221"/>
      <c r="AJ56" s="221"/>
      <c r="AK56" s="221"/>
      <c r="AL56" s="128"/>
    </row>
    <row r="57" spans="2:40">
      <c r="B57" s="220"/>
    </row>
    <row r="58" spans="2:40">
      <c r="B58" s="230" t="s">
        <v>31</v>
      </c>
      <c r="O58" s="230" t="s">
        <v>31</v>
      </c>
      <c r="AB58" s="230" t="s">
        <v>31</v>
      </c>
    </row>
    <row r="59" spans="2:40" ht="39.6">
      <c r="B59" s="230" t="s">
        <v>1506</v>
      </c>
      <c r="O59" s="230" t="s">
        <v>1506</v>
      </c>
      <c r="AB59" s="230" t="s">
        <v>1506</v>
      </c>
    </row>
    <row r="60" spans="2:40" ht="39.6">
      <c r="B60" s="230" t="s">
        <v>1507</v>
      </c>
      <c r="O60" s="230" t="s">
        <v>1507</v>
      </c>
      <c r="AB60" s="230" t="s">
        <v>1507</v>
      </c>
    </row>
    <row r="61" spans="2:40">
      <c r="B61" s="220"/>
    </row>
    <row r="62" spans="2:40">
      <c r="B62" s="132"/>
    </row>
    <row r="63" spans="2:40">
      <c r="B63" s="132"/>
    </row>
    <row r="64" spans="2:40">
      <c r="B64" s="132"/>
    </row>
    <row r="65" spans="2:2">
      <c r="B65" s="132"/>
    </row>
    <row r="66" spans="2:2">
      <c r="B66" s="132"/>
    </row>
    <row r="67" spans="2:2">
      <c r="B67" s="132"/>
    </row>
    <row r="68" spans="2:2">
      <c r="B68" s="132"/>
    </row>
    <row r="69" spans="2:2">
      <c r="B69" s="132"/>
    </row>
    <row r="70" spans="2:2">
      <c r="B70" s="132"/>
    </row>
    <row r="71" spans="2:2">
      <c r="B71" s="132"/>
    </row>
    <row r="72" spans="2:2">
      <c r="B72" s="132"/>
    </row>
    <row r="73" spans="2:2">
      <c r="B73" s="132"/>
    </row>
    <row r="74" spans="2:2">
      <c r="B74" s="132"/>
    </row>
    <row r="75" spans="2:2">
      <c r="B75" s="132"/>
    </row>
    <row r="76" spans="2:2">
      <c r="B76" s="132"/>
    </row>
    <row r="77" spans="2:2">
      <c r="B77" s="132"/>
    </row>
    <row r="78" spans="2:2">
      <c r="B78" s="220"/>
    </row>
    <row r="79" spans="2:2">
      <c r="B79" s="220"/>
    </row>
    <row r="80" spans="2:2">
      <c r="B80" s="220"/>
    </row>
    <row r="81" spans="2:2">
      <c r="B81" s="220"/>
    </row>
    <row r="82" spans="2:2">
      <c r="B82" s="220"/>
    </row>
    <row r="83" spans="2:2">
      <c r="B83" s="220"/>
    </row>
    <row r="84" spans="2:2">
      <c r="B84" s="220"/>
    </row>
    <row r="85" spans="2:2">
      <c r="B85" s="220"/>
    </row>
    <row r="86" spans="2:2">
      <c r="B86" s="220"/>
    </row>
    <row r="87" spans="2:2">
      <c r="B87" s="220"/>
    </row>
  </sheetData>
  <dataConsolidate/>
  <mergeCells count="10">
    <mergeCell ref="AO22:AY22"/>
    <mergeCell ref="B22:L22"/>
    <mergeCell ref="O22:Y22"/>
    <mergeCell ref="AB22:AL22"/>
    <mergeCell ref="B1:L1"/>
    <mergeCell ref="O1:Y1"/>
    <mergeCell ref="AB1:AL1"/>
    <mergeCell ref="B3:L3"/>
    <mergeCell ref="O3:Y3"/>
    <mergeCell ref="AB3:AL3"/>
  </mergeCells>
  <conditionalFormatting sqref="B5:C17">
    <cfRule type="expression" dxfId="1" priority="1">
      <formula>"(blank)"</formula>
    </cfRule>
  </conditionalFormatting>
  <conditionalFormatting sqref="B5:C17">
    <cfRule type="expression" dxfId="0" priority="2">
      <formula>#REF!</formula>
    </cfRule>
  </conditionalFormatting>
  <printOptions horizontalCentered="1"/>
  <pageMargins left="0.7" right="0.7" top="0.75" bottom="0.75" header="0.3" footer="0.3"/>
  <pageSetup scale="52" orientation="portrait" useFirstPageNumber="1" r:id="rId1"/>
  <colBreaks count="2" manualBreakCount="2">
    <brk id="13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7"/>
  <sheetViews>
    <sheetView tabSelected="1" view="pageLayout" topLeftCell="A31" zoomScale="60" zoomScaleNormal="85" zoomScaleSheetLayoutView="70" zoomScalePageLayoutView="60" workbookViewId="0"/>
  </sheetViews>
  <sheetFormatPr defaultColWidth="9.109375" defaultRowHeight="15.6"/>
  <cols>
    <col min="1" max="1" width="3" style="111" customWidth="1"/>
    <col min="2" max="2" width="40.6640625" style="111" customWidth="1"/>
    <col min="3" max="3" width="10.6640625" style="111" customWidth="1"/>
    <col min="4" max="11" width="15.5546875" style="111" customWidth="1"/>
    <col min="12" max="13" width="14.5546875" style="111" customWidth="1"/>
    <col min="14" max="14" width="19" style="111" bestFit="1" customWidth="1"/>
    <col min="15" max="16384" width="9.109375" style="111"/>
  </cols>
  <sheetData>
    <row r="1" spans="1:15" ht="12.75" customHeight="1">
      <c r="A1" s="113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 ht="12.75" customHeight="1">
      <c r="A2" s="113"/>
      <c r="B2" s="370" t="s">
        <v>1350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ht="12.7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2.75" customHeight="1" thickBot="1">
      <c r="A4" s="113"/>
      <c r="B4" s="113"/>
      <c r="C4" s="113"/>
      <c r="D4" s="132" t="s">
        <v>34</v>
      </c>
      <c r="E4" s="132" t="s">
        <v>35</v>
      </c>
      <c r="F4" s="132" t="s">
        <v>36</v>
      </c>
      <c r="G4" s="132" t="s">
        <v>37</v>
      </c>
      <c r="H4" s="132" t="s">
        <v>38</v>
      </c>
      <c r="I4" s="132" t="s">
        <v>39</v>
      </c>
      <c r="J4" s="132" t="s">
        <v>40</v>
      </c>
      <c r="K4" s="132" t="s">
        <v>41</v>
      </c>
      <c r="L4" s="132" t="s">
        <v>42</v>
      </c>
      <c r="M4" s="132" t="s">
        <v>43</v>
      </c>
      <c r="O4" s="137"/>
    </row>
    <row r="5" spans="1:15" ht="63" customHeight="1">
      <c r="A5" s="135"/>
      <c r="B5" s="249"/>
      <c r="C5" s="249"/>
      <c r="D5" s="136" t="s">
        <v>1351</v>
      </c>
      <c r="E5" s="136" t="s">
        <v>1352</v>
      </c>
      <c r="F5" s="136" t="s">
        <v>1353</v>
      </c>
      <c r="G5" s="136" t="s">
        <v>1354</v>
      </c>
      <c r="H5" s="136" t="s">
        <v>1355</v>
      </c>
      <c r="I5" s="136" t="s">
        <v>1356</v>
      </c>
      <c r="J5" s="136" t="s">
        <v>1357</v>
      </c>
      <c r="K5" s="136" t="s">
        <v>1358</v>
      </c>
      <c r="L5" s="136" t="s">
        <v>1359</v>
      </c>
      <c r="M5" s="136" t="s">
        <v>1360</v>
      </c>
    </row>
    <row r="6" spans="1:15" ht="12.75" customHeight="1">
      <c r="A6" s="135"/>
      <c r="B6" s="250"/>
      <c r="C6" s="250"/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134"/>
    </row>
    <row r="7" spans="1:15" ht="12.75" customHeight="1">
      <c r="A7" s="127"/>
      <c r="B7" s="2" t="s">
        <v>56</v>
      </c>
      <c r="C7" s="15" t="s">
        <v>57</v>
      </c>
      <c r="D7" s="202">
        <v>0.11</v>
      </c>
      <c r="E7" s="203">
        <v>15058</v>
      </c>
      <c r="F7" s="204">
        <v>0.32900000000000001</v>
      </c>
      <c r="G7" s="205">
        <f t="shared" ref="G7:G19" si="0">E7*F7</f>
        <v>4954.0820000000003</v>
      </c>
      <c r="H7" s="205">
        <v>18180</v>
      </c>
      <c r="I7" s="204">
        <v>0.4</v>
      </c>
      <c r="J7" s="270">
        <v>7272</v>
      </c>
      <c r="K7" s="130">
        <f t="shared" ref="K7:K19" si="1">(J7/G7)^(1/5)-1</f>
        <v>7.9787102871049287E-2</v>
      </c>
      <c r="L7" s="129">
        <f t="shared" ref="L7:L19" si="2">2*(1+K7)/(2+K7)</f>
        <v>1.0383631107053732</v>
      </c>
      <c r="M7" s="128">
        <f t="shared" ref="M7:M19" si="3">D7*L7</f>
        <v>0.11421994217759106</v>
      </c>
      <c r="N7" s="133"/>
      <c r="O7" s="115"/>
    </row>
    <row r="8" spans="1:15" ht="12.75" customHeight="1">
      <c r="A8" s="127"/>
      <c r="B8" s="2" t="s">
        <v>61</v>
      </c>
      <c r="C8" s="15" t="s">
        <v>62</v>
      </c>
      <c r="D8" s="202">
        <v>0.11</v>
      </c>
      <c r="E8" s="203">
        <v>12657</v>
      </c>
      <c r="F8" s="204">
        <v>0.44900000000000001</v>
      </c>
      <c r="G8" s="205">
        <f t="shared" si="0"/>
        <v>5682.9930000000004</v>
      </c>
      <c r="H8" s="205">
        <v>15700</v>
      </c>
      <c r="I8" s="204">
        <v>0.45500000000000002</v>
      </c>
      <c r="J8" s="270">
        <v>7143.5</v>
      </c>
      <c r="K8" s="130">
        <f t="shared" si="1"/>
        <v>4.6807403704126171E-2</v>
      </c>
      <c r="L8" s="129">
        <f t="shared" si="2"/>
        <v>1.022868494426695</v>
      </c>
      <c r="M8" s="128">
        <f t="shared" si="3"/>
        <v>0.11251553438693646</v>
      </c>
    </row>
    <row r="9" spans="1:15" ht="12.75" customHeight="1">
      <c r="A9" s="127"/>
      <c r="B9" s="2" t="s">
        <v>64</v>
      </c>
      <c r="C9" s="15" t="s">
        <v>65</v>
      </c>
      <c r="D9" s="202">
        <v>0.105</v>
      </c>
      <c r="E9" s="203">
        <v>20158</v>
      </c>
      <c r="F9" s="204">
        <v>0.443</v>
      </c>
      <c r="G9" s="205">
        <f t="shared" si="0"/>
        <v>8929.9940000000006</v>
      </c>
      <c r="H9" s="205">
        <v>27200</v>
      </c>
      <c r="I9" s="204">
        <v>0.495</v>
      </c>
      <c r="J9" s="270">
        <v>13464</v>
      </c>
      <c r="K9" s="130">
        <f t="shared" si="1"/>
        <v>8.5586883035033923E-2</v>
      </c>
      <c r="L9" s="129">
        <f t="shared" si="2"/>
        <v>1.0410373136363826</v>
      </c>
      <c r="M9" s="128">
        <f t="shared" si="3"/>
        <v>0.10930891793182017</v>
      </c>
    </row>
    <row r="10" spans="1:15" ht="12.75" customHeight="1">
      <c r="A10" s="127"/>
      <c r="B10" s="2" t="s">
        <v>66</v>
      </c>
      <c r="C10" s="15" t="s">
        <v>67</v>
      </c>
      <c r="D10" s="202">
        <v>0.08</v>
      </c>
      <c r="E10" s="203">
        <v>4089.8</v>
      </c>
      <c r="F10" s="204">
        <v>0.52500000000000002</v>
      </c>
      <c r="G10" s="205">
        <f t="shared" si="0"/>
        <v>2147.145</v>
      </c>
      <c r="H10" s="205">
        <v>5150</v>
      </c>
      <c r="I10" s="204">
        <v>0.52</v>
      </c>
      <c r="J10" s="270">
        <v>2678</v>
      </c>
      <c r="K10" s="262">
        <f t="shared" si="1"/>
        <v>4.5176989388120203E-2</v>
      </c>
      <c r="L10" s="129">
        <f t="shared" si="2"/>
        <v>1.022089525563084</v>
      </c>
      <c r="M10" s="128">
        <f t="shared" si="3"/>
        <v>8.1767162045046721E-2</v>
      </c>
    </row>
    <row r="11" spans="1:15" ht="12.75" customHeight="1">
      <c r="A11" s="127"/>
      <c r="B11" s="2" t="s">
        <v>69</v>
      </c>
      <c r="C11" s="15" t="s">
        <v>70</v>
      </c>
      <c r="D11" s="202">
        <v>0.09</v>
      </c>
      <c r="E11" s="203">
        <v>6089.5</v>
      </c>
      <c r="F11" s="204">
        <v>0.42099999999999999</v>
      </c>
      <c r="G11" s="205">
        <f t="shared" si="0"/>
        <v>2563.6794999999997</v>
      </c>
      <c r="H11" s="205">
        <v>7000</v>
      </c>
      <c r="I11" s="204">
        <v>0.51</v>
      </c>
      <c r="J11" s="270">
        <v>3570</v>
      </c>
      <c r="K11" s="262">
        <f t="shared" si="1"/>
        <v>6.8466467931913799E-2</v>
      </c>
      <c r="L11" s="129">
        <f t="shared" si="2"/>
        <v>1.0331001101508634</v>
      </c>
      <c r="M11" s="128">
        <f t="shared" si="3"/>
        <v>9.2979009913577701E-2</v>
      </c>
    </row>
    <row r="12" spans="1:15" ht="12.75" customHeight="1">
      <c r="A12" s="127"/>
      <c r="B12" s="2" t="s">
        <v>71</v>
      </c>
      <c r="C12" s="15" t="s">
        <v>72</v>
      </c>
      <c r="D12" s="202">
        <v>0.13500000000000001</v>
      </c>
      <c r="E12" s="203">
        <v>19223</v>
      </c>
      <c r="F12" s="204">
        <v>0.28599999999999998</v>
      </c>
      <c r="G12" s="205">
        <f t="shared" si="0"/>
        <v>5497.7779999999993</v>
      </c>
      <c r="H12" s="205">
        <v>23100</v>
      </c>
      <c r="I12" s="204">
        <v>0.33500000000000002</v>
      </c>
      <c r="J12" s="270">
        <v>7738.5000000000009</v>
      </c>
      <c r="K12" s="130">
        <f t="shared" si="1"/>
        <v>7.0764385022298315E-2</v>
      </c>
      <c r="L12" s="129">
        <f t="shared" si="2"/>
        <v>1.0341730742203858</v>
      </c>
      <c r="M12" s="128">
        <f t="shared" si="3"/>
        <v>0.13961336501975211</v>
      </c>
    </row>
    <row r="13" spans="1:15" ht="12.75" customHeight="1">
      <c r="A13" s="127"/>
      <c r="B13" s="2" t="s">
        <v>73</v>
      </c>
      <c r="C13" s="15" t="s">
        <v>74</v>
      </c>
      <c r="D13" s="202">
        <v>9.5000000000000001E-2</v>
      </c>
      <c r="E13" s="203">
        <v>103589</v>
      </c>
      <c r="F13" s="204">
        <v>0.44</v>
      </c>
      <c r="G13" s="205">
        <f t="shared" si="0"/>
        <v>45579.16</v>
      </c>
      <c r="H13" s="205">
        <v>121100</v>
      </c>
      <c r="I13" s="204">
        <v>0.435</v>
      </c>
      <c r="J13" s="270">
        <v>52678.5</v>
      </c>
      <c r="K13" s="130">
        <f t="shared" si="1"/>
        <v>2.9374526159160474E-2</v>
      </c>
      <c r="L13" s="129">
        <f t="shared" si="2"/>
        <v>1.0144746697962921</v>
      </c>
      <c r="M13" s="128">
        <f t="shared" si="3"/>
        <v>9.6375093630647751E-2</v>
      </c>
    </row>
    <row r="14" spans="1:15" ht="12.75" customHeight="1">
      <c r="A14" s="127"/>
      <c r="B14" s="2" t="s">
        <v>75</v>
      </c>
      <c r="C14" s="15" t="s">
        <v>76</v>
      </c>
      <c r="D14" s="202">
        <v>0.1</v>
      </c>
      <c r="E14" s="203">
        <v>1512.8</v>
      </c>
      <c r="F14" s="204">
        <v>0.64500000000000002</v>
      </c>
      <c r="G14" s="205">
        <f t="shared" si="0"/>
        <v>975.75599999999997</v>
      </c>
      <c r="H14" s="205">
        <v>2075</v>
      </c>
      <c r="I14" s="204">
        <v>0.59499999999999997</v>
      </c>
      <c r="J14" s="270">
        <v>1234.625</v>
      </c>
      <c r="K14" s="130">
        <f t="shared" si="1"/>
        <v>4.8186995512060626E-2</v>
      </c>
      <c r="L14" s="129">
        <f t="shared" si="2"/>
        <v>1.0235266582678471</v>
      </c>
      <c r="M14" s="128">
        <f t="shared" si="3"/>
        <v>0.10235266582678471</v>
      </c>
    </row>
    <row r="15" spans="1:15" ht="12.75" customHeight="1">
      <c r="A15" s="127"/>
      <c r="B15" s="2" t="s">
        <v>78</v>
      </c>
      <c r="C15" s="15" t="s">
        <v>79</v>
      </c>
      <c r="D15" s="202">
        <v>0.125</v>
      </c>
      <c r="E15" s="203">
        <v>78457</v>
      </c>
      <c r="F15" s="204">
        <v>0.46500000000000002</v>
      </c>
      <c r="G15" s="205">
        <f t="shared" si="0"/>
        <v>36482.505000000005</v>
      </c>
      <c r="H15" s="205">
        <v>112100</v>
      </c>
      <c r="I15" s="204">
        <v>0.45500000000000002</v>
      </c>
      <c r="J15" s="270">
        <v>51005.5</v>
      </c>
      <c r="K15" s="130">
        <f t="shared" si="1"/>
        <v>6.9317001049793436E-2</v>
      </c>
      <c r="L15" s="129">
        <f t="shared" si="2"/>
        <v>1.0334975264856123</v>
      </c>
      <c r="M15" s="128">
        <f t="shared" si="3"/>
        <v>0.12918719081070154</v>
      </c>
    </row>
    <row r="16" spans="1:15" ht="12.75" customHeight="1">
      <c r="A16" s="127"/>
      <c r="B16" s="2" t="s">
        <v>80</v>
      </c>
      <c r="C16" s="15" t="s">
        <v>81</v>
      </c>
      <c r="D16" s="202">
        <v>8.5000000000000006E-2</v>
      </c>
      <c r="E16" s="203">
        <v>4409.1000000000004</v>
      </c>
      <c r="F16" s="204">
        <v>0.47199999999999998</v>
      </c>
      <c r="G16" s="205">
        <f t="shared" si="0"/>
        <v>2081.0952000000002</v>
      </c>
      <c r="H16" s="205">
        <v>5375</v>
      </c>
      <c r="I16" s="204">
        <v>0.51</v>
      </c>
      <c r="J16" s="270">
        <v>2741.25</v>
      </c>
      <c r="K16" s="262">
        <f t="shared" si="1"/>
        <v>5.6650442951536872E-2</v>
      </c>
      <c r="L16" s="129">
        <f t="shared" si="2"/>
        <v>1.027545003160691</v>
      </c>
      <c r="M16" s="128">
        <f t="shared" si="3"/>
        <v>8.7341325268658745E-2</v>
      </c>
    </row>
    <row r="17" spans="1:14" ht="12.75" customHeight="1">
      <c r="A17" s="127"/>
      <c r="B17" s="2" t="s">
        <v>82</v>
      </c>
      <c r="C17" s="15" t="s">
        <v>83</v>
      </c>
      <c r="D17" s="202">
        <v>0.14000000000000001</v>
      </c>
      <c r="E17" s="203">
        <v>73336</v>
      </c>
      <c r="F17" s="204">
        <v>0.38100000000000001</v>
      </c>
      <c r="G17" s="205">
        <f t="shared" si="0"/>
        <v>27941.016</v>
      </c>
      <c r="H17" s="205">
        <v>93300</v>
      </c>
      <c r="I17" s="204">
        <v>0.38500000000000001</v>
      </c>
      <c r="J17" s="270">
        <v>35920.5</v>
      </c>
      <c r="K17" s="130">
        <f t="shared" si="1"/>
        <v>5.1526049248206807E-2</v>
      </c>
      <c r="L17" s="129">
        <f t="shared" si="2"/>
        <v>1.025115961489784</v>
      </c>
      <c r="M17" s="128">
        <f t="shared" si="3"/>
        <v>0.14351623460856977</v>
      </c>
    </row>
    <row r="18" spans="1:14" ht="12.75" customHeight="1">
      <c r="A18" s="127"/>
      <c r="B18" s="2" t="s">
        <v>84</v>
      </c>
      <c r="C18" s="15" t="s">
        <v>85</v>
      </c>
      <c r="D18" s="202">
        <v>0.13</v>
      </c>
      <c r="E18" s="203">
        <v>22228</v>
      </c>
      <c r="F18" s="204">
        <v>0.47099999999999997</v>
      </c>
      <c r="G18" s="205">
        <f t="shared" si="0"/>
        <v>10469.387999999999</v>
      </c>
      <c r="H18" s="205">
        <v>27100</v>
      </c>
      <c r="I18" s="204">
        <v>0.47</v>
      </c>
      <c r="J18" s="270">
        <v>12737</v>
      </c>
      <c r="K18" s="130">
        <f t="shared" si="1"/>
        <v>3.9990017584874415E-2</v>
      </c>
      <c r="L18" s="129">
        <f t="shared" si="2"/>
        <v>1.0196030457208896</v>
      </c>
      <c r="M18" s="128">
        <f t="shared" si="3"/>
        <v>0.13254839594371565</v>
      </c>
    </row>
    <row r="19" spans="1:14" ht="12.75" customHeight="1">
      <c r="A19" s="127"/>
      <c r="B19" s="2" t="s">
        <v>86</v>
      </c>
      <c r="C19" s="15" t="s">
        <v>87</v>
      </c>
      <c r="D19" s="202">
        <v>0.11</v>
      </c>
      <c r="E19" s="203">
        <v>34220</v>
      </c>
      <c r="F19" s="204">
        <v>0.42599999999999999</v>
      </c>
      <c r="G19" s="205">
        <f t="shared" si="0"/>
        <v>14577.72</v>
      </c>
      <c r="H19" s="205">
        <v>45200</v>
      </c>
      <c r="I19" s="204">
        <v>0.42</v>
      </c>
      <c r="J19" s="270">
        <v>18984</v>
      </c>
      <c r="K19" s="262">
        <f t="shared" si="1"/>
        <v>5.4240325225777486E-2</v>
      </c>
      <c r="L19" s="129">
        <f t="shared" si="2"/>
        <v>1.0264040796783678</v>
      </c>
      <c r="M19" s="128">
        <f t="shared" si="3"/>
        <v>0.11290444876462045</v>
      </c>
    </row>
    <row r="20" spans="1:14" ht="12.75" customHeight="1">
      <c r="A20" s="127"/>
      <c r="B20" s="113"/>
      <c r="C20" s="132"/>
      <c r="D20" s="202"/>
      <c r="E20" s="205"/>
      <c r="F20" s="202"/>
      <c r="G20" s="205"/>
      <c r="H20" s="205"/>
      <c r="I20" s="202"/>
      <c r="J20" s="131"/>
      <c r="K20" s="130"/>
      <c r="L20" s="129"/>
      <c r="M20" s="128"/>
    </row>
    <row r="21" spans="1:14" ht="12.75" customHeight="1">
      <c r="A21" s="127"/>
      <c r="B21" s="299" t="s">
        <v>15</v>
      </c>
      <c r="C21" s="300"/>
      <c r="D21" s="301"/>
      <c r="E21" s="301"/>
      <c r="F21" s="301"/>
      <c r="G21" s="301"/>
      <c r="H21" s="301"/>
      <c r="I21" s="301"/>
      <c r="J21" s="301"/>
      <c r="K21" s="301"/>
      <c r="L21" s="250"/>
      <c r="M21" s="302">
        <f>AVERAGE(M7:M19)</f>
        <v>0.11189456048680174</v>
      </c>
    </row>
    <row r="22" spans="1:14" ht="12.75" customHeight="1" thickBot="1">
      <c r="A22" s="127"/>
      <c r="B22" s="124" t="s">
        <v>3</v>
      </c>
      <c r="C22" s="126"/>
      <c r="D22" s="125"/>
      <c r="E22" s="125"/>
      <c r="F22" s="125"/>
      <c r="G22" s="125"/>
      <c r="H22" s="125"/>
      <c r="I22" s="125"/>
      <c r="J22" s="125"/>
      <c r="K22" s="125"/>
      <c r="L22" s="124"/>
      <c r="M22" s="123">
        <f>MEDIAN(M7:M19)</f>
        <v>0.11251553438693646</v>
      </c>
    </row>
    <row r="23" spans="1:14" ht="12.75" customHeight="1">
      <c r="A23" s="113"/>
      <c r="B23" s="109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4" ht="12.75" customHeight="1">
      <c r="A24" s="113"/>
      <c r="B24" s="122" t="s">
        <v>31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21"/>
    </row>
    <row r="25" spans="1:14" ht="12.75" customHeight="1">
      <c r="A25" s="113"/>
      <c r="B25" s="114" t="s">
        <v>1361</v>
      </c>
      <c r="C25" s="113"/>
      <c r="D25" s="113"/>
      <c r="E25" s="113"/>
      <c r="F25" s="113"/>
      <c r="G25" s="206"/>
      <c r="H25" s="207"/>
      <c r="I25" s="207"/>
      <c r="J25" s="120"/>
      <c r="K25" s="120"/>
      <c r="L25" s="120"/>
      <c r="M25" s="120"/>
      <c r="N25" s="119"/>
    </row>
    <row r="26" spans="1:14" ht="12.75" customHeight="1">
      <c r="A26" s="113"/>
      <c r="B26" s="114" t="s">
        <v>137</v>
      </c>
      <c r="C26" s="113"/>
      <c r="D26" s="113"/>
      <c r="E26" s="113"/>
      <c r="F26" s="113"/>
      <c r="G26" s="118"/>
      <c r="H26" s="118"/>
      <c r="I26" s="118"/>
      <c r="J26" s="118"/>
      <c r="K26" s="118"/>
      <c r="L26" s="118"/>
      <c r="M26" s="113"/>
      <c r="N26" s="117"/>
    </row>
    <row r="27" spans="1:14" ht="12.75" customHeight="1">
      <c r="A27" s="113"/>
      <c r="B27" s="114" t="s">
        <v>1362</v>
      </c>
      <c r="C27" s="113"/>
      <c r="D27" s="113"/>
      <c r="E27" s="113"/>
      <c r="F27" s="113"/>
      <c r="G27" s="208"/>
      <c r="H27" s="208"/>
      <c r="I27" s="208"/>
      <c r="J27" s="116"/>
      <c r="K27" s="116"/>
      <c r="L27" s="116"/>
      <c r="M27" s="113"/>
      <c r="N27" s="115"/>
    </row>
    <row r="28" spans="1:14" ht="12.75" customHeight="1">
      <c r="A28" s="113"/>
      <c r="B28" s="114" t="s">
        <v>1363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4" ht="12.75" customHeight="1">
      <c r="A29" s="113"/>
      <c r="B29" s="114" t="s">
        <v>117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4" ht="12.75" customHeight="1">
      <c r="A30" s="113"/>
      <c r="B30" s="114" t="s">
        <v>1364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4" ht="12.75" customHeight="1">
      <c r="A31" s="113"/>
      <c r="B31" s="114" t="s">
        <v>1365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4" ht="12.75" customHeight="1">
      <c r="A32" s="113"/>
      <c r="B32" s="114" t="s">
        <v>1366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.75" customHeight="1">
      <c r="A33" s="113"/>
      <c r="B33" s="114" t="s">
        <v>1367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.75" customHeight="1">
      <c r="A34" s="113"/>
      <c r="B34" s="114" t="s">
        <v>1368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2.75" customHeight="1">
      <c r="A35" s="113"/>
      <c r="B35" s="114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1:13" ht="12.75" customHeight="1">
      <c r="A36" s="113"/>
      <c r="B36" s="114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</row>
    <row r="37" spans="1:13" ht="12.75" customHeight="1">
      <c r="B37" s="112"/>
    </row>
    <row r="38" spans="1:13" ht="12.75" customHeight="1"/>
    <row r="39" spans="1:13" ht="12.75" customHeight="1"/>
    <row r="40" spans="1:13" ht="12.75" customHeight="1"/>
    <row r="41" spans="1:13" ht="12.75" customHeight="1"/>
    <row r="42" spans="1:13" ht="12.75" customHeight="1"/>
    <row r="43" spans="1:13" ht="12.7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</sheetData>
  <mergeCells count="1">
    <mergeCell ref="B2:M2"/>
  </mergeCells>
  <conditionalFormatting sqref="D21:K22 D7:J20">
    <cfRule type="expression" dxfId="4" priority="5">
      <formula>$D7="Yes"</formula>
    </cfRule>
  </conditionalFormatting>
  <conditionalFormatting sqref="B7:C19">
    <cfRule type="expression" dxfId="3" priority="1">
      <formula>"(blank)"</formula>
    </cfRule>
  </conditionalFormatting>
  <conditionalFormatting sqref="B7:C19">
    <cfRule type="expression" dxfId="2" priority="2">
      <formula>#REF!</formula>
    </cfRule>
  </conditionalFormatting>
  <pageMargins left="0.7" right="0.7" top="1" bottom="0.75" header="0.3" footer="0.3"/>
  <pageSetup scale="59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2:R136"/>
  <sheetViews>
    <sheetView view="pageLayout" zoomScale="60" zoomScaleNormal="85" zoomScaleSheetLayoutView="100" zoomScalePageLayoutView="60" workbookViewId="0">
      <selection activeCell="AL70" sqref="AL70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4" width="12.88671875" style="29" customWidth="1"/>
    <col min="5" max="5" width="12" style="29" bestFit="1" customWidth="1"/>
    <col min="6" max="6" width="7" style="29" bestFit="1" customWidth="1"/>
    <col min="7" max="7" width="40.33203125" style="29" customWidth="1"/>
    <col min="8" max="8" width="12.6640625" style="29" bestFit="1" customWidth="1"/>
    <col min="9" max="9" width="14" style="29" bestFit="1" customWidth="1"/>
    <col min="10" max="10" width="12.44140625" style="29" bestFit="1" customWidth="1"/>
    <col min="11" max="11" width="13.88671875" style="29" bestFit="1" customWidth="1"/>
    <col min="12" max="12" width="14" style="29" bestFit="1" customWidth="1"/>
    <col min="13" max="13" width="11.109375" style="29" bestFit="1" customWidth="1"/>
    <col min="14" max="14" width="12.44140625" style="29" bestFit="1" customWidth="1"/>
    <col min="15" max="15" width="12.5546875" style="29" bestFit="1" customWidth="1"/>
    <col min="16" max="16" width="3.33203125" style="29" customWidth="1"/>
    <col min="17" max="16384" width="9.109375" style="29"/>
  </cols>
  <sheetData>
    <row r="2" spans="2:18">
      <c r="B2" s="30" t="s">
        <v>1195</v>
      </c>
      <c r="C2" s="30"/>
      <c r="D2" s="30"/>
      <c r="E2" s="30"/>
    </row>
    <row r="4" spans="2:18" ht="13.8" thickBot="1">
      <c r="C4" s="31" t="s">
        <v>34</v>
      </c>
      <c r="D4" s="31" t="s">
        <v>35</v>
      </c>
      <c r="E4" s="31" t="s">
        <v>36</v>
      </c>
    </row>
    <row r="5" spans="2:18" ht="39.6">
      <c r="B5" s="64"/>
      <c r="C5" s="65" t="s">
        <v>1196</v>
      </c>
      <c r="D5" s="65" t="s">
        <v>1197</v>
      </c>
      <c r="E5" s="65" t="s">
        <v>22</v>
      </c>
    </row>
    <row r="6" spans="2:18">
      <c r="B6" s="34" t="s">
        <v>1198</v>
      </c>
      <c r="C6" s="66">
        <v>0.12381000000000002</v>
      </c>
      <c r="D6" s="66">
        <v>7.8020624999999968E-2</v>
      </c>
      <c r="E6" s="66">
        <v>4.5789375000000049E-2</v>
      </c>
      <c r="Q6" s="32"/>
      <c r="R6" s="33"/>
    </row>
    <row r="7" spans="2:18">
      <c r="B7" s="34" t="s">
        <v>1199</v>
      </c>
      <c r="C7" s="66">
        <v>0.11827500000000001</v>
      </c>
      <c r="D7" s="66">
        <v>7.8934374999999987E-2</v>
      </c>
      <c r="E7" s="66">
        <v>3.9340625000000018E-2</v>
      </c>
      <c r="Q7" s="32"/>
      <c r="R7" s="33"/>
    </row>
    <row r="8" spans="2:18">
      <c r="B8" s="34" t="s">
        <v>1200</v>
      </c>
      <c r="C8" s="66">
        <v>0.1203125</v>
      </c>
      <c r="D8" s="66">
        <v>7.4454461538461553E-2</v>
      </c>
      <c r="E8" s="66">
        <v>4.585803846153845E-2</v>
      </c>
      <c r="Q8" s="32"/>
      <c r="R8" s="33"/>
    </row>
    <row r="9" spans="2:18">
      <c r="B9" s="34" t="s">
        <v>1201</v>
      </c>
      <c r="C9" s="66">
        <v>0.12140666666666665</v>
      </c>
      <c r="D9" s="66">
        <v>7.5184696969696943E-2</v>
      </c>
      <c r="E9" s="66">
        <v>4.6221969696969706E-2</v>
      </c>
      <c r="Q9" s="32"/>
      <c r="R9" s="33"/>
    </row>
    <row r="10" spans="2:18">
      <c r="B10" s="34" t="s">
        <v>1202</v>
      </c>
      <c r="C10" s="66">
        <v>0.11835714285714286</v>
      </c>
      <c r="D10" s="66">
        <v>7.0683968253968263E-2</v>
      </c>
      <c r="E10" s="66">
        <v>4.7673174603174592E-2</v>
      </c>
      <c r="Q10" s="32"/>
      <c r="R10" s="33"/>
    </row>
    <row r="11" spans="2:18">
      <c r="B11" s="31" t="s">
        <v>1203</v>
      </c>
      <c r="C11" s="66">
        <v>0.11641111111111109</v>
      </c>
      <c r="D11" s="66">
        <v>6.8553230769230741E-2</v>
      </c>
      <c r="E11" s="66">
        <v>4.7857880341880349E-2</v>
      </c>
      <c r="Q11" s="32"/>
      <c r="R11" s="33"/>
    </row>
    <row r="12" spans="2:18">
      <c r="B12" s="31" t="s">
        <v>1204</v>
      </c>
      <c r="C12" s="66">
        <v>0.11151666666666667</v>
      </c>
      <c r="D12" s="66">
        <v>6.3142727272727309E-2</v>
      </c>
      <c r="E12" s="66">
        <v>4.8373939393939358E-2</v>
      </c>
      <c r="Q12" s="32"/>
      <c r="R12" s="33"/>
    </row>
    <row r="13" spans="2:18">
      <c r="B13" s="31" t="s">
        <v>1205</v>
      </c>
      <c r="C13" s="66">
        <v>0.11041666666666666</v>
      </c>
      <c r="D13" s="66">
        <v>6.1389999999999986E-2</v>
      </c>
      <c r="E13" s="66">
        <v>4.9026666666666677E-2</v>
      </c>
      <c r="Q13" s="32"/>
      <c r="R13" s="33"/>
    </row>
    <row r="14" spans="2:18">
      <c r="B14" s="31" t="s">
        <v>1206</v>
      </c>
      <c r="C14" s="66">
        <v>0.11067</v>
      </c>
      <c r="D14" s="66">
        <v>6.5745156249999992E-2</v>
      </c>
      <c r="E14" s="66">
        <v>4.4924843750000013E-2</v>
      </c>
      <c r="Q14" s="32"/>
      <c r="R14" s="33"/>
    </row>
    <row r="15" spans="2:18">
      <c r="B15" s="31" t="s">
        <v>1207</v>
      </c>
      <c r="C15" s="66">
        <v>0.1113</v>
      </c>
      <c r="D15" s="66">
        <v>7.3526307692307669E-2</v>
      </c>
      <c r="E15" s="66">
        <v>3.7773692307692328E-2</v>
      </c>
      <c r="Q15" s="32"/>
      <c r="R15" s="33"/>
    </row>
    <row r="16" spans="2:18">
      <c r="B16" s="31" t="s">
        <v>1208</v>
      </c>
      <c r="C16" s="66">
        <v>0.1275</v>
      </c>
      <c r="D16" s="66">
        <v>7.5847727272727289E-2</v>
      </c>
      <c r="E16" s="66">
        <v>5.1652272727272713E-2</v>
      </c>
      <c r="Q16" s="32"/>
      <c r="R16" s="33"/>
    </row>
    <row r="17" spans="2:18">
      <c r="B17" s="31" t="s">
        <v>1209</v>
      </c>
      <c r="C17" s="66">
        <v>0.11238333333333332</v>
      </c>
      <c r="D17" s="66">
        <v>7.9568461538461532E-2</v>
      </c>
      <c r="E17" s="66">
        <v>3.2814871794871789E-2</v>
      </c>
      <c r="Q17" s="32"/>
      <c r="R17" s="33"/>
    </row>
    <row r="18" spans="2:18">
      <c r="B18" s="31">
        <v>1995.1</v>
      </c>
      <c r="C18" s="66">
        <v>0.1196125</v>
      </c>
      <c r="D18" s="66">
        <v>7.6257230769230799E-2</v>
      </c>
      <c r="E18" s="66">
        <v>4.3355269230769197E-2</v>
      </c>
      <c r="Q18" s="32"/>
      <c r="R18" s="33"/>
    </row>
    <row r="19" spans="2:18">
      <c r="B19" s="31" t="s">
        <v>1210</v>
      </c>
      <c r="C19" s="66">
        <v>0.1131625</v>
      </c>
      <c r="D19" s="66">
        <v>6.9425846153846171E-2</v>
      </c>
      <c r="E19" s="66">
        <v>4.3736653846153828E-2</v>
      </c>
      <c r="Q19" s="32"/>
      <c r="R19" s="33"/>
    </row>
    <row r="20" spans="2:18">
      <c r="B20" s="31" t="s">
        <v>1211</v>
      </c>
      <c r="C20" s="66">
        <v>0.1137</v>
      </c>
      <c r="D20" s="66">
        <v>6.7118615384615374E-2</v>
      </c>
      <c r="E20" s="66">
        <v>4.6581384615384622E-2</v>
      </c>
      <c r="Q20" s="32"/>
      <c r="R20" s="33"/>
    </row>
    <row r="21" spans="2:18">
      <c r="B21" s="31" t="s">
        <v>1212</v>
      </c>
      <c r="C21" s="66">
        <v>0.11584285714285714</v>
      </c>
      <c r="D21" s="66">
        <v>6.2348153846153817E-2</v>
      </c>
      <c r="E21" s="66">
        <v>5.3494703296703319E-2</v>
      </c>
      <c r="Q21" s="32"/>
      <c r="R21" s="33"/>
    </row>
    <row r="22" spans="2:18">
      <c r="B22" s="31" t="s">
        <v>1213</v>
      </c>
      <c r="C22" s="66">
        <v>0.11460000000000001</v>
      </c>
      <c r="D22" s="66">
        <v>6.2925692307692321E-2</v>
      </c>
      <c r="E22" s="66">
        <v>5.1674307692307686E-2</v>
      </c>
      <c r="Q22" s="32"/>
      <c r="R22" s="33"/>
    </row>
    <row r="23" spans="2:18">
      <c r="B23" s="31" t="s">
        <v>1214</v>
      </c>
      <c r="C23" s="66">
        <v>0.11458888888888888</v>
      </c>
      <c r="D23" s="66">
        <v>6.9183230769230789E-2</v>
      </c>
      <c r="E23" s="66">
        <v>4.5405658119658091E-2</v>
      </c>
      <c r="Q23" s="32"/>
      <c r="R23" s="33"/>
    </row>
    <row r="24" spans="2:18">
      <c r="B24" s="31" t="s">
        <v>1215</v>
      </c>
      <c r="C24" s="66">
        <v>0.10700000000000001</v>
      </c>
      <c r="D24" s="66">
        <v>6.9644696969696968E-2</v>
      </c>
      <c r="E24" s="66">
        <v>3.7355303030303044E-2</v>
      </c>
      <c r="G24" s="233" t="s">
        <v>1216</v>
      </c>
      <c r="H24" s="233"/>
      <c r="I24" s="233"/>
      <c r="J24" s="233"/>
      <c r="K24" s="233"/>
      <c r="L24" s="233"/>
      <c r="M24" s="233"/>
      <c r="N24" s="233"/>
      <c r="O24" s="233"/>
      <c r="P24" s="61"/>
      <c r="Q24" s="32"/>
      <c r="R24" s="33"/>
    </row>
    <row r="25" spans="2:18" ht="13.8" thickBot="1">
      <c r="B25" s="31" t="s">
        <v>1217</v>
      </c>
      <c r="C25" s="66">
        <v>0.11559999999999999</v>
      </c>
      <c r="D25" s="66">
        <v>6.6189999999999999E-2</v>
      </c>
      <c r="E25" s="66">
        <v>4.9409999999999996E-2</v>
      </c>
      <c r="G25" s="233"/>
      <c r="H25" s="233"/>
      <c r="I25" s="233"/>
      <c r="J25" s="233"/>
      <c r="K25" s="233"/>
      <c r="L25" s="233"/>
      <c r="M25" s="233"/>
      <c r="N25" s="233"/>
      <c r="O25" s="233"/>
      <c r="P25" s="61"/>
      <c r="Q25" s="32"/>
      <c r="R25" s="33"/>
    </row>
    <row r="26" spans="2:18">
      <c r="B26" s="31" t="s">
        <v>1218</v>
      </c>
      <c r="C26" s="66">
        <v>0.1108</v>
      </c>
      <c r="D26" s="66">
        <v>6.8133281250000011E-2</v>
      </c>
      <c r="E26" s="66">
        <v>4.2666718749999985E-2</v>
      </c>
      <c r="G26" s="369" t="s">
        <v>1219</v>
      </c>
      <c r="H26" s="369"/>
      <c r="I26" s="233"/>
      <c r="J26" s="233"/>
      <c r="K26" s="233"/>
      <c r="L26" s="233"/>
      <c r="M26" s="233"/>
      <c r="N26" s="233"/>
      <c r="O26" s="233"/>
      <c r="P26" s="61"/>
      <c r="Q26" s="32"/>
      <c r="R26" s="33"/>
    </row>
    <row r="27" spans="2:18">
      <c r="B27" s="31" t="s">
        <v>1220</v>
      </c>
      <c r="C27" s="66">
        <v>0.11616666666666665</v>
      </c>
      <c r="D27" s="66">
        <v>6.9324153846153841E-2</v>
      </c>
      <c r="E27" s="66">
        <v>4.6842512820512813E-2</v>
      </c>
      <c r="G27" s="233" t="s">
        <v>1221</v>
      </c>
      <c r="H27" s="330">
        <v>0.91491277943107563</v>
      </c>
      <c r="I27" s="233"/>
      <c r="J27" s="233"/>
      <c r="K27" s="233"/>
      <c r="L27" s="233"/>
      <c r="M27" s="233"/>
      <c r="N27" s="233"/>
      <c r="O27" s="233"/>
      <c r="P27" s="61"/>
      <c r="Q27" s="200"/>
      <c r="R27" s="33"/>
    </row>
    <row r="28" spans="2:18">
      <c r="B28" s="31" t="s">
        <v>1222</v>
      </c>
      <c r="C28" s="66">
        <v>0.12</v>
      </c>
      <c r="D28" s="66">
        <v>6.5281666666666668E-2</v>
      </c>
      <c r="E28" s="66">
        <v>5.4718333333333327E-2</v>
      </c>
      <c r="G28" s="233" t="s">
        <v>1223</v>
      </c>
      <c r="H28" s="330">
        <v>0.83706539396629598</v>
      </c>
      <c r="I28" s="233"/>
      <c r="J28" s="233"/>
      <c r="K28" s="233"/>
      <c r="L28" s="233"/>
      <c r="M28" s="233"/>
      <c r="N28" s="233"/>
      <c r="O28" s="233"/>
      <c r="P28" s="61"/>
      <c r="Q28" s="200"/>
      <c r="R28" s="33"/>
    </row>
    <row r="29" spans="2:18">
      <c r="B29" s="34" t="s">
        <v>1224</v>
      </c>
      <c r="C29" s="66">
        <v>0.1106</v>
      </c>
      <c r="D29" s="66">
        <v>6.1372272727272741E-2</v>
      </c>
      <c r="E29" s="66">
        <v>4.9227727272727263E-2</v>
      </c>
      <c r="G29" s="233" t="s">
        <v>1225</v>
      </c>
      <c r="H29" s="330">
        <v>0.83568459222024771</v>
      </c>
      <c r="I29" s="233"/>
      <c r="J29" s="233"/>
      <c r="K29" s="233"/>
      <c r="L29" s="233"/>
      <c r="M29" s="233"/>
      <c r="N29" s="233"/>
      <c r="O29" s="233"/>
      <c r="P29" s="61"/>
      <c r="Q29" s="200"/>
      <c r="R29" s="33"/>
    </row>
    <row r="30" spans="2:18">
      <c r="B30" s="34">
        <v>1998.1</v>
      </c>
      <c r="C30" s="66">
        <v>0.11312499999999999</v>
      </c>
      <c r="D30" s="66">
        <v>5.8820156250000019E-2</v>
      </c>
      <c r="E30" s="66">
        <v>5.430484374999997E-2</v>
      </c>
      <c r="G30" s="233" t="s">
        <v>1226</v>
      </c>
      <c r="H30" s="330">
        <v>4.2003901506114747E-3</v>
      </c>
      <c r="I30" s="233"/>
      <c r="J30" s="233"/>
      <c r="K30" s="233"/>
      <c r="L30" s="233"/>
      <c r="M30" s="233"/>
      <c r="N30" s="233"/>
      <c r="O30" s="233"/>
      <c r="P30" s="61"/>
      <c r="Q30" s="200"/>
      <c r="R30" s="33"/>
    </row>
    <row r="31" spans="2:18" ht="13.8" thickBot="1">
      <c r="B31" s="31" t="s">
        <v>1227</v>
      </c>
      <c r="C31" s="66">
        <v>0.122</v>
      </c>
      <c r="D31" s="66">
        <v>5.8462461538461553E-2</v>
      </c>
      <c r="E31" s="66">
        <v>6.3537538461538451E-2</v>
      </c>
      <c r="G31" s="247" t="s">
        <v>1228</v>
      </c>
      <c r="H31" s="331">
        <v>120</v>
      </c>
      <c r="I31" s="233"/>
      <c r="J31" s="233"/>
      <c r="K31" s="233"/>
      <c r="L31" s="233"/>
      <c r="M31" s="233"/>
      <c r="N31" s="233"/>
      <c r="O31" s="233"/>
      <c r="P31" s="61"/>
      <c r="Q31" s="200"/>
      <c r="R31" s="33"/>
    </row>
    <row r="32" spans="2:18">
      <c r="B32" s="31" t="s">
        <v>1229</v>
      </c>
      <c r="C32" s="66">
        <v>0.11650000000000001</v>
      </c>
      <c r="D32" s="66">
        <v>5.4731969696969689E-2</v>
      </c>
      <c r="E32" s="66">
        <v>6.1768030303030318E-2</v>
      </c>
      <c r="G32" s="233"/>
      <c r="H32" s="233"/>
      <c r="I32" s="233"/>
      <c r="J32" s="233"/>
      <c r="K32" s="233"/>
      <c r="L32" s="233"/>
      <c r="M32" s="233"/>
      <c r="N32" s="233"/>
      <c r="O32" s="233"/>
      <c r="P32" s="61"/>
      <c r="Q32" s="200"/>
      <c r="R32" s="33"/>
    </row>
    <row r="33" spans="2:18" ht="13.8" thickBot="1">
      <c r="B33" s="31" t="s">
        <v>1230</v>
      </c>
      <c r="C33" s="66">
        <v>0.123</v>
      </c>
      <c r="D33" s="66">
        <v>5.1047272727272747E-2</v>
      </c>
      <c r="E33" s="66">
        <v>7.1952727272727252E-2</v>
      </c>
      <c r="G33" s="233" t="s">
        <v>1231</v>
      </c>
      <c r="H33" s="233"/>
      <c r="I33" s="233"/>
      <c r="J33" s="233"/>
      <c r="K33" s="233"/>
      <c r="L33" s="233"/>
      <c r="M33" s="233"/>
      <c r="N33" s="233"/>
      <c r="O33" s="233"/>
      <c r="P33" s="61"/>
      <c r="Q33" s="200"/>
      <c r="R33" s="33"/>
    </row>
    <row r="34" spans="2:18">
      <c r="B34" s="34" t="s">
        <v>1232</v>
      </c>
      <c r="C34" s="66">
        <v>0.10400000000000001</v>
      </c>
      <c r="D34" s="66">
        <v>5.3729687500000019E-2</v>
      </c>
      <c r="E34" s="66">
        <v>5.027031249999999E-2</v>
      </c>
      <c r="G34" s="248"/>
      <c r="H34" s="248" t="s">
        <v>1233</v>
      </c>
      <c r="I34" s="248" t="s">
        <v>1234</v>
      </c>
      <c r="J34" s="248" t="s">
        <v>776</v>
      </c>
      <c r="K34" s="248" t="s">
        <v>414</v>
      </c>
      <c r="L34" s="248" t="s">
        <v>1235</v>
      </c>
      <c r="M34" s="233"/>
      <c r="N34" s="233"/>
      <c r="O34" s="233"/>
      <c r="P34" s="61"/>
      <c r="Q34" s="200"/>
      <c r="R34" s="33"/>
    </row>
    <row r="35" spans="2:18">
      <c r="B35" s="34" t="s">
        <v>1236</v>
      </c>
      <c r="C35" s="66">
        <v>0.1094</v>
      </c>
      <c r="D35" s="66">
        <v>5.794030769230768E-2</v>
      </c>
      <c r="E35" s="66">
        <v>5.1459692307692317E-2</v>
      </c>
      <c r="G35" s="233" t="s">
        <v>1237</v>
      </c>
      <c r="H35" s="233">
        <v>1</v>
      </c>
      <c r="I35" s="233">
        <v>1.0695653452408777E-2</v>
      </c>
      <c r="J35" s="233">
        <v>1.0695653452408777E-2</v>
      </c>
      <c r="K35" s="233">
        <v>606.21692894136299</v>
      </c>
      <c r="L35" s="233">
        <v>2.5809781852152043E-48</v>
      </c>
      <c r="M35" s="233"/>
      <c r="N35" s="233"/>
      <c r="O35" s="233"/>
      <c r="P35" s="61"/>
      <c r="Q35" s="200"/>
      <c r="R35" s="33"/>
    </row>
    <row r="36" spans="2:18">
      <c r="B36" s="34">
        <v>1999.3</v>
      </c>
      <c r="C36" s="66">
        <v>0.1075</v>
      </c>
      <c r="D36" s="66">
        <v>6.0375606060606074E-2</v>
      </c>
      <c r="E36" s="66">
        <v>4.7124393939393924E-2</v>
      </c>
      <c r="G36" s="233" t="s">
        <v>1238</v>
      </c>
      <c r="H36" s="233">
        <v>118</v>
      </c>
      <c r="I36" s="233">
        <v>2.0819067352477586E-3</v>
      </c>
      <c r="J36" s="233">
        <v>1.7643277417353887E-5</v>
      </c>
      <c r="K36" s="233"/>
      <c r="L36" s="233"/>
      <c r="M36" s="233"/>
      <c r="N36" s="233"/>
      <c r="O36" s="233"/>
      <c r="P36" s="61"/>
      <c r="Q36" s="200"/>
      <c r="R36" s="33"/>
    </row>
    <row r="37" spans="2:18" ht="13.8" thickBot="1">
      <c r="B37" s="34" t="s">
        <v>1239</v>
      </c>
      <c r="C37" s="66">
        <v>0.111</v>
      </c>
      <c r="D37" s="66">
        <v>6.2528484848484861E-2</v>
      </c>
      <c r="E37" s="66">
        <v>4.847151515151514E-2</v>
      </c>
      <c r="G37" s="247" t="s">
        <v>1240</v>
      </c>
      <c r="H37" s="247">
        <v>119</v>
      </c>
      <c r="I37" s="247">
        <v>1.2777560187656535E-2</v>
      </c>
      <c r="J37" s="247"/>
      <c r="K37" s="247"/>
      <c r="L37" s="247"/>
      <c r="M37" s="233"/>
      <c r="N37" s="233"/>
      <c r="O37" s="233"/>
      <c r="P37" s="61"/>
      <c r="Q37" s="200"/>
      <c r="R37" s="33"/>
    </row>
    <row r="38" spans="2:18" ht="13.8" thickBot="1">
      <c r="B38" s="31" t="s">
        <v>1241</v>
      </c>
      <c r="C38" s="66">
        <v>0.112125</v>
      </c>
      <c r="D38" s="66">
        <v>6.2912615384615386E-2</v>
      </c>
      <c r="E38" s="66">
        <v>4.9212384615384616E-2</v>
      </c>
      <c r="G38" s="233"/>
      <c r="H38" s="233"/>
      <c r="I38" s="233"/>
      <c r="J38" s="233"/>
      <c r="K38" s="233"/>
      <c r="L38" s="233"/>
      <c r="M38" s="233"/>
      <c r="N38" s="233"/>
      <c r="O38" s="233"/>
      <c r="P38" s="61"/>
      <c r="Q38" s="200"/>
      <c r="R38" s="33"/>
    </row>
    <row r="39" spans="2:18">
      <c r="B39" s="34" t="s">
        <v>1242</v>
      </c>
      <c r="C39" s="66">
        <v>0.11</v>
      </c>
      <c r="D39" s="66">
        <v>5.9723230769230765E-2</v>
      </c>
      <c r="E39" s="66">
        <v>5.0276769230769236E-2</v>
      </c>
      <c r="G39" s="248"/>
      <c r="H39" s="248" t="s">
        <v>1243</v>
      </c>
      <c r="I39" s="248" t="s">
        <v>1226</v>
      </c>
      <c r="J39" s="248" t="s">
        <v>1244</v>
      </c>
      <c r="K39" s="248" t="s">
        <v>1245</v>
      </c>
      <c r="L39" s="248" t="s">
        <v>1246</v>
      </c>
      <c r="M39" s="248" t="s">
        <v>1247</v>
      </c>
      <c r="N39" s="248" t="s">
        <v>1248</v>
      </c>
      <c r="O39" s="248" t="s">
        <v>1249</v>
      </c>
      <c r="P39" s="61"/>
      <c r="Q39" s="200"/>
      <c r="R39" s="33"/>
    </row>
    <row r="40" spans="2:18">
      <c r="B40" s="31" t="s">
        <v>1250</v>
      </c>
      <c r="C40" s="66">
        <v>0.1168</v>
      </c>
      <c r="D40" s="66">
        <v>5.7871875000000017E-2</v>
      </c>
      <c r="E40" s="66">
        <v>5.8928124999999984E-2</v>
      </c>
      <c r="G40" s="233" t="s">
        <v>1251</v>
      </c>
      <c r="H40" s="233">
        <v>8.6722780505220198E-2</v>
      </c>
      <c r="I40" s="233">
        <v>1.1352042774051896E-3</v>
      </c>
      <c r="J40" s="233">
        <v>76.393986731135385</v>
      </c>
      <c r="K40" s="233">
        <v>2.4916822049676742E-102</v>
      </c>
      <c r="L40" s="233">
        <v>8.4474766977418722E-2</v>
      </c>
      <c r="M40" s="233">
        <v>8.8970794033021675E-2</v>
      </c>
      <c r="N40" s="233">
        <v>8.4474766977418722E-2</v>
      </c>
      <c r="O40" s="233">
        <v>8.8970794033021675E-2</v>
      </c>
      <c r="P40" s="61"/>
      <c r="Q40" s="200"/>
      <c r="R40" s="33"/>
    </row>
    <row r="41" spans="2:18" ht="13.8" thickBot="1">
      <c r="B41" s="31" t="s">
        <v>1252</v>
      </c>
      <c r="C41" s="66">
        <v>0.125</v>
      </c>
      <c r="D41" s="66">
        <v>5.686107692307691E-2</v>
      </c>
      <c r="E41" s="66">
        <v>6.8138923076923097E-2</v>
      </c>
      <c r="G41" s="247" t="s">
        <v>1197</v>
      </c>
      <c r="H41" s="247">
        <v>-0.57172083183729638</v>
      </c>
      <c r="I41" s="247">
        <v>2.3220415513110517E-2</v>
      </c>
      <c r="J41" s="247">
        <v>-24.621472923880116</v>
      </c>
      <c r="K41" s="247">
        <v>2.5809781852154981E-48</v>
      </c>
      <c r="L41" s="247">
        <v>-0.61770357629449679</v>
      </c>
      <c r="M41" s="247">
        <v>-0.52573808738009598</v>
      </c>
      <c r="N41" s="247">
        <v>-0.61770357629449679</v>
      </c>
      <c r="O41" s="247">
        <v>-0.52573808738009598</v>
      </c>
      <c r="P41" s="61"/>
      <c r="Q41" s="200"/>
      <c r="R41" s="33"/>
    </row>
    <row r="42" spans="2:18">
      <c r="B42" s="34" t="s">
        <v>1253</v>
      </c>
      <c r="C42" s="66">
        <v>0.11375</v>
      </c>
      <c r="D42" s="66">
        <v>5.4425937500000014E-2</v>
      </c>
      <c r="E42" s="66">
        <v>5.932406249999999E-2</v>
      </c>
      <c r="G42"/>
      <c r="H42"/>
      <c r="I42"/>
      <c r="J42"/>
      <c r="K42"/>
      <c r="L42"/>
      <c r="M42"/>
      <c r="N42"/>
      <c r="O42"/>
      <c r="Q42" s="200"/>
      <c r="R42" s="33"/>
    </row>
    <row r="43" spans="2:18">
      <c r="B43" s="31" t="s">
        <v>1254</v>
      </c>
      <c r="C43" s="66">
        <v>0.11</v>
      </c>
      <c r="D43" s="66">
        <v>5.699338461538464E-2</v>
      </c>
      <c r="E43" s="66">
        <v>5.300661538461536E-2</v>
      </c>
      <c r="G43"/>
      <c r="H43"/>
      <c r="I43"/>
      <c r="J43"/>
      <c r="K43"/>
      <c r="L43"/>
      <c r="M43"/>
      <c r="N43"/>
      <c r="O43"/>
      <c r="Q43" s="200"/>
      <c r="R43" s="33"/>
    </row>
    <row r="44" spans="2:18">
      <c r="B44" s="31">
        <v>2001.3</v>
      </c>
      <c r="C44" s="66">
        <v>0.10755714285714287</v>
      </c>
      <c r="D44" s="66">
        <v>5.5225625000000021E-2</v>
      </c>
      <c r="E44" s="66">
        <v>5.2331517857142844E-2</v>
      </c>
      <c r="G44"/>
      <c r="H44"/>
      <c r="I44"/>
      <c r="J44"/>
      <c r="K44"/>
      <c r="L44"/>
      <c r="M44"/>
      <c r="N44"/>
      <c r="O44"/>
      <c r="Q44" s="200"/>
      <c r="R44" s="33"/>
    </row>
    <row r="45" spans="2:18" ht="13.8" thickBot="1">
      <c r="B45" s="31" t="s">
        <v>1255</v>
      </c>
      <c r="C45" s="66">
        <v>0.11993333333333334</v>
      </c>
      <c r="D45" s="66">
        <v>5.2970909090909089E-2</v>
      </c>
      <c r="E45" s="66">
        <v>6.696242424242424E-2</v>
      </c>
      <c r="G45" s="61"/>
      <c r="H45" s="61"/>
      <c r="I45" s="61"/>
      <c r="J45" s="201" t="s">
        <v>40</v>
      </c>
      <c r="K45" s="201" t="s">
        <v>41</v>
      </c>
      <c r="L45" s="201" t="s">
        <v>42</v>
      </c>
      <c r="Q45" s="200"/>
      <c r="R45" s="33"/>
    </row>
    <row r="46" spans="2:18">
      <c r="B46" s="34" t="s">
        <v>1256</v>
      </c>
      <c r="C46" s="66">
        <v>0.10050000000000001</v>
      </c>
      <c r="D46" s="66">
        <v>5.5132187499999999E-2</v>
      </c>
      <c r="E46" s="66">
        <v>4.5367812500000007E-2</v>
      </c>
      <c r="G46" s="254"/>
      <c r="H46" s="254"/>
      <c r="I46" s="254"/>
      <c r="J46" s="255" t="s">
        <v>1257</v>
      </c>
      <c r="K46" s="255"/>
      <c r="L46" s="255"/>
      <c r="Q46" s="200"/>
      <c r="R46" s="33"/>
    </row>
    <row r="47" spans="2:18">
      <c r="B47" s="31" t="s">
        <v>1258</v>
      </c>
      <c r="C47" s="66">
        <v>0.11405</v>
      </c>
      <c r="D47" s="66">
        <v>5.6129153846153849E-2</v>
      </c>
      <c r="E47" s="66">
        <v>5.7920846153846149E-2</v>
      </c>
      <c r="J47" s="31" t="s">
        <v>1259</v>
      </c>
      <c r="K47" s="31" t="s">
        <v>1260</v>
      </c>
      <c r="L47" s="31"/>
      <c r="Q47" s="32"/>
      <c r="R47" s="33"/>
    </row>
    <row r="48" spans="2:18">
      <c r="B48" s="31" t="s">
        <v>1261</v>
      </c>
      <c r="C48" s="66">
        <v>0.11650000000000001</v>
      </c>
      <c r="D48" s="66">
        <v>5.0848590909090899E-2</v>
      </c>
      <c r="E48" s="66">
        <v>6.5651409090909107E-2</v>
      </c>
      <c r="G48" s="256"/>
      <c r="H48" s="256"/>
      <c r="I48" s="256"/>
      <c r="J48" s="257" t="s">
        <v>1262</v>
      </c>
      <c r="K48" s="257" t="s">
        <v>1263</v>
      </c>
      <c r="L48" s="257" t="s">
        <v>1264</v>
      </c>
      <c r="Q48" s="32"/>
      <c r="R48" s="33"/>
    </row>
    <row r="49" spans="2:18">
      <c r="B49" s="34" t="s">
        <v>1265</v>
      </c>
      <c r="C49" s="66">
        <v>0.11566666666666665</v>
      </c>
      <c r="D49" s="66">
        <v>4.9307318181818195E-2</v>
      </c>
      <c r="E49" s="66">
        <v>6.6359348484848452E-2</v>
      </c>
      <c r="Q49" s="32"/>
      <c r="R49" s="33"/>
    </row>
    <row r="50" spans="2:18">
      <c r="B50" s="31" t="s">
        <v>1266</v>
      </c>
      <c r="C50" s="66">
        <v>0.1172</v>
      </c>
      <c r="D50" s="66">
        <v>4.8490953125E-2</v>
      </c>
      <c r="E50" s="66">
        <v>6.8709046874999999E-2</v>
      </c>
      <c r="G50" s="29" t="s">
        <v>1267</v>
      </c>
      <c r="J50" s="67">
        <f>'AEB-5 CAPM'!D9</f>
        <v>1.9706666666666664E-2</v>
      </c>
      <c r="K50" s="66">
        <f>$H$40+($H$41*J50)</f>
        <v>7.545606864581321E-2</v>
      </c>
      <c r="L50" s="66">
        <f>SUM(J50:K50)</f>
        <v>9.5162735312479874E-2</v>
      </c>
      <c r="Q50" s="32"/>
      <c r="R50" s="33"/>
    </row>
    <row r="51" spans="2:18">
      <c r="B51" s="31" t="s">
        <v>1268</v>
      </c>
      <c r="C51" s="66">
        <v>0.11162499999999999</v>
      </c>
      <c r="D51" s="66">
        <v>4.5979046153846168E-2</v>
      </c>
      <c r="E51" s="66">
        <v>6.5645953846153821E-2</v>
      </c>
      <c r="G51" s="29" t="s">
        <v>1517</v>
      </c>
      <c r="J51" s="67">
        <f>'AEB-5 CAPM'!D40</f>
        <v>2.46E-2</v>
      </c>
      <c r="K51" s="66">
        <f>$H$40+($H$41*J51)</f>
        <v>7.2658448042022705E-2</v>
      </c>
      <c r="L51" s="66">
        <f>SUM(J51:K51)</f>
        <v>9.7258448042022702E-2</v>
      </c>
      <c r="Q51" s="32"/>
      <c r="R51" s="33"/>
    </row>
    <row r="52" spans="2:18">
      <c r="B52" s="31" t="s">
        <v>1269</v>
      </c>
      <c r="C52" s="66">
        <v>0.105</v>
      </c>
      <c r="D52" s="66">
        <v>5.1104863636363636E-2</v>
      </c>
      <c r="E52" s="66">
        <v>5.389513636363636E-2</v>
      </c>
      <c r="G52" s="256" t="s">
        <v>1270</v>
      </c>
      <c r="H52" s="256"/>
      <c r="I52" s="256"/>
      <c r="J52" s="298">
        <f>'AEB-5 CAPM'!D71</f>
        <v>3.4000000000000002E-2</v>
      </c>
      <c r="K52" s="258">
        <f>$H$40+($H$41*J52)</f>
        <v>6.7284272222752128E-2</v>
      </c>
      <c r="L52" s="258">
        <f>SUM(J52:K52)</f>
        <v>0.10128427222275213</v>
      </c>
      <c r="Q52" s="32"/>
      <c r="R52" s="33"/>
    </row>
    <row r="53" spans="2:18" ht="13.8" thickBot="1">
      <c r="B53" s="31" t="s">
        <v>1271</v>
      </c>
      <c r="C53" s="66">
        <v>0.11339999999999999</v>
      </c>
      <c r="D53" s="66">
        <v>5.1142196969696983E-2</v>
      </c>
      <c r="E53" s="66">
        <v>6.2257803030303004E-2</v>
      </c>
      <c r="G53" s="68" t="s">
        <v>1272</v>
      </c>
      <c r="H53" s="68"/>
      <c r="I53" s="68"/>
      <c r="J53" s="69"/>
      <c r="K53" s="69"/>
      <c r="L53" s="69">
        <f>AVERAGE(L50:L52)</f>
        <v>9.7901818525751569E-2</v>
      </c>
      <c r="Q53" s="32"/>
      <c r="R53" s="33"/>
    </row>
    <row r="54" spans="2:18">
      <c r="B54" s="31" t="s">
        <v>1273</v>
      </c>
      <c r="C54" s="66">
        <v>0.10999999999999999</v>
      </c>
      <c r="D54" s="66">
        <v>4.8753138461538476E-2</v>
      </c>
      <c r="E54" s="66">
        <v>6.1246861538461511E-2</v>
      </c>
      <c r="Q54" s="32"/>
      <c r="R54" s="33"/>
    </row>
    <row r="55" spans="2:18">
      <c r="B55" s="31" t="s">
        <v>1274</v>
      </c>
      <c r="C55" s="66">
        <v>0.10638571428571428</v>
      </c>
      <c r="D55" s="66">
        <v>5.3192861538461533E-2</v>
      </c>
      <c r="E55" s="66">
        <v>5.3192852747252745E-2</v>
      </c>
      <c r="G55" s="259" t="s">
        <v>31</v>
      </c>
      <c r="Q55" s="32"/>
      <c r="R55" s="33"/>
    </row>
    <row r="56" spans="2:18">
      <c r="B56" s="31" t="s">
        <v>1275</v>
      </c>
      <c r="C56" s="66">
        <v>0.1075</v>
      </c>
      <c r="D56" s="66">
        <v>5.0588015151515148E-2</v>
      </c>
      <c r="E56" s="66">
        <v>5.6911984848484851E-2</v>
      </c>
      <c r="G56" s="63" t="s">
        <v>1276</v>
      </c>
      <c r="Q56" s="32"/>
      <c r="R56" s="33"/>
    </row>
    <row r="57" spans="2:18">
      <c r="B57" s="31" t="s">
        <v>1277</v>
      </c>
      <c r="C57" s="66">
        <v>0.11244000000000001</v>
      </c>
      <c r="D57" s="66">
        <v>4.864845454545455E-2</v>
      </c>
      <c r="E57" s="66">
        <v>6.3791545454545462E-2</v>
      </c>
      <c r="G57" s="63" t="s">
        <v>1278</v>
      </c>
      <c r="Q57" s="32"/>
      <c r="R57" s="33"/>
    </row>
    <row r="58" spans="2:18">
      <c r="B58" s="31" t="s">
        <v>1279</v>
      </c>
      <c r="C58" s="66">
        <v>0.10625000000000001</v>
      </c>
      <c r="D58" s="66">
        <v>4.6927312499999985E-2</v>
      </c>
      <c r="E58" s="66">
        <v>5.9322687500000026E-2</v>
      </c>
      <c r="G58" s="63" t="s">
        <v>1280</v>
      </c>
      <c r="Q58" s="32"/>
      <c r="R58" s="33"/>
    </row>
    <row r="59" spans="2:18">
      <c r="B59" s="34" t="s">
        <v>1281</v>
      </c>
      <c r="C59" s="66">
        <v>0.10312499999999999</v>
      </c>
      <c r="D59" s="66">
        <v>4.4650938461538468E-2</v>
      </c>
      <c r="E59" s="66">
        <v>5.8474061538461526E-2</v>
      </c>
      <c r="G59" s="61" t="s">
        <v>1282</v>
      </c>
      <c r="Q59" s="32"/>
      <c r="R59" s="33"/>
    </row>
    <row r="60" spans="2:18">
      <c r="B60" s="31" t="s">
        <v>1283</v>
      </c>
      <c r="C60" s="66">
        <v>0.11083333333333334</v>
      </c>
      <c r="D60" s="66">
        <v>4.4381742424242414E-2</v>
      </c>
      <c r="E60" s="66">
        <v>6.6451590909090918E-2</v>
      </c>
      <c r="G60" s="2" t="s">
        <v>1284</v>
      </c>
      <c r="Q60" s="32"/>
      <c r="R60" s="33"/>
    </row>
    <row r="61" spans="2:18">
      <c r="B61" s="31" t="s">
        <v>1285</v>
      </c>
      <c r="C61" s="66">
        <v>0.1063125</v>
      </c>
      <c r="D61" s="66">
        <v>4.6829078125E-2</v>
      </c>
      <c r="E61" s="66">
        <v>5.9483421875000005E-2</v>
      </c>
      <c r="G61" s="2" t="s">
        <v>1286</v>
      </c>
      <c r="Q61" s="32"/>
      <c r="R61" s="33"/>
    </row>
    <row r="62" spans="2:18">
      <c r="B62" s="31" t="s">
        <v>1287</v>
      </c>
      <c r="C62" s="66">
        <v>0.10695</v>
      </c>
      <c r="D62" s="66">
        <v>4.633183076923076E-2</v>
      </c>
      <c r="E62" s="66">
        <v>6.0618169230769244E-2</v>
      </c>
      <c r="G62" s="61" t="s">
        <v>1288</v>
      </c>
      <c r="Q62" s="32"/>
      <c r="R62" s="33"/>
    </row>
    <row r="63" spans="2:18">
      <c r="B63" s="31" t="s">
        <v>1289</v>
      </c>
      <c r="C63" s="66">
        <v>0.107875</v>
      </c>
      <c r="D63" s="66">
        <v>5.1406507692307687E-2</v>
      </c>
      <c r="E63" s="66">
        <v>5.6468492307692311E-2</v>
      </c>
      <c r="G63" s="62" t="str">
        <f>"[8] Equals "&amp;TEXT(H40,"0.000000")&amp;" + ("&amp;TEXT(H41,"0.000000")&amp;" x Column [7])"</f>
        <v>[8] Equals 0.086723 + (-0.571721 x Column [7])</v>
      </c>
      <c r="Q63" s="32"/>
      <c r="R63" s="33"/>
    </row>
    <row r="64" spans="2:18">
      <c r="B64" s="31" t="s">
        <v>1290</v>
      </c>
      <c r="C64" s="66">
        <v>0.10346666666666667</v>
      </c>
      <c r="D64" s="66">
        <v>4.9925692307692303E-2</v>
      </c>
      <c r="E64" s="66">
        <v>5.3540974358974362E-2</v>
      </c>
      <c r="G64" s="63" t="s">
        <v>1291</v>
      </c>
      <c r="Q64" s="32"/>
      <c r="R64" s="33"/>
    </row>
    <row r="65" spans="2:18">
      <c r="B65" s="31" t="s">
        <v>1292</v>
      </c>
      <c r="C65" s="66">
        <v>0.1065</v>
      </c>
      <c r="D65" s="66">
        <v>4.739560000000001E-2</v>
      </c>
      <c r="E65" s="66">
        <v>5.9104399999999988E-2</v>
      </c>
      <c r="G65" s="63"/>
      <c r="Q65" s="32"/>
      <c r="R65" s="33"/>
    </row>
    <row r="66" spans="2:18">
      <c r="B66" s="31" t="s">
        <v>1293</v>
      </c>
      <c r="C66" s="66">
        <v>0.10591666666666666</v>
      </c>
      <c r="D66" s="66">
        <v>4.7964107692307696E-2</v>
      </c>
      <c r="E66" s="66">
        <v>5.7952558974358963E-2</v>
      </c>
      <c r="Q66" s="32"/>
      <c r="R66" s="33"/>
    </row>
    <row r="67" spans="2:18">
      <c r="B67" s="31" t="s">
        <v>1294</v>
      </c>
      <c r="C67" s="66">
        <v>0.10324999999999999</v>
      </c>
      <c r="D67" s="66">
        <v>4.9891384615384615E-2</v>
      </c>
      <c r="E67" s="66">
        <v>5.3358615384615379E-2</v>
      </c>
      <c r="Q67" s="32"/>
      <c r="R67" s="33"/>
    </row>
    <row r="68" spans="2:18">
      <c r="B68" s="31" t="s">
        <v>1295</v>
      </c>
      <c r="C68" s="66">
        <v>0.10400000000000001</v>
      </c>
      <c r="D68" s="66">
        <v>4.9470430769230793E-2</v>
      </c>
      <c r="E68" s="66">
        <v>5.4529569230769216E-2</v>
      </c>
      <c r="Q68" s="32"/>
      <c r="R68" s="33"/>
    </row>
    <row r="69" spans="2:18">
      <c r="B69" s="31" t="s">
        <v>1296</v>
      </c>
      <c r="C69" s="66">
        <v>0.1065</v>
      </c>
      <c r="D69" s="66">
        <v>4.6137848484848476E-2</v>
      </c>
      <c r="E69" s="66">
        <v>6.0362151515151521E-2</v>
      </c>
      <c r="Q69" s="32"/>
      <c r="R69" s="33"/>
    </row>
    <row r="70" spans="2:18">
      <c r="B70" s="31" t="s">
        <v>1297</v>
      </c>
      <c r="C70" s="66">
        <v>0.10614999999999999</v>
      </c>
      <c r="D70" s="66">
        <v>4.4057984615384606E-2</v>
      </c>
      <c r="E70" s="66">
        <v>6.2092015384615389E-2</v>
      </c>
      <c r="Q70" s="32"/>
      <c r="R70" s="33"/>
    </row>
    <row r="71" spans="2:18">
      <c r="B71" s="31" t="s">
        <v>1298</v>
      </c>
      <c r="C71" s="66">
        <v>0.10536249999999998</v>
      </c>
      <c r="D71" s="66">
        <v>4.5697861538461525E-2</v>
      </c>
      <c r="E71" s="66">
        <v>5.9664638461538459E-2</v>
      </c>
      <c r="Q71" s="32"/>
      <c r="R71" s="33"/>
    </row>
    <row r="72" spans="2:18">
      <c r="B72" s="31" t="s">
        <v>1299</v>
      </c>
      <c r="C72" s="66">
        <v>0.10426666666666666</v>
      </c>
      <c r="D72" s="66">
        <v>4.4448575757575763E-2</v>
      </c>
      <c r="E72" s="66">
        <v>5.9818090909090897E-2</v>
      </c>
      <c r="Q72" s="32"/>
      <c r="R72" s="33"/>
    </row>
    <row r="73" spans="2:18">
      <c r="B73" s="31" t="s">
        <v>1300</v>
      </c>
      <c r="C73" s="66">
        <v>0.10387500000000001</v>
      </c>
      <c r="D73" s="66">
        <v>3.648545454545455E-2</v>
      </c>
      <c r="E73" s="66">
        <v>6.7389545454545452E-2</v>
      </c>
      <c r="Q73" s="32"/>
      <c r="R73" s="33"/>
    </row>
    <row r="74" spans="2:18">
      <c r="B74" s="31" t="s">
        <v>1301</v>
      </c>
      <c r="C74" s="66">
        <v>0.10751999999999999</v>
      </c>
      <c r="D74" s="66">
        <v>3.4371828125000004E-2</v>
      </c>
      <c r="E74" s="66">
        <v>7.3148171874999987E-2</v>
      </c>
      <c r="Q74" s="32"/>
      <c r="R74" s="33"/>
    </row>
    <row r="75" spans="2:18">
      <c r="B75" s="31" t="s">
        <v>1302</v>
      </c>
      <c r="C75" s="66">
        <v>0.1075</v>
      </c>
      <c r="D75" s="66">
        <v>4.1675338461538453E-2</v>
      </c>
      <c r="E75" s="66">
        <v>6.5824661538461546E-2</v>
      </c>
      <c r="Q75" s="32"/>
      <c r="R75" s="33"/>
    </row>
    <row r="76" spans="2:18">
      <c r="B76" s="31" t="s">
        <v>1303</v>
      </c>
      <c r="C76" s="66">
        <v>0.105</v>
      </c>
      <c r="D76" s="66">
        <v>4.3207924242424235E-2</v>
      </c>
      <c r="E76" s="66">
        <v>6.1792075757575761E-2</v>
      </c>
      <c r="Q76" s="32"/>
      <c r="R76" s="33"/>
    </row>
    <row r="77" spans="2:18">
      <c r="B77" s="31" t="s">
        <v>1304</v>
      </c>
      <c r="C77" s="66">
        <v>0.10592</v>
      </c>
      <c r="D77" s="66">
        <v>4.3369015151515151E-2</v>
      </c>
      <c r="E77" s="66">
        <v>6.2550984848484842E-2</v>
      </c>
      <c r="Q77" s="32"/>
      <c r="R77" s="33"/>
    </row>
    <row r="78" spans="2:18">
      <c r="B78" s="31" t="s">
        <v>1305</v>
      </c>
      <c r="C78" s="66">
        <v>0.10592500000000001</v>
      </c>
      <c r="D78" s="66">
        <v>4.6233281250000008E-2</v>
      </c>
      <c r="E78" s="66">
        <v>5.9691718749999997E-2</v>
      </c>
      <c r="Q78" s="32"/>
      <c r="R78" s="33"/>
    </row>
    <row r="79" spans="2:18">
      <c r="B79" s="31" t="s">
        <v>1306</v>
      </c>
      <c r="C79" s="66">
        <v>0.1018</v>
      </c>
      <c r="D79" s="66">
        <v>4.3635553846153849E-2</v>
      </c>
      <c r="E79" s="66">
        <v>5.8164446153846153E-2</v>
      </c>
      <c r="Q79" s="32"/>
      <c r="R79" s="33"/>
    </row>
    <row r="80" spans="2:18">
      <c r="B80" s="31" t="s">
        <v>1307</v>
      </c>
      <c r="C80" s="66">
        <v>0.10403333333333334</v>
      </c>
      <c r="D80" s="66">
        <v>3.855463636363636E-2</v>
      </c>
      <c r="E80" s="66">
        <v>6.5478696969696978E-2</v>
      </c>
      <c r="Q80" s="32"/>
      <c r="R80" s="33"/>
    </row>
    <row r="81" spans="2:18">
      <c r="B81" s="31" t="s">
        <v>1308</v>
      </c>
      <c r="C81" s="66">
        <v>0.10378666666666665</v>
      </c>
      <c r="D81" s="66">
        <v>4.1662787878787896E-2</v>
      </c>
      <c r="E81" s="66">
        <v>6.2123878787878756E-2</v>
      </c>
      <c r="Q81" s="32"/>
      <c r="R81" s="33"/>
    </row>
    <row r="82" spans="2:18">
      <c r="B82" s="31" t="s">
        <v>1309</v>
      </c>
      <c r="C82" s="66">
        <v>0.10091666666666665</v>
      </c>
      <c r="D82" s="66">
        <v>4.5583796874999978E-2</v>
      </c>
      <c r="E82" s="66">
        <v>5.5332869791666676E-2</v>
      </c>
      <c r="Q82" s="32"/>
      <c r="R82" s="33"/>
    </row>
    <row r="83" spans="2:18">
      <c r="B83" s="34" t="s">
        <v>1310</v>
      </c>
      <c r="C83" s="66">
        <v>0.10262857142857143</v>
      </c>
      <c r="D83" s="66">
        <v>4.3380446153846154E-2</v>
      </c>
      <c r="E83" s="66">
        <v>5.9248125274725276E-2</v>
      </c>
      <c r="Q83" s="32"/>
      <c r="R83" s="33"/>
    </row>
    <row r="84" spans="2:18">
      <c r="B84" s="34" t="s">
        <v>1311</v>
      </c>
      <c r="C84" s="66">
        <v>0.10571666666666668</v>
      </c>
      <c r="D84" s="66">
        <v>3.692825757575758E-2</v>
      </c>
      <c r="E84" s="66">
        <v>6.8788409090909108E-2</v>
      </c>
      <c r="Q84" s="32"/>
      <c r="R84" s="33"/>
    </row>
    <row r="85" spans="2:18">
      <c r="B85" s="34" t="s">
        <v>1312</v>
      </c>
      <c r="C85" s="66">
        <v>0.10387777777777776</v>
      </c>
      <c r="D85" s="66">
        <v>3.0392815384615392E-2</v>
      </c>
      <c r="E85" s="66">
        <v>7.3484962393162379E-2</v>
      </c>
      <c r="Q85" s="32"/>
      <c r="R85" s="33"/>
    </row>
    <row r="86" spans="2:18">
      <c r="B86" s="34" t="s">
        <v>1313</v>
      </c>
      <c r="C86" s="66">
        <v>0.10302857142857143</v>
      </c>
      <c r="D86" s="66">
        <v>3.1351338461538467E-2</v>
      </c>
      <c r="E86" s="66">
        <v>7.1677232967032961E-2</v>
      </c>
      <c r="Q86" s="32"/>
      <c r="R86" s="33"/>
    </row>
    <row r="87" spans="2:18">
      <c r="B87" s="34" t="s">
        <v>1314</v>
      </c>
      <c r="C87" s="66">
        <v>9.9500000000000005E-2</v>
      </c>
      <c r="D87" s="66">
        <v>2.9340830769230764E-2</v>
      </c>
      <c r="E87" s="66">
        <v>7.0159169230769244E-2</v>
      </c>
      <c r="Q87" s="32"/>
      <c r="R87" s="33"/>
    </row>
    <row r="88" spans="2:18">
      <c r="B88" s="34" t="s">
        <v>1315</v>
      </c>
      <c r="C88" s="66">
        <v>9.9000000000000005E-2</v>
      </c>
      <c r="D88" s="66">
        <v>2.7412938461538462E-2</v>
      </c>
      <c r="E88" s="66">
        <v>7.1587061538461547E-2</v>
      </c>
      <c r="Q88" s="32"/>
      <c r="R88" s="33"/>
    </row>
    <row r="89" spans="2:18">
      <c r="B89" s="34" t="s">
        <v>1316</v>
      </c>
      <c r="C89" s="66">
        <v>0.10163529411764707</v>
      </c>
      <c r="D89" s="66">
        <v>2.8642166666666666E-2</v>
      </c>
      <c r="E89" s="66">
        <v>7.2993127450980411E-2</v>
      </c>
      <c r="Q89" s="32"/>
      <c r="R89" s="33"/>
    </row>
    <row r="90" spans="2:18">
      <c r="B90" s="34" t="s">
        <v>1317</v>
      </c>
      <c r="C90" s="66">
        <v>9.849999999999999E-2</v>
      </c>
      <c r="D90" s="66">
        <v>3.1295609374999998E-2</v>
      </c>
      <c r="E90" s="66">
        <v>6.7204390624999999E-2</v>
      </c>
      <c r="Q90" s="32"/>
      <c r="R90" s="33"/>
    </row>
    <row r="91" spans="2:18">
      <c r="B91" s="34" t="s">
        <v>1318</v>
      </c>
      <c r="C91" s="66">
        <v>9.8599999999999993E-2</v>
      </c>
      <c r="D91" s="66">
        <v>3.1398800000000004E-2</v>
      </c>
      <c r="E91" s="66">
        <v>6.7201199999999989E-2</v>
      </c>
      <c r="Q91" s="32"/>
      <c r="R91" s="33"/>
    </row>
    <row r="92" spans="2:18">
      <c r="B92" s="34" t="s">
        <v>1319</v>
      </c>
      <c r="C92" s="66">
        <v>0.1012</v>
      </c>
      <c r="D92" s="66">
        <v>3.7113621212121202E-2</v>
      </c>
      <c r="E92" s="66">
        <v>6.4086378787878789E-2</v>
      </c>
      <c r="Q92" s="32"/>
      <c r="R92" s="33"/>
    </row>
    <row r="93" spans="2:18">
      <c r="B93" s="34" t="s">
        <v>1320</v>
      </c>
      <c r="C93" s="66">
        <v>9.9668749999999987E-2</v>
      </c>
      <c r="D93" s="66">
        <v>3.7872272727272713E-2</v>
      </c>
      <c r="E93" s="66">
        <v>6.1796477272727274E-2</v>
      </c>
      <c r="Q93" s="32"/>
    </row>
    <row r="94" spans="2:18">
      <c r="B94" s="34" t="s">
        <v>1321</v>
      </c>
      <c r="C94" s="66">
        <v>9.8549999999999999E-2</v>
      </c>
      <c r="D94" s="66">
        <v>3.6892906249999989E-2</v>
      </c>
      <c r="E94" s="66">
        <v>6.165709375000001E-2</v>
      </c>
      <c r="Q94" s="32"/>
    </row>
    <row r="95" spans="2:18">
      <c r="B95" s="34" t="s">
        <v>1322</v>
      </c>
      <c r="C95" s="66">
        <v>0.10100000000000001</v>
      </c>
      <c r="D95" s="66">
        <v>3.4420169230769224E-2</v>
      </c>
      <c r="E95" s="66">
        <v>6.6579830769230783E-2</v>
      </c>
      <c r="Q95" s="32"/>
    </row>
    <row r="96" spans="2:18">
      <c r="B96" s="34" t="s">
        <v>1323</v>
      </c>
      <c r="C96" s="66">
        <v>9.8999999999999991E-2</v>
      </c>
      <c r="D96" s="66">
        <v>3.2637651515151515E-2</v>
      </c>
      <c r="E96" s="66">
        <v>6.6362348484848482E-2</v>
      </c>
      <c r="Q96" s="32"/>
    </row>
    <row r="97" spans="2:17">
      <c r="B97" s="34" t="s">
        <v>1324</v>
      </c>
      <c r="C97" s="66">
        <v>9.9439999999999987E-2</v>
      </c>
      <c r="D97" s="66">
        <v>2.9634439393939404E-2</v>
      </c>
      <c r="E97" s="66">
        <v>6.9805560606060579E-2</v>
      </c>
      <c r="Q97" s="32"/>
    </row>
    <row r="98" spans="2:17">
      <c r="B98" s="34" t="s">
        <v>1325</v>
      </c>
      <c r="C98" s="66">
        <v>9.6375000000000002E-2</v>
      </c>
      <c r="D98" s="66">
        <v>2.5536187500000005E-2</v>
      </c>
      <c r="E98" s="66">
        <v>7.0838812500000001E-2</v>
      </c>
      <c r="Q98" s="32"/>
    </row>
    <row r="99" spans="2:17">
      <c r="B99" s="34" t="s">
        <v>1326</v>
      </c>
      <c r="C99" s="66">
        <v>9.8266666666666655E-2</v>
      </c>
      <c r="D99" s="66">
        <v>2.8846923076923076E-2</v>
      </c>
      <c r="E99" s="66">
        <v>6.9419743589743579E-2</v>
      </c>
    </row>
    <row r="100" spans="2:17">
      <c r="B100" s="34" t="s">
        <v>1327</v>
      </c>
      <c r="C100" s="66">
        <v>9.4E-2</v>
      </c>
      <c r="D100" s="66">
        <v>2.9591227272727273E-2</v>
      </c>
      <c r="E100" s="66">
        <v>6.4408772727272731E-2</v>
      </c>
    </row>
    <row r="101" spans="2:17">
      <c r="B101" s="34" t="s">
        <v>1328</v>
      </c>
      <c r="C101" s="66">
        <v>9.862499999999999E-2</v>
      </c>
      <c r="D101" s="66">
        <v>2.9592590909090898E-2</v>
      </c>
      <c r="E101" s="66">
        <v>6.9032409090909089E-2</v>
      </c>
    </row>
    <row r="102" spans="2:17">
      <c r="B102" s="34" t="s">
        <v>1329</v>
      </c>
      <c r="C102" s="66">
        <v>9.6999999999999989E-2</v>
      </c>
      <c r="D102" s="66">
        <v>2.7197200000000001E-2</v>
      </c>
      <c r="E102" s="66">
        <v>6.9802799999999984E-2</v>
      </c>
    </row>
    <row r="103" spans="2:17">
      <c r="B103" s="34" t="s">
        <v>1330</v>
      </c>
      <c r="C103" s="66">
        <v>9.4800000000000009E-2</v>
      </c>
      <c r="D103" s="66">
        <v>2.5666046153846152E-2</v>
      </c>
      <c r="E103" s="66">
        <v>6.9133953846153853E-2</v>
      </c>
    </row>
    <row r="104" spans="2:17">
      <c r="B104" s="34" t="s">
        <v>1331</v>
      </c>
      <c r="C104" s="66">
        <v>9.7349999999999992E-2</v>
      </c>
      <c r="D104" s="66">
        <v>2.2773333333333333E-2</v>
      </c>
      <c r="E104" s="66">
        <v>7.4576666666666652E-2</v>
      </c>
    </row>
    <row r="105" spans="2:17">
      <c r="B105" s="34" t="s">
        <v>1332</v>
      </c>
      <c r="C105" s="66">
        <v>9.8319999999999991E-2</v>
      </c>
      <c r="D105" s="66">
        <v>2.8326507692307684E-2</v>
      </c>
      <c r="E105" s="66">
        <v>6.9993492307692307E-2</v>
      </c>
    </row>
    <row r="106" spans="2:17">
      <c r="B106" s="34" t="s">
        <v>1333</v>
      </c>
      <c r="C106" s="66">
        <v>9.718333333333333E-2</v>
      </c>
      <c r="D106" s="66">
        <v>3.0435492307692304E-2</v>
      </c>
      <c r="E106" s="66">
        <v>6.6747841025641019E-2</v>
      </c>
    </row>
    <row r="107" spans="2:17">
      <c r="B107" s="34" t="s">
        <v>1334</v>
      </c>
      <c r="C107" s="66">
        <v>9.6428571428571419E-2</v>
      </c>
      <c r="D107" s="66">
        <v>2.8955353846153841E-2</v>
      </c>
      <c r="E107" s="66">
        <v>6.7473217582417575E-2</v>
      </c>
    </row>
    <row r="108" spans="2:17">
      <c r="B108" s="34" t="s">
        <v>1335</v>
      </c>
      <c r="C108" s="66">
        <v>0.1</v>
      </c>
      <c r="D108" s="66">
        <v>2.8157476923076918E-2</v>
      </c>
      <c r="E108" s="66">
        <v>7.1842523076923084E-2</v>
      </c>
    </row>
    <row r="109" spans="2:17">
      <c r="B109" s="34" t="s">
        <v>1336</v>
      </c>
      <c r="C109" s="66">
        <v>9.9064285714285702E-2</v>
      </c>
      <c r="D109" s="66">
        <v>2.8170630769230768E-2</v>
      </c>
      <c r="E109" s="66">
        <v>7.0893654945054937E-2</v>
      </c>
    </row>
    <row r="110" spans="2:17">
      <c r="B110" s="34" t="s">
        <v>1337</v>
      </c>
      <c r="C110" s="66">
        <v>9.6883333333333335E-2</v>
      </c>
      <c r="D110" s="66">
        <v>3.0233969230769233E-2</v>
      </c>
      <c r="E110" s="66">
        <v>6.6649364102564099E-2</v>
      </c>
    </row>
    <row r="111" spans="2:17">
      <c r="B111" s="34" t="s">
        <v>1338</v>
      </c>
      <c r="C111" s="66">
        <v>9.7474999999999992E-2</v>
      </c>
      <c r="D111" s="66">
        <v>3.0863630769230772E-2</v>
      </c>
      <c r="E111" s="66">
        <v>6.6611369230769213E-2</v>
      </c>
    </row>
    <row r="112" spans="2:17">
      <c r="B112" s="34" t="s">
        <v>1339</v>
      </c>
      <c r="C112" s="66">
        <v>9.6860000000000016E-2</v>
      </c>
      <c r="D112" s="66">
        <v>3.0584523076923074E-2</v>
      </c>
      <c r="E112" s="66">
        <v>6.6275476923076948E-2</v>
      </c>
    </row>
    <row r="113" spans="2:5">
      <c r="B113" s="34" t="s">
        <v>1340</v>
      </c>
      <c r="C113" s="66">
        <v>9.5225000000000004E-2</v>
      </c>
      <c r="D113" s="66">
        <v>3.270189393939394E-2</v>
      </c>
      <c r="E113" s="66">
        <v>6.2523106060606071E-2</v>
      </c>
    </row>
    <row r="114" spans="2:5">
      <c r="B114" s="34" t="s">
        <v>1341</v>
      </c>
      <c r="C114" s="66">
        <v>9.7166666666666665E-2</v>
      </c>
      <c r="D114" s="66">
        <v>3.0102703124999998E-2</v>
      </c>
      <c r="E114" s="66">
        <v>6.706396354166666E-2</v>
      </c>
    </row>
    <row r="115" spans="2:5">
      <c r="B115" s="34" t="s">
        <v>1342</v>
      </c>
      <c r="C115" s="66">
        <v>9.57625E-2</v>
      </c>
      <c r="D115" s="66">
        <v>2.7823599999999997E-2</v>
      </c>
      <c r="E115" s="66">
        <v>6.7938899999999997E-2</v>
      </c>
    </row>
    <row r="116" spans="2:5">
      <c r="B116" s="34" t="s">
        <v>1343</v>
      </c>
      <c r="C116" s="66">
        <v>9.5299999999999996E-2</v>
      </c>
      <c r="D116" s="66">
        <v>2.2855318181818182E-2</v>
      </c>
      <c r="E116" s="66">
        <v>7.2444681818181811E-2</v>
      </c>
    </row>
    <row r="117" spans="2:5">
      <c r="B117" s="34" t="s">
        <v>1344</v>
      </c>
      <c r="C117" s="66">
        <v>9.8874999999999991E-2</v>
      </c>
      <c r="D117" s="66">
        <v>2.2538393939393941E-2</v>
      </c>
      <c r="E117" s="66">
        <v>7.6336606060606049E-2</v>
      </c>
    </row>
    <row r="118" spans="2:5">
      <c r="B118" s="34" t="s">
        <v>1345</v>
      </c>
      <c r="C118" s="66">
        <v>9.7185714285714278E-2</v>
      </c>
      <c r="D118" s="66">
        <v>1.888032307692307E-2</v>
      </c>
      <c r="E118" s="66">
        <v>7.8305391208791209E-2</v>
      </c>
    </row>
    <row r="119" spans="2:5">
      <c r="B119" s="34" t="s">
        <v>1346</v>
      </c>
      <c r="C119" s="66">
        <v>9.5749999999999988E-2</v>
      </c>
      <c r="D119" s="66">
        <v>1.3756846153846161E-2</v>
      </c>
      <c r="E119" s="66">
        <v>8.1993153846153827E-2</v>
      </c>
    </row>
    <row r="120" spans="2:5">
      <c r="B120" s="34">
        <v>2020.3</v>
      </c>
      <c r="C120" s="66">
        <v>9.2999999999999985E-2</v>
      </c>
      <c r="D120" s="66">
        <v>1.3650969696969693E-2</v>
      </c>
      <c r="E120" s="66">
        <v>7.9349030303030296E-2</v>
      </c>
    </row>
    <row r="121" spans="2:5">
      <c r="B121" s="34">
        <v>2020.4</v>
      </c>
      <c r="C121" s="66">
        <v>9.5599999999999991E-2</v>
      </c>
      <c r="D121" s="66">
        <v>1.6167287878787885E-2</v>
      </c>
      <c r="E121" s="66">
        <v>7.9432712121212112E-2</v>
      </c>
    </row>
    <row r="122" spans="2:5">
      <c r="B122" s="34">
        <v>2021.1</v>
      </c>
      <c r="C122" s="66">
        <v>9.4500000000000001E-2</v>
      </c>
      <c r="D122" s="66">
        <v>2.0693546874999996E-2</v>
      </c>
      <c r="E122" s="66">
        <v>7.3806453125000004E-2</v>
      </c>
    </row>
    <row r="123" spans="2:5">
      <c r="B123" s="34">
        <v>2021.2</v>
      </c>
      <c r="C123" s="66">
        <v>9.4683333333333328E-2</v>
      </c>
      <c r="D123" s="66">
        <v>2.2536384615384621E-2</v>
      </c>
      <c r="E123" s="66">
        <v>7.2146948717948703E-2</v>
      </c>
    </row>
    <row r="124" spans="2:5">
      <c r="B124" s="34">
        <v>2021.3</v>
      </c>
      <c r="C124" s="66">
        <v>9.2740000000000003E-2</v>
      </c>
      <c r="D124" s="66">
        <v>1.9311075757575756E-2</v>
      </c>
      <c r="E124" s="66">
        <v>7.3428924242424254E-2</v>
      </c>
    </row>
    <row r="125" spans="2:5">
      <c r="B125" s="34">
        <v>2021.4</v>
      </c>
      <c r="C125" s="12">
        <v>9.6811111111111126E-2</v>
      </c>
      <c r="D125" s="12">
        <v>1.9954790697674418E-2</v>
      </c>
      <c r="E125" s="12">
        <v>7.6856320413436707E-2</v>
      </c>
    </row>
    <row r="126" spans="2:5">
      <c r="B126" s="260" t="s">
        <v>1272</v>
      </c>
      <c r="C126" s="261">
        <v>0.10643001253695919</v>
      </c>
      <c r="D126" s="261">
        <v>4.6009241344446984E-2</v>
      </c>
      <c r="E126" s="261">
        <v>6.0420771192512254E-2</v>
      </c>
    </row>
    <row r="127" spans="2:5" ht="13.8" thickBot="1">
      <c r="B127" s="70" t="s">
        <v>1347</v>
      </c>
      <c r="C127" s="71">
        <v>0.1059225</v>
      </c>
      <c r="D127" s="71">
        <v>4.628255600961538E-2</v>
      </c>
      <c r="E127" s="71">
        <v>6.1780053030303039E-2</v>
      </c>
    </row>
    <row r="128" spans="2:5">
      <c r="B128" s="34"/>
      <c r="C128" s="61"/>
      <c r="D128" s="199"/>
    </row>
    <row r="129" spans="2:4">
      <c r="C129" s="61"/>
      <c r="D129" s="199"/>
    </row>
    <row r="130" spans="2:4">
      <c r="B130" s="34"/>
      <c r="D130" s="199"/>
    </row>
    <row r="131" spans="2:4">
      <c r="B131" s="34"/>
      <c r="D131" s="199"/>
    </row>
    <row r="132" spans="2:4">
      <c r="D132" s="199"/>
    </row>
    <row r="133" spans="2:4">
      <c r="D133" s="199"/>
    </row>
    <row r="134" spans="2:4">
      <c r="D134" s="199"/>
    </row>
    <row r="135" spans="2:4">
      <c r="D135" s="199"/>
    </row>
    <row r="136" spans="2:4">
      <c r="D136" s="199"/>
    </row>
  </sheetData>
  <mergeCells count="1">
    <mergeCell ref="G26:H26"/>
  </mergeCells>
  <printOptions horizontalCentered="1"/>
  <pageMargins left="0.7" right="0.7" top="0.75" bottom="0.75" header="0.3" footer="0.3"/>
  <pageSetup scale="61" fitToWidth="0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B2:S131"/>
  <sheetViews>
    <sheetView view="pageLayout" topLeftCell="A109" zoomScale="50" zoomScaleNormal="85" zoomScalePageLayoutView="50" workbookViewId="0">
      <selection activeCell="K3" sqref="K3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3" width="9.88671875" style="29" bestFit="1" customWidth="1"/>
    <col min="4" max="4" width="9.88671875" style="29" customWidth="1"/>
    <col min="5" max="5" width="11" style="29" customWidth="1"/>
    <col min="6" max="6" width="9.109375" style="29"/>
    <col min="7" max="7" width="7" style="29" bestFit="1" customWidth="1"/>
    <col min="8" max="8" width="40.33203125" style="29" customWidth="1"/>
    <col min="9" max="9" width="12.5546875" style="29" bestFit="1" customWidth="1"/>
    <col min="10" max="10" width="13.88671875" style="29" bestFit="1" customWidth="1"/>
    <col min="11" max="11" width="13.44140625" style="29" bestFit="1" customWidth="1"/>
    <col min="12" max="13" width="13.88671875" style="29" bestFit="1" customWidth="1"/>
    <col min="14" max="14" width="11.109375" style="29" bestFit="1" customWidth="1"/>
    <col min="15" max="16" width="12.44140625" style="29" bestFit="1" customWidth="1"/>
    <col min="17" max="17" width="3.33203125" style="29" customWidth="1"/>
    <col min="18" max="16384" width="9.109375" style="29"/>
  </cols>
  <sheetData>
    <row r="2" spans="2:19">
      <c r="B2" s="30" t="s">
        <v>1348</v>
      </c>
      <c r="C2" s="30"/>
      <c r="D2" s="30"/>
      <c r="E2" s="30"/>
    </row>
    <row r="4" spans="2:19" ht="13.8" thickBot="1">
      <c r="C4" s="31" t="s">
        <v>34</v>
      </c>
      <c r="D4" s="31" t="s">
        <v>35</v>
      </c>
      <c r="E4" s="31" t="s">
        <v>36</v>
      </c>
    </row>
    <row r="5" spans="2:19" ht="39.6">
      <c r="B5" s="64"/>
      <c r="C5" s="65" t="s">
        <v>1349</v>
      </c>
      <c r="D5" s="65" t="s">
        <v>1197</v>
      </c>
      <c r="E5" s="65" t="s">
        <v>22</v>
      </c>
    </row>
    <row r="6" spans="2:19">
      <c r="B6" s="34" t="s">
        <v>1198</v>
      </c>
      <c r="C6" s="66">
        <v>0.12418</v>
      </c>
      <c r="D6" s="66">
        <v>7.8020624999999968E-2</v>
      </c>
      <c r="E6" s="66">
        <v>4.615937500000003E-2</v>
      </c>
      <c r="F6" s="29">
        <v>5</v>
      </c>
      <c r="R6" s="32"/>
      <c r="S6" s="33"/>
    </row>
    <row r="7" spans="2:19">
      <c r="B7" s="34" t="s">
        <v>1199</v>
      </c>
      <c r="C7" s="66">
        <v>0.11983333333333333</v>
      </c>
      <c r="D7" s="66">
        <v>7.8934374999999987E-2</v>
      </c>
      <c r="E7" s="66">
        <v>4.0898958333333346E-2</v>
      </c>
      <c r="F7" s="29">
        <v>3</v>
      </c>
      <c r="R7" s="32"/>
      <c r="S7" s="33"/>
    </row>
    <row r="8" spans="2:19">
      <c r="B8" s="34" t="s">
        <v>1200</v>
      </c>
      <c r="C8" s="66">
        <v>0.11865999999999999</v>
      </c>
      <c r="D8" s="66">
        <v>7.4454461538461553E-2</v>
      </c>
      <c r="E8" s="66">
        <v>4.4205538461538435E-2</v>
      </c>
      <c r="F8" s="29">
        <v>5</v>
      </c>
      <c r="R8" s="32"/>
      <c r="S8" s="33"/>
    </row>
    <row r="9" spans="2:19">
      <c r="B9" s="34" t="s">
        <v>1201</v>
      </c>
      <c r="C9" s="66">
        <v>0.11939999999999999</v>
      </c>
      <c r="D9" s="66">
        <v>7.5184696969696943E-2</v>
      </c>
      <c r="E9" s="66">
        <v>4.4215303030303049E-2</v>
      </c>
      <c r="F9" s="29">
        <v>15</v>
      </c>
      <c r="R9" s="32"/>
      <c r="S9" s="33"/>
    </row>
    <row r="10" spans="2:19">
      <c r="B10" s="34" t="s">
        <v>1202</v>
      </c>
      <c r="C10" s="66">
        <v>0.11749999999999999</v>
      </c>
      <c r="D10" s="66">
        <v>7.0683968253968263E-2</v>
      </c>
      <c r="E10" s="66">
        <v>4.681603174603173E-2</v>
      </c>
      <c r="F10" s="29">
        <v>4</v>
      </c>
      <c r="R10" s="32"/>
      <c r="S10" s="33"/>
    </row>
    <row r="11" spans="2:19">
      <c r="B11" s="31" t="s">
        <v>1203</v>
      </c>
      <c r="C11" s="66">
        <v>0.11708333333333333</v>
      </c>
      <c r="D11" s="66">
        <v>6.8553230769230741E-2</v>
      </c>
      <c r="E11" s="66">
        <v>4.853010256410259E-2</v>
      </c>
      <c r="F11" s="29">
        <v>6</v>
      </c>
      <c r="R11" s="32"/>
      <c r="S11" s="33"/>
    </row>
    <row r="12" spans="2:19">
      <c r="B12" s="31" t="s">
        <v>1204</v>
      </c>
      <c r="C12" s="66">
        <v>0.11387499999999999</v>
      </c>
      <c r="D12" s="66">
        <v>6.3142727272727309E-2</v>
      </c>
      <c r="E12" s="66">
        <v>5.0732272727272681E-2</v>
      </c>
      <c r="F12" s="29">
        <v>12</v>
      </c>
      <c r="R12" s="32"/>
      <c r="S12" s="33"/>
    </row>
    <row r="13" spans="2:19">
      <c r="B13" s="31" t="s">
        <v>1205</v>
      </c>
      <c r="C13" s="66">
        <v>0.11155555555555557</v>
      </c>
      <c r="D13" s="66">
        <v>6.1389999999999986E-2</v>
      </c>
      <c r="E13" s="66">
        <v>5.0165555555555588E-2</v>
      </c>
      <c r="F13" s="29">
        <v>18</v>
      </c>
      <c r="R13" s="32"/>
      <c r="S13" s="33"/>
    </row>
    <row r="14" spans="2:19">
      <c r="B14" s="31" t="s">
        <v>1206</v>
      </c>
      <c r="C14" s="66">
        <v>0.11120000000000001</v>
      </c>
      <c r="D14" s="66">
        <v>6.5745156249999992E-2</v>
      </c>
      <c r="E14" s="66">
        <v>4.5454843750000015E-2</v>
      </c>
      <c r="F14" s="29">
        <v>5</v>
      </c>
      <c r="R14" s="32"/>
      <c r="S14" s="33"/>
    </row>
    <row r="15" spans="2:19">
      <c r="B15" s="31" t="s">
        <v>1207</v>
      </c>
      <c r="C15" s="66">
        <v>0.10834999999999999</v>
      </c>
      <c r="D15" s="66">
        <v>7.3526307692307669E-2</v>
      </c>
      <c r="E15" s="66">
        <v>3.4823692307692319E-2</v>
      </c>
      <c r="F15" s="29">
        <v>4</v>
      </c>
      <c r="R15" s="32"/>
      <c r="S15" s="33"/>
    </row>
    <row r="16" spans="2:19">
      <c r="B16" s="31" t="s">
        <v>1208</v>
      </c>
      <c r="C16" s="66">
        <v>0.10866666666666668</v>
      </c>
      <c r="D16" s="66">
        <v>7.5847727272727289E-2</v>
      </c>
      <c r="E16" s="66">
        <v>3.2818939393939386E-2</v>
      </c>
      <c r="F16" s="29">
        <v>3</v>
      </c>
      <c r="R16" s="32"/>
      <c r="S16" s="33"/>
    </row>
    <row r="17" spans="2:19">
      <c r="B17" s="31" t="s">
        <v>1209</v>
      </c>
      <c r="C17" s="66">
        <v>0.11525833333333334</v>
      </c>
      <c r="D17" s="66">
        <v>7.9568461538461532E-2</v>
      </c>
      <c r="E17" s="66">
        <v>3.5689871794871805E-2</v>
      </c>
      <c r="F17" s="29">
        <v>12</v>
      </c>
      <c r="R17" s="32"/>
      <c r="S17" s="33"/>
    </row>
    <row r="18" spans="2:19">
      <c r="B18" s="31" t="s">
        <v>1210</v>
      </c>
      <c r="C18" s="66">
        <v>0.11</v>
      </c>
      <c r="D18" s="66">
        <v>6.9425846153846171E-2</v>
      </c>
      <c r="E18" s="66">
        <v>4.0574153846153829E-2</v>
      </c>
      <c r="F18" s="29">
        <v>1</v>
      </c>
      <c r="R18" s="32"/>
      <c r="S18" s="33"/>
    </row>
    <row r="19" spans="2:19">
      <c r="B19" s="31" t="s">
        <v>1211</v>
      </c>
      <c r="C19" s="66">
        <v>0.11066666666666668</v>
      </c>
      <c r="D19" s="66">
        <v>6.7118615384615374E-2</v>
      </c>
      <c r="E19" s="66">
        <v>4.3548051282051303E-2</v>
      </c>
      <c r="F19" s="29">
        <v>3</v>
      </c>
      <c r="R19" s="32"/>
      <c r="S19" s="33"/>
    </row>
    <row r="20" spans="2:19">
      <c r="B20" s="31" t="s">
        <v>1212</v>
      </c>
      <c r="C20" s="66">
        <v>0.11606666666666667</v>
      </c>
      <c r="D20" s="66">
        <v>6.2348153846153817E-2</v>
      </c>
      <c r="E20" s="66">
        <v>5.3718512820512848E-2</v>
      </c>
      <c r="F20" s="29">
        <v>9</v>
      </c>
      <c r="R20" s="32"/>
      <c r="S20" s="33"/>
    </row>
    <row r="21" spans="2:19">
      <c r="B21" s="31" t="s">
        <v>1213</v>
      </c>
      <c r="C21" s="66">
        <v>0.11449999999999999</v>
      </c>
      <c r="D21" s="66">
        <v>6.2925692307692321E-2</v>
      </c>
      <c r="E21" s="66">
        <v>5.1574307692307669E-2</v>
      </c>
      <c r="F21" s="29">
        <v>2</v>
      </c>
      <c r="R21" s="32"/>
      <c r="S21" s="33"/>
    </row>
    <row r="22" spans="2:19">
      <c r="B22" s="31" t="s">
        <v>1214</v>
      </c>
      <c r="C22" s="66">
        <v>0.10875</v>
      </c>
      <c r="D22" s="66">
        <v>6.9183230769230789E-2</v>
      </c>
      <c r="E22" s="66">
        <v>3.9566769230769211E-2</v>
      </c>
      <c r="F22" s="29">
        <v>6</v>
      </c>
      <c r="R22" s="32"/>
      <c r="S22" s="33"/>
    </row>
    <row r="23" spans="2:19">
      <c r="B23" s="31" t="s">
        <v>1215</v>
      </c>
      <c r="C23" s="66">
        <v>0.1125</v>
      </c>
      <c r="D23" s="66">
        <v>6.9644696969696968E-2</v>
      </c>
      <c r="E23" s="66">
        <v>4.2855303030303035E-2</v>
      </c>
      <c r="F23" s="29">
        <v>2</v>
      </c>
      <c r="R23" s="32"/>
      <c r="S23" s="33"/>
    </row>
    <row r="24" spans="2:19">
      <c r="B24" s="31" t="s">
        <v>1217</v>
      </c>
      <c r="C24" s="66">
        <v>0.11194285714285715</v>
      </c>
      <c r="D24" s="66">
        <v>6.6189999999999999E-2</v>
      </c>
      <c r="E24" s="66">
        <v>4.5752857142857151E-2</v>
      </c>
      <c r="F24" s="29">
        <v>7</v>
      </c>
      <c r="H24" s="61" t="s">
        <v>1216</v>
      </c>
      <c r="I24" s="61"/>
      <c r="J24" s="61"/>
      <c r="K24" s="61"/>
      <c r="L24" s="61"/>
      <c r="M24" s="61"/>
      <c r="N24" s="61"/>
      <c r="O24" s="61"/>
      <c r="P24" s="61"/>
      <c r="R24" s="32"/>
      <c r="S24" s="33"/>
    </row>
    <row r="25" spans="2:19" ht="13.8" thickBot="1">
      <c r="B25" s="31" t="s">
        <v>1218</v>
      </c>
      <c r="C25" s="66">
        <v>0.11307142857142857</v>
      </c>
      <c r="D25" s="66">
        <v>6.8133281250000011E-2</v>
      </c>
      <c r="E25" s="66">
        <v>4.4938147321428562E-2</v>
      </c>
      <c r="F25" s="29">
        <v>7</v>
      </c>
      <c r="H25" s="61"/>
      <c r="I25" s="61"/>
      <c r="J25" s="61"/>
      <c r="K25" s="61"/>
      <c r="L25" s="61"/>
      <c r="M25" s="61"/>
      <c r="N25" s="61"/>
      <c r="O25" s="61"/>
      <c r="P25" s="61"/>
      <c r="R25" s="32"/>
      <c r="S25" s="33"/>
    </row>
    <row r="26" spans="2:19">
      <c r="B26" s="31" t="s">
        <v>1220</v>
      </c>
      <c r="C26" s="66">
        <v>0.11699999999999999</v>
      </c>
      <c r="D26" s="66">
        <v>6.9324153846153841E-2</v>
      </c>
      <c r="E26" s="66">
        <v>4.7675846153846152E-2</v>
      </c>
      <c r="F26" s="29">
        <v>1</v>
      </c>
      <c r="H26" s="251" t="s">
        <v>1219</v>
      </c>
      <c r="I26" s="251"/>
      <c r="J26" s="61"/>
      <c r="K26" s="61"/>
      <c r="L26" s="61"/>
      <c r="M26" s="61"/>
      <c r="N26" s="61"/>
      <c r="O26" s="61"/>
      <c r="P26" s="61"/>
      <c r="R26" s="32"/>
      <c r="S26" s="33"/>
    </row>
    <row r="27" spans="2:19">
      <c r="B27" s="31" t="s">
        <v>1222</v>
      </c>
      <c r="C27" s="66">
        <v>0.12</v>
      </c>
      <c r="D27" s="66">
        <v>6.5281666666666668E-2</v>
      </c>
      <c r="E27" s="66">
        <v>5.4718333333333327E-2</v>
      </c>
      <c r="F27" s="29">
        <v>1</v>
      </c>
      <c r="H27" s="61" t="s">
        <v>1221</v>
      </c>
      <c r="I27" s="61">
        <v>0.92810782531162461</v>
      </c>
      <c r="J27" s="61"/>
      <c r="K27" s="61"/>
      <c r="L27" s="61"/>
      <c r="M27" s="61"/>
      <c r="N27" s="61"/>
      <c r="O27" s="61"/>
      <c r="P27" s="61"/>
      <c r="R27" s="32"/>
      <c r="S27" s="33"/>
    </row>
    <row r="28" spans="2:19">
      <c r="B28" s="34" t="s">
        <v>1224</v>
      </c>
      <c r="C28" s="66">
        <v>0.10916666666666668</v>
      </c>
      <c r="D28" s="66">
        <v>6.1372272727272741E-2</v>
      </c>
      <c r="E28" s="66">
        <v>4.7794393939393935E-2</v>
      </c>
      <c r="F28" s="29">
        <v>3</v>
      </c>
      <c r="H28" s="61" t="s">
        <v>1223</v>
      </c>
      <c r="I28" s="61">
        <v>0.86138413540467307</v>
      </c>
      <c r="J28" s="61"/>
      <c r="K28" s="61"/>
      <c r="L28" s="61"/>
      <c r="M28" s="61"/>
      <c r="N28" s="61"/>
      <c r="O28" s="61"/>
      <c r="P28" s="61"/>
      <c r="R28" s="32"/>
      <c r="S28" s="33"/>
    </row>
    <row r="29" spans="2:19">
      <c r="B29" s="31" t="s">
        <v>1227</v>
      </c>
      <c r="C29" s="66">
        <v>0.11366666666666665</v>
      </c>
      <c r="D29" s="66">
        <v>5.8462461538461553E-2</v>
      </c>
      <c r="E29" s="66">
        <v>5.5204205128205099E-2</v>
      </c>
      <c r="F29" s="29">
        <v>3</v>
      </c>
      <c r="H29" s="61" t="s">
        <v>1225</v>
      </c>
      <c r="I29" s="61">
        <v>0.86016820676787198</v>
      </c>
      <c r="J29" s="61"/>
      <c r="K29" s="61"/>
      <c r="L29" s="61"/>
      <c r="M29" s="61"/>
      <c r="N29" s="61"/>
      <c r="O29" s="61"/>
      <c r="P29" s="61"/>
      <c r="R29" s="32"/>
      <c r="S29" s="33"/>
    </row>
    <row r="30" spans="2:19">
      <c r="B30" s="31" t="s">
        <v>1229</v>
      </c>
      <c r="C30" s="66">
        <v>0.11409999999999999</v>
      </c>
      <c r="D30" s="66">
        <v>5.4731969696969689E-2</v>
      </c>
      <c r="E30" s="66">
        <v>5.9368030303030304E-2</v>
      </c>
      <c r="F30" s="29">
        <v>3</v>
      </c>
      <c r="H30" s="61" t="s">
        <v>1226</v>
      </c>
      <c r="I30" s="61">
        <v>3.8757573735541248E-3</v>
      </c>
      <c r="J30" s="61"/>
      <c r="K30" s="61"/>
      <c r="L30" s="61"/>
      <c r="M30" s="61"/>
      <c r="N30" s="61"/>
      <c r="O30" s="61"/>
      <c r="P30" s="61"/>
      <c r="R30" s="32"/>
      <c r="S30" s="33"/>
    </row>
    <row r="31" spans="2:19" ht="13.8" thickBot="1">
      <c r="B31" s="31" t="s">
        <v>1230</v>
      </c>
      <c r="C31" s="66">
        <v>0.1169</v>
      </c>
      <c r="D31" s="66">
        <v>5.1047272727272747E-2</v>
      </c>
      <c r="E31" s="66">
        <v>6.5852727272727257E-2</v>
      </c>
      <c r="F31" s="29">
        <v>4</v>
      </c>
      <c r="H31" s="252" t="s">
        <v>1228</v>
      </c>
      <c r="I31" s="252">
        <v>116</v>
      </c>
      <c r="J31" s="61"/>
      <c r="K31" s="61"/>
      <c r="L31" s="61"/>
      <c r="M31" s="61"/>
      <c r="N31" s="61"/>
      <c r="O31" s="61"/>
      <c r="P31" s="61"/>
      <c r="R31" s="32"/>
      <c r="S31" s="33"/>
    </row>
    <row r="32" spans="2:19">
      <c r="B32" s="34" t="s">
        <v>1232</v>
      </c>
      <c r="C32" s="66">
        <v>0.10816666666666667</v>
      </c>
      <c r="D32" s="66">
        <v>5.3729687500000019E-2</v>
      </c>
      <c r="E32" s="66">
        <v>5.4436979166666656E-2</v>
      </c>
      <c r="F32" s="29">
        <v>3</v>
      </c>
      <c r="H32" s="61"/>
      <c r="I32" s="61"/>
      <c r="J32" s="61"/>
      <c r="K32" s="61"/>
      <c r="L32" s="61"/>
      <c r="M32" s="61"/>
      <c r="N32" s="61"/>
      <c r="O32" s="61"/>
      <c r="P32" s="61"/>
      <c r="R32" s="32"/>
      <c r="S32" s="33"/>
    </row>
    <row r="33" spans="2:19" ht="13.8" thickBot="1">
      <c r="B33" s="34" t="s">
        <v>1236</v>
      </c>
      <c r="C33" s="66">
        <v>0.1125</v>
      </c>
      <c r="D33" s="66">
        <v>5.794030769230768E-2</v>
      </c>
      <c r="E33" s="66">
        <v>5.4559692307692323E-2</v>
      </c>
      <c r="F33" s="29">
        <v>1</v>
      </c>
      <c r="H33" s="61" t="s">
        <v>1231</v>
      </c>
      <c r="I33" s="61"/>
      <c r="J33" s="61"/>
      <c r="K33" s="61"/>
      <c r="L33" s="61"/>
      <c r="M33" s="61"/>
      <c r="N33" s="61"/>
      <c r="O33" s="61"/>
      <c r="P33" s="61"/>
      <c r="R33" s="32"/>
      <c r="S33" s="33"/>
    </row>
    <row r="34" spans="2:19">
      <c r="B34" s="34" t="s">
        <v>1239</v>
      </c>
      <c r="C34" s="66">
        <v>0.10375</v>
      </c>
      <c r="D34" s="66">
        <v>6.2528484848484861E-2</v>
      </c>
      <c r="E34" s="66">
        <v>4.1221515151515134E-2</v>
      </c>
      <c r="F34" s="29">
        <v>2</v>
      </c>
      <c r="H34" s="253"/>
      <c r="I34" s="253" t="s">
        <v>1233</v>
      </c>
      <c r="J34" s="253" t="s">
        <v>1234</v>
      </c>
      <c r="K34" s="253" t="s">
        <v>776</v>
      </c>
      <c r="L34" s="253" t="s">
        <v>414</v>
      </c>
      <c r="M34" s="253" t="s">
        <v>1235</v>
      </c>
      <c r="N34" s="61"/>
      <c r="O34" s="61"/>
      <c r="P34" s="61"/>
      <c r="R34" s="32"/>
      <c r="S34" s="33"/>
    </row>
    <row r="35" spans="2:19">
      <c r="B35" s="31" t="s">
        <v>1241</v>
      </c>
      <c r="C35" s="66">
        <v>0.10655000000000001</v>
      </c>
      <c r="D35" s="66">
        <v>6.2912615384615386E-2</v>
      </c>
      <c r="E35" s="66">
        <v>4.363738461538462E-2</v>
      </c>
      <c r="F35" s="29">
        <v>2</v>
      </c>
      <c r="H35" s="61" t="s">
        <v>1237</v>
      </c>
      <c r="I35" s="61">
        <v>1</v>
      </c>
      <c r="J35" s="61">
        <v>1.0641477862920513E-2</v>
      </c>
      <c r="K35" s="61">
        <v>1.0641477862920513E-2</v>
      </c>
      <c r="L35" s="61">
        <v>708.41668609008025</v>
      </c>
      <c r="M35" s="61">
        <v>9.7201695885307681E-51</v>
      </c>
      <c r="N35" s="61"/>
      <c r="O35" s="61"/>
      <c r="P35" s="61"/>
      <c r="R35" s="32"/>
      <c r="S35" s="33"/>
    </row>
    <row r="36" spans="2:19">
      <c r="B36" s="34" t="s">
        <v>1242</v>
      </c>
      <c r="C36" s="66">
        <v>0.11033333333333334</v>
      </c>
      <c r="D36" s="66">
        <v>5.9723230769230765E-2</v>
      </c>
      <c r="E36" s="66">
        <v>5.0610102564102574E-2</v>
      </c>
      <c r="F36" s="29">
        <v>3</v>
      </c>
      <c r="H36" s="61" t="s">
        <v>1238</v>
      </c>
      <c r="I36" s="61">
        <v>114</v>
      </c>
      <c r="J36" s="61">
        <v>1.7124504549271451E-3</v>
      </c>
      <c r="K36" s="61">
        <v>1.5021495218659168E-5</v>
      </c>
      <c r="L36" s="61"/>
      <c r="M36" s="61"/>
      <c r="N36" s="61"/>
      <c r="O36" s="61"/>
      <c r="P36" s="61"/>
      <c r="R36" s="32"/>
      <c r="S36" s="33"/>
    </row>
    <row r="37" spans="2:19" ht="13.8" thickBot="1">
      <c r="B37" s="31" t="s">
        <v>1250</v>
      </c>
      <c r="C37" s="66">
        <v>0.11334</v>
      </c>
      <c r="D37" s="66">
        <v>5.7871875000000017E-2</v>
      </c>
      <c r="E37" s="66">
        <v>5.5468124999999979E-2</v>
      </c>
      <c r="F37" s="29">
        <v>5</v>
      </c>
      <c r="H37" s="252" t="s">
        <v>1240</v>
      </c>
      <c r="I37" s="252">
        <v>115</v>
      </c>
      <c r="J37" s="252">
        <v>1.2353928317847658E-2</v>
      </c>
      <c r="K37" s="252"/>
      <c r="L37" s="252"/>
      <c r="M37" s="252"/>
      <c r="N37" s="61"/>
      <c r="O37" s="61"/>
      <c r="P37" s="61"/>
      <c r="R37" s="32"/>
      <c r="S37" s="33"/>
    </row>
    <row r="38" spans="2:19" ht="13.8" thickBot="1">
      <c r="B38" s="31" t="s">
        <v>1252</v>
      </c>
      <c r="C38" s="66">
        <v>0.121</v>
      </c>
      <c r="D38" s="66">
        <v>5.686107692307691E-2</v>
      </c>
      <c r="E38" s="66">
        <v>6.4138923076923093E-2</v>
      </c>
      <c r="F38" s="29">
        <v>3</v>
      </c>
      <c r="H38" s="61"/>
      <c r="I38" s="61"/>
      <c r="J38" s="61"/>
      <c r="K38" s="61"/>
      <c r="L38" s="61"/>
      <c r="M38" s="61"/>
      <c r="N38" s="61"/>
      <c r="O38" s="61"/>
      <c r="P38" s="61"/>
      <c r="R38" s="32"/>
      <c r="S38" s="33"/>
    </row>
    <row r="39" spans="2:19">
      <c r="B39" s="34" t="s">
        <v>1253</v>
      </c>
      <c r="C39" s="66">
        <v>0.11375</v>
      </c>
      <c r="D39" s="66">
        <v>5.4425937500000014E-2</v>
      </c>
      <c r="E39" s="66">
        <v>5.932406249999999E-2</v>
      </c>
      <c r="F39" s="29">
        <v>2</v>
      </c>
      <c r="H39" s="253"/>
      <c r="I39" s="253" t="s">
        <v>1243</v>
      </c>
      <c r="J39" s="253" t="s">
        <v>1226</v>
      </c>
      <c r="K39" s="253" t="s">
        <v>1244</v>
      </c>
      <c r="L39" s="253" t="s">
        <v>1245</v>
      </c>
      <c r="M39" s="253" t="s">
        <v>1246</v>
      </c>
      <c r="N39" s="253" t="s">
        <v>1247</v>
      </c>
      <c r="O39" s="253" t="s">
        <v>1248</v>
      </c>
      <c r="P39" s="253" t="s">
        <v>1249</v>
      </c>
      <c r="R39" s="32"/>
      <c r="S39" s="33"/>
    </row>
    <row r="40" spans="2:19">
      <c r="B40" s="34" t="s">
        <v>1254</v>
      </c>
      <c r="C40" s="66">
        <v>0.1075</v>
      </c>
      <c r="D40" s="66">
        <v>5.699338461538464E-2</v>
      </c>
      <c r="E40" s="66">
        <v>5.0506615384615358E-2</v>
      </c>
      <c r="F40" s="29">
        <v>1</v>
      </c>
      <c r="H40" s="61" t="s">
        <v>1251</v>
      </c>
      <c r="I40" s="61">
        <v>8.5502922853504942E-2</v>
      </c>
      <c r="J40" s="61">
        <v>1.0583068473044789E-3</v>
      </c>
      <c r="K40" s="61">
        <v>80.792185245027923</v>
      </c>
      <c r="L40" s="61">
        <v>1.7827554346855788E-102</v>
      </c>
      <c r="M40" s="61">
        <v>8.340642514009966E-2</v>
      </c>
      <c r="N40" s="61">
        <v>8.7599420566910224E-2</v>
      </c>
      <c r="O40" s="61">
        <v>8.340642514009966E-2</v>
      </c>
      <c r="P40" s="61">
        <v>8.7599420566910224E-2</v>
      </c>
      <c r="R40" s="32"/>
      <c r="S40" s="33"/>
    </row>
    <row r="41" spans="2:19" ht="13.8" thickBot="1">
      <c r="B41" s="31" t="s">
        <v>1255</v>
      </c>
      <c r="C41" s="66">
        <v>0.10650000000000001</v>
      </c>
      <c r="D41" s="66">
        <v>5.2970909090909089E-2</v>
      </c>
      <c r="E41" s="66">
        <v>5.3529090909090922E-2</v>
      </c>
      <c r="F41" s="29">
        <v>2</v>
      </c>
      <c r="H41" s="252" t="s">
        <v>1197</v>
      </c>
      <c r="I41" s="252">
        <v>-0.5829499553254166</v>
      </c>
      <c r="J41" s="252">
        <v>2.1902156726162112E-2</v>
      </c>
      <c r="K41" s="252">
        <v>-26.616098250684292</v>
      </c>
      <c r="L41" s="252">
        <v>9.7201695885314601E-51</v>
      </c>
      <c r="M41" s="252">
        <v>-0.62633795910900392</v>
      </c>
      <c r="N41" s="252">
        <v>-0.53956195154182929</v>
      </c>
      <c r="O41" s="252">
        <v>-0.62633795910900392</v>
      </c>
      <c r="P41" s="252">
        <v>-0.53956195154182929</v>
      </c>
      <c r="R41" s="32"/>
      <c r="S41" s="33"/>
    </row>
    <row r="42" spans="2:19">
      <c r="B42" s="34" t="s">
        <v>1256</v>
      </c>
      <c r="C42" s="66">
        <v>0.10666666666666667</v>
      </c>
      <c r="D42" s="66">
        <v>5.5132187499999999E-2</v>
      </c>
      <c r="E42" s="66">
        <v>5.1534479166666675E-2</v>
      </c>
      <c r="F42" s="29">
        <v>3</v>
      </c>
      <c r="H42" s="61"/>
      <c r="I42" s="61"/>
      <c r="J42" s="61"/>
      <c r="K42" s="61"/>
      <c r="L42" s="61"/>
      <c r="M42" s="61"/>
      <c r="N42" s="61"/>
      <c r="O42" s="61"/>
      <c r="P42" s="61"/>
      <c r="R42" s="32"/>
      <c r="S42" s="33"/>
    </row>
    <row r="43" spans="2:19">
      <c r="B43" s="31" t="s">
        <v>1258</v>
      </c>
      <c r="C43" s="66">
        <v>0.116425</v>
      </c>
      <c r="D43" s="66">
        <v>5.6129153846153849E-2</v>
      </c>
      <c r="E43" s="66">
        <v>6.0295846153846151E-2</v>
      </c>
      <c r="F43" s="29">
        <v>4</v>
      </c>
      <c r="H43" s="61"/>
      <c r="I43" s="61"/>
      <c r="J43" s="61"/>
      <c r="K43" s="61"/>
      <c r="L43" s="61"/>
      <c r="M43" s="61"/>
      <c r="N43" s="61"/>
      <c r="O43" s="61"/>
      <c r="P43" s="61"/>
      <c r="R43" s="32"/>
      <c r="S43" s="33"/>
    </row>
    <row r="44" spans="2:19">
      <c r="B44" s="31" t="s">
        <v>1261</v>
      </c>
      <c r="C44" s="66">
        <v>0.11499999999999999</v>
      </c>
      <c r="D44" s="66">
        <v>5.0848590909090899E-2</v>
      </c>
      <c r="E44" s="66">
        <v>6.4151409090909092E-2</v>
      </c>
      <c r="F44" s="29">
        <v>3</v>
      </c>
      <c r="H44" s="61"/>
      <c r="I44" s="61"/>
      <c r="J44" s="61"/>
      <c r="K44" s="61"/>
      <c r="L44" s="61"/>
      <c r="M44" s="61"/>
      <c r="N44" s="61"/>
      <c r="O44" s="61"/>
      <c r="P44" s="61"/>
      <c r="R44" s="32"/>
      <c r="S44" s="33"/>
    </row>
    <row r="45" spans="2:19" ht="13.8" thickBot="1">
      <c r="B45" s="34" t="s">
        <v>1265</v>
      </c>
      <c r="C45" s="66">
        <v>0.1101111111111111</v>
      </c>
      <c r="D45" s="66">
        <v>4.9307318181818195E-2</v>
      </c>
      <c r="E45" s="66">
        <v>6.0803792929292909E-2</v>
      </c>
      <c r="F45" s="29">
        <v>9</v>
      </c>
      <c r="H45" s="61"/>
      <c r="I45" s="61"/>
      <c r="J45" s="61"/>
      <c r="K45" s="201" t="s">
        <v>40</v>
      </c>
      <c r="L45" s="201" t="s">
        <v>41</v>
      </c>
      <c r="M45" s="201" t="s">
        <v>42</v>
      </c>
      <c r="R45" s="32"/>
      <c r="S45" s="33"/>
    </row>
    <row r="46" spans="2:19">
      <c r="B46" s="31" t="s">
        <v>1266</v>
      </c>
      <c r="C46" s="66">
        <v>0.11381999999999999</v>
      </c>
      <c r="D46" s="66">
        <v>4.8490953125E-2</v>
      </c>
      <c r="E46" s="66">
        <v>6.5329046874999991E-2</v>
      </c>
      <c r="F46" s="29">
        <v>5</v>
      </c>
      <c r="H46" s="254"/>
      <c r="I46" s="254"/>
      <c r="J46" s="254"/>
      <c r="K46" s="255" t="s">
        <v>1257</v>
      </c>
      <c r="L46" s="255"/>
      <c r="M46" s="255"/>
      <c r="R46" s="32"/>
      <c r="S46" s="33"/>
    </row>
    <row r="47" spans="2:19">
      <c r="B47" s="31" t="s">
        <v>1268</v>
      </c>
      <c r="C47" s="66">
        <v>0.113625</v>
      </c>
      <c r="D47" s="66">
        <v>4.5979046153846168E-2</v>
      </c>
      <c r="E47" s="66">
        <v>6.7645953846153836E-2</v>
      </c>
      <c r="F47" s="29">
        <v>4</v>
      </c>
      <c r="K47" s="31" t="s">
        <v>1259</v>
      </c>
      <c r="L47" s="31" t="s">
        <v>1260</v>
      </c>
      <c r="M47" s="31"/>
      <c r="R47" s="32"/>
      <c r="S47" s="33"/>
    </row>
    <row r="48" spans="2:19">
      <c r="B48" s="31" t="s">
        <v>1269</v>
      </c>
      <c r="C48" s="66">
        <v>0.10612000000000002</v>
      </c>
      <c r="D48" s="66">
        <v>5.1104863636363636E-2</v>
      </c>
      <c r="E48" s="66">
        <v>5.5015136363636384E-2</v>
      </c>
      <c r="F48" s="29">
        <v>5</v>
      </c>
      <c r="H48" s="256"/>
      <c r="I48" s="256"/>
      <c r="J48" s="256"/>
      <c r="K48" s="257" t="s">
        <v>1262</v>
      </c>
      <c r="L48" s="257" t="s">
        <v>1263</v>
      </c>
      <c r="M48" s="257" t="s">
        <v>1264</v>
      </c>
      <c r="R48" s="32"/>
      <c r="S48" s="33"/>
    </row>
    <row r="49" spans="2:19">
      <c r="B49" s="31" t="s">
        <v>1271</v>
      </c>
      <c r="C49" s="66">
        <v>0.10841818181818183</v>
      </c>
      <c r="D49" s="66">
        <v>5.1142196969696983E-2</v>
      </c>
      <c r="E49" s="66">
        <v>5.7275984848484847E-2</v>
      </c>
      <c r="F49" s="29">
        <v>11</v>
      </c>
      <c r="R49" s="32"/>
      <c r="S49" s="33"/>
    </row>
    <row r="50" spans="2:19">
      <c r="B50" s="31" t="s">
        <v>1273</v>
      </c>
      <c r="C50" s="66">
        <v>0.11059999999999999</v>
      </c>
      <c r="D50" s="66">
        <v>4.8753138461538476E-2</v>
      </c>
      <c r="E50" s="66">
        <v>6.1846861538461514E-2</v>
      </c>
      <c r="F50" s="29">
        <v>5</v>
      </c>
      <c r="H50" s="29" t="s">
        <v>1267</v>
      </c>
      <c r="K50" s="67">
        <v>1.9706666666666664E-2</v>
      </c>
      <c r="L50" s="66">
        <f>$I$40+($I$41*K50)</f>
        <v>7.4014922400558736E-2</v>
      </c>
      <c r="M50" s="66">
        <f>SUM(K50:L50)</f>
        <v>9.37215890672254E-2</v>
      </c>
      <c r="R50" s="32"/>
      <c r="S50" s="33"/>
    </row>
    <row r="51" spans="2:19">
      <c r="B51" s="31" t="s">
        <v>1274</v>
      </c>
      <c r="C51" s="66">
        <v>0.10573333333333335</v>
      </c>
      <c r="D51" s="66">
        <v>5.3192861538461533E-2</v>
      </c>
      <c r="E51" s="66">
        <v>5.2540471794871813E-2</v>
      </c>
      <c r="F51" s="29">
        <v>3</v>
      </c>
      <c r="H51" s="29" t="s">
        <v>1517</v>
      </c>
      <c r="K51" s="67">
        <v>2.46E-2</v>
      </c>
      <c r="L51" s="66">
        <f>$I$40+($I$41*K51)</f>
        <v>7.1162353952499688E-2</v>
      </c>
      <c r="M51" s="66">
        <f>SUM(K51:L51)</f>
        <v>9.5762353952499685E-2</v>
      </c>
      <c r="R51" s="32"/>
      <c r="S51" s="33"/>
    </row>
    <row r="52" spans="2:19">
      <c r="B52" s="31" t="s">
        <v>1275</v>
      </c>
      <c r="C52" s="66">
        <v>0.10368749999999999</v>
      </c>
      <c r="D52" s="66">
        <v>5.0588015151515148E-2</v>
      </c>
      <c r="E52" s="66">
        <v>5.309948484848484E-2</v>
      </c>
      <c r="F52" s="29">
        <v>8</v>
      </c>
      <c r="H52" s="256" t="s">
        <v>1270</v>
      </c>
      <c r="I52" s="256"/>
      <c r="J52" s="256"/>
      <c r="K52" s="67">
        <v>3.4000000000000002E-2</v>
      </c>
      <c r="L52" s="258">
        <f>$I$40+($I$41*K52)</f>
        <v>6.5682624372440782E-2</v>
      </c>
      <c r="M52" s="258">
        <f>SUM(K52:L52)</f>
        <v>9.9682624372440784E-2</v>
      </c>
      <c r="R52" s="32"/>
      <c r="S52" s="33"/>
    </row>
    <row r="53" spans="2:19" ht="13.8" thickBot="1">
      <c r="B53" s="31" t="s">
        <v>1277</v>
      </c>
      <c r="C53" s="66">
        <v>0.10658333333333332</v>
      </c>
      <c r="D53" s="66">
        <v>4.864845454545455E-2</v>
      </c>
      <c r="E53" s="66">
        <v>5.7934878787878771E-2</v>
      </c>
      <c r="F53" s="29">
        <v>6</v>
      </c>
      <c r="H53" s="68" t="s">
        <v>1272</v>
      </c>
      <c r="I53" s="68"/>
      <c r="J53" s="68"/>
      <c r="K53" s="69"/>
      <c r="L53" s="69"/>
      <c r="M53" s="69">
        <f>AVERAGE(M50:M52)</f>
        <v>9.6388855797388637E-2</v>
      </c>
      <c r="R53" s="32"/>
      <c r="S53" s="33"/>
    </row>
    <row r="54" spans="2:19">
      <c r="B54" s="31" t="s">
        <v>1279</v>
      </c>
      <c r="C54" s="66">
        <v>0.10650000000000001</v>
      </c>
      <c r="D54" s="66">
        <v>4.6927312499999985E-2</v>
      </c>
      <c r="E54" s="66">
        <v>5.9572687500000027E-2</v>
      </c>
      <c r="F54" s="29">
        <v>2</v>
      </c>
      <c r="R54" s="32"/>
      <c r="S54" s="33"/>
    </row>
    <row r="55" spans="2:19">
      <c r="B55" s="34" t="s">
        <v>1281</v>
      </c>
      <c r="C55" s="66">
        <v>0.10536000000000001</v>
      </c>
      <c r="D55" s="66">
        <v>4.4650938461538468E-2</v>
      </c>
      <c r="E55" s="66">
        <v>6.0709061538461541E-2</v>
      </c>
      <c r="F55" s="29">
        <v>5</v>
      </c>
      <c r="H55" s="259" t="s">
        <v>31</v>
      </c>
      <c r="R55" s="32"/>
      <c r="S55" s="33"/>
    </row>
    <row r="56" spans="2:19">
      <c r="B56" s="31" t="s">
        <v>1283</v>
      </c>
      <c r="C56" s="66">
        <v>0.10471999999999999</v>
      </c>
      <c r="D56" s="66">
        <v>4.4381742424242414E-2</v>
      </c>
      <c r="E56" s="66">
        <v>6.033825757575758E-2</v>
      </c>
      <c r="F56" s="29">
        <v>5</v>
      </c>
      <c r="H56" s="63" t="s">
        <v>1276</v>
      </c>
      <c r="R56" s="32"/>
      <c r="S56" s="33"/>
    </row>
    <row r="57" spans="2:19">
      <c r="B57" s="31" t="s">
        <v>1285</v>
      </c>
      <c r="C57" s="66">
        <v>0.10316428571428572</v>
      </c>
      <c r="D57" s="66">
        <v>4.6829078125E-2</v>
      </c>
      <c r="E57" s="66">
        <v>5.6335207589285723E-2</v>
      </c>
      <c r="F57" s="29">
        <v>14</v>
      </c>
      <c r="H57" s="63" t="s">
        <v>1278</v>
      </c>
      <c r="R57" s="32"/>
      <c r="S57" s="33"/>
    </row>
    <row r="58" spans="2:19">
      <c r="B58" s="31" t="s">
        <v>1287</v>
      </c>
      <c r="C58" s="66">
        <v>0.10680000000000001</v>
      </c>
      <c r="D58" s="66">
        <v>4.633183076923076E-2</v>
      </c>
      <c r="E58" s="66">
        <v>6.0468169230769246E-2</v>
      </c>
      <c r="F58" s="29">
        <v>5</v>
      </c>
      <c r="H58" s="63" t="s">
        <v>1280</v>
      </c>
      <c r="R58" s="32"/>
      <c r="S58" s="33"/>
    </row>
    <row r="59" spans="2:19">
      <c r="B59" s="31" t="s">
        <v>1289</v>
      </c>
      <c r="C59" s="66">
        <v>0.106</v>
      </c>
      <c r="D59" s="66">
        <v>5.1406507692307687E-2</v>
      </c>
      <c r="E59" s="66">
        <v>5.459349230769231E-2</v>
      </c>
      <c r="F59" s="29">
        <v>1</v>
      </c>
      <c r="H59" s="63" t="s">
        <v>1282</v>
      </c>
      <c r="R59" s="32"/>
      <c r="S59" s="33"/>
    </row>
    <row r="60" spans="2:19">
      <c r="B60" s="31" t="s">
        <v>1290</v>
      </c>
      <c r="C60" s="66">
        <v>0.10337499999999999</v>
      </c>
      <c r="D60" s="66">
        <v>4.9925692307692303E-2</v>
      </c>
      <c r="E60" s="66">
        <v>5.3449307692307692E-2</v>
      </c>
      <c r="F60" s="29">
        <v>4</v>
      </c>
      <c r="H60" s="63" t="s">
        <v>1284</v>
      </c>
      <c r="R60" s="32"/>
      <c r="S60" s="33"/>
    </row>
    <row r="61" spans="2:19">
      <c r="B61" s="31" t="s">
        <v>1292</v>
      </c>
      <c r="C61" s="66">
        <v>0.10142</v>
      </c>
      <c r="D61" s="66">
        <v>4.739560000000001E-2</v>
      </c>
      <c r="E61" s="66">
        <v>5.4024399999999986E-2</v>
      </c>
      <c r="F61" s="29">
        <v>5</v>
      </c>
      <c r="H61" s="63" t="s">
        <v>1518</v>
      </c>
      <c r="R61" s="32"/>
      <c r="S61" s="33"/>
    </row>
    <row r="62" spans="2:19">
      <c r="B62" s="31" t="s">
        <v>1293</v>
      </c>
      <c r="C62" s="66">
        <v>0.10518181818181817</v>
      </c>
      <c r="D62" s="66">
        <v>4.7964107692307696E-2</v>
      </c>
      <c r="E62" s="66">
        <v>5.7217710489510472E-2</v>
      </c>
      <c r="F62" s="29">
        <v>11</v>
      </c>
      <c r="H62" s="61" t="s">
        <v>1288</v>
      </c>
      <c r="R62" s="32"/>
      <c r="S62" s="33"/>
    </row>
    <row r="63" spans="2:19">
      <c r="B63" s="31" t="s">
        <v>1294</v>
      </c>
      <c r="C63" s="66">
        <v>0.10126666666666666</v>
      </c>
      <c r="D63" s="66">
        <v>4.9891384615384615E-2</v>
      </c>
      <c r="E63" s="66">
        <v>5.1375282051282042E-2</v>
      </c>
      <c r="F63" s="29">
        <v>3</v>
      </c>
      <c r="H63" s="62" t="str">
        <f>"[8] Equals "&amp;TEXT(I40,"0.000000")&amp;" + ("&amp;TEXT(I41,"0.000000")&amp;" x Column [7])"</f>
        <v>[8] Equals 0.085503 + (-0.582950 x Column [7])</v>
      </c>
      <c r="R63" s="32"/>
      <c r="S63" s="33"/>
    </row>
    <row r="64" spans="2:19">
      <c r="B64" s="31" t="s">
        <v>1295</v>
      </c>
      <c r="C64" s="66">
        <v>0.10026249999999999</v>
      </c>
      <c r="D64" s="66">
        <v>4.9470430769230793E-2</v>
      </c>
      <c r="E64" s="66">
        <v>5.0792069230769198E-2</v>
      </c>
      <c r="F64" s="29">
        <v>8</v>
      </c>
      <c r="H64" s="63" t="s">
        <v>1291</v>
      </c>
      <c r="R64" s="32"/>
      <c r="S64" s="33"/>
    </row>
    <row r="65" spans="2:19">
      <c r="B65" s="31" t="s">
        <v>1296</v>
      </c>
      <c r="C65" s="66">
        <v>0.10117692307692307</v>
      </c>
      <c r="D65" s="66">
        <v>4.6137848484848476E-2</v>
      </c>
      <c r="E65" s="66">
        <v>5.5039074592074591E-2</v>
      </c>
      <c r="F65" s="29">
        <v>13</v>
      </c>
      <c r="H65" s="63"/>
      <c r="R65" s="32"/>
      <c r="S65" s="33"/>
    </row>
    <row r="66" spans="2:19">
      <c r="B66" s="31" t="s">
        <v>1297</v>
      </c>
      <c r="C66" s="66">
        <v>0.10375714285714287</v>
      </c>
      <c r="D66" s="66">
        <v>4.4057984615384606E-2</v>
      </c>
      <c r="E66" s="66">
        <v>5.9699158241758261E-2</v>
      </c>
      <c r="F66" s="29">
        <v>7</v>
      </c>
      <c r="R66" s="32"/>
      <c r="S66" s="33"/>
    </row>
    <row r="67" spans="2:19">
      <c r="B67" s="31" t="s">
        <v>1298</v>
      </c>
      <c r="C67" s="66">
        <v>0.10166666666666668</v>
      </c>
      <c r="D67" s="66">
        <v>4.5697861538461525E-2</v>
      </c>
      <c r="E67" s="66">
        <v>5.5968805128205158E-2</v>
      </c>
      <c r="F67" s="29">
        <v>3</v>
      </c>
      <c r="R67" s="32"/>
      <c r="S67" s="33"/>
    </row>
    <row r="68" spans="2:19">
      <c r="B68" s="31" t="s">
        <v>1299</v>
      </c>
      <c r="C68" s="66">
        <v>0.10551111111111111</v>
      </c>
      <c r="D68" s="66">
        <v>4.4448575757575763E-2</v>
      </c>
      <c r="E68" s="66">
        <v>6.1062535353535348E-2</v>
      </c>
      <c r="F68" s="29">
        <v>9</v>
      </c>
      <c r="R68" s="32"/>
      <c r="S68" s="33"/>
    </row>
    <row r="69" spans="2:19">
      <c r="B69" s="31" t="s">
        <v>1300</v>
      </c>
      <c r="C69" s="66">
        <v>0.10338461538461538</v>
      </c>
      <c r="D69" s="66">
        <v>3.648545454545455E-2</v>
      </c>
      <c r="E69" s="66">
        <v>6.6899160839160837E-2</v>
      </c>
      <c r="F69" s="29">
        <v>13</v>
      </c>
      <c r="R69" s="32"/>
      <c r="S69" s="33"/>
    </row>
    <row r="70" spans="2:19">
      <c r="B70" s="31" t="s">
        <v>1301</v>
      </c>
      <c r="C70" s="66">
        <v>0.10242499999999999</v>
      </c>
      <c r="D70" s="66">
        <v>3.4371828125000004E-2</v>
      </c>
      <c r="E70" s="66">
        <v>6.8053171874999985E-2</v>
      </c>
      <c r="F70" s="29">
        <v>4</v>
      </c>
      <c r="R70" s="32"/>
      <c r="S70" s="33"/>
    </row>
    <row r="71" spans="2:19">
      <c r="B71" s="31" t="s">
        <v>1302</v>
      </c>
      <c r="C71" s="66">
        <v>0.101075</v>
      </c>
      <c r="D71" s="66">
        <v>4.1675338461538453E-2</v>
      </c>
      <c r="E71" s="66">
        <v>5.9399661538461546E-2</v>
      </c>
      <c r="F71" s="29">
        <v>8</v>
      </c>
      <c r="R71" s="32"/>
      <c r="S71" s="33"/>
    </row>
    <row r="72" spans="2:19">
      <c r="B72" s="31" t="s">
        <v>1303</v>
      </c>
      <c r="C72" s="66">
        <v>9.8799999999999999E-2</v>
      </c>
      <c r="D72" s="66">
        <v>4.3207924242424235E-2</v>
      </c>
      <c r="E72" s="66">
        <v>5.5592075757575764E-2</v>
      </c>
      <c r="F72" s="29">
        <v>2</v>
      </c>
      <c r="R72" s="32"/>
      <c r="S72" s="33"/>
    </row>
    <row r="73" spans="2:19">
      <c r="B73" s="31" t="s">
        <v>1304</v>
      </c>
      <c r="C73" s="66">
        <v>0.10305000000000003</v>
      </c>
      <c r="D73" s="66">
        <v>4.3369015151515151E-2</v>
      </c>
      <c r="E73" s="66">
        <v>5.9680984848484879E-2</v>
      </c>
      <c r="F73" s="29">
        <v>16</v>
      </c>
      <c r="R73" s="32"/>
      <c r="S73" s="33"/>
    </row>
    <row r="74" spans="2:19">
      <c r="B74" s="31" t="s">
        <v>1305</v>
      </c>
      <c r="C74" s="66">
        <v>0.10236666666666666</v>
      </c>
      <c r="D74" s="66">
        <v>4.6233281250000008E-2</v>
      </c>
      <c r="E74" s="66">
        <v>5.6133385416666653E-2</v>
      </c>
      <c r="F74" s="29">
        <v>9</v>
      </c>
      <c r="R74" s="32"/>
      <c r="S74" s="33"/>
    </row>
    <row r="75" spans="2:19">
      <c r="B75" s="31" t="s">
        <v>1306</v>
      </c>
      <c r="C75" s="66">
        <v>9.985454545454546E-2</v>
      </c>
      <c r="D75" s="66">
        <v>4.3635553846153849E-2</v>
      </c>
      <c r="E75" s="66">
        <v>5.6218991608391611E-2</v>
      </c>
      <c r="F75" s="29">
        <v>11</v>
      </c>
      <c r="R75" s="32"/>
      <c r="S75" s="33"/>
    </row>
    <row r="76" spans="2:19">
      <c r="B76" s="31" t="s">
        <v>1307</v>
      </c>
      <c r="C76" s="66">
        <v>0.10425</v>
      </c>
      <c r="D76" s="66">
        <v>3.855463636363636E-2</v>
      </c>
      <c r="E76" s="66">
        <v>6.5695363636363635E-2</v>
      </c>
      <c r="F76" s="29">
        <v>6</v>
      </c>
      <c r="R76" s="32"/>
      <c r="S76" s="33"/>
    </row>
    <row r="77" spans="2:19">
      <c r="B77" s="31" t="s">
        <v>1308</v>
      </c>
      <c r="C77" s="66">
        <v>0.10092307692307692</v>
      </c>
      <c r="D77" s="66">
        <v>4.1662787878787896E-2</v>
      </c>
      <c r="E77" s="66">
        <v>5.9260289044289025E-2</v>
      </c>
      <c r="F77" s="29">
        <v>13</v>
      </c>
      <c r="R77" s="32"/>
      <c r="S77" s="33"/>
    </row>
    <row r="78" spans="2:19">
      <c r="B78" s="31" t="s">
        <v>1309</v>
      </c>
      <c r="C78" s="66">
        <v>0.10100000000000001</v>
      </c>
      <c r="D78" s="66">
        <v>4.5583796874999978E-2</v>
      </c>
      <c r="E78" s="66">
        <v>5.5416203125000028E-2</v>
      </c>
      <c r="F78" s="29">
        <v>5</v>
      </c>
      <c r="R78" s="32"/>
      <c r="S78" s="33"/>
    </row>
    <row r="79" spans="2:19">
      <c r="B79" s="34" t="s">
        <v>1310</v>
      </c>
      <c r="C79" s="66">
        <v>9.845000000000001E-2</v>
      </c>
      <c r="D79" s="66">
        <v>4.3380446153846154E-2</v>
      </c>
      <c r="E79" s="66">
        <v>5.5069553846153856E-2</v>
      </c>
      <c r="F79" s="29">
        <v>4</v>
      </c>
      <c r="R79" s="32"/>
      <c r="S79" s="33"/>
    </row>
    <row r="80" spans="2:19">
      <c r="B80" s="34" t="s">
        <v>1311</v>
      </c>
      <c r="C80" s="66">
        <v>9.6500000000000002E-2</v>
      </c>
      <c r="D80" s="66">
        <v>3.692825757575758E-2</v>
      </c>
      <c r="E80" s="66">
        <v>5.9571742424242423E-2</v>
      </c>
      <c r="F80" s="29">
        <v>2</v>
      </c>
      <c r="R80" s="32"/>
      <c r="S80" s="33"/>
    </row>
    <row r="81" spans="2:19">
      <c r="B81" s="34" t="s">
        <v>1312</v>
      </c>
      <c r="C81" s="66">
        <v>9.8750000000000004E-2</v>
      </c>
      <c r="D81" s="66">
        <v>3.0392815384615392E-2</v>
      </c>
      <c r="E81" s="66">
        <v>6.835718461538462E-2</v>
      </c>
      <c r="F81" s="29">
        <v>4</v>
      </c>
      <c r="R81" s="32"/>
      <c r="S81" s="33"/>
    </row>
    <row r="82" spans="2:19">
      <c r="B82" s="34" t="s">
        <v>1313</v>
      </c>
      <c r="C82" s="66">
        <v>9.6319999999999989E-2</v>
      </c>
      <c r="D82" s="66">
        <v>3.1351338461538467E-2</v>
      </c>
      <c r="E82" s="66">
        <v>6.4968661538461522E-2</v>
      </c>
      <c r="F82" s="29">
        <v>5</v>
      </c>
      <c r="R82" s="32"/>
      <c r="S82" s="33"/>
    </row>
    <row r="83" spans="2:19">
      <c r="B83" s="34" t="s">
        <v>1314</v>
      </c>
      <c r="C83" s="66">
        <v>9.8312499999999983E-2</v>
      </c>
      <c r="D83" s="66">
        <v>2.9340830769230764E-2</v>
      </c>
      <c r="E83" s="66">
        <v>6.8971669230769223E-2</v>
      </c>
      <c r="F83" s="29">
        <v>8</v>
      </c>
      <c r="R83" s="32"/>
      <c r="S83" s="33"/>
    </row>
    <row r="84" spans="2:19">
      <c r="B84" s="34" t="s">
        <v>1315</v>
      </c>
      <c r="C84" s="66">
        <v>9.7500000000000003E-2</v>
      </c>
      <c r="D84" s="66">
        <v>2.7412938461538462E-2</v>
      </c>
      <c r="E84" s="66">
        <v>7.0087061538461545E-2</v>
      </c>
      <c r="F84" s="29">
        <v>1</v>
      </c>
      <c r="R84" s="32"/>
      <c r="S84" s="33"/>
    </row>
    <row r="85" spans="2:19">
      <c r="B85" s="34" t="s">
        <v>1316</v>
      </c>
      <c r="C85" s="66">
        <v>0.10055</v>
      </c>
      <c r="D85" s="66">
        <v>2.8642166666666666E-2</v>
      </c>
      <c r="E85" s="66">
        <v>7.1907833333333337E-2</v>
      </c>
      <c r="F85" s="29">
        <v>20</v>
      </c>
      <c r="R85" s="32"/>
      <c r="S85" s="33"/>
    </row>
    <row r="86" spans="2:19">
      <c r="B86" s="34" t="s">
        <v>1317</v>
      </c>
      <c r="C86" s="66">
        <v>9.5666666666666678E-2</v>
      </c>
      <c r="D86" s="66">
        <v>3.1295609374999998E-2</v>
      </c>
      <c r="E86" s="66">
        <v>6.4371057291666672E-2</v>
      </c>
      <c r="F86" s="29">
        <v>3</v>
      </c>
      <c r="R86" s="32"/>
      <c r="S86" s="33"/>
    </row>
    <row r="87" spans="2:19">
      <c r="B87" s="34" t="s">
        <v>1318</v>
      </c>
      <c r="C87" s="66">
        <v>9.4683333333333328E-2</v>
      </c>
      <c r="D87" s="66">
        <v>3.1398800000000004E-2</v>
      </c>
      <c r="E87" s="66">
        <v>6.3284533333333323E-2</v>
      </c>
      <c r="F87" s="29">
        <v>6</v>
      </c>
      <c r="R87" s="32"/>
      <c r="S87" s="33"/>
    </row>
    <row r="88" spans="2:19">
      <c r="B88" s="34" t="s">
        <v>1319</v>
      </c>
      <c r="C88" s="66">
        <v>9.6000000000000002E-2</v>
      </c>
      <c r="D88" s="66">
        <v>3.7113621212121202E-2</v>
      </c>
      <c r="E88" s="66">
        <v>5.88863787878788E-2</v>
      </c>
      <c r="F88" s="29">
        <v>1</v>
      </c>
      <c r="R88" s="32"/>
      <c r="S88" s="33"/>
    </row>
    <row r="89" spans="2:19">
      <c r="B89" s="34" t="s">
        <v>1320</v>
      </c>
      <c r="C89" s="66">
        <v>9.8290909090909082E-2</v>
      </c>
      <c r="D89" s="66">
        <v>3.7872272727272713E-2</v>
      </c>
      <c r="E89" s="66">
        <v>6.0418636363636369E-2</v>
      </c>
      <c r="F89" s="29">
        <v>11</v>
      </c>
      <c r="R89" s="32"/>
      <c r="S89" s="33"/>
    </row>
    <row r="90" spans="2:19">
      <c r="B90" s="34" t="s">
        <v>1321</v>
      </c>
      <c r="C90" s="66">
        <v>9.5416666666666664E-2</v>
      </c>
      <c r="D90" s="66">
        <v>3.6892906249999989E-2</v>
      </c>
      <c r="E90" s="66">
        <v>5.8523760416666674E-2</v>
      </c>
      <c r="F90" s="29">
        <v>6</v>
      </c>
      <c r="R90" s="32"/>
      <c r="S90" s="33"/>
    </row>
    <row r="91" spans="2:19">
      <c r="B91" s="34" t="s">
        <v>1322</v>
      </c>
      <c r="C91" s="66">
        <v>9.8362499999999992E-2</v>
      </c>
      <c r="D91" s="66">
        <v>3.4420169230769224E-2</v>
      </c>
      <c r="E91" s="66">
        <v>6.3942330769230768E-2</v>
      </c>
      <c r="F91" s="29">
        <v>8</v>
      </c>
      <c r="R91" s="32"/>
      <c r="S91" s="33"/>
    </row>
    <row r="92" spans="2:19">
      <c r="B92" s="34" t="s">
        <v>1323</v>
      </c>
      <c r="C92" s="66">
        <v>9.4500000000000015E-2</v>
      </c>
      <c r="D92" s="66">
        <v>3.2637651515151515E-2</v>
      </c>
      <c r="E92" s="66">
        <v>6.1862348484848499E-2</v>
      </c>
      <c r="F92" s="29">
        <v>6</v>
      </c>
      <c r="R92" s="32"/>
      <c r="S92" s="33"/>
    </row>
    <row r="93" spans="2:19">
      <c r="B93" s="34" t="s">
        <v>1324</v>
      </c>
      <c r="C93" s="66">
        <v>0.10283333333333333</v>
      </c>
      <c r="D93" s="66">
        <v>2.9634439393939404E-2</v>
      </c>
      <c r="E93" s="66">
        <v>7.3198893939393925E-2</v>
      </c>
      <c r="F93" s="29">
        <v>6</v>
      </c>
      <c r="R93" s="32"/>
    </row>
    <row r="94" spans="2:19">
      <c r="B94" s="34" t="s">
        <v>1325</v>
      </c>
      <c r="C94" s="66">
        <v>9.4666666666666677E-2</v>
      </c>
      <c r="D94" s="66">
        <v>2.5536187500000005E-2</v>
      </c>
      <c r="E94" s="66">
        <v>6.9130479166666675E-2</v>
      </c>
      <c r="F94" s="29">
        <v>3</v>
      </c>
      <c r="R94" s="32"/>
    </row>
    <row r="95" spans="2:19">
      <c r="B95" s="34" t="s">
        <v>1326</v>
      </c>
      <c r="C95" s="66">
        <v>9.4333333333333338E-2</v>
      </c>
      <c r="D95" s="66">
        <v>2.8846923076923076E-2</v>
      </c>
      <c r="E95" s="66">
        <v>6.5486410256410263E-2</v>
      </c>
      <c r="F95" s="29">
        <v>3</v>
      </c>
      <c r="R95" s="32"/>
    </row>
    <row r="96" spans="2:19">
      <c r="B96" s="34" t="s">
        <v>1327</v>
      </c>
      <c r="C96" s="66">
        <v>9.7500000000000003E-2</v>
      </c>
      <c r="D96" s="66">
        <v>2.9591227272727273E-2</v>
      </c>
      <c r="E96" s="66">
        <v>6.7908772727272734E-2</v>
      </c>
      <c r="F96" s="29">
        <v>1</v>
      </c>
      <c r="R96" s="32"/>
    </row>
    <row r="97" spans="2:18">
      <c r="B97" s="34" t="s">
        <v>1328</v>
      </c>
      <c r="C97" s="66">
        <v>9.6777777777777768E-2</v>
      </c>
      <c r="D97" s="66">
        <v>2.9592590909090898E-2</v>
      </c>
      <c r="E97" s="66">
        <v>6.7185186868686866E-2</v>
      </c>
      <c r="F97" s="29">
        <v>9</v>
      </c>
      <c r="R97" s="32"/>
    </row>
    <row r="98" spans="2:18">
      <c r="B98" s="34" t="s">
        <v>1329</v>
      </c>
      <c r="C98" s="66">
        <v>9.4833333333333325E-2</v>
      </c>
      <c r="D98" s="66">
        <v>2.7197200000000001E-2</v>
      </c>
      <c r="E98" s="66">
        <v>6.763613333333332E-2</v>
      </c>
      <c r="F98" s="29">
        <v>6</v>
      </c>
      <c r="R98" s="32"/>
    </row>
    <row r="99" spans="2:18">
      <c r="B99" s="34" t="s">
        <v>1330</v>
      </c>
      <c r="C99" s="66">
        <v>9.4149999999999998E-2</v>
      </c>
      <c r="D99" s="66">
        <v>2.5666046153846152E-2</v>
      </c>
      <c r="E99" s="66">
        <v>6.8483953846153842E-2</v>
      </c>
      <c r="F99" s="29">
        <v>6</v>
      </c>
    </row>
    <row r="100" spans="2:18">
      <c r="B100" s="34" t="s">
        <v>1331</v>
      </c>
      <c r="C100" s="66">
        <v>9.4649999999999984E-2</v>
      </c>
      <c r="D100" s="66">
        <v>2.2773333333333333E-2</v>
      </c>
      <c r="E100" s="66">
        <v>7.1876666666666644E-2</v>
      </c>
      <c r="F100" s="29">
        <v>4</v>
      </c>
    </row>
    <row r="101" spans="2:18">
      <c r="B101" s="34" t="s">
        <v>1332</v>
      </c>
      <c r="C101" s="66">
        <v>9.6722222222222209E-2</v>
      </c>
      <c r="D101" s="66">
        <v>2.8326507692307684E-2</v>
      </c>
      <c r="E101" s="66">
        <v>6.8395714529914525E-2</v>
      </c>
      <c r="F101" s="29">
        <v>9</v>
      </c>
    </row>
    <row r="102" spans="2:18">
      <c r="B102" s="34" t="s">
        <v>1333</v>
      </c>
      <c r="C102" s="66">
        <v>9.6000000000000016E-2</v>
      </c>
      <c r="D102" s="66">
        <v>3.0435492307692304E-2</v>
      </c>
      <c r="E102" s="66">
        <v>6.5564507692307705E-2</v>
      </c>
      <c r="F102" s="29">
        <v>3</v>
      </c>
    </row>
    <row r="103" spans="2:18">
      <c r="B103" s="34" t="s">
        <v>1334</v>
      </c>
      <c r="C103" s="66">
        <v>9.4714285714285709E-2</v>
      </c>
      <c r="D103" s="66">
        <v>2.8955353846153841E-2</v>
      </c>
      <c r="E103" s="66">
        <v>6.5758931868131865E-2</v>
      </c>
      <c r="F103" s="29">
        <v>7</v>
      </c>
    </row>
    <row r="104" spans="2:18">
      <c r="B104" s="34" t="s">
        <v>1335</v>
      </c>
      <c r="C104" s="66">
        <v>0.10138333333333333</v>
      </c>
      <c r="D104" s="66">
        <v>2.8157476923076918E-2</v>
      </c>
      <c r="E104" s="66">
        <v>7.3225856410256404E-2</v>
      </c>
      <c r="F104" s="29">
        <v>6</v>
      </c>
    </row>
    <row r="105" spans="2:18">
      <c r="B105" s="34" t="s">
        <v>1336</v>
      </c>
      <c r="C105" s="66">
        <v>9.6999999999999989E-2</v>
      </c>
      <c r="D105" s="66">
        <v>2.8170630769230768E-2</v>
      </c>
      <c r="E105" s="66">
        <v>6.8829369230769225E-2</v>
      </c>
      <c r="F105" s="29">
        <v>7</v>
      </c>
    </row>
    <row r="106" spans="2:18">
      <c r="B106" s="34" t="s">
        <v>1337</v>
      </c>
      <c r="C106" s="66">
        <v>9.6816666666666662E-2</v>
      </c>
      <c r="D106" s="66">
        <v>3.0233969230769233E-2</v>
      </c>
      <c r="E106" s="66">
        <v>6.6582697435897426E-2</v>
      </c>
      <c r="F106" s="29">
        <v>6</v>
      </c>
    </row>
    <row r="107" spans="2:18">
      <c r="B107" s="34" t="s">
        <v>1338</v>
      </c>
      <c r="C107" s="66">
        <v>9.4285714285714292E-2</v>
      </c>
      <c r="D107" s="66">
        <v>3.0863630769230772E-2</v>
      </c>
      <c r="E107" s="66">
        <v>6.3422083516483513E-2</v>
      </c>
      <c r="F107" s="29">
        <v>7</v>
      </c>
    </row>
    <row r="108" spans="2:18">
      <c r="B108" s="34" t="s">
        <v>1339</v>
      </c>
      <c r="C108" s="66">
        <v>9.7108333333333338E-2</v>
      </c>
      <c r="D108" s="66">
        <v>3.0584523076923074E-2</v>
      </c>
      <c r="E108" s="66">
        <v>6.6523810256410271E-2</v>
      </c>
      <c r="F108" s="29">
        <v>12</v>
      </c>
    </row>
    <row r="109" spans="2:18">
      <c r="B109" s="34" t="s">
        <v>1340</v>
      </c>
      <c r="C109" s="66">
        <v>9.5307142857142854E-2</v>
      </c>
      <c r="D109" s="66">
        <v>3.270189393939394E-2</v>
      </c>
      <c r="E109" s="66">
        <v>6.2605248917748907E-2</v>
      </c>
      <c r="F109" s="29">
        <v>14</v>
      </c>
    </row>
    <row r="110" spans="2:18">
      <c r="B110" s="34" t="s">
        <v>1341</v>
      </c>
      <c r="C110" s="66">
        <v>9.5500000000000002E-2</v>
      </c>
      <c r="D110" s="66">
        <v>3.0102703124999998E-2</v>
      </c>
      <c r="E110" s="66">
        <v>6.5397296875000011E-2</v>
      </c>
      <c r="F110" s="29">
        <v>4</v>
      </c>
    </row>
    <row r="111" spans="2:18">
      <c r="B111" s="34" t="s">
        <v>1342</v>
      </c>
      <c r="C111" s="66">
        <v>9.7266666666666668E-2</v>
      </c>
      <c r="D111" s="66">
        <v>2.7823599999999997E-2</v>
      </c>
      <c r="E111" s="66">
        <v>6.9443066666666664E-2</v>
      </c>
      <c r="F111" s="29">
        <v>3</v>
      </c>
    </row>
    <row r="112" spans="2:18">
      <c r="B112" s="34" t="s">
        <v>1343</v>
      </c>
      <c r="C112" s="66">
        <v>9.9500000000000005E-2</v>
      </c>
      <c r="D112" s="66">
        <v>2.2855318181818182E-2</v>
      </c>
      <c r="E112" s="66">
        <v>7.664468181818182E-2</v>
      </c>
      <c r="F112" s="29">
        <v>2</v>
      </c>
    </row>
    <row r="113" spans="2:6">
      <c r="B113" s="34" t="s">
        <v>1344</v>
      </c>
      <c r="C113" s="66">
        <v>9.7309523809523846E-2</v>
      </c>
      <c r="D113" s="66">
        <v>2.2538393939393941E-2</v>
      </c>
      <c r="E113" s="66">
        <v>7.4771129870129904E-2</v>
      </c>
      <c r="F113" s="29">
        <v>21</v>
      </c>
    </row>
    <row r="114" spans="2:6">
      <c r="B114" s="34" t="s">
        <v>1345</v>
      </c>
      <c r="C114" s="66">
        <v>9.3522222222222229E-2</v>
      </c>
      <c r="D114" s="66">
        <v>1.888032307692307E-2</v>
      </c>
      <c r="E114" s="66">
        <v>7.4641899145299159E-2</v>
      </c>
      <c r="F114" s="29">
        <v>9</v>
      </c>
    </row>
    <row r="115" spans="2:6">
      <c r="B115" s="34" t="s">
        <v>1346</v>
      </c>
      <c r="C115" s="66">
        <v>9.5499999999999988E-2</v>
      </c>
      <c r="D115" s="66">
        <v>1.3756846153846161E-2</v>
      </c>
      <c r="E115" s="66">
        <v>8.1743153846153827E-2</v>
      </c>
      <c r="F115" s="29">
        <v>3</v>
      </c>
    </row>
    <row r="116" spans="2:6">
      <c r="B116" s="34">
        <v>2020.3</v>
      </c>
      <c r="C116" s="66">
        <v>9.5187500000000008E-2</v>
      </c>
      <c r="D116" s="66">
        <v>1.3650969696969693E-2</v>
      </c>
      <c r="E116" s="66">
        <v>8.1536530303030319E-2</v>
      </c>
      <c r="F116" s="29">
        <v>8</v>
      </c>
    </row>
    <row r="117" spans="2:6">
      <c r="B117" s="34">
        <v>2020.4</v>
      </c>
      <c r="C117" s="66">
        <v>9.4735714285714298E-2</v>
      </c>
      <c r="D117" s="66">
        <v>1.6167287878787885E-2</v>
      </c>
      <c r="E117" s="66">
        <v>7.8568426406926406E-2</v>
      </c>
      <c r="F117" s="29">
        <v>14</v>
      </c>
    </row>
    <row r="118" spans="2:6">
      <c r="B118" s="34">
        <v>2021.1</v>
      </c>
      <c r="C118" s="66">
        <v>9.708E-2</v>
      </c>
      <c r="D118" s="66">
        <v>2.0693546874999996E-2</v>
      </c>
      <c r="E118" s="66">
        <v>7.6386453125000003E-2</v>
      </c>
      <c r="F118" s="29">
        <v>10</v>
      </c>
    </row>
    <row r="119" spans="2:6">
      <c r="B119" s="34">
        <v>2021.2</v>
      </c>
      <c r="C119" s="66">
        <v>9.4783333333333331E-2</v>
      </c>
      <c r="D119" s="66">
        <v>2.2536384615384621E-2</v>
      </c>
      <c r="E119" s="66">
        <v>7.2246948717948706E-2</v>
      </c>
      <c r="F119" s="29">
        <v>6</v>
      </c>
    </row>
    <row r="120" spans="2:6">
      <c r="B120" s="34">
        <v>2021.3</v>
      </c>
      <c r="C120" s="66">
        <v>9.3959999999999974E-2</v>
      </c>
      <c r="D120" s="66">
        <v>1.9311075757575756E-2</v>
      </c>
      <c r="E120" s="66">
        <v>7.4648924242424225E-2</v>
      </c>
      <c r="F120" s="29">
        <v>10</v>
      </c>
    </row>
    <row r="121" spans="2:6">
      <c r="B121" s="34">
        <v>2021.4</v>
      </c>
      <c r="C121" s="66">
        <v>9.6562499999999982E-2</v>
      </c>
      <c r="D121" s="66">
        <v>1.9954790697674418E-2</v>
      </c>
      <c r="E121" s="66">
        <v>7.6607709302325563E-2</v>
      </c>
      <c r="F121" s="29">
        <v>9</v>
      </c>
    </row>
    <row r="122" spans="2:6">
      <c r="B122" s="260" t="s">
        <v>1272</v>
      </c>
      <c r="C122" s="261">
        <v>0.10445393533190948</v>
      </c>
      <c r="D122" s="261">
        <v>4.5434744338394846E-2</v>
      </c>
      <c r="E122" s="261">
        <v>5.9019190993514645E-2</v>
      </c>
      <c r="F122" s="29">
        <f>SUM(F6:F121)</f>
        <v>709</v>
      </c>
    </row>
    <row r="123" spans="2:6" ht="13.8" thickBot="1">
      <c r="B123" s="70" t="s">
        <v>1347</v>
      </c>
      <c r="C123" s="71">
        <v>0.10337980769230769</v>
      </c>
      <c r="D123" s="71">
        <v>4.6058447319347322E-2</v>
      </c>
      <c r="E123" s="71">
        <v>5.9485701981351988E-2</v>
      </c>
    </row>
    <row r="124" spans="2:6">
      <c r="C124" s="61"/>
      <c r="D124" s="66"/>
    </row>
    <row r="125" spans="2:6">
      <c r="B125" s="34"/>
      <c r="D125" s="66"/>
    </row>
    <row r="126" spans="2:6">
      <c r="B126" s="34"/>
      <c r="D126" s="66"/>
    </row>
    <row r="127" spans="2:6">
      <c r="D127" s="66"/>
    </row>
    <row r="128" spans="2:6">
      <c r="D128" s="66"/>
    </row>
    <row r="129" spans="4:4">
      <c r="D129" s="66"/>
    </row>
    <row r="130" spans="4:4">
      <c r="D130" s="66"/>
    </row>
    <row r="131" spans="4:4">
      <c r="D131" s="66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538"/>
  <sheetViews>
    <sheetView view="pageLayout" zoomScale="70" zoomScaleNormal="85" zoomScaleSheetLayoutView="85" zoomScalePageLayoutView="70" workbookViewId="0">
      <selection activeCell="I12" sqref="I12"/>
    </sheetView>
  </sheetViews>
  <sheetFormatPr defaultColWidth="9.109375" defaultRowHeight="13.2"/>
  <cols>
    <col min="1" max="1" width="47.88671875" style="1" customWidth="1"/>
    <col min="2" max="2" width="15.5546875" style="1" customWidth="1"/>
    <col min="3" max="3" width="8.6640625" style="1" bestFit="1" customWidth="1"/>
    <col min="4" max="4" width="12.5546875" style="1" bestFit="1" customWidth="1"/>
    <col min="5" max="5" width="12.6640625" style="1" bestFit="1" customWidth="1"/>
    <col min="6" max="6" width="10.88671875" style="1" bestFit="1" customWidth="1"/>
    <col min="7" max="7" width="14.44140625" style="1" customWidth="1"/>
    <col min="8" max="8" width="12.109375" style="1" customWidth="1"/>
    <col min="9" max="9" width="12.44140625" style="1" customWidth="1"/>
    <col min="10" max="10" width="12.109375" style="1" customWidth="1"/>
    <col min="11" max="11" width="0" hidden="1" customWidth="1"/>
    <col min="12" max="12" width="9.109375" hidden="1" customWidth="1"/>
    <col min="13" max="13" width="4.88671875" style="1" customWidth="1"/>
    <col min="14" max="16384" width="9.109375" style="1"/>
  </cols>
  <sheetData>
    <row r="1" spans="1:10" ht="12.75" customHeight="1">
      <c r="A1" s="364" t="s">
        <v>172</v>
      </c>
      <c r="B1" s="364"/>
      <c r="C1" s="364"/>
      <c r="D1" s="364"/>
      <c r="E1" s="364"/>
      <c r="F1" s="364"/>
      <c r="G1" s="364"/>
    </row>
    <row r="2" spans="1:10" customFormat="1">
      <c r="A2" s="233"/>
      <c r="B2" s="233"/>
      <c r="C2" s="233"/>
      <c r="D2" s="233"/>
      <c r="E2" s="233"/>
      <c r="F2" s="233"/>
      <c r="G2" s="233"/>
    </row>
    <row r="3" spans="1:10" customFormat="1">
      <c r="A3" s="233"/>
      <c r="B3" s="233"/>
      <c r="C3" s="233"/>
      <c r="D3" s="233"/>
      <c r="E3" s="233"/>
      <c r="F3" s="233"/>
      <c r="G3" s="233"/>
    </row>
    <row r="4" spans="1:10" customFormat="1">
      <c r="A4" s="233" t="s">
        <v>173</v>
      </c>
      <c r="B4" s="365">
        <f>SUM(H19:H523)</f>
        <v>1.575224349648921E-2</v>
      </c>
      <c r="C4" s="366"/>
      <c r="D4" s="233"/>
      <c r="E4" s="233"/>
      <c r="F4" s="233"/>
      <c r="G4" s="233"/>
    </row>
    <row r="5" spans="1:10" customFormat="1">
      <c r="A5" s="233"/>
      <c r="D5" s="233"/>
      <c r="E5" s="233"/>
      <c r="F5" s="233"/>
      <c r="G5" s="233"/>
    </row>
    <row r="6" spans="1:10" customFormat="1">
      <c r="A6" s="233" t="s">
        <v>174</v>
      </c>
      <c r="B6" s="365">
        <f>SUM(J19:J523)</f>
        <v>0.11305139157327281</v>
      </c>
      <c r="C6" s="366"/>
      <c r="D6" s="233"/>
      <c r="E6" s="233"/>
      <c r="F6" s="233"/>
      <c r="G6" s="233"/>
    </row>
    <row r="7" spans="1:10" customFormat="1">
      <c r="A7" s="233"/>
      <c r="D7" s="233"/>
      <c r="E7" s="233"/>
      <c r="F7" s="233"/>
      <c r="G7" s="233"/>
    </row>
    <row r="8" spans="1:10" customFormat="1">
      <c r="A8" s="233" t="s">
        <v>175</v>
      </c>
      <c r="B8" s="367">
        <f>B4*(1+0.5*B6)+B6</f>
        <v>0.12969404159360159</v>
      </c>
      <c r="C8" s="368"/>
      <c r="D8" s="233"/>
      <c r="E8" s="233"/>
      <c r="F8" s="233"/>
      <c r="G8" s="233"/>
    </row>
    <row r="9" spans="1:10" customFormat="1">
      <c r="A9" s="233"/>
      <c r="B9" s="233"/>
      <c r="C9" s="233"/>
      <c r="D9" s="233"/>
      <c r="E9" s="233"/>
      <c r="F9" s="233"/>
      <c r="G9" s="233"/>
    </row>
    <row r="10" spans="1:10" customFormat="1">
      <c r="A10" s="233"/>
      <c r="B10" s="233"/>
      <c r="C10" s="233"/>
      <c r="D10" s="233"/>
      <c r="E10" s="233"/>
      <c r="F10" s="233"/>
      <c r="G10" s="233"/>
    </row>
    <row r="11" spans="1:10" customFormat="1">
      <c r="A11" s="233"/>
      <c r="B11" s="233"/>
      <c r="C11" s="233"/>
      <c r="D11" s="233"/>
      <c r="E11" s="233"/>
      <c r="F11" s="233"/>
      <c r="G11" s="233"/>
    </row>
    <row r="12" spans="1:10">
      <c r="A12" s="316" t="s">
        <v>176</v>
      </c>
      <c r="B12" s="316"/>
      <c r="C12" s="316"/>
      <c r="D12" s="316"/>
      <c r="E12" s="316"/>
      <c r="F12" s="316"/>
      <c r="G12" s="316"/>
      <c r="H12" s="316"/>
      <c r="I12" s="316"/>
      <c r="J12" s="316"/>
    </row>
    <row r="14" spans="1:10" ht="13.8" thickBot="1">
      <c r="C14" s="317" t="s">
        <v>37</v>
      </c>
      <c r="D14" s="317" t="s">
        <v>38</v>
      </c>
      <c r="E14" s="317" t="s">
        <v>39</v>
      </c>
      <c r="F14" s="317" t="s">
        <v>40</v>
      </c>
      <c r="G14" s="317" t="s">
        <v>41</v>
      </c>
      <c r="H14" s="317" t="s">
        <v>42</v>
      </c>
      <c r="I14" s="317" t="s">
        <v>43</v>
      </c>
      <c r="J14" s="317" t="s">
        <v>158</v>
      </c>
    </row>
    <row r="15" spans="1:10">
      <c r="A15" s="318"/>
      <c r="B15" s="318"/>
      <c r="C15" s="319"/>
      <c r="D15" s="319"/>
      <c r="E15" s="319"/>
      <c r="F15" s="242"/>
      <c r="G15" s="243"/>
      <c r="H15" s="318"/>
      <c r="I15" s="320" t="s">
        <v>1511</v>
      </c>
      <c r="J15" s="320" t="s">
        <v>1512</v>
      </c>
    </row>
    <row r="16" spans="1:10">
      <c r="C16" s="317" t="s">
        <v>177</v>
      </c>
      <c r="D16" s="321"/>
      <c r="E16" s="317" t="s">
        <v>178</v>
      </c>
      <c r="F16" s="272" t="s">
        <v>179</v>
      </c>
      <c r="G16" s="272" t="s">
        <v>180</v>
      </c>
      <c r="H16" s="322" t="s">
        <v>1513</v>
      </c>
      <c r="I16" s="272" t="s">
        <v>1514</v>
      </c>
      <c r="J16" s="322" t="s">
        <v>1514</v>
      </c>
    </row>
    <row r="17" spans="1:14">
      <c r="A17" s="323" t="s">
        <v>181</v>
      </c>
      <c r="B17" s="323" t="s">
        <v>45</v>
      </c>
      <c r="C17" s="324" t="s">
        <v>182</v>
      </c>
      <c r="D17" s="324" t="s">
        <v>183</v>
      </c>
      <c r="E17" s="324" t="s">
        <v>184</v>
      </c>
      <c r="F17" s="232" t="s">
        <v>185</v>
      </c>
      <c r="G17" s="232" t="s">
        <v>105</v>
      </c>
      <c r="H17" s="323" t="s">
        <v>105</v>
      </c>
      <c r="I17" s="232" t="s">
        <v>1515</v>
      </c>
      <c r="J17" s="323" t="s">
        <v>1515</v>
      </c>
    </row>
    <row r="18" spans="1:14" customFormat="1"/>
    <row r="19" spans="1:14">
      <c r="A19" t="s">
        <v>186</v>
      </c>
      <c r="B19" s="271" t="s">
        <v>187</v>
      </c>
      <c r="C19" s="325">
        <v>332.78399999999999</v>
      </c>
      <c r="D19" s="325">
        <v>87.13</v>
      </c>
      <c r="E19" s="325">
        <f>IFERROR(C19*D19,"")</f>
        <v>28995.46992</v>
      </c>
      <c r="F19" s="326">
        <f>IF(AND(ISNUMBER($I19)), IF(AND($I19&lt;=20%,$I19&gt;0%), $E19/SUMIFS($E$19:$E$523,$I$19:$I$523, "&gt;"&amp;0%,$I$19:$I$523, "&lt;="&amp;20%),""),"")</f>
        <v>9.5958876859711774E-4</v>
      </c>
      <c r="G19" s="327">
        <v>5.1876506369792262E-2</v>
      </c>
      <c r="H19" s="326">
        <f>IFERROR($G19*$F19,"")</f>
        <v>4.9780112866509495E-5</v>
      </c>
      <c r="I19" s="327">
        <v>0.08</v>
      </c>
      <c r="J19" s="326">
        <f>IFERROR($I19*$F19,"")</f>
        <v>7.676710148776942E-5</v>
      </c>
      <c r="L19" s="241">
        <v>0.08</v>
      </c>
      <c r="N19" s="209"/>
    </row>
    <row r="20" spans="1:14">
      <c r="A20" t="s">
        <v>188</v>
      </c>
      <c r="B20" s="271" t="s">
        <v>189</v>
      </c>
      <c r="C20" s="325">
        <v>774.55600000000004</v>
      </c>
      <c r="D20" s="325">
        <v>152.30000000000001</v>
      </c>
      <c r="E20" s="325">
        <f t="shared" ref="E20:E83" si="0">IFERROR(C20*D20,"")</f>
        <v>117964.87880000002</v>
      </c>
      <c r="F20" s="326">
        <f>IF(AND(ISNUMBER($I20)), IF(AND($I20&lt;=20%,$I20&gt;0%), $E20/SUMIFS($E$19:$E$523,$I$19:$I$523, "&gt;"&amp;0%,$I$19:$I$523, "&lt;="&amp;20%),""),"")</f>
        <v>3.9039813149336351E-3</v>
      </c>
      <c r="G20" s="327">
        <v>1.1293499671700589E-2</v>
      </c>
      <c r="H20" s="326">
        <f t="shared" ref="H20:H83" si="1">IFERROR($G20*$F20,"")</f>
        <v>4.4089611698528247E-5</v>
      </c>
      <c r="I20" s="327">
        <v>8.5000000000000006E-2</v>
      </c>
      <c r="J20" s="326">
        <f t="shared" ref="J20:J83" si="2">IFERROR($I20*$F20,"")</f>
        <v>3.31838411769359E-4</v>
      </c>
      <c r="L20" s="241">
        <v>8.5000000000000006E-2</v>
      </c>
      <c r="N20" s="209"/>
    </row>
    <row r="21" spans="1:14">
      <c r="A21" t="s">
        <v>190</v>
      </c>
      <c r="B21" s="271" t="s">
        <v>191</v>
      </c>
      <c r="C21" s="325">
        <v>4197.76</v>
      </c>
      <c r="D21" s="325">
        <v>50.27</v>
      </c>
      <c r="E21" s="325">
        <f t="shared" si="0"/>
        <v>211021.39520000003</v>
      </c>
      <c r="F21" s="326">
        <f t="shared" ref="F21:F83" si="3">IF(AND(ISNUMBER($I21)), IF(AND($I21&lt;=20%,$I21&gt;0%), $E21/SUMIFS($E$19:$E$523,$I$19:$I$523, "&gt;"&amp;0%,$I$19:$I$523, "&lt;="&amp;20%),""),"")</f>
        <v>6.9836343858645684E-3</v>
      </c>
      <c r="G21" s="327">
        <v>5.0925004973145012E-2</v>
      </c>
      <c r="H21" s="326">
        <f t="shared" si="1"/>
        <v>3.5564161583077967E-4</v>
      </c>
      <c r="I21" s="327">
        <v>3.5000000000000003E-2</v>
      </c>
      <c r="J21" s="326">
        <f t="shared" si="2"/>
        <v>2.4442720350525992E-4</v>
      </c>
      <c r="L21" s="241">
        <v>3.5000000000000003E-2</v>
      </c>
      <c r="N21" s="209"/>
    </row>
    <row r="22" spans="1:14">
      <c r="A22" t="s">
        <v>192</v>
      </c>
      <c r="B22" s="271" t="s">
        <v>193</v>
      </c>
      <c r="C22" s="325">
        <v>411.61599999999999</v>
      </c>
      <c r="D22" s="325">
        <v>553.67999999999995</v>
      </c>
      <c r="E22" s="325">
        <f t="shared" si="0"/>
        <v>227903.54687999998</v>
      </c>
      <c r="F22" s="326" t="str">
        <f t="shared" si="3"/>
        <v/>
      </c>
      <c r="G22" s="327">
        <v>2.6007802340702213E-2</v>
      </c>
      <c r="H22" s="326" t="str">
        <f t="shared" si="1"/>
        <v/>
      </c>
      <c r="I22" s="327">
        <v>0.27</v>
      </c>
      <c r="J22" s="326" t="str">
        <f t="shared" si="2"/>
        <v/>
      </c>
      <c r="L22" s="241">
        <v>0.27</v>
      </c>
      <c r="N22" s="209"/>
    </row>
    <row r="23" spans="1:14">
      <c r="A23" t="s">
        <v>194</v>
      </c>
      <c r="B23" s="271" t="s">
        <v>195</v>
      </c>
      <c r="C23" s="325">
        <v>587.69899999999996</v>
      </c>
      <c r="D23" s="325">
        <v>197.85</v>
      </c>
      <c r="E23" s="325">
        <f t="shared" si="0"/>
        <v>116276.24714999998</v>
      </c>
      <c r="F23" s="326" t="str">
        <f t="shared" si="3"/>
        <v/>
      </c>
      <c r="G23" s="327" t="s">
        <v>197</v>
      </c>
      <c r="H23" s="326" t="str">
        <f t="shared" si="1"/>
        <v/>
      </c>
      <c r="I23" s="327" t="s">
        <v>197</v>
      </c>
      <c r="J23" s="326" t="str">
        <f t="shared" si="2"/>
        <v/>
      </c>
      <c r="L23" s="231" t="s">
        <v>197</v>
      </c>
      <c r="N23" s="209"/>
    </row>
    <row r="24" spans="1:14">
      <c r="A24" t="s">
        <v>198</v>
      </c>
      <c r="B24" s="271" t="s">
        <v>199</v>
      </c>
      <c r="C24" s="325">
        <v>540.94200000000001</v>
      </c>
      <c r="D24" s="325">
        <v>193.35</v>
      </c>
      <c r="E24" s="325">
        <f t="shared" si="0"/>
        <v>104591.1357</v>
      </c>
      <c r="F24" s="326">
        <f t="shared" si="3"/>
        <v>3.4613848090563051E-3</v>
      </c>
      <c r="G24" s="327">
        <v>2.2963537626066722E-2</v>
      </c>
      <c r="H24" s="326">
        <f t="shared" si="1"/>
        <v>7.9485640301060236E-5</v>
      </c>
      <c r="I24" s="327">
        <v>9.5000000000000001E-2</v>
      </c>
      <c r="J24" s="326">
        <f t="shared" si="2"/>
        <v>3.2883155686034898E-4</v>
      </c>
      <c r="L24" s="241">
        <v>9.5000000000000001E-2</v>
      </c>
      <c r="N24" s="209"/>
    </row>
    <row r="25" spans="1:14">
      <c r="A25" t="s">
        <v>200</v>
      </c>
      <c r="B25" s="271" t="s">
        <v>201</v>
      </c>
      <c r="C25" s="325">
        <v>2955.2660000000001</v>
      </c>
      <c r="D25" s="325">
        <v>158.83000000000001</v>
      </c>
      <c r="E25" s="325">
        <f t="shared" si="0"/>
        <v>469384.89878000005</v>
      </c>
      <c r="F25" s="326">
        <f t="shared" si="3"/>
        <v>1.5534029221154386E-2</v>
      </c>
      <c r="G25" s="327">
        <v>2.5184159163885913E-2</v>
      </c>
      <c r="H25" s="326">
        <f t="shared" si="1"/>
        <v>3.9121146436200678E-4</v>
      </c>
      <c r="I25" s="327">
        <v>7.4999999999999997E-2</v>
      </c>
      <c r="J25" s="326">
        <f t="shared" si="2"/>
        <v>1.1650521915865788E-3</v>
      </c>
      <c r="L25" s="241">
        <v>7.4999999999999997E-2</v>
      </c>
      <c r="N25" s="209"/>
    </row>
    <row r="26" spans="1:14">
      <c r="A26" t="s">
        <v>202</v>
      </c>
      <c r="B26" s="271" t="s">
        <v>203</v>
      </c>
      <c r="C26" s="325">
        <v>1927.6859999999999</v>
      </c>
      <c r="D26" s="325">
        <v>112.87</v>
      </c>
      <c r="E26" s="325">
        <f t="shared" si="0"/>
        <v>217577.91881999999</v>
      </c>
      <c r="F26" s="326" t="str">
        <f t="shared" si="3"/>
        <v/>
      </c>
      <c r="G26" s="327">
        <v>4.7488260831044557E-2</v>
      </c>
      <c r="H26" s="326" t="str">
        <f t="shared" si="1"/>
        <v/>
      </c>
      <c r="I26" s="327">
        <v>0.24</v>
      </c>
      <c r="J26" s="326" t="str">
        <f t="shared" si="2"/>
        <v/>
      </c>
      <c r="L26" s="241">
        <v>0.24</v>
      </c>
      <c r="N26" s="209"/>
    </row>
    <row r="27" spans="1:14">
      <c r="A27" t="s">
        <v>204</v>
      </c>
      <c r="B27" s="271" t="s">
        <v>205</v>
      </c>
      <c r="C27" s="325">
        <v>4319.42</v>
      </c>
      <c r="D27" s="325">
        <v>52.45</v>
      </c>
      <c r="E27" s="325">
        <f t="shared" si="0"/>
        <v>226553.57900000003</v>
      </c>
      <c r="F27" s="326">
        <f t="shared" si="3"/>
        <v>7.4976632727006302E-3</v>
      </c>
      <c r="G27" s="327">
        <v>3.2030505243088654E-2</v>
      </c>
      <c r="H27" s="326">
        <f t="shared" si="1"/>
        <v>2.4015394276715078E-4</v>
      </c>
      <c r="I27" s="327">
        <v>7.0000000000000007E-2</v>
      </c>
      <c r="J27" s="326">
        <f t="shared" si="2"/>
        <v>5.2483642908904412E-4</v>
      </c>
      <c r="L27" s="241">
        <v>7.0000000000000007E-2</v>
      </c>
      <c r="N27" s="209"/>
    </row>
    <row r="28" spans="1:14">
      <c r="A28" t="s">
        <v>206</v>
      </c>
      <c r="B28" s="271" t="s">
        <v>207</v>
      </c>
      <c r="C28" s="325">
        <v>1767.88</v>
      </c>
      <c r="D28" s="325">
        <v>115.28</v>
      </c>
      <c r="E28" s="325">
        <f t="shared" si="0"/>
        <v>203801.20640000002</v>
      </c>
      <c r="F28" s="326">
        <f t="shared" si="3"/>
        <v>6.7446862984996614E-3</v>
      </c>
      <c r="G28" s="327">
        <v>4.8924358084663423E-2</v>
      </c>
      <c r="H28" s="326">
        <f t="shared" si="1"/>
        <v>3.2997944763652051E-4</v>
      </c>
      <c r="I28" s="327">
        <v>6.5000000000000002E-2</v>
      </c>
      <c r="J28" s="326">
        <f t="shared" si="2"/>
        <v>4.3840460940247801E-4</v>
      </c>
      <c r="L28" s="241">
        <v>6.5000000000000002E-2</v>
      </c>
      <c r="N28" s="209"/>
    </row>
    <row r="29" spans="1:14">
      <c r="A29" t="s">
        <v>208</v>
      </c>
      <c r="B29" s="271" t="s">
        <v>209</v>
      </c>
      <c r="C29" s="325">
        <v>1817.6559999999999</v>
      </c>
      <c r="D29" s="325">
        <v>144.9</v>
      </c>
      <c r="E29" s="325">
        <f t="shared" si="0"/>
        <v>263378.35440000001</v>
      </c>
      <c r="F29" s="326">
        <f t="shared" si="3"/>
        <v>8.7163585025916111E-3</v>
      </c>
      <c r="G29" s="327" t="s">
        <v>197</v>
      </c>
      <c r="H29" s="326" t="str">
        <f t="shared" si="1"/>
        <v/>
      </c>
      <c r="I29" s="327">
        <v>0.14000000000000001</v>
      </c>
      <c r="J29" s="326">
        <f t="shared" si="2"/>
        <v>1.2202901903628257E-3</v>
      </c>
      <c r="L29" s="241">
        <v>0.14000000000000001</v>
      </c>
      <c r="N29" s="209"/>
    </row>
    <row r="30" spans="1:14">
      <c r="A30" t="s">
        <v>210</v>
      </c>
      <c r="B30" s="271" t="s">
        <v>211</v>
      </c>
      <c r="C30" s="325">
        <v>81.198999999999998</v>
      </c>
      <c r="D30" s="325">
        <v>207.13</v>
      </c>
      <c r="E30" s="325">
        <f t="shared" si="0"/>
        <v>16818.748869999999</v>
      </c>
      <c r="F30" s="326">
        <f t="shared" si="3"/>
        <v>5.5660703420348171E-4</v>
      </c>
      <c r="G30" s="327" t="s">
        <v>197</v>
      </c>
      <c r="H30" s="326" t="str">
        <f t="shared" si="1"/>
        <v/>
      </c>
      <c r="I30" s="327">
        <v>0.11</v>
      </c>
      <c r="J30" s="326">
        <f t="shared" si="2"/>
        <v>6.1226773762382983E-5</v>
      </c>
      <c r="L30" s="241">
        <v>0.11</v>
      </c>
      <c r="N30" s="209"/>
    </row>
    <row r="31" spans="1:14">
      <c r="A31" t="s">
        <v>212</v>
      </c>
      <c r="B31" s="271" t="s">
        <v>213</v>
      </c>
      <c r="C31" s="325">
        <v>133.892</v>
      </c>
      <c r="D31" s="325">
        <v>200</v>
      </c>
      <c r="E31" s="325">
        <f t="shared" si="0"/>
        <v>26778.399999999998</v>
      </c>
      <c r="F31" s="326">
        <f t="shared" si="3"/>
        <v>8.8621608657829456E-4</v>
      </c>
      <c r="G31" s="327">
        <v>2.5000000000000001E-2</v>
      </c>
      <c r="H31" s="326">
        <f t="shared" si="1"/>
        <v>2.2155402164457366E-5</v>
      </c>
      <c r="I31" s="327">
        <v>0.05</v>
      </c>
      <c r="J31" s="326">
        <f t="shared" si="2"/>
        <v>4.4310804328914732E-5</v>
      </c>
      <c r="L31" s="241">
        <v>0.05</v>
      </c>
      <c r="N31" s="209"/>
    </row>
    <row r="32" spans="1:14">
      <c r="A32" t="s">
        <v>214</v>
      </c>
      <c r="B32" s="271" t="s">
        <v>215</v>
      </c>
      <c r="C32" s="325">
        <v>4233.567</v>
      </c>
      <c r="D32" s="325">
        <v>59.84</v>
      </c>
      <c r="E32" s="325">
        <f t="shared" si="0"/>
        <v>253336.64928000001</v>
      </c>
      <c r="F32" s="326" t="str">
        <f t="shared" si="3"/>
        <v/>
      </c>
      <c r="G32" s="327">
        <v>5.8823529411764698E-2</v>
      </c>
      <c r="H32" s="326" t="str">
        <f t="shared" si="1"/>
        <v/>
      </c>
      <c r="I32" s="327" t="s">
        <v>197</v>
      </c>
      <c r="J32" s="326" t="str">
        <f t="shared" si="2"/>
        <v/>
      </c>
      <c r="L32" s="231" t="s">
        <v>197</v>
      </c>
      <c r="N32" s="209"/>
    </row>
    <row r="33" spans="1:14">
      <c r="A33" t="s">
        <v>216</v>
      </c>
      <c r="B33" s="271" t="s">
        <v>217</v>
      </c>
      <c r="C33" s="325">
        <v>438.17</v>
      </c>
      <c r="D33" s="325">
        <v>69.17</v>
      </c>
      <c r="E33" s="325">
        <f t="shared" si="0"/>
        <v>30308.218900000003</v>
      </c>
      <c r="F33" s="326">
        <f t="shared" si="3"/>
        <v>1.0030334577389355E-3</v>
      </c>
      <c r="G33" s="327">
        <v>5.3202255312996966E-2</v>
      </c>
      <c r="H33" s="326">
        <f t="shared" si="1"/>
        <v>5.3363642106104998E-5</v>
      </c>
      <c r="I33" s="327">
        <v>0.2</v>
      </c>
      <c r="J33" s="326">
        <f t="shared" si="2"/>
        <v>2.0060669154778712E-4</v>
      </c>
      <c r="L33" s="241">
        <v>0.2</v>
      </c>
      <c r="N33" s="209"/>
    </row>
    <row r="34" spans="1:14">
      <c r="A34" t="s">
        <v>218</v>
      </c>
      <c r="B34" s="271" t="s">
        <v>219</v>
      </c>
      <c r="C34" s="325">
        <v>1098.1369999999999</v>
      </c>
      <c r="D34" s="325">
        <v>94.99</v>
      </c>
      <c r="E34" s="325">
        <f t="shared" si="0"/>
        <v>104312.03362999999</v>
      </c>
      <c r="F34" s="326">
        <f t="shared" si="3"/>
        <v>3.4521480830296829E-3</v>
      </c>
      <c r="G34" s="327">
        <v>3.3687756605958524E-3</v>
      </c>
      <c r="H34" s="326">
        <f t="shared" si="1"/>
        <v>1.1629512438883026E-5</v>
      </c>
      <c r="I34" s="327">
        <v>0.15</v>
      </c>
      <c r="J34" s="326">
        <f t="shared" si="2"/>
        <v>5.1782221245445239E-4</v>
      </c>
      <c r="L34" s="241">
        <v>0.15</v>
      </c>
      <c r="N34" s="209"/>
    </row>
    <row r="35" spans="1:14">
      <c r="A35" t="s">
        <v>220</v>
      </c>
      <c r="B35" s="271" t="s">
        <v>221</v>
      </c>
      <c r="C35" s="325">
        <v>1152.519</v>
      </c>
      <c r="D35" s="325">
        <v>35.28</v>
      </c>
      <c r="E35" s="325">
        <f t="shared" si="0"/>
        <v>40660.870320000002</v>
      </c>
      <c r="F35" s="326">
        <f t="shared" si="3"/>
        <v>1.3456486336695969E-3</v>
      </c>
      <c r="G35" s="327">
        <v>2.8344671201814057E-2</v>
      </c>
      <c r="H35" s="326">
        <f t="shared" si="1"/>
        <v>3.8141968074535058E-5</v>
      </c>
      <c r="I35" s="327">
        <v>0.125</v>
      </c>
      <c r="J35" s="326">
        <f t="shared" si="2"/>
        <v>1.6820607920869961E-4</v>
      </c>
      <c r="L35" s="241">
        <v>0.125</v>
      </c>
      <c r="N35" s="209"/>
    </row>
    <row r="36" spans="1:14">
      <c r="A36" t="s">
        <v>222</v>
      </c>
      <c r="B36" s="271" t="s">
        <v>223</v>
      </c>
      <c r="C36" s="325">
        <v>1044.239</v>
      </c>
      <c r="D36" s="325">
        <v>400.61</v>
      </c>
      <c r="E36" s="325">
        <f t="shared" si="0"/>
        <v>418332.58579000004</v>
      </c>
      <c r="F36" s="326">
        <f t="shared" si="3"/>
        <v>1.3844481636953386E-2</v>
      </c>
      <c r="G36" s="327">
        <v>1.6474875814383064E-2</v>
      </c>
      <c r="H36" s="326">
        <f t="shared" si="1"/>
        <v>2.280861156833138E-4</v>
      </c>
      <c r="I36" s="327">
        <v>8.5000000000000006E-2</v>
      </c>
      <c r="J36" s="326">
        <f t="shared" si="2"/>
        <v>1.1767809391410378E-3</v>
      </c>
      <c r="L36" s="241">
        <v>8.5000000000000006E-2</v>
      </c>
      <c r="N36" s="209"/>
    </row>
    <row r="37" spans="1:14">
      <c r="A37" t="s">
        <v>224</v>
      </c>
      <c r="B37" s="271" t="s">
        <v>225</v>
      </c>
      <c r="C37" s="325">
        <v>46.093000000000004</v>
      </c>
      <c r="D37" s="325">
        <v>553.46</v>
      </c>
      <c r="E37" s="325">
        <f t="shared" si="0"/>
        <v>25510.631780000003</v>
      </c>
      <c r="F37" s="326" t="str">
        <f t="shared" si="3"/>
        <v/>
      </c>
      <c r="G37" s="327">
        <v>4.3363567376142808E-3</v>
      </c>
      <c r="H37" s="326" t="str">
        <f t="shared" si="1"/>
        <v/>
      </c>
      <c r="I37" s="327">
        <v>0.20499999999999999</v>
      </c>
      <c r="J37" s="326" t="str">
        <f t="shared" si="2"/>
        <v/>
      </c>
      <c r="L37" s="241">
        <v>0.20499999999999999</v>
      </c>
      <c r="N37" s="209"/>
    </row>
    <row r="38" spans="1:14">
      <c r="A38" t="s">
        <v>226</v>
      </c>
      <c r="B38" s="271" t="s">
        <v>227</v>
      </c>
      <c r="C38" s="325">
        <v>896.8</v>
      </c>
      <c r="D38" s="325">
        <v>117.1</v>
      </c>
      <c r="E38" s="325">
        <f t="shared" si="0"/>
        <v>105015.27999999998</v>
      </c>
      <c r="F38" s="326">
        <f t="shared" si="3"/>
        <v>3.4754216261062591E-3</v>
      </c>
      <c r="G38" s="327">
        <v>5.6020495303159695E-2</v>
      </c>
      <c r="H38" s="326">
        <f t="shared" si="1"/>
        <v>1.9469484088178532E-4</v>
      </c>
      <c r="I38" s="327">
        <v>1.4999999999999999E-2</v>
      </c>
      <c r="J38" s="326">
        <f t="shared" si="2"/>
        <v>5.2131324391593881E-5</v>
      </c>
      <c r="L38" s="241">
        <v>1.4999999999999999E-2</v>
      </c>
      <c r="N38" s="209"/>
    </row>
    <row r="39" spans="1:14">
      <c r="A39" t="s">
        <v>228</v>
      </c>
      <c r="B39" s="271" t="s">
        <v>229</v>
      </c>
      <c r="C39" s="325">
        <v>2632.5970000000002</v>
      </c>
      <c r="D39" s="325">
        <v>155.93</v>
      </c>
      <c r="E39" s="325">
        <f t="shared" si="0"/>
        <v>410500.85021000006</v>
      </c>
      <c r="F39" s="326">
        <f t="shared" si="3"/>
        <v>1.3585294752866826E-2</v>
      </c>
      <c r="G39" s="327">
        <v>2.7191688578208174E-2</v>
      </c>
      <c r="H39" s="326">
        <f t="shared" si="1"/>
        <v>3.6940710416312033E-4</v>
      </c>
      <c r="I39" s="327">
        <v>0.1</v>
      </c>
      <c r="J39" s="326">
        <f t="shared" si="2"/>
        <v>1.3585294752866827E-3</v>
      </c>
      <c r="L39" s="241">
        <v>0.1</v>
      </c>
      <c r="N39" s="209"/>
    </row>
    <row r="40" spans="1:14">
      <c r="A40" t="s">
        <v>230</v>
      </c>
      <c r="B40" s="271" t="s">
        <v>231</v>
      </c>
      <c r="C40" s="325">
        <v>747.245</v>
      </c>
      <c r="D40" s="325">
        <v>244.6</v>
      </c>
      <c r="E40" s="325">
        <f t="shared" si="0"/>
        <v>182776.12700000001</v>
      </c>
      <c r="F40" s="326">
        <f t="shared" si="3"/>
        <v>6.0488731212423961E-3</v>
      </c>
      <c r="G40" s="327">
        <v>2.2567457072771871E-2</v>
      </c>
      <c r="H40" s="326">
        <f t="shared" si="1"/>
        <v>1.3650768450228137E-4</v>
      </c>
      <c r="I40" s="327">
        <v>0.105</v>
      </c>
      <c r="J40" s="326">
        <f t="shared" si="2"/>
        <v>6.3513167773045155E-4</v>
      </c>
      <c r="L40" s="241">
        <v>0.105</v>
      </c>
      <c r="N40" s="209"/>
    </row>
    <row r="41" spans="1:14">
      <c r="A41" t="s">
        <v>232</v>
      </c>
      <c r="B41" s="271" t="s">
        <v>233</v>
      </c>
      <c r="C41" s="325">
        <v>2525.944</v>
      </c>
      <c r="D41" s="325">
        <v>74.91</v>
      </c>
      <c r="E41" s="325">
        <f t="shared" si="0"/>
        <v>189218.46503999998</v>
      </c>
      <c r="F41" s="326">
        <f t="shared" si="3"/>
        <v>6.2620786752046664E-3</v>
      </c>
      <c r="G41" s="327">
        <v>3.6844213055666798E-2</v>
      </c>
      <c r="H41" s="326">
        <f t="shared" si="1"/>
        <v>2.3072136088058841E-4</v>
      </c>
      <c r="I41" s="327">
        <v>7.4999999999999997E-2</v>
      </c>
      <c r="J41" s="326">
        <f t="shared" si="2"/>
        <v>4.6965590064034998E-4</v>
      </c>
      <c r="L41" s="241">
        <v>7.4999999999999997E-2</v>
      </c>
      <c r="N41" s="209"/>
    </row>
    <row r="42" spans="1:14">
      <c r="A42" t="s">
        <v>234</v>
      </c>
      <c r="B42" s="271" t="s">
        <v>235</v>
      </c>
      <c r="C42" s="325">
        <v>576.25300000000004</v>
      </c>
      <c r="D42" s="325">
        <v>170.04</v>
      </c>
      <c r="E42" s="325">
        <f t="shared" si="0"/>
        <v>97986.060120000009</v>
      </c>
      <c r="F42" s="326">
        <f t="shared" si="3"/>
        <v>3.242793547738921E-3</v>
      </c>
      <c r="G42" s="327">
        <v>3.4815337567631145E-2</v>
      </c>
      <c r="H42" s="326">
        <f t="shared" si="1"/>
        <v>1.1289895202666673E-4</v>
      </c>
      <c r="I42" s="327">
        <v>0.06</v>
      </c>
      <c r="J42" s="326">
        <f t="shared" si="2"/>
        <v>1.9456761286433525E-4</v>
      </c>
      <c r="L42" s="241">
        <v>0.06</v>
      </c>
      <c r="N42" s="209"/>
    </row>
    <row r="43" spans="1:14">
      <c r="A43" t="s">
        <v>236</v>
      </c>
      <c r="B43" s="271" t="s">
        <v>237</v>
      </c>
      <c r="C43" s="325">
        <v>181.53800000000001</v>
      </c>
      <c r="D43" s="325">
        <v>168.57</v>
      </c>
      <c r="E43" s="325">
        <f t="shared" si="0"/>
        <v>30601.860660000002</v>
      </c>
      <c r="F43" s="326">
        <f t="shared" si="3"/>
        <v>1.0127513666283077E-3</v>
      </c>
      <c r="G43" s="327">
        <v>1.4296731328231595E-2</v>
      </c>
      <c r="H43" s="326">
        <f t="shared" si="1"/>
        <v>1.4479034190984287E-5</v>
      </c>
      <c r="I43" s="327">
        <v>8.5000000000000006E-2</v>
      </c>
      <c r="J43" s="326">
        <f t="shared" si="2"/>
        <v>8.6083866163406158E-5</v>
      </c>
      <c r="L43" s="241">
        <v>8.5000000000000006E-2</v>
      </c>
      <c r="N43" s="209"/>
    </row>
    <row r="44" spans="1:14">
      <c r="A44" t="s">
        <v>238</v>
      </c>
      <c r="B44" s="271" t="s">
        <v>239</v>
      </c>
      <c r="C44" s="325">
        <v>8184.0839999999998</v>
      </c>
      <c r="D44" s="325">
        <v>44.47</v>
      </c>
      <c r="E44" s="325">
        <f t="shared" si="0"/>
        <v>363946.21547999996</v>
      </c>
      <c r="F44" s="326">
        <f t="shared" si="3"/>
        <v>1.2044595300976397E-2</v>
      </c>
      <c r="G44" s="327">
        <v>1.8889138745221499E-2</v>
      </c>
      <c r="H44" s="326">
        <f t="shared" si="1"/>
        <v>2.2751203177018606E-4</v>
      </c>
      <c r="I44" s="327">
        <v>7.4999999999999997E-2</v>
      </c>
      <c r="J44" s="326">
        <f t="shared" si="2"/>
        <v>9.0334464757322968E-4</v>
      </c>
      <c r="L44" s="241">
        <v>7.4999999999999997E-2</v>
      </c>
      <c r="N44" s="209"/>
    </row>
    <row r="45" spans="1:14">
      <c r="A45" t="s">
        <v>240</v>
      </c>
      <c r="B45" s="271" t="s">
        <v>241</v>
      </c>
      <c r="C45" s="325">
        <v>871.08</v>
      </c>
      <c r="D45" s="325">
        <v>23.34</v>
      </c>
      <c r="E45" s="325">
        <f t="shared" si="0"/>
        <v>20331.0072</v>
      </c>
      <c r="F45" s="326">
        <f t="shared" si="3"/>
        <v>6.7284324817685646E-4</v>
      </c>
      <c r="G45" s="327">
        <v>3.0848329048843187E-2</v>
      </c>
      <c r="H45" s="326">
        <f t="shared" si="1"/>
        <v>2.0756089918052126E-5</v>
      </c>
      <c r="I45" s="327">
        <v>0.06</v>
      </c>
      <c r="J45" s="326">
        <f t="shared" si="2"/>
        <v>4.0370594890611389E-5</v>
      </c>
      <c r="L45" s="241">
        <v>0.06</v>
      </c>
      <c r="N45" s="209"/>
    </row>
    <row r="46" spans="1:14">
      <c r="A46" t="s">
        <v>242</v>
      </c>
      <c r="B46" s="271" t="s">
        <v>243</v>
      </c>
      <c r="C46" s="325">
        <v>5612.8670000000002</v>
      </c>
      <c r="D46" s="325">
        <v>53.73</v>
      </c>
      <c r="E46" s="325">
        <f t="shared" si="0"/>
        <v>301579.34391</v>
      </c>
      <c r="F46" s="326">
        <f t="shared" si="3"/>
        <v>9.9805987644060092E-3</v>
      </c>
      <c r="G46" s="327">
        <v>2.9034059184812958E-2</v>
      </c>
      <c r="H46" s="326">
        <f t="shared" si="1"/>
        <v>2.8977729522563513E-4</v>
      </c>
      <c r="I46" s="327">
        <v>0.08</v>
      </c>
      <c r="J46" s="326">
        <f t="shared" si="2"/>
        <v>7.9844790115248074E-4</v>
      </c>
      <c r="L46" s="241">
        <v>0.08</v>
      </c>
      <c r="N46" s="209"/>
    </row>
    <row r="47" spans="1:14">
      <c r="A47" t="s">
        <v>244</v>
      </c>
      <c r="B47" s="271" t="s">
        <v>245</v>
      </c>
      <c r="C47" s="325">
        <v>2419.9479999999999</v>
      </c>
      <c r="D47" s="325">
        <v>144.58000000000001</v>
      </c>
      <c r="E47" s="325">
        <f t="shared" si="0"/>
        <v>349876.08184</v>
      </c>
      <c r="F47" s="326">
        <f t="shared" si="3"/>
        <v>1.1578952141860303E-2</v>
      </c>
      <c r="G47" s="327">
        <v>2.4064185917830952E-2</v>
      </c>
      <c r="H47" s="326">
        <f t="shared" si="1"/>
        <v>2.7863805707539324E-4</v>
      </c>
      <c r="I47" s="327">
        <v>7.0000000000000007E-2</v>
      </c>
      <c r="J47" s="326">
        <f t="shared" si="2"/>
        <v>8.1052664993022129E-4</v>
      </c>
      <c r="L47" s="241">
        <v>7.0000000000000007E-2</v>
      </c>
      <c r="N47" s="209"/>
    </row>
    <row r="48" spans="1:14">
      <c r="A48" t="s">
        <v>246</v>
      </c>
      <c r="B48" s="271" t="s">
        <v>247</v>
      </c>
      <c r="C48" s="325">
        <v>7141</v>
      </c>
      <c r="D48" s="325">
        <v>22.83</v>
      </c>
      <c r="E48" s="325">
        <f t="shared" si="0"/>
        <v>163029.03</v>
      </c>
      <c r="F48" s="326">
        <f t="shared" si="3"/>
        <v>5.3953540527161966E-3</v>
      </c>
      <c r="G48" s="327">
        <v>9.1108190976784936E-2</v>
      </c>
      <c r="H48" s="326">
        <f t="shared" si="1"/>
        <v>4.9156094742223782E-4</v>
      </c>
      <c r="I48" s="327">
        <v>2.5000000000000001E-2</v>
      </c>
      <c r="J48" s="326">
        <f t="shared" si="2"/>
        <v>1.3488385131790493E-4</v>
      </c>
      <c r="L48" s="241">
        <v>2.5000000000000001E-2</v>
      </c>
      <c r="N48" s="209"/>
    </row>
    <row r="49" spans="1:14">
      <c r="A49" t="s">
        <v>248</v>
      </c>
      <c r="B49" s="271" t="s">
        <v>249</v>
      </c>
      <c r="C49" s="325">
        <v>246.00899999999999</v>
      </c>
      <c r="D49" s="325">
        <v>146.94999999999999</v>
      </c>
      <c r="E49" s="325">
        <f t="shared" si="0"/>
        <v>36151.022549999994</v>
      </c>
      <c r="F49" s="326">
        <f t="shared" si="3"/>
        <v>1.196397758270273E-3</v>
      </c>
      <c r="G49" s="327">
        <v>2.3953725757060226E-2</v>
      </c>
      <c r="H49" s="326">
        <f t="shared" si="1"/>
        <v>2.8658183797967754E-5</v>
      </c>
      <c r="I49" s="327">
        <v>0.08</v>
      </c>
      <c r="J49" s="326">
        <f t="shared" si="2"/>
        <v>9.5711820661621849E-5</v>
      </c>
      <c r="L49" s="241">
        <v>0.08</v>
      </c>
      <c r="N49" s="209"/>
    </row>
    <row r="50" spans="1:14">
      <c r="A50" t="s">
        <v>250</v>
      </c>
      <c r="B50" s="271" t="s">
        <v>251</v>
      </c>
      <c r="C50" s="325">
        <v>1496.778</v>
      </c>
      <c r="D50" s="325">
        <v>80.92</v>
      </c>
      <c r="E50" s="325">
        <f t="shared" si="0"/>
        <v>121119.27576</v>
      </c>
      <c r="F50" s="326">
        <f t="shared" si="3"/>
        <v>4.0083743081447921E-3</v>
      </c>
      <c r="G50" s="327">
        <v>2.5210084033613446E-2</v>
      </c>
      <c r="H50" s="326">
        <f t="shared" si="1"/>
        <v>1.0105145314650737E-4</v>
      </c>
      <c r="I50" s="327">
        <v>1.4999999999999999E-2</v>
      </c>
      <c r="J50" s="326">
        <f t="shared" si="2"/>
        <v>6.0125614622171881E-5</v>
      </c>
      <c r="L50" s="241">
        <v>1.4999999999999999E-2</v>
      </c>
      <c r="N50" s="209"/>
    </row>
    <row r="51" spans="1:14">
      <c r="A51" t="s">
        <v>252</v>
      </c>
      <c r="B51" s="271" t="s">
        <v>253</v>
      </c>
      <c r="C51" s="325">
        <v>537.41099999999994</v>
      </c>
      <c r="D51" s="325">
        <v>180.25</v>
      </c>
      <c r="E51" s="325">
        <f t="shared" si="0"/>
        <v>96868.332749999987</v>
      </c>
      <c r="F51" s="326">
        <f t="shared" si="3"/>
        <v>3.2058029890907986E-3</v>
      </c>
      <c r="G51" s="327">
        <v>1.5312066574202497E-2</v>
      </c>
      <c r="H51" s="326">
        <f t="shared" si="1"/>
        <v>4.9087468792735668E-5</v>
      </c>
      <c r="I51" s="327">
        <v>0.11</v>
      </c>
      <c r="J51" s="326">
        <f t="shared" si="2"/>
        <v>3.5263832879998784E-4</v>
      </c>
      <c r="L51" s="241">
        <v>0.11</v>
      </c>
      <c r="N51" s="209"/>
    </row>
    <row r="52" spans="1:14">
      <c r="A52" t="s">
        <v>254</v>
      </c>
      <c r="B52" s="271" t="s">
        <v>255</v>
      </c>
      <c r="C52" s="325">
        <v>2788.498</v>
      </c>
      <c r="D52" s="325">
        <v>140.63</v>
      </c>
      <c r="E52" s="325">
        <f t="shared" si="0"/>
        <v>392146.47373999999</v>
      </c>
      <c r="F52" s="326">
        <f t="shared" si="3"/>
        <v>1.2977866986949959E-2</v>
      </c>
      <c r="G52" s="327">
        <v>1.564388821730783E-2</v>
      </c>
      <c r="H52" s="326">
        <f t="shared" si="1"/>
        <v>2.0302430044293472E-4</v>
      </c>
      <c r="I52" s="327">
        <v>7.4999999999999997E-2</v>
      </c>
      <c r="J52" s="326">
        <f t="shared" si="2"/>
        <v>9.7334002402124685E-4</v>
      </c>
      <c r="L52" s="241">
        <v>7.4999999999999997E-2</v>
      </c>
      <c r="N52" s="209"/>
    </row>
    <row r="53" spans="1:14">
      <c r="A53" t="s">
        <v>256</v>
      </c>
      <c r="B53" s="271" t="s">
        <v>257</v>
      </c>
      <c r="C53" s="325">
        <v>4217.607</v>
      </c>
      <c r="D53" s="325">
        <v>54.84</v>
      </c>
      <c r="E53" s="325">
        <f t="shared" si="0"/>
        <v>231293.56788000002</v>
      </c>
      <c r="F53" s="326">
        <f t="shared" si="3"/>
        <v>7.654530538693304E-3</v>
      </c>
      <c r="G53" s="327">
        <v>2.6987600291757841E-2</v>
      </c>
      <c r="H53" s="326">
        <f t="shared" si="1"/>
        <v>2.065774105993087E-4</v>
      </c>
      <c r="I53" s="327">
        <v>7.0000000000000007E-2</v>
      </c>
      <c r="J53" s="326">
        <f t="shared" si="2"/>
        <v>5.3581713770853138E-4</v>
      </c>
      <c r="L53" s="241">
        <v>7.0000000000000007E-2</v>
      </c>
      <c r="N53" s="209"/>
    </row>
    <row r="54" spans="1:14">
      <c r="A54" t="s">
        <v>258</v>
      </c>
      <c r="B54" s="271" t="s">
        <v>259</v>
      </c>
      <c r="C54" s="325">
        <v>4067</v>
      </c>
      <c r="D54" s="325">
        <v>49.2</v>
      </c>
      <c r="E54" s="325">
        <f t="shared" si="0"/>
        <v>200096.40000000002</v>
      </c>
      <c r="F54" s="326">
        <f t="shared" si="3"/>
        <v>6.6220778144476557E-3</v>
      </c>
      <c r="G54" s="327">
        <v>2.8252032520325203E-2</v>
      </c>
      <c r="H54" s="326">
        <f t="shared" si="1"/>
        <v>1.870871577658992E-4</v>
      </c>
      <c r="I54" s="327">
        <v>7.0000000000000007E-2</v>
      </c>
      <c r="J54" s="326">
        <f t="shared" si="2"/>
        <v>4.6354544701133593E-4</v>
      </c>
      <c r="L54" s="241">
        <v>7.0000000000000007E-2</v>
      </c>
      <c r="N54" s="209"/>
    </row>
    <row r="55" spans="1:14">
      <c r="A55" t="s">
        <v>260</v>
      </c>
      <c r="B55" s="271" t="s">
        <v>261</v>
      </c>
      <c r="C55" s="325">
        <v>1451.86</v>
      </c>
      <c r="D55" s="325">
        <v>57.87</v>
      </c>
      <c r="E55" s="325">
        <f t="shared" si="0"/>
        <v>84019.138199999987</v>
      </c>
      <c r="F55" s="326">
        <f t="shared" si="3"/>
        <v>2.7805661224451382E-3</v>
      </c>
      <c r="G55" s="327" t="s">
        <v>197</v>
      </c>
      <c r="H55" s="326" t="str">
        <f t="shared" si="1"/>
        <v/>
      </c>
      <c r="I55" s="327">
        <v>0.12</v>
      </c>
      <c r="J55" s="326">
        <f t="shared" si="2"/>
        <v>3.3366793469341658E-4</v>
      </c>
      <c r="L55" s="241">
        <v>0.12</v>
      </c>
      <c r="N55" s="209"/>
    </row>
    <row r="56" spans="1:14">
      <c r="A56" t="s">
        <v>262</v>
      </c>
      <c r="B56" s="271" t="s">
        <v>263</v>
      </c>
      <c r="C56" s="325">
        <v>7507.98</v>
      </c>
      <c r="D56" s="325">
        <v>330.59</v>
      </c>
      <c r="E56" s="325">
        <f t="shared" si="0"/>
        <v>2482063.1081999997</v>
      </c>
      <c r="F56" s="326">
        <f t="shared" si="3"/>
        <v>8.2142482537767833E-2</v>
      </c>
      <c r="G56" s="327">
        <v>7.5017393145588194E-3</v>
      </c>
      <c r="H56" s="326">
        <f t="shared" si="1"/>
        <v>6.1621149064903429E-4</v>
      </c>
      <c r="I56" s="327">
        <v>0.15</v>
      </c>
      <c r="J56" s="326">
        <f t="shared" si="2"/>
        <v>1.2321372380665175E-2</v>
      </c>
      <c r="L56" s="241">
        <v>0.15</v>
      </c>
      <c r="N56" s="209"/>
    </row>
    <row r="57" spans="1:14">
      <c r="A57" t="s">
        <v>264</v>
      </c>
      <c r="B57" s="271" t="s">
        <v>265</v>
      </c>
      <c r="C57" s="325">
        <v>233.31</v>
      </c>
      <c r="D57" s="325">
        <v>221.3</v>
      </c>
      <c r="E57" s="325">
        <f t="shared" si="0"/>
        <v>51631.503000000004</v>
      </c>
      <c r="F57" s="326">
        <f t="shared" si="3"/>
        <v>1.7087155518184613E-3</v>
      </c>
      <c r="G57" s="327">
        <v>7.5915047446904662E-3</v>
      </c>
      <c r="H57" s="326">
        <f t="shared" si="1"/>
        <v>1.2971722218956238E-5</v>
      </c>
      <c r="I57" s="327">
        <v>0.105</v>
      </c>
      <c r="J57" s="326">
        <f t="shared" si="2"/>
        <v>1.7941513294093844E-4</v>
      </c>
      <c r="L57" s="241">
        <v>0.105</v>
      </c>
      <c r="N57" s="209"/>
    </row>
    <row r="58" spans="1:14">
      <c r="A58" t="s">
        <v>266</v>
      </c>
      <c r="B58" s="271" t="s">
        <v>267</v>
      </c>
      <c r="C58" s="325">
        <v>331.428</v>
      </c>
      <c r="D58" s="325">
        <v>191.9</v>
      </c>
      <c r="E58" s="325">
        <f t="shared" si="0"/>
        <v>63601.033199999998</v>
      </c>
      <c r="F58" s="326">
        <f t="shared" si="3"/>
        <v>2.1048404215651493E-3</v>
      </c>
      <c r="G58" s="327">
        <v>2.0844189682126108E-2</v>
      </c>
      <c r="H58" s="326">
        <f t="shared" si="1"/>
        <v>4.3873692997710254E-5</v>
      </c>
      <c r="I58" s="327">
        <v>0.1</v>
      </c>
      <c r="J58" s="326">
        <f t="shared" si="2"/>
        <v>2.1048404215651495E-4</v>
      </c>
      <c r="L58" s="241">
        <v>0.1</v>
      </c>
      <c r="N58" s="209"/>
    </row>
    <row r="59" spans="1:14">
      <c r="A59" t="s">
        <v>268</v>
      </c>
      <c r="B59" s="271" t="s">
        <v>269</v>
      </c>
      <c r="C59" s="325">
        <v>2267.4259999999999</v>
      </c>
      <c r="D59" s="325">
        <v>15.46</v>
      </c>
      <c r="E59" s="325">
        <f t="shared" si="0"/>
        <v>35054.405960000004</v>
      </c>
      <c r="F59" s="326">
        <f t="shared" si="3"/>
        <v>1.1601058490125643E-3</v>
      </c>
      <c r="G59" s="327">
        <v>6.9857697283311773E-2</v>
      </c>
      <c r="H59" s="326">
        <f t="shared" si="1"/>
        <v>8.1042323216919105E-5</v>
      </c>
      <c r="I59" s="327">
        <v>0.19</v>
      </c>
      <c r="J59" s="326">
        <f t="shared" si="2"/>
        <v>2.2042011131238721E-4</v>
      </c>
      <c r="L59" s="241">
        <v>0.19</v>
      </c>
      <c r="N59" s="209"/>
    </row>
    <row r="60" spans="1:14">
      <c r="A60" t="s">
        <v>270</v>
      </c>
      <c r="B60" s="271" t="s">
        <v>271</v>
      </c>
      <c r="C60" s="325">
        <v>1984.2670000000001</v>
      </c>
      <c r="D60" s="325">
        <v>63.7</v>
      </c>
      <c r="E60" s="325">
        <f t="shared" si="0"/>
        <v>126397.80790000001</v>
      </c>
      <c r="F60" s="326">
        <f t="shared" si="3"/>
        <v>4.1830643604253079E-3</v>
      </c>
      <c r="G60" s="327">
        <v>3.2025117739403454E-2</v>
      </c>
      <c r="H60" s="326">
        <f t="shared" si="1"/>
        <v>1.3396312865412288E-4</v>
      </c>
      <c r="I60" s="327">
        <v>7.0000000000000007E-2</v>
      </c>
      <c r="J60" s="326">
        <f t="shared" si="2"/>
        <v>2.9281450522977156E-4</v>
      </c>
      <c r="L60" s="241">
        <v>7.0000000000000007E-2</v>
      </c>
      <c r="N60" s="209"/>
    </row>
    <row r="61" spans="1:14">
      <c r="A61" t="s">
        <v>272</v>
      </c>
      <c r="B61" s="271" t="s">
        <v>273</v>
      </c>
      <c r="C61" s="325">
        <v>830.298</v>
      </c>
      <c r="D61" s="325">
        <v>52.6</v>
      </c>
      <c r="E61" s="325">
        <f t="shared" si="0"/>
        <v>43673.674800000001</v>
      </c>
      <c r="F61" s="326" t="str">
        <f t="shared" si="3"/>
        <v/>
      </c>
      <c r="G61" s="327">
        <v>2.4334600760456272E-2</v>
      </c>
      <c r="H61" s="326" t="str">
        <f t="shared" si="1"/>
        <v/>
      </c>
      <c r="I61" s="327">
        <v>0.315</v>
      </c>
      <c r="J61" s="326" t="str">
        <f t="shared" si="2"/>
        <v/>
      </c>
      <c r="L61" s="241">
        <v>0.315</v>
      </c>
      <c r="N61" s="209"/>
    </row>
    <row r="62" spans="1:14">
      <c r="A62" t="s">
        <v>274</v>
      </c>
      <c r="B62" s="271" t="s">
        <v>275</v>
      </c>
      <c r="C62" s="325">
        <v>1836.989</v>
      </c>
      <c r="D62" s="325">
        <v>42.64</v>
      </c>
      <c r="E62" s="325">
        <f t="shared" si="0"/>
        <v>78329.210959999997</v>
      </c>
      <c r="F62" s="326">
        <f t="shared" si="3"/>
        <v>2.5922611807179244E-3</v>
      </c>
      <c r="G62" s="327">
        <v>8.4427767354596631E-2</v>
      </c>
      <c r="H62" s="326">
        <f t="shared" si="1"/>
        <v>2.1885882388800488E-4</v>
      </c>
      <c r="I62" s="327">
        <v>0.06</v>
      </c>
      <c r="J62" s="326">
        <f t="shared" si="2"/>
        <v>1.5553567084307545E-4</v>
      </c>
      <c r="L62" s="241">
        <v>0.06</v>
      </c>
      <c r="N62" s="209"/>
    </row>
    <row r="63" spans="1:14">
      <c r="A63" t="s">
        <v>276</v>
      </c>
      <c r="B63" s="271" t="s">
        <v>277</v>
      </c>
      <c r="C63" s="325">
        <v>311.02300000000002</v>
      </c>
      <c r="D63" s="325">
        <v>225.59</v>
      </c>
      <c r="E63" s="325">
        <f t="shared" si="0"/>
        <v>70163.678570000004</v>
      </c>
      <c r="F63" s="326">
        <f t="shared" si="3"/>
        <v>2.3220274789473145E-3</v>
      </c>
      <c r="G63" s="327">
        <v>8.5110155592003182E-3</v>
      </c>
      <c r="H63" s="326">
        <f t="shared" si="1"/>
        <v>1.9762812002211284E-5</v>
      </c>
      <c r="I63" s="327">
        <v>0.13500000000000001</v>
      </c>
      <c r="J63" s="326">
        <f t="shared" si="2"/>
        <v>3.1347370965788745E-4</v>
      </c>
      <c r="L63" s="241">
        <v>0.13500000000000001</v>
      </c>
      <c r="N63" s="209"/>
    </row>
    <row r="64" spans="1:14">
      <c r="A64" t="s">
        <v>278</v>
      </c>
      <c r="B64" s="271" t="s">
        <v>279</v>
      </c>
      <c r="C64" s="325">
        <v>188.64599999999999</v>
      </c>
      <c r="D64" s="325">
        <v>23.59</v>
      </c>
      <c r="E64" s="325">
        <f t="shared" si="0"/>
        <v>4450.1591399999998</v>
      </c>
      <c r="F64" s="326" t="str">
        <f t="shared" si="3"/>
        <v/>
      </c>
      <c r="G64" s="327" t="s">
        <v>197</v>
      </c>
      <c r="H64" s="326" t="str">
        <f t="shared" si="1"/>
        <v/>
      </c>
      <c r="I64" s="327">
        <v>0.33</v>
      </c>
      <c r="J64" s="326" t="str">
        <f t="shared" si="2"/>
        <v/>
      </c>
      <c r="L64" s="241">
        <v>0.33</v>
      </c>
      <c r="N64" s="209"/>
    </row>
    <row r="65" spans="1:14">
      <c r="A65" t="s">
        <v>280</v>
      </c>
      <c r="B65" s="271" t="s">
        <v>281</v>
      </c>
      <c r="C65" s="325">
        <v>387.26299999999998</v>
      </c>
      <c r="D65" s="325">
        <v>45.52</v>
      </c>
      <c r="E65" s="325">
        <f t="shared" si="0"/>
        <v>17628.211760000002</v>
      </c>
      <c r="F65" s="326">
        <f t="shared" si="3"/>
        <v>5.8339575326833096E-4</v>
      </c>
      <c r="G65" s="327">
        <v>4.06414762741652E-2</v>
      </c>
      <c r="H65" s="326">
        <f t="shared" si="1"/>
        <v>2.3710064664903608E-5</v>
      </c>
      <c r="I65" s="327">
        <v>0.12</v>
      </c>
      <c r="J65" s="326">
        <f t="shared" si="2"/>
        <v>7.0007490392199717E-5</v>
      </c>
      <c r="L65" s="241">
        <v>0.12</v>
      </c>
      <c r="N65" s="209"/>
    </row>
    <row r="66" spans="1:14">
      <c r="A66" t="s">
        <v>282</v>
      </c>
      <c r="B66" s="271" t="s">
        <v>283</v>
      </c>
      <c r="C66" s="325">
        <v>1308.05</v>
      </c>
      <c r="D66" s="325">
        <v>14.35</v>
      </c>
      <c r="E66" s="325">
        <f t="shared" si="0"/>
        <v>18770.517499999998</v>
      </c>
      <c r="F66" s="326">
        <f t="shared" si="3"/>
        <v>6.2119971924757991E-4</v>
      </c>
      <c r="G66" s="327">
        <v>3.3449477351916376E-2</v>
      </c>
      <c r="H66" s="326">
        <f t="shared" si="1"/>
        <v>2.0778805939988737E-5</v>
      </c>
      <c r="I66" s="327">
        <v>6.5000000000000002E-2</v>
      </c>
      <c r="J66" s="326">
        <f t="shared" si="2"/>
        <v>4.0377981751092697E-5</v>
      </c>
      <c r="L66" s="241">
        <v>6.5000000000000002E-2</v>
      </c>
      <c r="N66" s="209"/>
    </row>
    <row r="67" spans="1:14">
      <c r="A67" t="s">
        <v>284</v>
      </c>
      <c r="B67" s="271" t="s">
        <v>285</v>
      </c>
      <c r="C67" s="325">
        <v>1768.287</v>
      </c>
      <c r="D67" s="325">
        <v>125.77</v>
      </c>
      <c r="E67" s="325">
        <f t="shared" si="0"/>
        <v>222397.45598999999</v>
      </c>
      <c r="F67" s="326">
        <f t="shared" si="3"/>
        <v>7.3601187192821943E-3</v>
      </c>
      <c r="G67" s="327">
        <v>1.4311839071320666E-2</v>
      </c>
      <c r="H67" s="326">
        <f t="shared" si="1"/>
        <v>1.0533683465618153E-4</v>
      </c>
      <c r="I67" s="327">
        <v>0.115</v>
      </c>
      <c r="J67" s="326">
        <f t="shared" si="2"/>
        <v>8.4641365271745242E-4</v>
      </c>
      <c r="L67" s="241">
        <v>0.115</v>
      </c>
      <c r="N67" s="209"/>
    </row>
    <row r="68" spans="1:14">
      <c r="A68" t="s">
        <v>286</v>
      </c>
      <c r="B68" s="271" t="s">
        <v>287</v>
      </c>
      <c r="C68" s="325">
        <v>661.52800000000002</v>
      </c>
      <c r="D68" s="325">
        <v>54.14</v>
      </c>
      <c r="E68" s="325">
        <f t="shared" si="0"/>
        <v>35815.125919999999</v>
      </c>
      <c r="F68" s="326">
        <f t="shared" si="3"/>
        <v>1.1852814482243615E-3</v>
      </c>
      <c r="G68" s="327">
        <v>2.9553010712966385E-2</v>
      </c>
      <c r="H68" s="326">
        <f t="shared" si="1"/>
        <v>3.502863533725487E-5</v>
      </c>
      <c r="I68" s="327">
        <v>0.11</v>
      </c>
      <c r="J68" s="326">
        <f t="shared" si="2"/>
        <v>1.3038095930467978E-4</v>
      </c>
      <c r="L68" s="241">
        <v>0.11</v>
      </c>
      <c r="N68" s="209"/>
    </row>
    <row r="69" spans="1:14">
      <c r="A69" t="s">
        <v>288</v>
      </c>
      <c r="B69" s="271" t="s">
        <v>289</v>
      </c>
      <c r="C69" s="325">
        <v>221.46</v>
      </c>
      <c r="D69" s="325">
        <v>287.44</v>
      </c>
      <c r="E69" s="325">
        <f t="shared" si="0"/>
        <v>63656.462400000004</v>
      </c>
      <c r="F69" s="326">
        <f t="shared" si="3"/>
        <v>2.1066748197631807E-3</v>
      </c>
      <c r="G69" s="327">
        <v>2.0873921514055108E-2</v>
      </c>
      <c r="H69" s="326">
        <f t="shared" si="1"/>
        <v>4.3974564843372822E-5</v>
      </c>
      <c r="I69" s="327">
        <v>0.125</v>
      </c>
      <c r="J69" s="326">
        <f t="shared" si="2"/>
        <v>2.6333435247039759E-4</v>
      </c>
      <c r="L69" s="241">
        <v>0.125</v>
      </c>
      <c r="N69" s="209"/>
    </row>
    <row r="70" spans="1:14">
      <c r="A70" t="s">
        <v>290</v>
      </c>
      <c r="B70" s="271" t="s">
        <v>291</v>
      </c>
      <c r="C70" s="325">
        <v>254.79</v>
      </c>
      <c r="D70" s="325">
        <v>69.819999999999993</v>
      </c>
      <c r="E70" s="325">
        <f t="shared" si="0"/>
        <v>17789.437799999996</v>
      </c>
      <c r="F70" s="326" t="str">
        <f t="shared" si="3"/>
        <v/>
      </c>
      <c r="G70" s="327" t="s">
        <v>197</v>
      </c>
      <c r="H70" s="326" t="str">
        <f t="shared" si="1"/>
        <v/>
      </c>
      <c r="I70" s="327" t="s">
        <v>197</v>
      </c>
      <c r="J70" s="326" t="str">
        <f t="shared" si="2"/>
        <v/>
      </c>
      <c r="L70" s="231" t="s">
        <v>197</v>
      </c>
      <c r="N70" s="209"/>
    </row>
    <row r="71" spans="1:14">
      <c r="A71" t="s">
        <v>292</v>
      </c>
      <c r="B71" s="271" t="s">
        <v>293</v>
      </c>
      <c r="C71" s="325">
        <v>309.72699999999998</v>
      </c>
      <c r="D71" s="325">
        <v>74.52</v>
      </c>
      <c r="E71" s="325">
        <f t="shared" si="0"/>
        <v>23080.856039999999</v>
      </c>
      <c r="F71" s="326" t="str">
        <f t="shared" si="3"/>
        <v/>
      </c>
      <c r="G71" s="327">
        <v>1.3419216317767041E-2</v>
      </c>
      <c r="H71" s="326" t="str">
        <f t="shared" si="1"/>
        <v/>
      </c>
      <c r="I71" s="327" t="s">
        <v>197</v>
      </c>
      <c r="J71" s="326" t="str">
        <f t="shared" si="2"/>
        <v/>
      </c>
      <c r="L71" s="231" t="s">
        <v>197</v>
      </c>
      <c r="N71" s="209"/>
    </row>
    <row r="72" spans="1:14">
      <c r="A72" t="s">
        <v>294</v>
      </c>
      <c r="B72" s="271" t="s">
        <v>295</v>
      </c>
      <c r="C72" s="325">
        <v>559.44100000000003</v>
      </c>
      <c r="D72" s="325">
        <v>62.21</v>
      </c>
      <c r="E72" s="325">
        <f t="shared" si="0"/>
        <v>34802.824610000003</v>
      </c>
      <c r="F72" s="326">
        <f t="shared" si="3"/>
        <v>1.151779905735405E-3</v>
      </c>
      <c r="G72" s="327">
        <v>2.3790387397524513E-2</v>
      </c>
      <c r="H72" s="326">
        <f t="shared" si="1"/>
        <v>2.7401290154129551E-5</v>
      </c>
      <c r="I72" s="327">
        <v>9.5000000000000001E-2</v>
      </c>
      <c r="J72" s="326">
        <f t="shared" si="2"/>
        <v>1.0941909104486348E-4</v>
      </c>
      <c r="L72" s="241">
        <v>9.5000000000000001E-2</v>
      </c>
      <c r="N72" s="209"/>
    </row>
    <row r="73" spans="1:14">
      <c r="A73" t="s">
        <v>296</v>
      </c>
      <c r="B73" s="271" t="s">
        <v>297</v>
      </c>
      <c r="C73" s="325">
        <v>421.38400000000001</v>
      </c>
      <c r="D73" s="325">
        <v>230.89</v>
      </c>
      <c r="E73" s="325">
        <f t="shared" si="0"/>
        <v>97293.35175999999</v>
      </c>
      <c r="F73" s="326">
        <f t="shared" si="3"/>
        <v>3.2198687541762252E-3</v>
      </c>
      <c r="G73" s="327">
        <v>1.8017237645632123E-2</v>
      </c>
      <c r="H73" s="326">
        <f t="shared" si="1"/>
        <v>5.801314053173849E-5</v>
      </c>
      <c r="I73" s="327">
        <v>8.5000000000000006E-2</v>
      </c>
      <c r="J73" s="326">
        <f t="shared" si="2"/>
        <v>2.7368884410497918E-4</v>
      </c>
      <c r="L73" s="241">
        <v>8.5000000000000006E-2</v>
      </c>
      <c r="N73" s="209"/>
    </row>
    <row r="74" spans="1:14">
      <c r="A74" t="s">
        <v>298</v>
      </c>
      <c r="B74" s="271" t="s">
        <v>299</v>
      </c>
      <c r="C74" s="325">
        <v>161.161</v>
      </c>
      <c r="D74" s="325">
        <v>224.87</v>
      </c>
      <c r="E74" s="325">
        <f t="shared" si="0"/>
        <v>36240.274069999999</v>
      </c>
      <c r="F74" s="326">
        <f t="shared" si="3"/>
        <v>1.1993514871254537E-3</v>
      </c>
      <c r="G74" s="327">
        <v>5.1585360430470937E-3</v>
      </c>
      <c r="H74" s="326">
        <f t="shared" si="1"/>
        <v>6.1868978746187852E-6</v>
      </c>
      <c r="I74" s="327">
        <v>0.115</v>
      </c>
      <c r="J74" s="326">
        <f t="shared" si="2"/>
        <v>1.3792542101942717E-4</v>
      </c>
      <c r="L74" s="241">
        <v>0.115</v>
      </c>
      <c r="N74" s="209"/>
    </row>
    <row r="75" spans="1:14">
      <c r="A75" t="s">
        <v>300</v>
      </c>
      <c r="B75" s="271" t="s">
        <v>301</v>
      </c>
      <c r="C75" s="325">
        <v>20.968</v>
      </c>
      <c r="D75" s="325">
        <v>1817.07</v>
      </c>
      <c r="E75" s="325">
        <f t="shared" si="0"/>
        <v>38100.323759999999</v>
      </c>
      <c r="F75" s="326">
        <f t="shared" si="3"/>
        <v>1.2609087854372634E-3</v>
      </c>
      <c r="G75" s="327" t="s">
        <v>197</v>
      </c>
      <c r="H75" s="326" t="str">
        <f t="shared" si="1"/>
        <v/>
      </c>
      <c r="I75" s="327">
        <v>0.15</v>
      </c>
      <c r="J75" s="326">
        <f t="shared" si="2"/>
        <v>1.8913631781558951E-4</v>
      </c>
      <c r="L75" s="241">
        <v>0.15</v>
      </c>
      <c r="N75" s="209"/>
    </row>
    <row r="76" spans="1:14">
      <c r="A76" t="s">
        <v>302</v>
      </c>
      <c r="B76" s="271" t="s">
        <v>303</v>
      </c>
      <c r="C76" s="325">
        <v>82.796000000000006</v>
      </c>
      <c r="D76" s="325">
        <v>205.07</v>
      </c>
      <c r="E76" s="325">
        <f t="shared" si="0"/>
        <v>16978.975720000002</v>
      </c>
      <c r="F76" s="326">
        <f t="shared" si="3"/>
        <v>5.6190965168517477E-4</v>
      </c>
      <c r="G76" s="327">
        <v>1.3263763592919491E-2</v>
      </c>
      <c r="H76" s="326">
        <f t="shared" si="1"/>
        <v>7.4530367805318931E-6</v>
      </c>
      <c r="I76" s="327">
        <v>0.09</v>
      </c>
      <c r="J76" s="326">
        <f t="shared" si="2"/>
        <v>5.0571868651665728E-5</v>
      </c>
      <c r="L76" s="241">
        <v>0.09</v>
      </c>
      <c r="N76" s="209"/>
    </row>
    <row r="77" spans="1:14">
      <c r="A77" t="s">
        <v>304</v>
      </c>
      <c r="B77" s="271" t="s">
        <v>305</v>
      </c>
      <c r="C77" s="325">
        <v>134.91200000000001</v>
      </c>
      <c r="D77" s="325">
        <v>250</v>
      </c>
      <c r="E77" s="325">
        <f t="shared" si="0"/>
        <v>33728</v>
      </c>
      <c r="F77" s="326" t="str">
        <f t="shared" si="3"/>
        <v/>
      </c>
      <c r="G77" s="327" t="s">
        <v>197</v>
      </c>
      <c r="H77" s="326" t="str">
        <f t="shared" si="1"/>
        <v/>
      </c>
      <c r="I77" s="327">
        <v>0.4</v>
      </c>
      <c r="J77" s="326" t="str">
        <f t="shared" si="2"/>
        <v/>
      </c>
      <c r="L77" s="241">
        <v>0.4</v>
      </c>
      <c r="N77" s="209"/>
    </row>
    <row r="78" spans="1:14">
      <c r="A78" t="s">
        <v>306</v>
      </c>
      <c r="B78" s="271" t="s">
        <v>307</v>
      </c>
      <c r="C78" s="325">
        <v>82.447000000000003</v>
      </c>
      <c r="D78" s="325">
        <v>629.45000000000005</v>
      </c>
      <c r="E78" s="325">
        <f t="shared" si="0"/>
        <v>51896.264150000003</v>
      </c>
      <c r="F78" s="326">
        <f t="shared" si="3"/>
        <v>1.7174776731636861E-3</v>
      </c>
      <c r="G78" s="327">
        <v>6.6089443164667576E-3</v>
      </c>
      <c r="H78" s="326">
        <f t="shared" si="1"/>
        <v>1.1350714306713694E-5</v>
      </c>
      <c r="I78" s="327">
        <v>0.16</v>
      </c>
      <c r="J78" s="326">
        <f t="shared" si="2"/>
        <v>2.7479642770618975E-4</v>
      </c>
      <c r="L78" s="241">
        <v>0.16</v>
      </c>
      <c r="N78" s="209"/>
    </row>
    <row r="79" spans="1:14">
      <c r="A79" t="s">
        <v>308</v>
      </c>
      <c r="B79" s="271" t="s">
        <v>309</v>
      </c>
      <c r="C79" s="325">
        <v>323.89400000000001</v>
      </c>
      <c r="D79" s="325">
        <v>93.45</v>
      </c>
      <c r="E79" s="325">
        <f t="shared" si="0"/>
        <v>30267.8943</v>
      </c>
      <c r="F79" s="326" t="str">
        <f t="shared" si="3"/>
        <v/>
      </c>
      <c r="G79" s="327">
        <v>8.5607276618512567E-3</v>
      </c>
      <c r="H79" s="326" t="str">
        <f t="shared" si="1"/>
        <v/>
      </c>
      <c r="I79" s="327">
        <v>0.21</v>
      </c>
      <c r="J79" s="326" t="str">
        <f t="shared" si="2"/>
        <v/>
      </c>
      <c r="L79" s="241">
        <v>0.21</v>
      </c>
      <c r="N79" s="209"/>
    </row>
    <row r="80" spans="1:14">
      <c r="A80" t="s">
        <v>310</v>
      </c>
      <c r="B80" s="271" t="s">
        <v>311</v>
      </c>
      <c r="C80" s="325">
        <v>151.33099999999999</v>
      </c>
      <c r="D80" s="325">
        <v>109.4</v>
      </c>
      <c r="E80" s="325">
        <f t="shared" si="0"/>
        <v>16555.611399999998</v>
      </c>
      <c r="F80" s="326" t="str">
        <f t="shared" si="3"/>
        <v/>
      </c>
      <c r="G80" s="327" t="s">
        <v>197</v>
      </c>
      <c r="H80" s="326" t="str">
        <f t="shared" si="1"/>
        <v/>
      </c>
      <c r="I80" s="327" t="s">
        <v>197</v>
      </c>
      <c r="J80" s="326" t="str">
        <f t="shared" si="2"/>
        <v/>
      </c>
      <c r="L80" s="231" t="s">
        <v>197</v>
      </c>
      <c r="N80" s="209"/>
    </row>
    <row r="81" spans="1:14">
      <c r="A81" t="s">
        <v>312</v>
      </c>
      <c r="B81" s="271" t="s">
        <v>313</v>
      </c>
      <c r="C81" s="325">
        <v>866.58500000000004</v>
      </c>
      <c r="D81" s="325">
        <v>54.12</v>
      </c>
      <c r="E81" s="325">
        <f t="shared" si="0"/>
        <v>46899.580199999997</v>
      </c>
      <c r="F81" s="326" t="str">
        <f t="shared" si="3"/>
        <v/>
      </c>
      <c r="G81" s="327">
        <v>8.869179600886918E-3</v>
      </c>
      <c r="H81" s="326" t="str">
        <f t="shared" si="1"/>
        <v/>
      </c>
      <c r="I81" s="327" t="s">
        <v>197</v>
      </c>
      <c r="J81" s="326" t="str">
        <f t="shared" si="2"/>
        <v/>
      </c>
      <c r="L81" s="231" t="s">
        <v>197</v>
      </c>
      <c r="N81" s="209"/>
    </row>
    <row r="82" spans="1:14">
      <c r="A82" t="s">
        <v>314</v>
      </c>
      <c r="B82" s="271" t="s">
        <v>315</v>
      </c>
      <c r="C82" s="325">
        <v>825.82100000000003</v>
      </c>
      <c r="D82" s="325">
        <v>54.79</v>
      </c>
      <c r="E82" s="325">
        <f t="shared" si="0"/>
        <v>45246.73259</v>
      </c>
      <c r="F82" s="326">
        <f t="shared" si="3"/>
        <v>1.4974151661923188E-3</v>
      </c>
      <c r="G82" s="327">
        <v>2.4822047818945057E-2</v>
      </c>
      <c r="H82" s="326">
        <f t="shared" si="1"/>
        <v>3.7168910860039297E-5</v>
      </c>
      <c r="I82" s="327">
        <v>0.05</v>
      </c>
      <c r="J82" s="326">
        <f t="shared" si="2"/>
        <v>7.487075830961594E-5</v>
      </c>
      <c r="L82" s="241">
        <v>0.05</v>
      </c>
      <c r="N82" s="209"/>
    </row>
    <row r="83" spans="1:14">
      <c r="A83" t="s">
        <v>316</v>
      </c>
      <c r="B83" s="271" t="s">
        <v>317</v>
      </c>
      <c r="C83" s="325">
        <v>424.76900000000001</v>
      </c>
      <c r="D83" s="325">
        <v>80.400000000000006</v>
      </c>
      <c r="E83" s="325">
        <f t="shared" si="0"/>
        <v>34151.427600000003</v>
      </c>
      <c r="F83" s="326" t="str">
        <f t="shared" si="3"/>
        <v/>
      </c>
      <c r="G83" s="327">
        <v>1.1940298507462685E-2</v>
      </c>
      <c r="H83" s="326" t="str">
        <f t="shared" si="1"/>
        <v/>
      </c>
      <c r="I83" s="327" t="s">
        <v>197</v>
      </c>
      <c r="J83" s="326" t="str">
        <f t="shared" si="2"/>
        <v/>
      </c>
      <c r="L83" s="231" t="s">
        <v>197</v>
      </c>
      <c r="N83" s="209"/>
    </row>
    <row r="84" spans="1:14">
      <c r="A84" t="s">
        <v>318</v>
      </c>
      <c r="B84" s="271" t="s">
        <v>319</v>
      </c>
      <c r="C84" s="325">
        <v>500.69299999999998</v>
      </c>
      <c r="D84" s="325">
        <v>74.569999999999993</v>
      </c>
      <c r="E84" s="325">
        <f t="shared" ref="E84:E147" si="4">IFERROR(C84*D84,"")</f>
        <v>37336.677009999992</v>
      </c>
      <c r="F84" s="326">
        <f t="shared" ref="F84:F147" si="5">IF(AND(ISNUMBER($I84)), IF(AND($I84&lt;=20%,$I84&gt;0%), $E84/SUMIFS($E$19:$E$523,$I$19:$I$523, "&gt;"&amp;0%,$I$19:$I$523, "&lt;="&amp;20%),""),"")</f>
        <v>1.2356363257565791E-3</v>
      </c>
      <c r="G84" s="327">
        <v>1.5019444816950521E-2</v>
      </c>
      <c r="H84" s="326">
        <f t="shared" ref="H84:H147" si="6">IFERROR($G84*$F84,"")</f>
        <v>1.8558571608520436E-5</v>
      </c>
      <c r="I84" s="327">
        <v>8.5000000000000006E-2</v>
      </c>
      <c r="J84" s="326">
        <f t="shared" ref="J84:J147" si="7">IFERROR($I84*$F84,"")</f>
        <v>1.0502908768930922E-4</v>
      </c>
      <c r="L84" s="241">
        <v>8.5000000000000006E-2</v>
      </c>
      <c r="N84" s="209"/>
    </row>
    <row r="85" spans="1:14">
      <c r="A85" t="s">
        <v>320</v>
      </c>
      <c r="B85" s="271" t="s">
        <v>321</v>
      </c>
      <c r="C85" s="325">
        <v>284.024</v>
      </c>
      <c r="D85" s="325">
        <v>237.14</v>
      </c>
      <c r="E85" s="325">
        <f t="shared" si="4"/>
        <v>67353.451359999992</v>
      </c>
      <c r="F85" s="326">
        <f t="shared" si="5"/>
        <v>2.2290245900352789E-3</v>
      </c>
      <c r="G85" s="327">
        <v>1.4674875600910854E-2</v>
      </c>
      <c r="H85" s="326">
        <f t="shared" si="6"/>
        <v>3.2710658570139032E-5</v>
      </c>
      <c r="I85" s="327">
        <v>7.4999999999999997E-2</v>
      </c>
      <c r="J85" s="326">
        <f t="shared" si="7"/>
        <v>1.671768442526459E-4</v>
      </c>
      <c r="L85" s="241">
        <v>7.4999999999999997E-2</v>
      </c>
      <c r="N85" s="209"/>
    </row>
    <row r="86" spans="1:14">
      <c r="A86" t="s">
        <v>322</v>
      </c>
      <c r="B86" s="271" t="s">
        <v>323</v>
      </c>
      <c r="C86" s="325">
        <v>1303.4770000000001</v>
      </c>
      <c r="D86" s="325">
        <v>276.69</v>
      </c>
      <c r="E86" s="325">
        <f t="shared" si="4"/>
        <v>360659.05113000004</v>
      </c>
      <c r="F86" s="326" t="str">
        <f t="shared" si="5"/>
        <v/>
      </c>
      <c r="G86" s="327" t="s">
        <v>197</v>
      </c>
      <c r="H86" s="326" t="str">
        <f t="shared" si="6"/>
        <v/>
      </c>
      <c r="I86" s="327" t="s">
        <v>197</v>
      </c>
      <c r="J86" s="326" t="str">
        <f t="shared" si="7"/>
        <v/>
      </c>
      <c r="L86" s="231" t="s">
        <v>197</v>
      </c>
      <c r="N86" s="209"/>
    </row>
    <row r="87" spans="1:14">
      <c r="A87" t="s">
        <v>324</v>
      </c>
      <c r="B87" s="271" t="s">
        <v>325</v>
      </c>
      <c r="C87" s="325">
        <v>245.964</v>
      </c>
      <c r="D87" s="325">
        <v>106.86</v>
      </c>
      <c r="E87" s="325">
        <f t="shared" si="4"/>
        <v>26283.713039999999</v>
      </c>
      <c r="F87" s="326">
        <f t="shared" si="5"/>
        <v>8.6984469987212427E-4</v>
      </c>
      <c r="G87" s="327">
        <v>2.6202507954332769E-2</v>
      </c>
      <c r="H87" s="326">
        <f t="shared" si="6"/>
        <v>2.2792112667433537E-5</v>
      </c>
      <c r="I87" s="327">
        <v>8.5000000000000006E-2</v>
      </c>
      <c r="J87" s="326">
        <f t="shared" si="7"/>
        <v>7.393679948913057E-5</v>
      </c>
      <c r="L87" s="241">
        <v>8.5000000000000006E-2</v>
      </c>
      <c r="N87" s="209"/>
    </row>
    <row r="88" spans="1:14">
      <c r="A88" t="s">
        <v>326</v>
      </c>
      <c r="B88" s="271" t="s">
        <v>327</v>
      </c>
      <c r="C88" s="325">
        <v>1424.992</v>
      </c>
      <c r="D88" s="325">
        <v>38.07</v>
      </c>
      <c r="E88" s="325">
        <f t="shared" si="4"/>
        <v>54249.445439999996</v>
      </c>
      <c r="F88" s="326">
        <f t="shared" si="5"/>
        <v>1.7953548844172732E-3</v>
      </c>
      <c r="G88" s="327" t="s">
        <v>197</v>
      </c>
      <c r="H88" s="326" t="str">
        <f t="shared" si="6"/>
        <v/>
      </c>
      <c r="I88" s="327">
        <v>0.17499999999999999</v>
      </c>
      <c r="J88" s="326">
        <f t="shared" si="7"/>
        <v>3.1418710477302278E-4</v>
      </c>
      <c r="L88" s="241">
        <v>0.17499999999999999</v>
      </c>
      <c r="N88" s="209"/>
    </row>
    <row r="89" spans="1:14">
      <c r="A89" t="s">
        <v>328</v>
      </c>
      <c r="B89" s="271" t="s">
        <v>329</v>
      </c>
      <c r="C89" s="325">
        <v>2219.645</v>
      </c>
      <c r="D89" s="325">
        <v>53.63</v>
      </c>
      <c r="E89" s="325">
        <f t="shared" si="4"/>
        <v>119039.56135</v>
      </c>
      <c r="F89" s="326">
        <f t="shared" si="5"/>
        <v>3.9395473294742715E-3</v>
      </c>
      <c r="G89" s="327">
        <v>3.6546708931568153E-2</v>
      </c>
      <c r="H89" s="326">
        <f t="shared" si="6"/>
        <v>1.4397748957243283E-4</v>
      </c>
      <c r="I89" s="327">
        <v>0.125</v>
      </c>
      <c r="J89" s="326">
        <f t="shared" si="7"/>
        <v>4.9244341618428394E-4</v>
      </c>
      <c r="L89" s="241">
        <v>0.125</v>
      </c>
      <c r="N89" s="209"/>
    </row>
    <row r="90" spans="1:14">
      <c r="A90" t="s">
        <v>330</v>
      </c>
      <c r="B90" s="271" t="s">
        <v>331</v>
      </c>
      <c r="C90" s="325">
        <v>135.73400000000001</v>
      </c>
      <c r="D90" s="325">
        <v>100.53</v>
      </c>
      <c r="E90" s="325">
        <f t="shared" si="4"/>
        <v>13645.339020000001</v>
      </c>
      <c r="F90" s="326">
        <f t="shared" si="5"/>
        <v>4.5158482009151048E-4</v>
      </c>
      <c r="G90" s="327">
        <v>1.0345170595842036E-2</v>
      </c>
      <c r="H90" s="326">
        <f t="shared" si="6"/>
        <v>4.67172200233931E-6</v>
      </c>
      <c r="I90" s="327">
        <v>0.11</v>
      </c>
      <c r="J90" s="326">
        <f t="shared" si="7"/>
        <v>4.9674330210066151E-5</v>
      </c>
      <c r="L90" s="241">
        <v>0.11</v>
      </c>
      <c r="N90" s="209"/>
    </row>
    <row r="91" spans="1:14">
      <c r="A91" t="s">
        <v>332</v>
      </c>
      <c r="B91" s="271" t="s">
        <v>333</v>
      </c>
      <c r="C91" s="325">
        <v>309.71600000000001</v>
      </c>
      <c r="D91" s="325">
        <v>70.36</v>
      </c>
      <c r="E91" s="325">
        <f t="shared" si="4"/>
        <v>21791.617760000001</v>
      </c>
      <c r="F91" s="326">
        <f t="shared" si="5"/>
        <v>7.2118133314452184E-4</v>
      </c>
      <c r="G91" s="327">
        <v>1.0716316088686754E-2</v>
      </c>
      <c r="H91" s="326">
        <f t="shared" si="6"/>
        <v>7.7284071232372015E-6</v>
      </c>
      <c r="I91" s="327">
        <v>0.13</v>
      </c>
      <c r="J91" s="326">
        <f t="shared" si="7"/>
        <v>9.3753573308787835E-5</v>
      </c>
      <c r="L91" s="241">
        <v>0.13</v>
      </c>
      <c r="N91" s="209"/>
    </row>
    <row r="92" spans="1:14">
      <c r="A92" t="s">
        <v>334</v>
      </c>
      <c r="B92" s="271" t="s">
        <v>335</v>
      </c>
      <c r="C92" s="325">
        <v>813.57799999999997</v>
      </c>
      <c r="D92" s="325">
        <v>20.079999999999998</v>
      </c>
      <c r="E92" s="325">
        <f t="shared" si="4"/>
        <v>16336.646239999998</v>
      </c>
      <c r="F92" s="326" t="str">
        <f t="shared" si="5"/>
        <v/>
      </c>
      <c r="G92" s="327">
        <v>2.4900398406374501E-2</v>
      </c>
      <c r="H92" s="326" t="str">
        <f t="shared" si="6"/>
        <v/>
      </c>
      <c r="I92" s="327" t="s">
        <v>197</v>
      </c>
      <c r="J92" s="326" t="str">
        <f t="shared" si="7"/>
        <v/>
      </c>
      <c r="L92" s="231" t="s">
        <v>197</v>
      </c>
      <c r="N92" s="209"/>
    </row>
    <row r="93" spans="1:14">
      <c r="A93" t="s">
        <v>336</v>
      </c>
      <c r="B93" s="271" t="s">
        <v>337</v>
      </c>
      <c r="C93" s="325">
        <v>302.108</v>
      </c>
      <c r="D93" s="325">
        <v>40.33</v>
      </c>
      <c r="E93" s="325">
        <f t="shared" si="4"/>
        <v>12184.01564</v>
      </c>
      <c r="F93" s="326">
        <f t="shared" si="5"/>
        <v>4.0322314474686822E-4</v>
      </c>
      <c r="G93" s="327">
        <v>3.669724770642202E-2</v>
      </c>
      <c r="H93" s="326">
        <f t="shared" si="6"/>
        <v>1.4797179623738285E-5</v>
      </c>
      <c r="I93" s="327">
        <v>5.5E-2</v>
      </c>
      <c r="J93" s="326">
        <f t="shared" si="7"/>
        <v>2.2177272961077753E-5</v>
      </c>
      <c r="L93" s="241">
        <v>5.5E-2</v>
      </c>
      <c r="N93" s="209"/>
    </row>
    <row r="94" spans="1:14">
      <c r="A94" t="s">
        <v>338</v>
      </c>
      <c r="B94" s="271" t="s">
        <v>339</v>
      </c>
      <c r="C94" s="325">
        <v>91.194999999999993</v>
      </c>
      <c r="D94" s="325">
        <v>290.85000000000002</v>
      </c>
      <c r="E94" s="325">
        <f t="shared" si="4"/>
        <v>26524.065750000002</v>
      </c>
      <c r="F94" s="326">
        <f t="shared" si="5"/>
        <v>8.7779903762399481E-4</v>
      </c>
      <c r="G94" s="327">
        <v>7.4265085095410015E-3</v>
      </c>
      <c r="H94" s="326">
        <f t="shared" si="6"/>
        <v>6.5189820225814991E-6</v>
      </c>
      <c r="I94" s="327">
        <v>0.105</v>
      </c>
      <c r="J94" s="326">
        <f t="shared" si="7"/>
        <v>9.2168898950519454E-5</v>
      </c>
      <c r="L94" s="241">
        <v>0.105</v>
      </c>
      <c r="N94" s="209"/>
    </row>
    <row r="95" spans="1:14">
      <c r="A95" t="s">
        <v>340</v>
      </c>
      <c r="B95" s="271" t="s">
        <v>341</v>
      </c>
      <c r="C95" s="325">
        <v>278.72199999999998</v>
      </c>
      <c r="D95" s="325">
        <v>135.07</v>
      </c>
      <c r="E95" s="325">
        <f t="shared" si="4"/>
        <v>37646.980539999997</v>
      </c>
      <c r="F95" s="326" t="str">
        <f t="shared" si="5"/>
        <v/>
      </c>
      <c r="G95" s="327" t="s">
        <v>197</v>
      </c>
      <c r="H95" s="326" t="str">
        <f t="shared" si="6"/>
        <v/>
      </c>
      <c r="I95" s="327" t="s">
        <v>197</v>
      </c>
      <c r="J95" s="326" t="str">
        <f t="shared" si="7"/>
        <v/>
      </c>
      <c r="L95" s="231" t="s">
        <v>197</v>
      </c>
      <c r="N95" s="209"/>
    </row>
    <row r="96" spans="1:14">
      <c r="A96" t="s">
        <v>342</v>
      </c>
      <c r="B96" s="271" t="s">
        <v>343</v>
      </c>
      <c r="C96" s="325">
        <v>981.048</v>
      </c>
      <c r="D96" s="325">
        <v>17.62</v>
      </c>
      <c r="E96" s="325">
        <f t="shared" si="4"/>
        <v>17286.065760000001</v>
      </c>
      <c r="F96" s="326" t="str">
        <f t="shared" si="5"/>
        <v/>
      </c>
      <c r="G96" s="327" t="s">
        <v>197</v>
      </c>
      <c r="H96" s="326" t="str">
        <f t="shared" si="6"/>
        <v/>
      </c>
      <c r="I96" s="327" t="s">
        <v>197</v>
      </c>
      <c r="J96" s="326" t="str">
        <f t="shared" si="7"/>
        <v/>
      </c>
      <c r="L96" s="231" t="s">
        <v>197</v>
      </c>
      <c r="N96" s="209"/>
    </row>
    <row r="97" spans="1:14">
      <c r="A97" t="s">
        <v>344</v>
      </c>
      <c r="B97" s="271" t="s">
        <v>345</v>
      </c>
      <c r="C97" s="325">
        <v>110.223</v>
      </c>
      <c r="D97" s="325">
        <v>146.22999999999999</v>
      </c>
      <c r="E97" s="325">
        <f t="shared" si="4"/>
        <v>16117.90929</v>
      </c>
      <c r="F97" s="326" t="str">
        <f t="shared" si="5"/>
        <v/>
      </c>
      <c r="G97" s="327" t="s">
        <v>197</v>
      </c>
      <c r="H97" s="326" t="str">
        <f t="shared" si="6"/>
        <v/>
      </c>
      <c r="I97" s="327">
        <v>0.27</v>
      </c>
      <c r="J97" s="326" t="str">
        <f t="shared" si="7"/>
        <v/>
      </c>
      <c r="L97" s="241">
        <v>0.27</v>
      </c>
      <c r="N97" s="209"/>
    </row>
    <row r="98" spans="1:14">
      <c r="A98" t="s">
        <v>346</v>
      </c>
      <c r="B98" s="271" t="s">
        <v>347</v>
      </c>
      <c r="C98" s="325">
        <v>1023.894</v>
      </c>
      <c r="D98" s="325">
        <v>12.34</v>
      </c>
      <c r="E98" s="325">
        <f t="shared" si="4"/>
        <v>12634.85196</v>
      </c>
      <c r="F98" s="326">
        <f t="shared" si="5"/>
        <v>4.1814331918588475E-4</v>
      </c>
      <c r="G98" s="327">
        <v>8.1037277147487832E-2</v>
      </c>
      <c r="H98" s="326">
        <f t="shared" si="6"/>
        <v>3.3885196044237008E-5</v>
      </c>
      <c r="I98" s="327">
        <v>2.5000000000000001E-2</v>
      </c>
      <c r="J98" s="326">
        <f t="shared" si="7"/>
        <v>1.0453582979647119E-5</v>
      </c>
      <c r="L98" s="241">
        <v>2.5000000000000001E-2</v>
      </c>
      <c r="N98" s="209"/>
    </row>
    <row r="99" spans="1:14">
      <c r="A99" t="s">
        <v>348</v>
      </c>
      <c r="B99" s="271" t="s">
        <v>349</v>
      </c>
      <c r="C99" s="325">
        <v>309.18599999999998</v>
      </c>
      <c r="D99" s="325">
        <v>56.73</v>
      </c>
      <c r="E99" s="325">
        <f t="shared" si="4"/>
        <v>17540.121779999998</v>
      </c>
      <c r="F99" s="326">
        <f t="shared" si="5"/>
        <v>5.8048046492614606E-4</v>
      </c>
      <c r="G99" s="327">
        <v>2.555966860567601E-2</v>
      </c>
      <c r="H99" s="326">
        <f t="shared" si="6"/>
        <v>1.4836888315581029E-5</v>
      </c>
      <c r="I99" s="327">
        <v>0.06</v>
      </c>
      <c r="J99" s="326">
        <f t="shared" si="7"/>
        <v>3.4828827895568763E-5</v>
      </c>
      <c r="L99" s="241">
        <v>0.06</v>
      </c>
      <c r="N99" s="209"/>
    </row>
    <row r="100" spans="1:14">
      <c r="A100" t="s">
        <v>350</v>
      </c>
      <c r="B100" s="271" t="s">
        <v>351</v>
      </c>
      <c r="C100" s="325">
        <v>122.863</v>
      </c>
      <c r="D100" s="325">
        <v>162.85</v>
      </c>
      <c r="E100" s="325">
        <f t="shared" si="4"/>
        <v>20008.239549999998</v>
      </c>
      <c r="F100" s="326">
        <f t="shared" si="5"/>
        <v>6.6216143433969385E-4</v>
      </c>
      <c r="G100" s="327">
        <v>2.8492477740251765E-2</v>
      </c>
      <c r="H100" s="326">
        <f t="shared" si="6"/>
        <v>1.8866619928376908E-5</v>
      </c>
      <c r="I100" s="327">
        <v>0.05</v>
      </c>
      <c r="J100" s="326">
        <f t="shared" si="7"/>
        <v>3.3108071716984695E-5</v>
      </c>
      <c r="L100" s="241">
        <v>0.05</v>
      </c>
      <c r="N100" s="209"/>
    </row>
    <row r="101" spans="1:14">
      <c r="A101" t="s">
        <v>352</v>
      </c>
      <c r="B101" s="271" t="s">
        <v>353</v>
      </c>
      <c r="C101" s="325">
        <v>60.026000000000003</v>
      </c>
      <c r="D101" s="325">
        <v>437.48</v>
      </c>
      <c r="E101" s="325">
        <f t="shared" si="4"/>
        <v>26260.174480000001</v>
      </c>
      <c r="F101" s="326">
        <f t="shared" si="5"/>
        <v>8.6906570446810888E-4</v>
      </c>
      <c r="G101" s="327" t="s">
        <v>197</v>
      </c>
      <c r="H101" s="326" t="str">
        <f t="shared" si="6"/>
        <v/>
      </c>
      <c r="I101" s="327">
        <v>0.19500000000000001</v>
      </c>
      <c r="J101" s="326">
        <f t="shared" si="7"/>
        <v>1.6946781237128124E-4</v>
      </c>
      <c r="L101" s="241">
        <v>0.19500000000000001</v>
      </c>
      <c r="N101" s="209"/>
    </row>
    <row r="102" spans="1:14">
      <c r="A102" t="s">
        <v>354</v>
      </c>
      <c r="B102" s="271" t="s">
        <v>72</v>
      </c>
      <c r="C102" s="325">
        <v>289.697</v>
      </c>
      <c r="D102" s="325">
        <v>58.85</v>
      </c>
      <c r="E102" s="325">
        <f t="shared" si="4"/>
        <v>17048.668450000001</v>
      </c>
      <c r="F102" s="326">
        <f t="shared" si="5"/>
        <v>5.642160933860814E-4</v>
      </c>
      <c r="G102" s="327">
        <v>2.9566694987255736E-2</v>
      </c>
      <c r="H102" s="326">
        <f t="shared" si="6"/>
        <v>1.6682005140047266E-5</v>
      </c>
      <c r="I102" s="327">
        <v>0.06</v>
      </c>
      <c r="J102" s="326">
        <f t="shared" si="7"/>
        <v>3.3852965603164884E-5</v>
      </c>
      <c r="L102" s="241">
        <v>0.06</v>
      </c>
      <c r="N102" s="209"/>
    </row>
    <row r="103" spans="1:14">
      <c r="A103" t="s">
        <v>355</v>
      </c>
      <c r="B103" s="271" t="s">
        <v>356</v>
      </c>
      <c r="C103" s="325">
        <v>425.4</v>
      </c>
      <c r="D103" s="325">
        <v>21.47</v>
      </c>
      <c r="E103" s="325">
        <f t="shared" si="4"/>
        <v>9133.3379999999997</v>
      </c>
      <c r="F103" s="326" t="str">
        <f t="shared" si="5"/>
        <v/>
      </c>
      <c r="G103" s="327">
        <v>4.285048905449465E-2</v>
      </c>
      <c r="H103" s="326" t="str">
        <f t="shared" si="6"/>
        <v/>
      </c>
      <c r="I103" s="327" t="s">
        <v>197</v>
      </c>
      <c r="J103" s="326" t="str">
        <f t="shared" si="7"/>
        <v/>
      </c>
      <c r="L103" s="231" t="s">
        <v>197</v>
      </c>
      <c r="N103" s="209"/>
    </row>
    <row r="104" spans="1:14">
      <c r="A104" t="s">
        <v>357</v>
      </c>
      <c r="B104" s="271" t="s">
        <v>358</v>
      </c>
      <c r="C104" s="325">
        <v>842.84900000000005</v>
      </c>
      <c r="D104" s="325">
        <v>75.02</v>
      </c>
      <c r="E104" s="325">
        <f t="shared" si="4"/>
        <v>63230.53198</v>
      </c>
      <c r="F104" s="326">
        <f t="shared" si="5"/>
        <v>2.0925788920764239E-3</v>
      </c>
      <c r="G104" s="327">
        <v>2.3993601706211679E-2</v>
      </c>
      <c r="H104" s="326">
        <f t="shared" si="6"/>
        <v>5.0208504475307432E-5</v>
      </c>
      <c r="I104" s="327">
        <v>4.4999999999999998E-2</v>
      </c>
      <c r="J104" s="326">
        <f t="shared" si="7"/>
        <v>9.4166050143439076E-5</v>
      </c>
      <c r="L104" s="241">
        <v>4.4999999999999998E-2</v>
      </c>
      <c r="N104" s="209"/>
    </row>
    <row r="105" spans="1:14">
      <c r="A105" t="s">
        <v>359</v>
      </c>
      <c r="B105" s="271" t="s">
        <v>360</v>
      </c>
      <c r="C105" s="325">
        <v>131.149</v>
      </c>
      <c r="D105" s="325">
        <v>82.53</v>
      </c>
      <c r="E105" s="325">
        <f t="shared" si="4"/>
        <v>10823.72697</v>
      </c>
      <c r="F105" s="326">
        <f t="shared" si="5"/>
        <v>3.5820515630304061E-4</v>
      </c>
      <c r="G105" s="327">
        <v>3.2957712347025318E-2</v>
      </c>
      <c r="H105" s="326">
        <f t="shared" si="6"/>
        <v>1.1805622502656855E-5</v>
      </c>
      <c r="I105" s="327">
        <v>2.5000000000000001E-2</v>
      </c>
      <c r="J105" s="326">
        <f t="shared" si="7"/>
        <v>8.9551289075760163E-6</v>
      </c>
      <c r="L105" s="241">
        <v>2.5000000000000001E-2</v>
      </c>
      <c r="N105" s="209"/>
    </row>
    <row r="106" spans="1:14">
      <c r="A106" t="s">
        <v>361</v>
      </c>
      <c r="B106" s="271" t="s">
        <v>362</v>
      </c>
      <c r="C106" s="325">
        <v>53.308999999999997</v>
      </c>
      <c r="D106" s="325">
        <v>164.19</v>
      </c>
      <c r="E106" s="325">
        <f t="shared" si="4"/>
        <v>8752.8047100000003</v>
      </c>
      <c r="F106" s="326">
        <f t="shared" si="5"/>
        <v>2.8966914889165394E-4</v>
      </c>
      <c r="G106" s="327" t="s">
        <v>197</v>
      </c>
      <c r="H106" s="326" t="str">
        <f t="shared" si="6"/>
        <v/>
      </c>
      <c r="I106" s="327">
        <v>0.17</v>
      </c>
      <c r="J106" s="326">
        <f t="shared" si="7"/>
        <v>4.9243755311581173E-5</v>
      </c>
      <c r="L106" s="241">
        <v>0.17</v>
      </c>
      <c r="N106" s="209"/>
    </row>
    <row r="107" spans="1:14">
      <c r="A107" t="s">
        <v>363</v>
      </c>
      <c r="B107" s="271" t="s">
        <v>364</v>
      </c>
      <c r="C107" s="325">
        <v>479.69</v>
      </c>
      <c r="D107" s="325">
        <v>30.55</v>
      </c>
      <c r="E107" s="325">
        <f t="shared" si="4"/>
        <v>14654.529500000001</v>
      </c>
      <c r="F107" s="326">
        <f t="shared" si="5"/>
        <v>4.8498341141129319E-4</v>
      </c>
      <c r="G107" s="327">
        <v>4.0916530278232409E-2</v>
      </c>
      <c r="H107" s="326">
        <f t="shared" si="6"/>
        <v>1.9843838437450622E-5</v>
      </c>
      <c r="I107" s="327">
        <v>4.4999999999999998E-2</v>
      </c>
      <c r="J107" s="326">
        <f t="shared" si="7"/>
        <v>2.1824253513508193E-5</v>
      </c>
      <c r="L107" s="241">
        <v>4.4999999999999998E-2</v>
      </c>
      <c r="N107" s="209"/>
    </row>
    <row r="108" spans="1:14">
      <c r="A108" t="s">
        <v>365</v>
      </c>
      <c r="B108" s="271" t="s">
        <v>366</v>
      </c>
      <c r="C108" s="325">
        <v>353.74900000000002</v>
      </c>
      <c r="D108" s="325">
        <v>77.64</v>
      </c>
      <c r="E108" s="325">
        <f t="shared" si="4"/>
        <v>27465.072360000002</v>
      </c>
      <c r="F108" s="326">
        <f t="shared" si="5"/>
        <v>9.0894112211591766E-4</v>
      </c>
      <c r="G108" s="327">
        <v>3.9927872230808861E-2</v>
      </c>
      <c r="H108" s="326">
        <f t="shared" si="6"/>
        <v>3.6292084989172395E-5</v>
      </c>
      <c r="I108" s="327">
        <v>0.03</v>
      </c>
      <c r="J108" s="326">
        <f t="shared" si="7"/>
        <v>2.7268233663477527E-5</v>
      </c>
      <c r="L108" s="241">
        <v>0.03</v>
      </c>
      <c r="N108" s="209"/>
    </row>
    <row r="109" spans="1:14">
      <c r="A109" t="s">
        <v>367</v>
      </c>
      <c r="B109" s="271" t="s">
        <v>368</v>
      </c>
      <c r="C109" s="325">
        <v>853.40800000000002</v>
      </c>
      <c r="D109" s="325">
        <v>37.090000000000003</v>
      </c>
      <c r="E109" s="325">
        <f t="shared" si="4"/>
        <v>31652.902720000002</v>
      </c>
      <c r="F109" s="326">
        <f t="shared" si="5"/>
        <v>1.0475350124489089E-3</v>
      </c>
      <c r="G109" s="327">
        <v>2.5882987328120787E-2</v>
      </c>
      <c r="H109" s="326">
        <f t="shared" si="6"/>
        <v>2.7113335452977959E-5</v>
      </c>
      <c r="I109" s="327">
        <v>0.2</v>
      </c>
      <c r="J109" s="326">
        <f t="shared" si="7"/>
        <v>2.0950700248978179E-4</v>
      </c>
      <c r="L109" s="241">
        <v>0.2</v>
      </c>
      <c r="N109" s="209"/>
    </row>
    <row r="110" spans="1:14">
      <c r="A110" t="s">
        <v>369</v>
      </c>
      <c r="B110" s="271" t="s">
        <v>370</v>
      </c>
      <c r="C110" s="325">
        <v>143.03200000000001</v>
      </c>
      <c r="D110" s="325">
        <v>209.75</v>
      </c>
      <c r="E110" s="325">
        <f t="shared" si="4"/>
        <v>30000.962000000003</v>
      </c>
      <c r="F110" s="326">
        <f t="shared" si="5"/>
        <v>9.9286496344905338E-4</v>
      </c>
      <c r="G110" s="327">
        <v>2.7651966626936829E-2</v>
      </c>
      <c r="H110" s="326">
        <f t="shared" si="6"/>
        <v>2.7454668834348079E-5</v>
      </c>
      <c r="I110" s="327">
        <v>7.0000000000000007E-2</v>
      </c>
      <c r="J110" s="326">
        <f t="shared" si="7"/>
        <v>6.9500547441433746E-5</v>
      </c>
      <c r="L110" s="241">
        <v>7.0000000000000007E-2</v>
      </c>
      <c r="N110" s="209"/>
    </row>
    <row r="111" spans="1:14">
      <c r="A111" t="s">
        <v>371</v>
      </c>
      <c r="B111" s="271" t="s">
        <v>372</v>
      </c>
      <c r="C111" s="325">
        <v>213.774</v>
      </c>
      <c r="D111" s="325">
        <v>90.07</v>
      </c>
      <c r="E111" s="325">
        <f t="shared" si="4"/>
        <v>19254.624179999999</v>
      </c>
      <c r="F111" s="326" t="str">
        <f t="shared" si="5"/>
        <v/>
      </c>
      <c r="G111" s="327" t="s">
        <v>197</v>
      </c>
      <c r="H111" s="326" t="str">
        <f t="shared" si="6"/>
        <v/>
      </c>
      <c r="I111" s="327" t="s">
        <v>197</v>
      </c>
      <c r="J111" s="326" t="str">
        <f t="shared" si="7"/>
        <v/>
      </c>
      <c r="L111" s="231" t="s">
        <v>197</v>
      </c>
      <c r="N111" s="209"/>
    </row>
    <row r="112" spans="1:14">
      <c r="A112" t="s">
        <v>373</v>
      </c>
      <c r="B112" s="271" t="s">
        <v>374</v>
      </c>
      <c r="C112" s="325">
        <v>714.577</v>
      </c>
      <c r="D112" s="325">
        <v>321.64</v>
      </c>
      <c r="E112" s="325">
        <f t="shared" si="4"/>
        <v>229836.54627999998</v>
      </c>
      <c r="F112" s="326" t="str">
        <f t="shared" si="5"/>
        <v/>
      </c>
      <c r="G112" s="327">
        <v>2.6116154707125981E-3</v>
      </c>
      <c r="H112" s="326" t="str">
        <f t="shared" si="6"/>
        <v/>
      </c>
      <c r="I112" s="327">
        <v>0.21</v>
      </c>
      <c r="J112" s="326" t="str">
        <f t="shared" si="7"/>
        <v/>
      </c>
      <c r="L112" s="241">
        <v>0.21</v>
      </c>
      <c r="N112" s="209"/>
    </row>
    <row r="113" spans="1:14">
      <c r="A113" t="s">
        <v>375</v>
      </c>
      <c r="B113" s="271" t="s">
        <v>376</v>
      </c>
      <c r="C113" s="325">
        <v>479.12400000000002</v>
      </c>
      <c r="D113" s="325">
        <v>243.84</v>
      </c>
      <c r="E113" s="325">
        <f t="shared" si="4"/>
        <v>116829.59616</v>
      </c>
      <c r="F113" s="326">
        <f t="shared" si="5"/>
        <v>3.8664097744987662E-3</v>
      </c>
      <c r="G113" s="327">
        <v>1.4763779527559055E-2</v>
      </c>
      <c r="H113" s="326">
        <f t="shared" si="6"/>
        <v>5.7082821473899104E-5</v>
      </c>
      <c r="I113" s="327">
        <v>0.15</v>
      </c>
      <c r="J113" s="326">
        <f t="shared" si="7"/>
        <v>5.7996146617481494E-4</v>
      </c>
      <c r="L113" s="241">
        <v>0.15</v>
      </c>
      <c r="N113" s="209"/>
    </row>
    <row r="114" spans="1:14">
      <c r="A114" t="s">
        <v>377</v>
      </c>
      <c r="B114" s="271" t="s">
        <v>378</v>
      </c>
      <c r="C114" s="325">
        <v>310.06099999999998</v>
      </c>
      <c r="D114" s="325">
        <v>345.54</v>
      </c>
      <c r="E114" s="325">
        <f t="shared" si="4"/>
        <v>107138.47794</v>
      </c>
      <c r="F114" s="326" t="str">
        <f t="shared" si="5"/>
        <v/>
      </c>
      <c r="G114" s="327">
        <v>1.2154888001389131E-2</v>
      </c>
      <c r="H114" s="326" t="str">
        <f t="shared" si="6"/>
        <v/>
      </c>
      <c r="I114" s="327">
        <v>0.215</v>
      </c>
      <c r="J114" s="326" t="str">
        <f t="shared" si="7"/>
        <v/>
      </c>
      <c r="L114" s="241">
        <v>0.215</v>
      </c>
      <c r="N114" s="209"/>
    </row>
    <row r="115" spans="1:14">
      <c r="A115" t="s">
        <v>379</v>
      </c>
      <c r="B115" s="271" t="s">
        <v>380</v>
      </c>
      <c r="C115" s="325">
        <v>809.90800000000002</v>
      </c>
      <c r="D115" s="325">
        <v>71.2</v>
      </c>
      <c r="E115" s="325">
        <f t="shared" si="4"/>
        <v>57665.4496</v>
      </c>
      <c r="F115" s="326">
        <f t="shared" si="5"/>
        <v>1.9084056207723347E-3</v>
      </c>
      <c r="G115" s="327">
        <v>3.5393258426966293E-2</v>
      </c>
      <c r="H115" s="326">
        <f t="shared" si="6"/>
        <v>6.7544693319470278E-5</v>
      </c>
      <c r="I115" s="327">
        <v>0.12</v>
      </c>
      <c r="J115" s="326">
        <f t="shared" si="7"/>
        <v>2.2900867449268016E-4</v>
      </c>
      <c r="L115" s="241">
        <v>0.12</v>
      </c>
      <c r="N115" s="209"/>
    </row>
    <row r="116" spans="1:14">
      <c r="A116" t="s">
        <v>381</v>
      </c>
      <c r="B116" s="271" t="s">
        <v>382</v>
      </c>
      <c r="C116" s="325">
        <v>143.98500000000001</v>
      </c>
      <c r="D116" s="325">
        <v>163.85</v>
      </c>
      <c r="E116" s="325">
        <f t="shared" si="4"/>
        <v>23591.94225</v>
      </c>
      <c r="F116" s="326">
        <f t="shared" si="5"/>
        <v>7.8076205955457118E-4</v>
      </c>
      <c r="G116" s="327">
        <v>1.2206286237412267E-2</v>
      </c>
      <c r="H116" s="326">
        <f t="shared" si="6"/>
        <v>9.5302051822346199E-6</v>
      </c>
      <c r="I116" s="327">
        <v>7.0000000000000007E-2</v>
      </c>
      <c r="J116" s="326">
        <f t="shared" si="7"/>
        <v>5.465334416881999E-5</v>
      </c>
      <c r="L116" s="241">
        <v>7.0000000000000007E-2</v>
      </c>
      <c r="N116" s="209"/>
    </row>
    <row r="117" spans="1:14">
      <c r="A117" t="s">
        <v>383</v>
      </c>
      <c r="B117" s="271" t="s">
        <v>62</v>
      </c>
      <c r="C117" s="325">
        <v>250.36099999999999</v>
      </c>
      <c r="D117" s="325">
        <v>54.79</v>
      </c>
      <c r="E117" s="325">
        <f t="shared" si="4"/>
        <v>13717.279189999999</v>
      </c>
      <c r="F117" s="326">
        <f t="shared" si="5"/>
        <v>4.5396563955515186E-4</v>
      </c>
      <c r="G117" s="327">
        <v>2.9384924256251138E-2</v>
      </c>
      <c r="H117" s="326">
        <f t="shared" si="6"/>
        <v>1.3339745933268743E-5</v>
      </c>
      <c r="I117" s="327">
        <v>5.5E-2</v>
      </c>
      <c r="J117" s="326">
        <f t="shared" si="7"/>
        <v>2.4968110175533351E-5</v>
      </c>
      <c r="L117" s="241">
        <v>5.5E-2</v>
      </c>
      <c r="N117" s="209"/>
    </row>
    <row r="118" spans="1:14">
      <c r="A118" t="s">
        <v>384</v>
      </c>
      <c r="B118" s="271" t="s">
        <v>74</v>
      </c>
      <c r="C118" s="325">
        <v>769</v>
      </c>
      <c r="D118" s="325">
        <v>97.01</v>
      </c>
      <c r="E118" s="325">
        <f t="shared" si="4"/>
        <v>74600.69</v>
      </c>
      <c r="F118" s="326">
        <f t="shared" si="5"/>
        <v>2.4688678766408944E-3</v>
      </c>
      <c r="G118" s="327">
        <v>4.0614369652613135E-2</v>
      </c>
      <c r="H118" s="326">
        <f t="shared" si="6"/>
        <v>1.0027151256535537E-4</v>
      </c>
      <c r="I118" s="327">
        <v>7.0000000000000007E-2</v>
      </c>
      <c r="J118" s="326">
        <f t="shared" si="7"/>
        <v>1.7282075136486262E-4</v>
      </c>
      <c r="L118" s="241">
        <v>7.0000000000000007E-2</v>
      </c>
      <c r="N118" s="209"/>
    </row>
    <row r="119" spans="1:14">
      <c r="A119" t="s">
        <v>385</v>
      </c>
      <c r="B119" s="271" t="s">
        <v>386</v>
      </c>
      <c r="C119" s="325">
        <v>171.21299999999999</v>
      </c>
      <c r="D119" s="325">
        <v>69.34</v>
      </c>
      <c r="E119" s="325">
        <f t="shared" si="4"/>
        <v>11871.90942</v>
      </c>
      <c r="F119" s="326">
        <f t="shared" si="5"/>
        <v>3.9289416493907002E-4</v>
      </c>
      <c r="G119" s="327">
        <v>3.6054225555235069E-2</v>
      </c>
      <c r="H119" s="326">
        <f t="shared" si="6"/>
        <v>1.416549484204896E-5</v>
      </c>
      <c r="I119" s="327">
        <v>0.16</v>
      </c>
      <c r="J119" s="326">
        <f t="shared" si="7"/>
        <v>6.2863066390251204E-5</v>
      </c>
      <c r="L119" s="241">
        <v>0.16</v>
      </c>
      <c r="N119" s="209"/>
    </row>
    <row r="120" spans="1:14">
      <c r="A120" t="s">
        <v>387</v>
      </c>
      <c r="B120" s="271" t="s">
        <v>388</v>
      </c>
      <c r="C120" s="325">
        <v>398.6</v>
      </c>
      <c r="D120" s="325">
        <v>162.06</v>
      </c>
      <c r="E120" s="325">
        <f t="shared" si="4"/>
        <v>64597.116000000002</v>
      </c>
      <c r="F120" s="326">
        <f t="shared" si="5"/>
        <v>2.137805221587703E-3</v>
      </c>
      <c r="G120" s="327">
        <v>1.875848451190917E-2</v>
      </c>
      <c r="H120" s="326">
        <f t="shared" si="6"/>
        <v>4.0101986138631482E-5</v>
      </c>
      <c r="I120" s="327">
        <v>0.09</v>
      </c>
      <c r="J120" s="326">
        <f t="shared" si="7"/>
        <v>1.9240246994289327E-4</v>
      </c>
      <c r="L120" s="241">
        <v>0.09</v>
      </c>
      <c r="N120" s="209"/>
    </row>
    <row r="121" spans="1:14">
      <c r="A121" t="s">
        <v>389</v>
      </c>
      <c r="B121" s="271" t="s">
        <v>390</v>
      </c>
      <c r="C121" s="325">
        <v>286.56700000000001</v>
      </c>
      <c r="D121" s="325">
        <v>221.47</v>
      </c>
      <c r="E121" s="325">
        <f t="shared" si="4"/>
        <v>63465.993490000001</v>
      </c>
      <c r="F121" s="326">
        <f t="shared" si="5"/>
        <v>2.1003713583153333E-3</v>
      </c>
      <c r="G121" s="327">
        <v>8.6693457353140373E-3</v>
      </c>
      <c r="H121" s="326">
        <f t="shared" si="6"/>
        <v>1.8208845477786787E-5</v>
      </c>
      <c r="I121" s="327">
        <v>0.06</v>
      </c>
      <c r="J121" s="326">
        <f t="shared" si="7"/>
        <v>1.2602228149892001E-4</v>
      </c>
      <c r="L121" s="241">
        <v>0.06</v>
      </c>
      <c r="N121" s="209"/>
    </row>
    <row r="122" spans="1:14">
      <c r="A122" t="s">
        <v>391</v>
      </c>
      <c r="B122" s="271" t="s">
        <v>392</v>
      </c>
      <c r="C122" s="325">
        <v>126.2</v>
      </c>
      <c r="D122" s="325">
        <v>182.16</v>
      </c>
      <c r="E122" s="325">
        <f t="shared" si="4"/>
        <v>22988.592000000001</v>
      </c>
      <c r="F122" s="326">
        <f t="shared" si="5"/>
        <v>7.6079452238315558E-4</v>
      </c>
      <c r="G122" s="327">
        <v>1.537110232762407E-3</v>
      </c>
      <c r="H122" s="326">
        <f t="shared" si="6"/>
        <v>1.1694250453847364E-6</v>
      </c>
      <c r="I122" s="327">
        <v>0.12</v>
      </c>
      <c r="J122" s="326">
        <f t="shared" si="7"/>
        <v>9.129534268597866E-5</v>
      </c>
      <c r="L122" s="241">
        <v>0.12</v>
      </c>
      <c r="N122" s="209"/>
    </row>
    <row r="123" spans="1:14">
      <c r="A123" t="s">
        <v>393</v>
      </c>
      <c r="B123" s="271" t="s">
        <v>394</v>
      </c>
      <c r="C123" s="325">
        <v>594.9</v>
      </c>
      <c r="D123" s="325">
        <v>87.84</v>
      </c>
      <c r="E123" s="325">
        <f t="shared" si="4"/>
        <v>52256.016000000003</v>
      </c>
      <c r="F123" s="326">
        <f t="shared" si="5"/>
        <v>1.7293834582982088E-3</v>
      </c>
      <c r="G123" s="327">
        <v>2.3451730418943533E-2</v>
      </c>
      <c r="H123" s="326">
        <f t="shared" si="6"/>
        <v>4.0557034654989868E-5</v>
      </c>
      <c r="I123" s="327">
        <v>0.105</v>
      </c>
      <c r="J123" s="326">
        <f t="shared" si="7"/>
        <v>1.8158526312131191E-4</v>
      </c>
      <c r="L123" s="241">
        <v>0.105</v>
      </c>
      <c r="N123" s="209"/>
    </row>
    <row r="124" spans="1:14">
      <c r="A124" t="s">
        <v>395</v>
      </c>
      <c r="B124" s="271" t="s">
        <v>396</v>
      </c>
      <c r="C124" s="325">
        <v>585.09</v>
      </c>
      <c r="D124" s="325">
        <v>87</v>
      </c>
      <c r="E124" s="325">
        <f t="shared" si="4"/>
        <v>50902.83</v>
      </c>
      <c r="F124" s="326">
        <f t="shared" si="5"/>
        <v>1.6846005287231582E-3</v>
      </c>
      <c r="G124" s="327">
        <v>3.4482758620689655E-2</v>
      </c>
      <c r="H124" s="326">
        <f t="shared" si="6"/>
        <v>5.8089673404246833E-5</v>
      </c>
      <c r="I124" s="327">
        <v>0.16</v>
      </c>
      <c r="J124" s="326">
        <f t="shared" si="7"/>
        <v>2.6953608459570529E-4</v>
      </c>
      <c r="L124" s="241">
        <v>0.16</v>
      </c>
      <c r="N124" s="209"/>
    </row>
    <row r="125" spans="1:14">
      <c r="A125" t="s">
        <v>397</v>
      </c>
      <c r="B125" s="271" t="s">
        <v>398</v>
      </c>
      <c r="C125" s="325">
        <v>220.33199999999999</v>
      </c>
      <c r="D125" s="325">
        <v>295.77</v>
      </c>
      <c r="E125" s="325">
        <f t="shared" si="4"/>
        <v>65167.595639999992</v>
      </c>
      <c r="F125" s="326">
        <f t="shared" si="5"/>
        <v>2.1566849244091333E-3</v>
      </c>
      <c r="G125" s="327">
        <v>6.8972512425195262E-3</v>
      </c>
      <c r="H125" s="326">
        <f t="shared" si="6"/>
        <v>1.4875197774604025E-5</v>
      </c>
      <c r="I125" s="327">
        <v>7.0000000000000007E-2</v>
      </c>
      <c r="J125" s="326">
        <f t="shared" si="7"/>
        <v>1.5096794470863934E-4</v>
      </c>
      <c r="L125" s="241">
        <v>7.0000000000000007E-2</v>
      </c>
      <c r="N125" s="209"/>
    </row>
    <row r="126" spans="1:14">
      <c r="A126" t="s">
        <v>399</v>
      </c>
      <c r="B126" s="271" t="s">
        <v>400</v>
      </c>
      <c r="C126" s="325">
        <v>200.98099999999999</v>
      </c>
      <c r="D126" s="325">
        <v>100.34</v>
      </c>
      <c r="E126" s="325">
        <f t="shared" si="4"/>
        <v>20166.433540000002</v>
      </c>
      <c r="F126" s="326">
        <f t="shared" si="5"/>
        <v>6.6739677546306226E-4</v>
      </c>
      <c r="G126" s="327">
        <v>4.02631054414989E-2</v>
      </c>
      <c r="H126" s="326">
        <f t="shared" si="6"/>
        <v>2.6871466741785643E-5</v>
      </c>
      <c r="I126" s="327">
        <v>0.03</v>
      </c>
      <c r="J126" s="326">
        <f t="shared" si="7"/>
        <v>2.0021903263891868E-5</v>
      </c>
      <c r="L126" s="241">
        <v>0.03</v>
      </c>
      <c r="N126" s="209"/>
    </row>
    <row r="127" spans="1:14">
      <c r="A127" t="s">
        <v>401</v>
      </c>
      <c r="B127" s="271" t="s">
        <v>402</v>
      </c>
      <c r="C127" s="325">
        <v>122.002</v>
      </c>
      <c r="D127" s="325">
        <v>278.64999999999998</v>
      </c>
      <c r="E127" s="325">
        <f t="shared" si="4"/>
        <v>33995.857299999996</v>
      </c>
      <c r="F127" s="326">
        <f t="shared" si="5"/>
        <v>1.1250737764870249E-3</v>
      </c>
      <c r="G127" s="327">
        <v>5.5984209581912804E-3</v>
      </c>
      <c r="H127" s="326">
        <f t="shared" si="6"/>
        <v>6.298636609796373E-6</v>
      </c>
      <c r="I127" s="327">
        <v>0.11</v>
      </c>
      <c r="J127" s="326">
        <f t="shared" si="7"/>
        <v>1.2375811541357273E-4</v>
      </c>
      <c r="L127" s="241">
        <v>0.11</v>
      </c>
      <c r="N127" s="209"/>
    </row>
    <row r="128" spans="1:14">
      <c r="A128" t="s">
        <v>403</v>
      </c>
      <c r="B128" s="271" t="s">
        <v>404</v>
      </c>
      <c r="C128" s="325">
        <v>191.04</v>
      </c>
      <c r="D128" s="325">
        <v>259.13</v>
      </c>
      <c r="E128" s="325">
        <f t="shared" si="4"/>
        <v>49504.195199999995</v>
      </c>
      <c r="F128" s="326">
        <f t="shared" si="5"/>
        <v>1.638313496674633E-3</v>
      </c>
      <c r="G128" s="327" t="s">
        <v>197</v>
      </c>
      <c r="H128" s="326" t="str">
        <f t="shared" si="6"/>
        <v/>
      </c>
      <c r="I128" s="327">
        <v>0.155</v>
      </c>
      <c r="J128" s="326">
        <f t="shared" si="7"/>
        <v>2.5393859198456813E-4</v>
      </c>
      <c r="L128" s="241">
        <v>0.155</v>
      </c>
      <c r="N128" s="209"/>
    </row>
    <row r="129" spans="1:14">
      <c r="A129" t="s">
        <v>405</v>
      </c>
      <c r="B129" s="271" t="s">
        <v>406</v>
      </c>
      <c r="C129" s="325">
        <v>82.239000000000004</v>
      </c>
      <c r="D129" s="325">
        <v>312.25</v>
      </c>
      <c r="E129" s="325">
        <f t="shared" si="4"/>
        <v>25679.12775</v>
      </c>
      <c r="F129" s="326" t="str">
        <f t="shared" si="5"/>
        <v/>
      </c>
      <c r="G129" s="327" t="s">
        <v>197</v>
      </c>
      <c r="H129" s="326" t="str">
        <f t="shared" si="6"/>
        <v/>
      </c>
      <c r="I129" s="327">
        <v>0.20499999999999999</v>
      </c>
      <c r="J129" s="326" t="str">
        <f t="shared" si="7"/>
        <v/>
      </c>
      <c r="L129" s="241">
        <v>0.20499999999999999</v>
      </c>
      <c r="N129" s="209"/>
    </row>
    <row r="130" spans="1:14">
      <c r="A130" t="s">
        <v>407</v>
      </c>
      <c r="B130" s="271" t="s">
        <v>408</v>
      </c>
      <c r="C130" s="325">
        <v>265.64999999999998</v>
      </c>
      <c r="D130" s="325">
        <v>230.37</v>
      </c>
      <c r="E130" s="325">
        <f t="shared" si="4"/>
        <v>61197.790499999996</v>
      </c>
      <c r="F130" s="326">
        <f t="shared" si="5"/>
        <v>2.0253064561044846E-3</v>
      </c>
      <c r="G130" s="327">
        <v>1.3022528975126967E-2</v>
      </c>
      <c r="H130" s="326">
        <f t="shared" si="6"/>
        <v>2.6374612008132363E-5</v>
      </c>
      <c r="I130" s="327">
        <v>0.13</v>
      </c>
      <c r="J130" s="326">
        <f t="shared" si="7"/>
        <v>2.6328983929358303E-4</v>
      </c>
      <c r="L130" s="241">
        <v>0.13</v>
      </c>
      <c r="N130" s="209"/>
    </row>
    <row r="131" spans="1:14">
      <c r="A131" t="s">
        <v>409</v>
      </c>
      <c r="B131" s="271" t="s">
        <v>410</v>
      </c>
      <c r="C131" s="325">
        <v>126.751</v>
      </c>
      <c r="D131" s="325">
        <v>100.19</v>
      </c>
      <c r="E131" s="325">
        <f t="shared" si="4"/>
        <v>12699.18269</v>
      </c>
      <c r="F131" s="326">
        <f t="shared" si="5"/>
        <v>4.2027230851263034E-4</v>
      </c>
      <c r="G131" s="327">
        <v>1.9163589180556943E-2</v>
      </c>
      <c r="H131" s="326">
        <f t="shared" si="6"/>
        <v>8.0539258643003315E-6</v>
      </c>
      <c r="I131" s="327">
        <v>9.5000000000000001E-2</v>
      </c>
      <c r="J131" s="326">
        <f t="shared" si="7"/>
        <v>3.9925869308699882E-5</v>
      </c>
      <c r="L131" s="241">
        <v>9.5000000000000001E-2</v>
      </c>
      <c r="N131" s="209"/>
    </row>
    <row r="132" spans="1:14">
      <c r="A132" t="s">
        <v>411</v>
      </c>
      <c r="B132" s="271" t="s">
        <v>412</v>
      </c>
      <c r="C132" s="325">
        <v>282.42700000000002</v>
      </c>
      <c r="D132" s="325">
        <v>64.41</v>
      </c>
      <c r="E132" s="325">
        <f t="shared" si="4"/>
        <v>18191.123070000001</v>
      </c>
      <c r="F132" s="326">
        <f t="shared" si="5"/>
        <v>6.0202498646519343E-4</v>
      </c>
      <c r="G132" s="327">
        <v>6.3654712001242038E-3</v>
      </c>
      <c r="H132" s="326">
        <f t="shared" si="6"/>
        <v>3.8321727130993527E-6</v>
      </c>
      <c r="I132" s="327">
        <v>9.5000000000000001E-2</v>
      </c>
      <c r="J132" s="326">
        <f t="shared" si="7"/>
        <v>5.7192373714193378E-5</v>
      </c>
      <c r="L132" s="241">
        <v>9.5000000000000001E-2</v>
      </c>
      <c r="N132" s="209"/>
    </row>
    <row r="133" spans="1:14">
      <c r="A133" t="s">
        <v>413</v>
      </c>
      <c r="B133" s="271" t="s">
        <v>414</v>
      </c>
      <c r="C133" s="325">
        <v>3925.3890000000001</v>
      </c>
      <c r="D133" s="325">
        <v>19.190000000000001</v>
      </c>
      <c r="E133" s="325">
        <f t="shared" si="4"/>
        <v>75328.21491000001</v>
      </c>
      <c r="F133" s="326" t="str">
        <f t="shared" si="5"/>
        <v/>
      </c>
      <c r="G133" s="327">
        <v>2.0844189682126108E-2</v>
      </c>
      <c r="H133" s="326" t="str">
        <f t="shared" si="6"/>
        <v/>
      </c>
      <c r="I133" s="327">
        <v>0.47499999999999998</v>
      </c>
      <c r="J133" s="326" t="str">
        <f t="shared" si="7"/>
        <v/>
      </c>
      <c r="L133" s="241">
        <v>0.47499999999999998</v>
      </c>
      <c r="N133" s="209"/>
    </row>
    <row r="134" spans="1:14">
      <c r="A134" t="s">
        <v>415</v>
      </c>
      <c r="B134" s="271" t="s">
        <v>79</v>
      </c>
      <c r="C134" s="325">
        <v>1962.1369999999999</v>
      </c>
      <c r="D134" s="325">
        <v>86.78</v>
      </c>
      <c r="E134" s="325">
        <f t="shared" si="4"/>
        <v>170274.24885999999</v>
      </c>
      <c r="F134" s="326">
        <f t="shared" si="5"/>
        <v>5.6351304958387298E-3</v>
      </c>
      <c r="G134" s="327">
        <v>1.7746024429592073E-2</v>
      </c>
      <c r="H134" s="326">
        <f t="shared" si="6"/>
        <v>1.0000116344309339E-4</v>
      </c>
      <c r="I134" s="327">
        <v>0.105</v>
      </c>
      <c r="J134" s="326">
        <f t="shared" si="7"/>
        <v>5.9168870206306658E-4</v>
      </c>
      <c r="L134" s="241">
        <v>0.105</v>
      </c>
      <c r="N134" s="209"/>
    </row>
    <row r="135" spans="1:14">
      <c r="A135" t="s">
        <v>416</v>
      </c>
      <c r="B135" s="271" t="s">
        <v>417</v>
      </c>
      <c r="C135" s="325">
        <v>501.79500000000002</v>
      </c>
      <c r="D135" s="325">
        <v>32.4</v>
      </c>
      <c r="E135" s="325">
        <f t="shared" si="4"/>
        <v>16258.157999999999</v>
      </c>
      <c r="F135" s="326">
        <f t="shared" si="5"/>
        <v>5.3805459466329554E-4</v>
      </c>
      <c r="G135" s="327">
        <v>3.4567901234567905E-2</v>
      </c>
      <c r="H135" s="326">
        <f t="shared" si="6"/>
        <v>1.8599418087126269E-5</v>
      </c>
      <c r="I135" s="327">
        <v>8.5000000000000006E-2</v>
      </c>
      <c r="J135" s="326">
        <f t="shared" si="7"/>
        <v>4.5734640546380124E-5</v>
      </c>
      <c r="L135" s="241">
        <v>8.5000000000000006E-2</v>
      </c>
      <c r="N135" s="209"/>
    </row>
    <row r="136" spans="1:14">
      <c r="A136" t="s">
        <v>418</v>
      </c>
      <c r="B136" s="271" t="s">
        <v>419</v>
      </c>
      <c r="C136" s="325">
        <v>1468.4739999999999</v>
      </c>
      <c r="D136" s="325">
        <v>37.08</v>
      </c>
      <c r="E136" s="325">
        <f t="shared" si="4"/>
        <v>54451.015919999998</v>
      </c>
      <c r="F136" s="326" t="str">
        <f t="shared" si="5"/>
        <v/>
      </c>
      <c r="G136" s="327">
        <v>8.0906148867313909E-3</v>
      </c>
      <c r="H136" s="326" t="str">
        <f t="shared" si="6"/>
        <v/>
      </c>
      <c r="I136" s="327">
        <v>0.375</v>
      </c>
      <c r="J136" s="326" t="str">
        <f t="shared" si="7"/>
        <v/>
      </c>
      <c r="L136" s="241">
        <v>0.375</v>
      </c>
      <c r="N136" s="209"/>
    </row>
    <row r="137" spans="1:14">
      <c r="A137" t="s">
        <v>420</v>
      </c>
      <c r="B137" s="271" t="s">
        <v>421</v>
      </c>
      <c r="C137" s="325">
        <v>373.40300000000002</v>
      </c>
      <c r="D137" s="325">
        <v>16.53</v>
      </c>
      <c r="E137" s="325">
        <f t="shared" si="4"/>
        <v>6172.3515900000011</v>
      </c>
      <c r="F137" s="326" t="str">
        <f t="shared" si="5"/>
        <v/>
      </c>
      <c r="G137" s="327">
        <v>2.9038112522686021E-2</v>
      </c>
      <c r="H137" s="326" t="str">
        <f t="shared" si="6"/>
        <v/>
      </c>
      <c r="I137" s="327">
        <v>0.27</v>
      </c>
      <c r="J137" s="326" t="str">
        <f t="shared" si="7"/>
        <v/>
      </c>
      <c r="L137" s="241">
        <v>0.27</v>
      </c>
      <c r="N137" s="209"/>
    </row>
    <row r="138" spans="1:14">
      <c r="A138" t="s">
        <v>422</v>
      </c>
      <c r="B138" s="271" t="s">
        <v>423</v>
      </c>
      <c r="C138" s="325">
        <v>96.921999999999997</v>
      </c>
      <c r="D138" s="325">
        <v>562.59</v>
      </c>
      <c r="E138" s="325">
        <f t="shared" si="4"/>
        <v>54527.347979999999</v>
      </c>
      <c r="F138" s="326" t="str">
        <f t="shared" si="5"/>
        <v/>
      </c>
      <c r="G138" s="327" t="s">
        <v>197</v>
      </c>
      <c r="H138" s="326" t="str">
        <f t="shared" si="6"/>
        <v/>
      </c>
      <c r="I138" s="327" t="s">
        <v>197</v>
      </c>
      <c r="J138" s="326" t="str">
        <f t="shared" si="7"/>
        <v/>
      </c>
      <c r="L138" s="231" t="s">
        <v>197</v>
      </c>
      <c r="N138" s="209"/>
    </row>
    <row r="139" spans="1:14">
      <c r="A139" t="s">
        <v>424</v>
      </c>
      <c r="B139" s="271" t="s">
        <v>425</v>
      </c>
      <c r="C139" s="325">
        <v>279.22300000000001</v>
      </c>
      <c r="D139" s="325">
        <v>188.97</v>
      </c>
      <c r="E139" s="325">
        <f t="shared" si="4"/>
        <v>52764.77031</v>
      </c>
      <c r="F139" s="326">
        <f t="shared" si="5"/>
        <v>1.746220396040495E-3</v>
      </c>
      <c r="G139" s="327">
        <v>2.5189183468275388E-2</v>
      </c>
      <c r="H139" s="326">
        <f t="shared" si="6"/>
        <v>4.3985865931908535E-5</v>
      </c>
      <c r="I139" s="327">
        <v>0.06</v>
      </c>
      <c r="J139" s="326">
        <f t="shared" si="7"/>
        <v>1.047732237624297E-4</v>
      </c>
      <c r="L139" s="241">
        <v>0.06</v>
      </c>
      <c r="N139" s="209"/>
    </row>
    <row r="140" spans="1:14">
      <c r="A140" t="s">
        <v>426</v>
      </c>
      <c r="B140" s="271" t="s">
        <v>427</v>
      </c>
      <c r="C140" s="325">
        <v>605.69200000000001</v>
      </c>
      <c r="D140" s="325">
        <v>61.77</v>
      </c>
      <c r="E140" s="325">
        <f t="shared" si="4"/>
        <v>37413.594840000005</v>
      </c>
      <c r="F140" s="326">
        <f t="shared" si="5"/>
        <v>1.2381818780782528E-3</v>
      </c>
      <c r="G140" s="327">
        <v>3.3025740650801362E-2</v>
      </c>
      <c r="H140" s="326">
        <f t="shared" si="6"/>
        <v>4.0891873583934526E-5</v>
      </c>
      <c r="I140" s="327">
        <v>3.5000000000000003E-2</v>
      </c>
      <c r="J140" s="326">
        <f t="shared" si="7"/>
        <v>4.3336365732738853E-5</v>
      </c>
      <c r="L140" s="241">
        <v>3.5000000000000003E-2</v>
      </c>
      <c r="N140" s="209"/>
    </row>
    <row r="141" spans="1:14">
      <c r="A141" t="s">
        <v>428</v>
      </c>
      <c r="B141" s="271" t="s">
        <v>429</v>
      </c>
      <c r="C141" s="325">
        <v>142.422</v>
      </c>
      <c r="D141" s="325">
        <v>127.74</v>
      </c>
      <c r="E141" s="325">
        <f t="shared" si="4"/>
        <v>18192.986279999997</v>
      </c>
      <c r="F141" s="326">
        <f t="shared" si="5"/>
        <v>6.0208664835218698E-4</v>
      </c>
      <c r="G141" s="327">
        <v>2.5520588695788316E-2</v>
      </c>
      <c r="H141" s="326">
        <f t="shared" si="6"/>
        <v>1.5365605711821899E-5</v>
      </c>
      <c r="I141" s="327">
        <v>7.0000000000000007E-2</v>
      </c>
      <c r="J141" s="326">
        <f t="shared" si="7"/>
        <v>4.2146065384653095E-5</v>
      </c>
      <c r="L141" s="241">
        <v>7.0000000000000007E-2</v>
      </c>
      <c r="N141" s="209"/>
    </row>
    <row r="142" spans="1:14">
      <c r="A142" t="s">
        <v>430</v>
      </c>
      <c r="B142" s="271" t="s">
        <v>431</v>
      </c>
      <c r="C142" s="325">
        <v>132.42599999999999</v>
      </c>
      <c r="D142" s="325">
        <v>90.32</v>
      </c>
      <c r="E142" s="325">
        <f t="shared" si="4"/>
        <v>11960.716319999998</v>
      </c>
      <c r="F142" s="326">
        <f t="shared" si="5"/>
        <v>3.958331793454254E-4</v>
      </c>
      <c r="G142" s="327">
        <v>3.011514614703277E-2</v>
      </c>
      <c r="H142" s="326">
        <f t="shared" si="6"/>
        <v>1.1920574045832119E-5</v>
      </c>
      <c r="I142" s="327">
        <v>7.0000000000000007E-2</v>
      </c>
      <c r="J142" s="326">
        <f t="shared" si="7"/>
        <v>2.770832255417978E-5</v>
      </c>
      <c r="L142" s="241">
        <v>7.0000000000000007E-2</v>
      </c>
      <c r="N142" s="209"/>
    </row>
    <row r="143" spans="1:14">
      <c r="A143" t="s">
        <v>432</v>
      </c>
      <c r="B143" s="271" t="s">
        <v>433</v>
      </c>
      <c r="C143" s="325">
        <v>51.52</v>
      </c>
      <c r="D143" s="325">
        <v>481.41</v>
      </c>
      <c r="E143" s="325">
        <f t="shared" si="4"/>
        <v>24802.243200000004</v>
      </c>
      <c r="F143" s="326">
        <f t="shared" si="5"/>
        <v>8.2081628876509141E-4</v>
      </c>
      <c r="G143" s="327">
        <v>1.346045989904655E-2</v>
      </c>
      <c r="H143" s="326">
        <f t="shared" si="6"/>
        <v>1.1048564739406726E-5</v>
      </c>
      <c r="I143" s="327">
        <v>5.5E-2</v>
      </c>
      <c r="J143" s="326">
        <f t="shared" si="7"/>
        <v>4.5144895882080028E-5</v>
      </c>
      <c r="L143" s="241">
        <v>5.5E-2</v>
      </c>
      <c r="N143" s="209"/>
    </row>
    <row r="144" spans="1:14">
      <c r="A144" t="s">
        <v>434</v>
      </c>
      <c r="B144" s="271" t="s">
        <v>435</v>
      </c>
      <c r="C144" s="325">
        <v>895.11599999999999</v>
      </c>
      <c r="D144" s="325">
        <v>21.59</v>
      </c>
      <c r="E144" s="325">
        <f t="shared" si="4"/>
        <v>19325.55444</v>
      </c>
      <c r="F144" s="326">
        <f t="shared" si="5"/>
        <v>6.3956835459820548E-4</v>
      </c>
      <c r="G144" s="327">
        <v>8.3371931449745251E-3</v>
      </c>
      <c r="H144" s="326">
        <f t="shared" si="6"/>
        <v>5.3322049016987948E-6</v>
      </c>
      <c r="I144" s="327">
        <v>0.09</v>
      </c>
      <c r="J144" s="326">
        <f t="shared" si="7"/>
        <v>5.756115191383849E-5</v>
      </c>
      <c r="L144" s="241">
        <v>0.09</v>
      </c>
      <c r="N144" s="209"/>
    </row>
    <row r="145" spans="1:14">
      <c r="A145" t="s">
        <v>436</v>
      </c>
      <c r="B145" s="271" t="s">
        <v>437</v>
      </c>
      <c r="C145" s="325">
        <v>196.22499999999999</v>
      </c>
      <c r="D145" s="325">
        <v>209.08</v>
      </c>
      <c r="E145" s="325">
        <f t="shared" si="4"/>
        <v>41026.722999999998</v>
      </c>
      <c r="F145" s="326" t="str">
        <f t="shared" si="5"/>
        <v/>
      </c>
      <c r="G145" s="327">
        <v>1.9514061603214079E-2</v>
      </c>
      <c r="H145" s="326" t="str">
        <f t="shared" si="6"/>
        <v/>
      </c>
      <c r="I145" s="327" t="s">
        <v>197</v>
      </c>
      <c r="J145" s="326" t="str">
        <f t="shared" si="7"/>
        <v/>
      </c>
      <c r="L145" s="231" t="s">
        <v>197</v>
      </c>
      <c r="N145" s="209"/>
    </row>
    <row r="146" spans="1:14">
      <c r="A146" t="s">
        <v>438</v>
      </c>
      <c r="B146" s="271" t="s">
        <v>439</v>
      </c>
      <c r="C146" s="325">
        <v>539.072</v>
      </c>
      <c r="D146" s="325">
        <v>32.86</v>
      </c>
      <c r="E146" s="325">
        <f t="shared" si="4"/>
        <v>17713.905920000001</v>
      </c>
      <c r="F146" s="326" t="str">
        <f t="shared" si="5"/>
        <v/>
      </c>
      <c r="G146" s="327">
        <v>3.6518563603164939E-2</v>
      </c>
      <c r="H146" s="326" t="str">
        <f t="shared" si="6"/>
        <v/>
      </c>
      <c r="I146" s="327">
        <v>-0.12</v>
      </c>
      <c r="J146" s="326" t="str">
        <f t="shared" si="7"/>
        <v/>
      </c>
      <c r="L146" s="241">
        <v>-0.12</v>
      </c>
      <c r="N146" s="209"/>
    </row>
    <row r="147" spans="1:14">
      <c r="A147" t="s">
        <v>440</v>
      </c>
      <c r="B147" s="271" t="s">
        <v>441</v>
      </c>
      <c r="C147" s="325">
        <v>171.18799999999999</v>
      </c>
      <c r="D147" s="325">
        <v>128.66</v>
      </c>
      <c r="E147" s="325">
        <f t="shared" si="4"/>
        <v>22025.048079999997</v>
      </c>
      <c r="F147" s="326" t="str">
        <f t="shared" si="5"/>
        <v/>
      </c>
      <c r="G147" s="327" t="s">
        <v>197</v>
      </c>
      <c r="H147" s="326" t="str">
        <f t="shared" si="6"/>
        <v/>
      </c>
      <c r="I147" s="327">
        <v>0.21</v>
      </c>
      <c r="J147" s="326" t="str">
        <f t="shared" si="7"/>
        <v/>
      </c>
      <c r="L147" s="241">
        <v>0.21</v>
      </c>
      <c r="N147" s="209"/>
    </row>
    <row r="148" spans="1:14">
      <c r="A148" t="s">
        <v>442</v>
      </c>
      <c r="B148" s="271" t="s">
        <v>443</v>
      </c>
      <c r="C148" s="325">
        <v>358.57799999999997</v>
      </c>
      <c r="D148" s="325">
        <v>73.87</v>
      </c>
      <c r="E148" s="325">
        <f t="shared" ref="E148:E211" si="8">IFERROR(C148*D148,"")</f>
        <v>26488.156859999999</v>
      </c>
      <c r="F148" s="326">
        <f t="shared" ref="F148:F211" si="9">IF(AND(ISNUMBER($I148)), IF(AND($I148&lt;=20%,$I148&gt;0%), $E148/SUMIFS($E$19:$E$523,$I$19:$I$523, "&gt;"&amp;0%,$I$19:$I$523, "&lt;="&amp;20%),""),"")</f>
        <v>8.7661065310627999E-4</v>
      </c>
      <c r="G148" s="327">
        <v>3.7904426695546233E-3</v>
      </c>
      <c r="H148" s="326">
        <f t="shared" ref="H148:H211" si="10">IFERROR($G148*$F148,"")</f>
        <v>3.3227424241201899E-6</v>
      </c>
      <c r="I148" s="327">
        <v>0.06</v>
      </c>
      <c r="J148" s="326">
        <f t="shared" ref="J148:J211" si="11">IFERROR($I148*$F148,"")</f>
        <v>5.2596639186376797E-5</v>
      </c>
      <c r="L148" s="241">
        <v>0.06</v>
      </c>
      <c r="N148" s="209"/>
    </row>
    <row r="149" spans="1:14">
      <c r="A149" t="s">
        <v>444</v>
      </c>
      <c r="B149" s="271" t="s">
        <v>445</v>
      </c>
      <c r="C149" s="325">
        <v>145.38999999999999</v>
      </c>
      <c r="D149" s="325">
        <v>177.49</v>
      </c>
      <c r="E149" s="325">
        <f t="shared" si="8"/>
        <v>25805.271099999998</v>
      </c>
      <c r="F149" s="326">
        <f t="shared" si="9"/>
        <v>8.5401093296589659E-4</v>
      </c>
      <c r="G149" s="327">
        <v>2.0305369316581213E-2</v>
      </c>
      <c r="H149" s="326">
        <f t="shared" si="10"/>
        <v>1.7341007394270613E-5</v>
      </c>
      <c r="I149" s="327">
        <v>0.06</v>
      </c>
      <c r="J149" s="326">
        <f t="shared" si="11"/>
        <v>5.1240655977953791E-5</v>
      </c>
      <c r="L149" s="241">
        <v>0.06</v>
      </c>
      <c r="N149" s="209"/>
    </row>
    <row r="150" spans="1:14">
      <c r="A150" t="s">
        <v>446</v>
      </c>
      <c r="B150" s="271" t="s">
        <v>447</v>
      </c>
      <c r="C150" s="325">
        <v>547.25900000000001</v>
      </c>
      <c r="D150" s="325">
        <v>44.79</v>
      </c>
      <c r="E150" s="325">
        <f t="shared" si="8"/>
        <v>24511.730609999999</v>
      </c>
      <c r="F150" s="326">
        <f t="shared" si="9"/>
        <v>8.1120193799687787E-4</v>
      </c>
      <c r="G150" s="327">
        <v>1.9647242688100024E-2</v>
      </c>
      <c r="H150" s="326">
        <f t="shared" si="10"/>
        <v>1.5937881344881726E-5</v>
      </c>
      <c r="I150" s="327">
        <v>9.5000000000000001E-2</v>
      </c>
      <c r="J150" s="326">
        <f t="shared" si="11"/>
        <v>7.70641841097034E-5</v>
      </c>
      <c r="L150" s="241">
        <v>9.5000000000000001E-2</v>
      </c>
      <c r="N150" s="209"/>
    </row>
    <row r="151" spans="1:14">
      <c r="A151" t="s">
        <v>448</v>
      </c>
      <c r="B151" s="271" t="s">
        <v>449</v>
      </c>
      <c r="C151" s="325">
        <v>542.55700000000002</v>
      </c>
      <c r="D151" s="325">
        <v>41.4</v>
      </c>
      <c r="E151" s="325">
        <f t="shared" si="8"/>
        <v>22461.859799999998</v>
      </c>
      <c r="F151" s="326">
        <f t="shared" si="9"/>
        <v>7.4336261648292332E-4</v>
      </c>
      <c r="G151" s="327">
        <v>2.5120772946859903E-2</v>
      </c>
      <c r="H151" s="326">
        <f t="shared" si="10"/>
        <v>1.8673843505851212E-5</v>
      </c>
      <c r="I151" s="327">
        <v>0.09</v>
      </c>
      <c r="J151" s="326">
        <f t="shared" si="11"/>
        <v>6.6902635483463097E-5</v>
      </c>
      <c r="L151" s="241">
        <v>0.09</v>
      </c>
      <c r="N151" s="209"/>
    </row>
    <row r="152" spans="1:14">
      <c r="A152" t="s">
        <v>450</v>
      </c>
      <c r="B152" s="271" t="s">
        <v>451</v>
      </c>
      <c r="C152" s="325">
        <v>207.27799999999999</v>
      </c>
      <c r="D152" s="325">
        <v>162.9</v>
      </c>
      <c r="E152" s="325">
        <f t="shared" si="8"/>
        <v>33765.586199999998</v>
      </c>
      <c r="F152" s="326">
        <f t="shared" si="9"/>
        <v>1.1174530839477366E-3</v>
      </c>
      <c r="G152" s="327">
        <v>1.1786372007366481E-2</v>
      </c>
      <c r="H152" s="326">
        <f t="shared" si="10"/>
        <v>1.3170717748186949E-5</v>
      </c>
      <c r="I152" s="327">
        <v>0.13500000000000001</v>
      </c>
      <c r="J152" s="326">
        <f t="shared" si="11"/>
        <v>1.5085616633294445E-4</v>
      </c>
      <c r="L152" s="241">
        <v>0.13500000000000001</v>
      </c>
      <c r="N152" s="209"/>
    </row>
    <row r="153" spans="1:14">
      <c r="A153" t="s">
        <v>452</v>
      </c>
      <c r="B153" s="271" t="s">
        <v>453</v>
      </c>
      <c r="C153" s="325">
        <v>1394.972</v>
      </c>
      <c r="D153" s="325">
        <v>58.94</v>
      </c>
      <c r="E153" s="325">
        <f t="shared" si="8"/>
        <v>82219.649680000002</v>
      </c>
      <c r="F153" s="326">
        <f t="shared" si="9"/>
        <v>2.7210130619920512E-3</v>
      </c>
      <c r="G153" s="327">
        <v>2.3752969121140142E-2</v>
      </c>
      <c r="H153" s="326">
        <f t="shared" si="10"/>
        <v>6.463213923971618E-5</v>
      </c>
      <c r="I153" s="327">
        <v>0.08</v>
      </c>
      <c r="J153" s="326">
        <f t="shared" si="11"/>
        <v>2.1768104495936409E-4</v>
      </c>
      <c r="L153" s="241">
        <v>0.08</v>
      </c>
      <c r="N153" s="209"/>
    </row>
    <row r="154" spans="1:14">
      <c r="A154" t="s">
        <v>454</v>
      </c>
      <c r="B154" s="271" t="s">
        <v>455</v>
      </c>
      <c r="C154" s="325">
        <v>628.86599999999999</v>
      </c>
      <c r="D154" s="325">
        <v>25.91</v>
      </c>
      <c r="E154" s="325">
        <f t="shared" si="8"/>
        <v>16293.91806</v>
      </c>
      <c r="F154" s="326">
        <f t="shared" si="9"/>
        <v>5.3923805373586921E-4</v>
      </c>
      <c r="G154" s="327">
        <v>2.6244693168660752E-2</v>
      </c>
      <c r="H154" s="326">
        <f t="shared" si="10"/>
        <v>1.4152137265163685E-5</v>
      </c>
      <c r="I154" s="327">
        <v>9.5000000000000001E-2</v>
      </c>
      <c r="J154" s="326">
        <f t="shared" si="11"/>
        <v>5.1227615104907577E-5</v>
      </c>
      <c r="L154" s="241">
        <v>9.5000000000000001E-2</v>
      </c>
      <c r="N154" s="209"/>
    </row>
    <row r="155" spans="1:14">
      <c r="A155" t="s">
        <v>456</v>
      </c>
      <c r="B155" s="271" t="s">
        <v>457</v>
      </c>
      <c r="C155" s="325">
        <v>128.53399999999999</v>
      </c>
      <c r="D155" s="325">
        <v>419.71</v>
      </c>
      <c r="E155" s="325">
        <f t="shared" si="8"/>
        <v>53947.005139999994</v>
      </c>
      <c r="F155" s="326">
        <f t="shared" si="9"/>
        <v>1.7853457927953106E-3</v>
      </c>
      <c r="G155" s="327">
        <v>6.6712730218484199E-3</v>
      </c>
      <c r="H155" s="326">
        <f t="shared" si="10"/>
        <v>1.1910529222145934E-5</v>
      </c>
      <c r="I155" s="327">
        <v>0.12</v>
      </c>
      <c r="J155" s="326">
        <f t="shared" si="11"/>
        <v>2.1424149513543726E-4</v>
      </c>
      <c r="L155" s="241">
        <v>0.12</v>
      </c>
      <c r="N155" s="209"/>
    </row>
    <row r="156" spans="1:14">
      <c r="A156" t="s">
        <v>458</v>
      </c>
      <c r="B156" s="271" t="s">
        <v>459</v>
      </c>
      <c r="C156" s="325">
        <v>124.60599999999999</v>
      </c>
      <c r="D156" s="325">
        <v>225.84</v>
      </c>
      <c r="E156" s="325">
        <f t="shared" si="8"/>
        <v>28141.019039999999</v>
      </c>
      <c r="F156" s="326">
        <f t="shared" si="9"/>
        <v>9.3131119730656344E-4</v>
      </c>
      <c r="G156" s="327">
        <v>1.4169323414806943E-2</v>
      </c>
      <c r="H156" s="326">
        <f t="shared" si="10"/>
        <v>1.3196049554467779E-5</v>
      </c>
      <c r="I156" s="327">
        <v>0.08</v>
      </c>
      <c r="J156" s="326">
        <f t="shared" si="11"/>
        <v>7.4504895784525079E-5</v>
      </c>
      <c r="L156" s="241">
        <v>0.08</v>
      </c>
      <c r="N156" s="209"/>
    </row>
    <row r="157" spans="1:14">
      <c r="A157" t="s">
        <v>460</v>
      </c>
      <c r="B157" s="271" t="s">
        <v>461</v>
      </c>
      <c r="C157" s="325">
        <v>313.88099999999997</v>
      </c>
      <c r="D157" s="325">
        <v>232.15</v>
      </c>
      <c r="E157" s="325">
        <f t="shared" si="8"/>
        <v>72867.474149999995</v>
      </c>
      <c r="F157" s="326">
        <f t="shared" si="9"/>
        <v>2.4115080729266141E-3</v>
      </c>
      <c r="G157" s="327">
        <v>2.1020891664871848E-2</v>
      </c>
      <c r="H157" s="326">
        <f t="shared" si="10"/>
        <v>5.0692049949954236E-5</v>
      </c>
      <c r="I157" s="327">
        <v>0.105</v>
      </c>
      <c r="J157" s="326">
        <f t="shared" si="11"/>
        <v>2.5320834765729449E-4</v>
      </c>
      <c r="L157" s="241">
        <v>0.105</v>
      </c>
      <c r="N157" s="209"/>
    </row>
    <row r="158" spans="1:14">
      <c r="A158" t="s">
        <v>462</v>
      </c>
      <c r="B158" s="271" t="s">
        <v>463</v>
      </c>
      <c r="C158" s="325">
        <v>135.72300000000001</v>
      </c>
      <c r="D158" s="325">
        <v>189.36</v>
      </c>
      <c r="E158" s="325">
        <f t="shared" si="8"/>
        <v>25700.507280000005</v>
      </c>
      <c r="F158" s="326">
        <f t="shared" si="9"/>
        <v>8.5054383326705772E-4</v>
      </c>
      <c r="G158" s="327">
        <v>1.0561892691170256E-2</v>
      </c>
      <c r="H158" s="326">
        <f t="shared" si="10"/>
        <v>8.98335269610327E-6</v>
      </c>
      <c r="I158" s="327">
        <v>0.1</v>
      </c>
      <c r="J158" s="326">
        <f t="shared" si="11"/>
        <v>8.5054383326705775E-5</v>
      </c>
      <c r="L158" s="241">
        <v>0.1</v>
      </c>
      <c r="N158" s="209"/>
    </row>
    <row r="159" spans="1:14">
      <c r="A159" t="s">
        <v>464</v>
      </c>
      <c r="B159" s="271" t="s">
        <v>465</v>
      </c>
      <c r="C159" s="325">
        <v>237.54</v>
      </c>
      <c r="D159" s="325">
        <v>186.65</v>
      </c>
      <c r="E159" s="325">
        <f t="shared" si="8"/>
        <v>44336.841</v>
      </c>
      <c r="F159" s="326" t="str">
        <f t="shared" si="9"/>
        <v/>
      </c>
      <c r="G159" s="327">
        <v>1.2643986070184837E-2</v>
      </c>
      <c r="H159" s="326" t="str">
        <f t="shared" si="10"/>
        <v/>
      </c>
      <c r="I159" s="327" t="s">
        <v>197</v>
      </c>
      <c r="J159" s="326" t="str">
        <f t="shared" si="11"/>
        <v/>
      </c>
      <c r="L159" s="231" t="s">
        <v>197</v>
      </c>
      <c r="N159" s="209"/>
    </row>
    <row r="160" spans="1:14">
      <c r="A160" t="s">
        <v>466</v>
      </c>
      <c r="B160" s="271" t="s">
        <v>467</v>
      </c>
      <c r="C160" s="325">
        <v>393.755</v>
      </c>
      <c r="D160" s="325">
        <v>33.19</v>
      </c>
      <c r="E160" s="325">
        <f t="shared" si="8"/>
        <v>13068.728449999999</v>
      </c>
      <c r="F160" s="326">
        <f t="shared" si="9"/>
        <v>4.3250221759005099E-4</v>
      </c>
      <c r="G160" s="327">
        <v>3.2539921663151554E-2</v>
      </c>
      <c r="H160" s="326">
        <f t="shared" si="10"/>
        <v>1.4073588279519588E-5</v>
      </c>
      <c r="I160" s="327">
        <v>0.12</v>
      </c>
      <c r="J160" s="326">
        <f t="shared" si="11"/>
        <v>5.1900266110806115E-5</v>
      </c>
      <c r="L160" s="241">
        <v>0.12</v>
      </c>
      <c r="N160" s="209"/>
    </row>
    <row r="161" spans="1:14">
      <c r="A161" t="s">
        <v>468</v>
      </c>
      <c r="B161" s="271" t="s">
        <v>469</v>
      </c>
      <c r="C161" s="325">
        <v>254.547</v>
      </c>
      <c r="D161" s="325">
        <v>142.16999999999999</v>
      </c>
      <c r="E161" s="325">
        <f t="shared" si="8"/>
        <v>36188.946989999997</v>
      </c>
      <c r="F161" s="326">
        <f t="shared" si="9"/>
        <v>1.1976528462815984E-3</v>
      </c>
      <c r="G161" s="327">
        <v>2.2226911444045861E-2</v>
      </c>
      <c r="H161" s="326">
        <f t="shared" si="10"/>
        <v>2.6620123755010558E-5</v>
      </c>
      <c r="I161" s="327">
        <v>7.4999999999999997E-2</v>
      </c>
      <c r="J161" s="326">
        <f t="shared" si="11"/>
        <v>8.9823963471119872E-5</v>
      </c>
      <c r="L161" s="241">
        <v>7.4999999999999997E-2</v>
      </c>
      <c r="N161" s="209"/>
    </row>
    <row r="162" spans="1:14">
      <c r="A162" t="s">
        <v>470</v>
      </c>
      <c r="B162" s="271" t="s">
        <v>471</v>
      </c>
      <c r="C162" s="325">
        <v>128.94900000000001</v>
      </c>
      <c r="D162" s="325">
        <v>142.56</v>
      </c>
      <c r="E162" s="325">
        <f t="shared" si="8"/>
        <v>18382.969440000001</v>
      </c>
      <c r="F162" s="326">
        <f t="shared" si="9"/>
        <v>6.083740341769929E-4</v>
      </c>
      <c r="G162" s="327">
        <v>5.8922558922558923E-3</v>
      </c>
      <c r="H162" s="326">
        <f t="shared" si="10"/>
        <v>3.5846954875748741E-6</v>
      </c>
      <c r="I162" s="327">
        <v>0.15</v>
      </c>
      <c r="J162" s="326">
        <f t="shared" si="11"/>
        <v>9.1256105126548927E-5</v>
      </c>
      <c r="L162" s="241">
        <v>0.15</v>
      </c>
      <c r="N162" s="209"/>
    </row>
    <row r="163" spans="1:14">
      <c r="A163" t="s">
        <v>472</v>
      </c>
      <c r="B163" s="271" t="s">
        <v>473</v>
      </c>
      <c r="C163" s="325">
        <v>63.09</v>
      </c>
      <c r="D163" s="325">
        <v>421.24</v>
      </c>
      <c r="E163" s="325">
        <f t="shared" si="8"/>
        <v>26576.031600000002</v>
      </c>
      <c r="F163" s="326" t="str">
        <f t="shared" si="9"/>
        <v/>
      </c>
      <c r="G163" s="327" t="s">
        <v>197</v>
      </c>
      <c r="H163" s="326" t="str">
        <f t="shared" si="10"/>
        <v/>
      </c>
      <c r="I163" s="327">
        <v>0.23499999999999999</v>
      </c>
      <c r="J163" s="326" t="str">
        <f t="shared" si="11"/>
        <v/>
      </c>
      <c r="L163" s="241">
        <v>0.23499999999999999</v>
      </c>
      <c r="N163" s="209"/>
    </row>
    <row r="164" spans="1:14">
      <c r="A164" t="s">
        <v>474</v>
      </c>
      <c r="B164" s="271" t="s">
        <v>475</v>
      </c>
      <c r="C164" s="325">
        <v>265.93299999999999</v>
      </c>
      <c r="D164" s="325">
        <v>223.36</v>
      </c>
      <c r="E164" s="325">
        <f t="shared" si="8"/>
        <v>59398.794880000001</v>
      </c>
      <c r="F164" s="326">
        <f t="shared" si="9"/>
        <v>1.9657697078996673E-3</v>
      </c>
      <c r="G164" s="327">
        <v>1.0073424068767907E-2</v>
      </c>
      <c r="H164" s="326">
        <f t="shared" si="10"/>
        <v>1.9802031889211365E-5</v>
      </c>
      <c r="I164" s="327">
        <v>0.11</v>
      </c>
      <c r="J164" s="326">
        <f t="shared" si="11"/>
        <v>2.1623466786896341E-4</v>
      </c>
      <c r="L164" s="241">
        <v>0.11</v>
      </c>
      <c r="N164" s="209"/>
    </row>
    <row r="165" spans="1:14">
      <c r="A165" t="s">
        <v>476</v>
      </c>
      <c r="B165" s="271" t="s">
        <v>477</v>
      </c>
      <c r="C165" s="325">
        <v>349.20499999999998</v>
      </c>
      <c r="D165" s="325">
        <v>16.149999999999999</v>
      </c>
      <c r="E165" s="325">
        <f t="shared" si="8"/>
        <v>5639.6607499999991</v>
      </c>
      <c r="F165" s="326">
        <f t="shared" si="9"/>
        <v>1.8664140051288388E-4</v>
      </c>
      <c r="G165" s="327">
        <v>3.7151702786377708E-2</v>
      </c>
      <c r="H165" s="326">
        <f t="shared" si="10"/>
        <v>6.934045839487946E-6</v>
      </c>
      <c r="I165" s="327">
        <v>0.06</v>
      </c>
      <c r="J165" s="326">
        <f t="shared" si="11"/>
        <v>1.1198484030773031E-5</v>
      </c>
      <c r="L165" s="241">
        <v>0.06</v>
      </c>
      <c r="N165" s="209"/>
    </row>
    <row r="166" spans="1:14">
      <c r="A166" t="s">
        <v>478</v>
      </c>
      <c r="B166" s="271" t="s">
        <v>479</v>
      </c>
      <c r="C166" s="325">
        <v>341.12299999999999</v>
      </c>
      <c r="D166" s="325">
        <v>61.18</v>
      </c>
      <c r="E166" s="325">
        <f t="shared" si="8"/>
        <v>20869.905139999999</v>
      </c>
      <c r="F166" s="326">
        <f t="shared" si="9"/>
        <v>6.9067777239980861E-4</v>
      </c>
      <c r="G166" s="327">
        <v>3.792088917947041E-2</v>
      </c>
      <c r="H166" s="326">
        <f t="shared" si="10"/>
        <v>2.6191115265896631E-5</v>
      </c>
      <c r="I166" s="327">
        <v>3.5000000000000003E-2</v>
      </c>
      <c r="J166" s="326">
        <f t="shared" si="11"/>
        <v>2.4173722033993305E-5</v>
      </c>
      <c r="L166" s="241">
        <v>3.5000000000000003E-2</v>
      </c>
      <c r="N166" s="209"/>
    </row>
    <row r="167" spans="1:14">
      <c r="A167" t="s">
        <v>480</v>
      </c>
      <c r="B167" s="271" t="s">
        <v>481</v>
      </c>
      <c r="C167" s="325">
        <v>116.578</v>
      </c>
      <c r="D167" s="325">
        <v>168.57</v>
      </c>
      <c r="E167" s="325">
        <f t="shared" si="8"/>
        <v>19651.553459999999</v>
      </c>
      <c r="F167" s="326">
        <f t="shared" si="9"/>
        <v>6.5035710880804478E-4</v>
      </c>
      <c r="G167" s="327">
        <v>1.5186569377706592E-2</v>
      </c>
      <c r="H167" s="326">
        <f t="shared" si="10"/>
        <v>9.8766933531980471E-6</v>
      </c>
      <c r="I167" s="327">
        <v>9.5000000000000001E-2</v>
      </c>
      <c r="J167" s="326">
        <f t="shared" si="11"/>
        <v>6.1783925336764259E-5</v>
      </c>
      <c r="L167" s="241">
        <v>9.5000000000000001E-2</v>
      </c>
      <c r="N167" s="209"/>
    </row>
    <row r="168" spans="1:14">
      <c r="A168" t="s">
        <v>482</v>
      </c>
      <c r="B168" s="271" t="s">
        <v>483</v>
      </c>
      <c r="C168" s="325">
        <v>336.71699999999998</v>
      </c>
      <c r="D168" s="325">
        <v>130.31</v>
      </c>
      <c r="E168" s="325">
        <f t="shared" si="8"/>
        <v>43877.592270000001</v>
      </c>
      <c r="F168" s="326">
        <f t="shared" si="9"/>
        <v>1.452104237370322E-3</v>
      </c>
      <c r="G168" s="327">
        <v>3.4993477093085722E-2</v>
      </c>
      <c r="H168" s="326">
        <f t="shared" si="10"/>
        <v>5.0814176367191073E-5</v>
      </c>
      <c r="I168" s="327">
        <v>5.5E-2</v>
      </c>
      <c r="J168" s="326">
        <f t="shared" si="11"/>
        <v>7.9865733055367718E-5</v>
      </c>
      <c r="L168" s="241">
        <v>5.5E-2</v>
      </c>
      <c r="N168" s="209"/>
    </row>
    <row r="169" spans="1:14">
      <c r="A169" t="s">
        <v>484</v>
      </c>
      <c r="B169" s="271" t="s">
        <v>485</v>
      </c>
      <c r="C169" s="325">
        <v>616.428</v>
      </c>
      <c r="D169" s="325">
        <v>22.42</v>
      </c>
      <c r="E169" s="325">
        <f t="shared" si="8"/>
        <v>13820.315760000001</v>
      </c>
      <c r="F169" s="326">
        <f t="shared" si="9"/>
        <v>4.5737557688672707E-4</v>
      </c>
      <c r="G169" s="327">
        <v>3.0330062444246207E-2</v>
      </c>
      <c r="H169" s="326">
        <f t="shared" si="10"/>
        <v>1.3872229807447564E-5</v>
      </c>
      <c r="I169" s="327">
        <v>0.105</v>
      </c>
      <c r="J169" s="326">
        <f t="shared" si="11"/>
        <v>4.8024435573106344E-5</v>
      </c>
      <c r="L169" s="241">
        <v>0.105</v>
      </c>
      <c r="N169" s="209"/>
    </row>
    <row r="170" spans="1:14">
      <c r="A170" t="s">
        <v>486</v>
      </c>
      <c r="B170" s="271" t="s">
        <v>487</v>
      </c>
      <c r="C170" s="325">
        <v>2733.6860000000001</v>
      </c>
      <c r="D170" s="325">
        <v>90.74</v>
      </c>
      <c r="E170" s="325">
        <f t="shared" si="8"/>
        <v>248054.66764</v>
      </c>
      <c r="F170" s="326">
        <f t="shared" si="9"/>
        <v>8.2092297080258846E-3</v>
      </c>
      <c r="G170" s="327">
        <v>1.4106237601939608E-2</v>
      </c>
      <c r="H170" s="326">
        <f t="shared" si="10"/>
        <v>1.1580134479031445E-4</v>
      </c>
      <c r="I170" s="327">
        <v>0.1</v>
      </c>
      <c r="J170" s="326">
        <f t="shared" si="11"/>
        <v>8.2092297080258846E-4</v>
      </c>
      <c r="L170" s="241">
        <v>0.1</v>
      </c>
      <c r="N170" s="209"/>
    </row>
    <row r="171" spans="1:14">
      <c r="A171" t="s">
        <v>488</v>
      </c>
      <c r="B171" s="271" t="s">
        <v>489</v>
      </c>
      <c r="C171" s="325">
        <v>743.63800000000003</v>
      </c>
      <c r="D171" s="325">
        <v>41.53</v>
      </c>
      <c r="E171" s="325">
        <f t="shared" si="8"/>
        <v>30883.286140000004</v>
      </c>
      <c r="F171" s="326">
        <f t="shared" si="9"/>
        <v>1.0220649846020857E-3</v>
      </c>
      <c r="G171" s="327">
        <v>2.0226342403082107E-2</v>
      </c>
      <c r="H171" s="326">
        <f t="shared" si="10"/>
        <v>2.0672636336762625E-5</v>
      </c>
      <c r="I171" s="327">
        <v>0.06</v>
      </c>
      <c r="J171" s="326">
        <f t="shared" si="11"/>
        <v>6.1323899076125136E-5</v>
      </c>
      <c r="L171" s="241">
        <v>0.06</v>
      </c>
      <c r="N171" s="209"/>
    </row>
    <row r="172" spans="1:14">
      <c r="A172" t="s">
        <v>490</v>
      </c>
      <c r="B172" s="271" t="s">
        <v>491</v>
      </c>
      <c r="C172" s="325">
        <v>133.37700000000001</v>
      </c>
      <c r="D172" s="325">
        <v>40.39</v>
      </c>
      <c r="E172" s="325">
        <f t="shared" si="8"/>
        <v>5387.0970300000008</v>
      </c>
      <c r="F172" s="326">
        <f t="shared" si="9"/>
        <v>1.7828294625310529E-4</v>
      </c>
      <c r="G172" s="327">
        <v>4.1594454072790298E-2</v>
      </c>
      <c r="H172" s="326">
        <f t="shared" si="10"/>
        <v>7.4155818198865292E-6</v>
      </c>
      <c r="I172" s="327">
        <v>0.1</v>
      </c>
      <c r="J172" s="326">
        <f t="shared" si="11"/>
        <v>1.782829462531053E-5</v>
      </c>
      <c r="L172" s="241">
        <v>0.1</v>
      </c>
      <c r="N172" s="209"/>
    </row>
    <row r="173" spans="1:14">
      <c r="A173" t="s">
        <v>492</v>
      </c>
      <c r="B173" s="271" t="s">
        <v>493</v>
      </c>
      <c r="C173" s="325">
        <v>271.85199999999998</v>
      </c>
      <c r="D173" s="325">
        <v>105.05</v>
      </c>
      <c r="E173" s="325">
        <f t="shared" si="8"/>
        <v>28558.052599999995</v>
      </c>
      <c r="F173" s="326">
        <f t="shared" si="9"/>
        <v>9.4511268841562931E-4</v>
      </c>
      <c r="G173" s="327">
        <v>9.5192765349833407E-3</v>
      </c>
      <c r="H173" s="326">
        <f t="shared" si="10"/>
        <v>8.9967890377499222E-6</v>
      </c>
      <c r="I173" s="327">
        <v>0.12</v>
      </c>
      <c r="J173" s="326">
        <f t="shared" si="11"/>
        <v>1.1341352260987551E-4</v>
      </c>
      <c r="L173" s="241">
        <v>0.12</v>
      </c>
      <c r="N173" s="209"/>
    </row>
    <row r="174" spans="1:14">
      <c r="A174" t="s">
        <v>494</v>
      </c>
      <c r="B174" s="271" t="s">
        <v>495</v>
      </c>
      <c r="C174" s="325">
        <v>956.59199999999998</v>
      </c>
      <c r="D174" s="325">
        <v>248.04</v>
      </c>
      <c r="E174" s="325">
        <f t="shared" si="8"/>
        <v>237273.07968</v>
      </c>
      <c r="F174" s="326">
        <f t="shared" si="9"/>
        <v>7.8524191185578487E-3</v>
      </c>
      <c r="G174" s="327">
        <v>1.3707466537655217E-2</v>
      </c>
      <c r="H174" s="326">
        <f t="shared" si="10"/>
        <v>1.0763677230727579E-4</v>
      </c>
      <c r="I174" s="327">
        <v>0.11</v>
      </c>
      <c r="J174" s="326">
        <f t="shared" si="11"/>
        <v>8.6376610304136339E-4</v>
      </c>
      <c r="L174" s="241">
        <v>0.11</v>
      </c>
      <c r="N174" s="209"/>
    </row>
    <row r="175" spans="1:14">
      <c r="A175" t="s">
        <v>496</v>
      </c>
      <c r="B175" s="271" t="s">
        <v>497</v>
      </c>
      <c r="C175" s="325">
        <v>264.37299999999999</v>
      </c>
      <c r="D175" s="325">
        <v>75.13</v>
      </c>
      <c r="E175" s="325">
        <f t="shared" si="8"/>
        <v>19862.343489999999</v>
      </c>
      <c r="F175" s="326" t="str">
        <f t="shared" si="9"/>
        <v/>
      </c>
      <c r="G175" s="327">
        <v>7.986157327299348E-3</v>
      </c>
      <c r="H175" s="326" t="str">
        <f t="shared" si="10"/>
        <v/>
      </c>
      <c r="I175" s="327">
        <v>0.26</v>
      </c>
      <c r="J175" s="326" t="str">
        <f t="shared" si="11"/>
        <v/>
      </c>
      <c r="L175" s="241">
        <v>0.26</v>
      </c>
      <c r="N175" s="209"/>
    </row>
    <row r="176" spans="1:14">
      <c r="A176" t="s">
        <v>498</v>
      </c>
      <c r="B176" s="271" t="s">
        <v>499</v>
      </c>
      <c r="C176" s="325">
        <v>179.291</v>
      </c>
      <c r="D176" s="325">
        <v>646.28</v>
      </c>
      <c r="E176" s="325">
        <f t="shared" si="8"/>
        <v>115872.18747999999</v>
      </c>
      <c r="F176" s="326" t="str">
        <f t="shared" si="9"/>
        <v/>
      </c>
      <c r="G176" s="327" t="s">
        <v>197</v>
      </c>
      <c r="H176" s="326" t="str">
        <f t="shared" si="10"/>
        <v/>
      </c>
      <c r="I176" s="327">
        <v>0.27500000000000002</v>
      </c>
      <c r="J176" s="326" t="str">
        <f t="shared" si="11"/>
        <v/>
      </c>
      <c r="L176" s="241">
        <v>0.27500000000000002</v>
      </c>
      <c r="N176" s="209"/>
    </row>
    <row r="177" spans="1:14">
      <c r="A177" t="s">
        <v>500</v>
      </c>
      <c r="B177" s="271" t="s">
        <v>501</v>
      </c>
      <c r="C177" s="325">
        <v>180.709</v>
      </c>
      <c r="D177" s="325">
        <v>66.33</v>
      </c>
      <c r="E177" s="325">
        <f t="shared" si="8"/>
        <v>11986.427970000001</v>
      </c>
      <c r="F177" s="326">
        <f t="shared" si="9"/>
        <v>3.9668409194074377E-4</v>
      </c>
      <c r="G177" s="327">
        <v>2.7137042062415198E-2</v>
      </c>
      <c r="H177" s="326">
        <f t="shared" si="10"/>
        <v>1.0764832888486941E-5</v>
      </c>
      <c r="I177" s="327">
        <v>0.09</v>
      </c>
      <c r="J177" s="326">
        <f t="shared" si="11"/>
        <v>3.5701568274666936E-5</v>
      </c>
      <c r="L177" s="241">
        <v>0.09</v>
      </c>
      <c r="N177" s="209"/>
    </row>
    <row r="178" spans="1:14">
      <c r="A178" t="s">
        <v>502</v>
      </c>
      <c r="B178" s="271" t="s">
        <v>503</v>
      </c>
      <c r="C178" s="325">
        <v>253.684</v>
      </c>
      <c r="D178" s="325">
        <v>53.46</v>
      </c>
      <c r="E178" s="325">
        <f t="shared" si="8"/>
        <v>13561.94664</v>
      </c>
      <c r="F178" s="326">
        <f t="shared" si="9"/>
        <v>4.4882499617917622E-4</v>
      </c>
      <c r="G178" s="327">
        <v>4.6763935652824537E-3</v>
      </c>
      <c r="H178" s="326">
        <f t="shared" si="10"/>
        <v>2.0988823240702213E-6</v>
      </c>
      <c r="I178" s="327">
        <v>0.125</v>
      </c>
      <c r="J178" s="326">
        <f t="shared" si="11"/>
        <v>5.6103124522397027E-5</v>
      </c>
      <c r="L178" s="241">
        <v>0.125</v>
      </c>
      <c r="N178" s="209"/>
    </row>
    <row r="179" spans="1:14">
      <c r="A179" t="s">
        <v>504</v>
      </c>
      <c r="B179" s="271" t="s">
        <v>505</v>
      </c>
      <c r="C179" s="325">
        <v>673.74699999999996</v>
      </c>
      <c r="D179" s="325">
        <v>244.59</v>
      </c>
      <c r="E179" s="325">
        <f t="shared" si="8"/>
        <v>164791.77872999999</v>
      </c>
      <c r="F179" s="326">
        <f t="shared" si="9"/>
        <v>5.4536912304834068E-3</v>
      </c>
      <c r="G179" s="327">
        <v>1.3083118688417352E-2</v>
      </c>
      <c r="H179" s="326">
        <f t="shared" si="10"/>
        <v>7.135128965839528E-5</v>
      </c>
      <c r="I179" s="327">
        <v>0.14499999999999999</v>
      </c>
      <c r="J179" s="326">
        <f t="shared" si="11"/>
        <v>7.9078522842009394E-4</v>
      </c>
      <c r="L179" s="241">
        <v>0.14499999999999999</v>
      </c>
      <c r="N179" s="209"/>
    </row>
    <row r="180" spans="1:14">
      <c r="A180" t="s">
        <v>506</v>
      </c>
      <c r="B180" s="271" t="s">
        <v>507</v>
      </c>
      <c r="C180" s="325">
        <v>76.031000000000006</v>
      </c>
      <c r="D180" s="325">
        <v>224.59</v>
      </c>
      <c r="E180" s="325">
        <f t="shared" si="8"/>
        <v>17075.802290000003</v>
      </c>
      <c r="F180" s="326">
        <f t="shared" si="9"/>
        <v>5.6511407255954368E-4</v>
      </c>
      <c r="G180" s="327">
        <v>9.617525268266619E-3</v>
      </c>
      <c r="H180" s="326">
        <f t="shared" si="10"/>
        <v>5.4349988722944674E-6</v>
      </c>
      <c r="I180" s="327">
        <v>0.08</v>
      </c>
      <c r="J180" s="326">
        <f t="shared" si="11"/>
        <v>4.5209125804763498E-5</v>
      </c>
      <c r="L180" s="241">
        <v>0.08</v>
      </c>
      <c r="N180" s="209"/>
    </row>
    <row r="181" spans="1:14">
      <c r="A181" t="s">
        <v>508</v>
      </c>
      <c r="B181" s="271" t="s">
        <v>509</v>
      </c>
      <c r="C181" s="325">
        <v>504.89499999999998</v>
      </c>
      <c r="D181" s="325">
        <v>164.02</v>
      </c>
      <c r="E181" s="325">
        <f t="shared" si="8"/>
        <v>82812.877900000007</v>
      </c>
      <c r="F181" s="326">
        <f t="shared" si="9"/>
        <v>2.740645616273719E-3</v>
      </c>
      <c r="G181" s="327">
        <v>1.3047189367150347E-2</v>
      </c>
      <c r="H181" s="326">
        <f t="shared" si="10"/>
        <v>3.575772234377368E-5</v>
      </c>
      <c r="I181" s="327">
        <v>0.12</v>
      </c>
      <c r="J181" s="326">
        <f t="shared" si="11"/>
        <v>3.2887747395284625E-4</v>
      </c>
      <c r="L181" s="241">
        <v>0.12</v>
      </c>
      <c r="N181" s="209"/>
    </row>
    <row r="182" spans="1:14">
      <c r="A182" t="s">
        <v>510</v>
      </c>
      <c r="B182" s="271" t="s">
        <v>511</v>
      </c>
      <c r="C182" s="325">
        <v>244.08699999999999</v>
      </c>
      <c r="D182" s="325">
        <v>65.900000000000006</v>
      </c>
      <c r="E182" s="325">
        <f t="shared" si="8"/>
        <v>16085.3333</v>
      </c>
      <c r="F182" s="326">
        <f t="shared" si="9"/>
        <v>5.3233505842147132E-4</v>
      </c>
      <c r="G182" s="327">
        <v>1.4264036418816385E-2</v>
      </c>
      <c r="H182" s="326">
        <f t="shared" si="10"/>
        <v>7.593246660336615E-6</v>
      </c>
      <c r="I182" s="327">
        <v>9.5000000000000001E-2</v>
      </c>
      <c r="J182" s="326">
        <f t="shared" si="11"/>
        <v>5.0571830550039775E-5</v>
      </c>
      <c r="L182" s="241">
        <v>9.5000000000000001E-2</v>
      </c>
      <c r="N182" s="209"/>
    </row>
    <row r="183" spans="1:14">
      <c r="A183" t="s">
        <v>512</v>
      </c>
      <c r="B183" s="271" t="s">
        <v>513</v>
      </c>
      <c r="C183" s="325">
        <v>241</v>
      </c>
      <c r="D183" s="325">
        <v>455.73</v>
      </c>
      <c r="E183" s="325">
        <f t="shared" si="8"/>
        <v>109830.93000000001</v>
      </c>
      <c r="F183" s="326">
        <f t="shared" si="9"/>
        <v>3.6347928543099899E-3</v>
      </c>
      <c r="G183" s="327">
        <v>6.7583876418054545E-3</v>
      </c>
      <c r="H183" s="326">
        <f t="shared" si="10"/>
        <v>2.4565339107091409E-5</v>
      </c>
      <c r="I183" s="327">
        <v>0.105</v>
      </c>
      <c r="J183" s="326">
        <f t="shared" si="11"/>
        <v>3.8165324970254892E-4</v>
      </c>
      <c r="L183" s="241">
        <v>0.105</v>
      </c>
      <c r="N183" s="209"/>
    </row>
    <row r="184" spans="1:14">
      <c r="A184" t="s">
        <v>514</v>
      </c>
      <c r="B184" s="271" t="s">
        <v>515</v>
      </c>
      <c r="C184" s="325">
        <v>1344.8620000000001</v>
      </c>
      <c r="D184" s="325">
        <v>106.7</v>
      </c>
      <c r="E184" s="325">
        <f t="shared" si="8"/>
        <v>143496.77540000001</v>
      </c>
      <c r="F184" s="326">
        <f t="shared" si="9"/>
        <v>4.7489450725806065E-3</v>
      </c>
      <c r="G184" s="327">
        <v>2.3617619493908153E-2</v>
      </c>
      <c r="H184" s="326">
        <f t="shared" si="10"/>
        <v>1.121587777216788E-4</v>
      </c>
      <c r="I184" s="327">
        <v>0.09</v>
      </c>
      <c r="J184" s="326">
        <f t="shared" si="11"/>
        <v>4.2740505653225458E-4</v>
      </c>
      <c r="L184" s="241">
        <v>0.09</v>
      </c>
      <c r="N184" s="209"/>
    </row>
    <row r="185" spans="1:14">
      <c r="A185" t="s">
        <v>516</v>
      </c>
      <c r="B185" s="271" t="s">
        <v>517</v>
      </c>
      <c r="C185" s="325">
        <v>1209.393</v>
      </c>
      <c r="D185" s="325">
        <v>12.31</v>
      </c>
      <c r="E185" s="325">
        <f t="shared" si="8"/>
        <v>14887.627830000001</v>
      </c>
      <c r="F185" s="326" t="str">
        <f t="shared" si="9"/>
        <v/>
      </c>
      <c r="G185" s="327">
        <v>3.5743298131600321E-2</v>
      </c>
      <c r="H185" s="326" t="str">
        <f t="shared" si="10"/>
        <v/>
      </c>
      <c r="I185" s="327" t="s">
        <v>197</v>
      </c>
      <c r="J185" s="326" t="str">
        <f t="shared" si="11"/>
        <v/>
      </c>
      <c r="L185" s="231" t="s">
        <v>197</v>
      </c>
      <c r="N185" s="209"/>
    </row>
    <row r="186" spans="1:14">
      <c r="A186" t="s">
        <v>518</v>
      </c>
      <c r="B186" s="271" t="s">
        <v>519</v>
      </c>
      <c r="C186" s="325">
        <v>1320.059</v>
      </c>
      <c r="D186" s="325">
        <v>89.06</v>
      </c>
      <c r="E186" s="325">
        <f t="shared" si="8"/>
        <v>117564.45454000001</v>
      </c>
      <c r="F186" s="326">
        <f t="shared" si="9"/>
        <v>3.8907294992662233E-3</v>
      </c>
      <c r="G186" s="327">
        <v>2.2456770716370988E-2</v>
      </c>
      <c r="H186" s="326">
        <f t="shared" si="10"/>
        <v>8.737322028444248E-5</v>
      </c>
      <c r="I186" s="327">
        <v>0.06</v>
      </c>
      <c r="J186" s="326">
        <f t="shared" si="11"/>
        <v>2.3344376995597339E-4</v>
      </c>
      <c r="L186" s="241">
        <v>0.06</v>
      </c>
      <c r="N186" s="209"/>
    </row>
    <row r="187" spans="1:14">
      <c r="A187" t="s">
        <v>520</v>
      </c>
      <c r="B187" s="271" t="s">
        <v>521</v>
      </c>
      <c r="C187" s="325">
        <v>518.10400000000004</v>
      </c>
      <c r="D187" s="325">
        <v>73.959999999999994</v>
      </c>
      <c r="E187" s="325">
        <f t="shared" si="8"/>
        <v>38318.971839999998</v>
      </c>
      <c r="F187" s="326" t="str">
        <f t="shared" si="9"/>
        <v/>
      </c>
      <c r="G187" s="327">
        <v>1.6224986479177934E-2</v>
      </c>
      <c r="H187" s="326" t="str">
        <f t="shared" si="10"/>
        <v/>
      </c>
      <c r="I187" s="327" t="s">
        <v>197</v>
      </c>
      <c r="J187" s="326" t="str">
        <f t="shared" si="11"/>
        <v/>
      </c>
      <c r="L187" s="231" t="s">
        <v>197</v>
      </c>
      <c r="N187" s="209"/>
    </row>
    <row r="188" spans="1:14">
      <c r="A188" t="s">
        <v>522</v>
      </c>
      <c r="B188" s="271" t="s">
        <v>523</v>
      </c>
      <c r="C188" s="325">
        <v>1118.624</v>
      </c>
      <c r="D188" s="325">
        <v>84</v>
      </c>
      <c r="E188" s="325">
        <f t="shared" si="8"/>
        <v>93964.415999999997</v>
      </c>
      <c r="F188" s="326">
        <f t="shared" si="9"/>
        <v>3.1096994975478333E-3</v>
      </c>
      <c r="G188" s="327">
        <v>4.7619047619047623E-3</v>
      </c>
      <c r="H188" s="326">
        <f t="shared" si="10"/>
        <v>1.4808092845465875E-5</v>
      </c>
      <c r="I188" s="327">
        <v>0.115</v>
      </c>
      <c r="J188" s="326">
        <f t="shared" si="11"/>
        <v>3.5761544221800086E-4</v>
      </c>
      <c r="L188" s="241">
        <v>0.115</v>
      </c>
      <c r="N188" s="209"/>
    </row>
    <row r="189" spans="1:14">
      <c r="A189" t="s">
        <v>524</v>
      </c>
      <c r="B189" s="271" t="s">
        <v>525</v>
      </c>
      <c r="C189" s="325">
        <v>168.89699999999999</v>
      </c>
      <c r="D189" s="325">
        <v>253.18</v>
      </c>
      <c r="E189" s="325">
        <f t="shared" si="8"/>
        <v>42761.34246</v>
      </c>
      <c r="F189" s="326">
        <f t="shared" si="9"/>
        <v>1.4151625777393522E-3</v>
      </c>
      <c r="G189" s="327">
        <v>1.2481238644442689E-2</v>
      </c>
      <c r="H189" s="326">
        <f t="shared" si="10"/>
        <v>1.7662981853449535E-5</v>
      </c>
      <c r="I189" s="327">
        <v>7.0000000000000007E-2</v>
      </c>
      <c r="J189" s="326">
        <f t="shared" si="11"/>
        <v>9.906138044175467E-5</v>
      </c>
      <c r="L189" s="241">
        <v>7.0000000000000007E-2</v>
      </c>
      <c r="N189" s="209"/>
    </row>
    <row r="190" spans="1:14">
      <c r="A190" t="s">
        <v>526</v>
      </c>
      <c r="B190" s="271" t="s">
        <v>527</v>
      </c>
      <c r="C190" s="325">
        <v>106.643</v>
      </c>
      <c r="D190" s="325">
        <v>128.94</v>
      </c>
      <c r="E190" s="325">
        <f t="shared" si="8"/>
        <v>13750.548419999999</v>
      </c>
      <c r="F190" s="326">
        <f t="shared" si="9"/>
        <v>4.5506666600983453E-4</v>
      </c>
      <c r="G190" s="327">
        <v>1.4890646812470916E-2</v>
      </c>
      <c r="H190" s="326">
        <f t="shared" si="10"/>
        <v>6.776236999681109E-6</v>
      </c>
      <c r="I190" s="327">
        <v>0.12</v>
      </c>
      <c r="J190" s="326">
        <f t="shared" si="11"/>
        <v>5.4607999921180145E-5</v>
      </c>
      <c r="L190" s="241">
        <v>0.12</v>
      </c>
      <c r="N190" s="209"/>
    </row>
    <row r="191" spans="1:14">
      <c r="A191" t="s">
        <v>528</v>
      </c>
      <c r="B191" s="271" t="s">
        <v>529</v>
      </c>
      <c r="C191" s="325">
        <v>95.7</v>
      </c>
      <c r="D191" s="325">
        <v>285.33</v>
      </c>
      <c r="E191" s="325">
        <f t="shared" si="8"/>
        <v>27306.080999999998</v>
      </c>
      <c r="F191" s="326">
        <f t="shared" si="9"/>
        <v>9.0367939248087734E-4</v>
      </c>
      <c r="G191" s="327" t="s">
        <v>197</v>
      </c>
      <c r="H191" s="326" t="str">
        <f t="shared" si="10"/>
        <v/>
      </c>
      <c r="I191" s="327">
        <v>0.06</v>
      </c>
      <c r="J191" s="326">
        <f t="shared" si="11"/>
        <v>5.4220763548852637E-5</v>
      </c>
      <c r="L191" s="241">
        <v>0.06</v>
      </c>
      <c r="N191" s="209"/>
    </row>
    <row r="192" spans="1:14">
      <c r="A192" t="s">
        <v>530</v>
      </c>
      <c r="B192" s="271" t="s">
        <v>531</v>
      </c>
      <c r="C192" s="325">
        <v>797.43499999999995</v>
      </c>
      <c r="D192" s="325">
        <v>54.92</v>
      </c>
      <c r="E192" s="325">
        <f t="shared" si="8"/>
        <v>43795.1302</v>
      </c>
      <c r="F192" s="326">
        <f t="shared" si="9"/>
        <v>1.4493752015441882E-3</v>
      </c>
      <c r="G192" s="327">
        <v>4.0058266569555717E-2</v>
      </c>
      <c r="H192" s="326">
        <f t="shared" si="10"/>
        <v>5.8059458182760634E-5</v>
      </c>
      <c r="I192" s="327">
        <v>0.14000000000000001</v>
      </c>
      <c r="J192" s="326">
        <f t="shared" si="11"/>
        <v>2.0291252821618636E-4</v>
      </c>
      <c r="L192" s="241">
        <v>0.14000000000000001</v>
      </c>
      <c r="N192" s="209"/>
    </row>
    <row r="193" spans="1:14">
      <c r="A193" t="s">
        <v>532</v>
      </c>
      <c r="B193" s="271" t="s">
        <v>533</v>
      </c>
      <c r="C193" s="325">
        <v>1277.806</v>
      </c>
      <c r="D193" s="325">
        <v>169.24</v>
      </c>
      <c r="E193" s="325">
        <f t="shared" si="8"/>
        <v>216255.88744000002</v>
      </c>
      <c r="F193" s="326" t="str">
        <f t="shared" si="9"/>
        <v/>
      </c>
      <c r="G193" s="327">
        <v>7.2086977073977775E-3</v>
      </c>
      <c r="H193" s="326" t="str">
        <f t="shared" si="10"/>
        <v/>
      </c>
      <c r="I193" s="327">
        <v>0.27</v>
      </c>
      <c r="J193" s="326" t="str">
        <f t="shared" si="11"/>
        <v/>
      </c>
      <c r="L193" s="241">
        <v>0.27</v>
      </c>
      <c r="N193" s="209"/>
    </row>
    <row r="194" spans="1:14">
      <c r="A194" t="s">
        <v>534</v>
      </c>
      <c r="B194" s="271" t="s">
        <v>57</v>
      </c>
      <c r="C194" s="325">
        <v>392.70499999999998</v>
      </c>
      <c r="D194" s="325">
        <v>24.51</v>
      </c>
      <c r="E194" s="325">
        <f t="shared" si="8"/>
        <v>9625.1995499999994</v>
      </c>
      <c r="F194" s="326">
        <f t="shared" si="9"/>
        <v>3.1854056544588784E-4</v>
      </c>
      <c r="G194" s="327">
        <v>3.5903712770297837E-2</v>
      </c>
      <c r="H194" s="326">
        <f t="shared" si="10"/>
        <v>1.1436788967457416E-5</v>
      </c>
      <c r="I194" s="327">
        <v>8.5000000000000006E-2</v>
      </c>
      <c r="J194" s="326">
        <f t="shared" si="11"/>
        <v>2.7075948062900467E-5</v>
      </c>
      <c r="L194" s="241">
        <v>8.5000000000000006E-2</v>
      </c>
      <c r="N194" s="209"/>
    </row>
    <row r="195" spans="1:14">
      <c r="A195" t="s">
        <v>535</v>
      </c>
      <c r="B195" s="271" t="s">
        <v>536</v>
      </c>
      <c r="C195" s="325">
        <v>243.345</v>
      </c>
      <c r="D195" s="325">
        <v>265.27</v>
      </c>
      <c r="E195" s="325">
        <f t="shared" si="8"/>
        <v>64552.128149999997</v>
      </c>
      <c r="F195" s="326">
        <f t="shared" si="9"/>
        <v>2.136316373995219E-3</v>
      </c>
      <c r="G195" s="327">
        <v>1.6436083989897089E-2</v>
      </c>
      <c r="H195" s="326">
        <f t="shared" si="10"/>
        <v>3.5112675351977818E-5</v>
      </c>
      <c r="I195" s="327">
        <v>0.105</v>
      </c>
      <c r="J195" s="326">
        <f t="shared" si="11"/>
        <v>2.2431321926949798E-4</v>
      </c>
      <c r="L195" s="241">
        <v>0.105</v>
      </c>
      <c r="N195" s="209"/>
    </row>
    <row r="196" spans="1:14">
      <c r="A196" t="s">
        <v>537</v>
      </c>
      <c r="B196" s="271" t="s">
        <v>538</v>
      </c>
      <c r="C196" s="325">
        <v>265.06900000000002</v>
      </c>
      <c r="D196" s="325">
        <v>68.58</v>
      </c>
      <c r="E196" s="325">
        <f t="shared" si="8"/>
        <v>18178.43202</v>
      </c>
      <c r="F196" s="326">
        <f t="shared" si="9"/>
        <v>6.0160498330348209E-4</v>
      </c>
      <c r="G196" s="327">
        <v>3.7328667249927096E-2</v>
      </c>
      <c r="H196" s="326">
        <f t="shared" si="10"/>
        <v>2.2457112237633628E-5</v>
      </c>
      <c r="I196" s="327">
        <v>0.06</v>
      </c>
      <c r="J196" s="326">
        <f t="shared" si="11"/>
        <v>3.6096298998208924E-5</v>
      </c>
      <c r="L196" s="241">
        <v>0.06</v>
      </c>
      <c r="N196" s="209"/>
    </row>
    <row r="197" spans="1:14">
      <c r="A197" t="s">
        <v>539</v>
      </c>
      <c r="B197" s="271" t="s">
        <v>540</v>
      </c>
      <c r="C197" s="325">
        <v>343.80599999999998</v>
      </c>
      <c r="D197" s="325">
        <v>82.27</v>
      </c>
      <c r="E197" s="325">
        <f t="shared" si="8"/>
        <v>28284.919619999997</v>
      </c>
      <c r="F197" s="326">
        <f t="shared" si="9"/>
        <v>9.3607350606526244E-4</v>
      </c>
      <c r="G197" s="327">
        <v>2.9293788744378269E-2</v>
      </c>
      <c r="H197" s="326">
        <f t="shared" si="10"/>
        <v>2.7421139535885288E-5</v>
      </c>
      <c r="I197" s="327">
        <v>6.5000000000000002E-2</v>
      </c>
      <c r="J197" s="326">
        <f t="shared" si="11"/>
        <v>6.0844777894242059E-5</v>
      </c>
      <c r="L197" s="241">
        <v>6.5000000000000002E-2</v>
      </c>
      <c r="N197" s="209"/>
    </row>
    <row r="198" spans="1:14">
      <c r="A198" t="s">
        <v>541</v>
      </c>
      <c r="B198" s="271" t="s">
        <v>542</v>
      </c>
      <c r="C198" s="325">
        <v>158.53800000000001</v>
      </c>
      <c r="D198" s="325">
        <v>348.8</v>
      </c>
      <c r="E198" s="325">
        <f t="shared" si="8"/>
        <v>55298.054400000008</v>
      </c>
      <c r="F198" s="326">
        <f t="shared" si="9"/>
        <v>1.8300580081618638E-3</v>
      </c>
      <c r="G198" s="327">
        <v>1.8004587155963304E-2</v>
      </c>
      <c r="H198" s="326">
        <f t="shared" si="10"/>
        <v>3.2949438908418879E-5</v>
      </c>
      <c r="I198" s="327">
        <v>8.5000000000000006E-2</v>
      </c>
      <c r="J198" s="326">
        <f t="shared" si="11"/>
        <v>1.5555493069375844E-4</v>
      </c>
      <c r="L198" s="241">
        <v>8.5000000000000006E-2</v>
      </c>
      <c r="N198" s="209"/>
    </row>
    <row r="199" spans="1:14">
      <c r="A199" t="s">
        <v>543</v>
      </c>
      <c r="B199" s="271" t="s">
        <v>544</v>
      </c>
      <c r="C199" s="325">
        <v>3987.2330000000002</v>
      </c>
      <c r="D199" s="325">
        <v>47.78</v>
      </c>
      <c r="E199" s="325">
        <f t="shared" si="8"/>
        <v>190509.99274000002</v>
      </c>
      <c r="F199" s="326">
        <f t="shared" si="9"/>
        <v>6.3048210580207232E-3</v>
      </c>
      <c r="G199" s="327">
        <v>1.674340728338217E-2</v>
      </c>
      <c r="H199" s="326">
        <f t="shared" si="10"/>
        <v>1.0556418682328546E-4</v>
      </c>
      <c r="I199" s="327">
        <v>5.5E-2</v>
      </c>
      <c r="J199" s="326">
        <f t="shared" si="11"/>
        <v>3.4676515819113978E-4</v>
      </c>
      <c r="L199" s="241">
        <v>5.5E-2</v>
      </c>
      <c r="N199" s="209"/>
    </row>
    <row r="200" spans="1:14">
      <c r="A200" t="s">
        <v>545</v>
      </c>
      <c r="B200" s="271" t="s">
        <v>546</v>
      </c>
      <c r="C200" s="325">
        <v>285.79899999999998</v>
      </c>
      <c r="D200" s="325">
        <v>106.26</v>
      </c>
      <c r="E200" s="325">
        <f t="shared" si="8"/>
        <v>30369.00174</v>
      </c>
      <c r="F200" s="326">
        <f t="shared" si="9"/>
        <v>1.0050450316416298E-3</v>
      </c>
      <c r="G200" s="327">
        <v>1.5245623941276116E-2</v>
      </c>
      <c r="H200" s="326">
        <f t="shared" si="10"/>
        <v>1.5322538596456243E-5</v>
      </c>
      <c r="I200" s="327">
        <v>0.12</v>
      </c>
      <c r="J200" s="326">
        <f t="shared" si="11"/>
        <v>1.2060540379699557E-4</v>
      </c>
      <c r="L200" s="241">
        <v>0.12</v>
      </c>
      <c r="N200" s="209"/>
    </row>
    <row r="201" spans="1:14">
      <c r="A201" t="s">
        <v>547</v>
      </c>
      <c r="B201" s="271" t="s">
        <v>548</v>
      </c>
      <c r="C201" s="325">
        <v>71.052000000000007</v>
      </c>
      <c r="D201" s="325">
        <v>106.78</v>
      </c>
      <c r="E201" s="325">
        <f t="shared" si="8"/>
        <v>7586.9325600000011</v>
      </c>
      <c r="F201" s="326">
        <f t="shared" si="9"/>
        <v>2.5108526582830356E-4</v>
      </c>
      <c r="G201" s="327">
        <v>1.4047574452144595E-3</v>
      </c>
      <c r="H201" s="326">
        <f t="shared" si="10"/>
        <v>3.5271389655596112E-7</v>
      </c>
      <c r="I201" s="327">
        <v>0.13500000000000001</v>
      </c>
      <c r="J201" s="326">
        <f t="shared" si="11"/>
        <v>3.3896510886820982E-5</v>
      </c>
      <c r="L201" s="241">
        <v>0.13500000000000001</v>
      </c>
      <c r="N201" s="209"/>
    </row>
    <row r="202" spans="1:14">
      <c r="A202" t="s">
        <v>549</v>
      </c>
      <c r="B202" s="271" t="s">
        <v>550</v>
      </c>
      <c r="C202" s="325">
        <v>933.98099999999999</v>
      </c>
      <c r="D202" s="325">
        <v>29.65</v>
      </c>
      <c r="E202" s="325">
        <f t="shared" si="8"/>
        <v>27692.536649999998</v>
      </c>
      <c r="F202" s="326" t="str">
        <f t="shared" si="9"/>
        <v/>
      </c>
      <c r="G202" s="327">
        <v>1.3490725126475548E-3</v>
      </c>
      <c r="H202" s="326" t="str">
        <f t="shared" si="10"/>
        <v/>
      </c>
      <c r="I202" s="327">
        <v>0.36499999999999999</v>
      </c>
      <c r="J202" s="326" t="str">
        <f t="shared" si="11"/>
        <v/>
      </c>
      <c r="L202" s="241">
        <v>0.36499999999999999</v>
      </c>
      <c r="N202" s="209"/>
    </row>
    <row r="203" spans="1:14">
      <c r="A203" t="s">
        <v>551</v>
      </c>
      <c r="B203" s="271" t="s">
        <v>552</v>
      </c>
      <c r="C203" s="325">
        <v>212.559</v>
      </c>
      <c r="D203" s="325">
        <v>67.31</v>
      </c>
      <c r="E203" s="325">
        <f t="shared" si="8"/>
        <v>14307.346289999999</v>
      </c>
      <c r="F203" s="326">
        <f t="shared" si="9"/>
        <v>4.7349357834838087E-4</v>
      </c>
      <c r="G203" s="327">
        <v>4.1598573763185251E-2</v>
      </c>
      <c r="H203" s="326">
        <f t="shared" si="10"/>
        <v>1.9696657545319655E-5</v>
      </c>
      <c r="I203" s="327">
        <v>0.06</v>
      </c>
      <c r="J203" s="326">
        <f t="shared" si="11"/>
        <v>2.8409614700902852E-5</v>
      </c>
      <c r="L203" s="241">
        <v>0.06</v>
      </c>
      <c r="N203" s="209"/>
    </row>
    <row r="204" spans="1:14">
      <c r="A204" t="s">
        <v>553</v>
      </c>
      <c r="B204" s="271" t="s">
        <v>554</v>
      </c>
      <c r="C204" s="325">
        <v>445.93700000000001</v>
      </c>
      <c r="D204" s="325">
        <v>59.84</v>
      </c>
      <c r="E204" s="325">
        <f t="shared" si="8"/>
        <v>26684.870080000001</v>
      </c>
      <c r="F204" s="326">
        <f t="shared" si="9"/>
        <v>8.8312076648148607E-4</v>
      </c>
      <c r="G204" s="327">
        <v>6.25E-2</v>
      </c>
      <c r="H204" s="326">
        <f t="shared" si="10"/>
        <v>5.5195047905092879E-5</v>
      </c>
      <c r="I204" s="327">
        <v>0.1</v>
      </c>
      <c r="J204" s="326">
        <f t="shared" si="11"/>
        <v>8.8312076648148607E-5</v>
      </c>
      <c r="L204" s="241">
        <v>0.1</v>
      </c>
      <c r="N204" s="209"/>
    </row>
    <row r="205" spans="1:14">
      <c r="A205" t="s">
        <v>555</v>
      </c>
      <c r="B205" s="271" t="s">
        <v>556</v>
      </c>
      <c r="C205" s="325">
        <v>206.16200000000001</v>
      </c>
      <c r="D205" s="325">
        <v>98.29</v>
      </c>
      <c r="E205" s="325">
        <f t="shared" si="8"/>
        <v>20263.662980000001</v>
      </c>
      <c r="F205" s="326">
        <f t="shared" si="9"/>
        <v>6.7061452909348825E-4</v>
      </c>
      <c r="G205" s="327">
        <v>1.0580933970902434E-2</v>
      </c>
      <c r="H205" s="326">
        <f t="shared" si="10"/>
        <v>7.0957280522660287E-6</v>
      </c>
      <c r="I205" s="327">
        <v>6.5000000000000002E-2</v>
      </c>
      <c r="J205" s="326">
        <f t="shared" si="11"/>
        <v>4.3589944391076739E-5</v>
      </c>
      <c r="L205" s="241">
        <v>6.5000000000000002E-2</v>
      </c>
      <c r="N205" s="209"/>
    </row>
    <row r="206" spans="1:14">
      <c r="A206" t="s">
        <v>557</v>
      </c>
      <c r="B206" s="271" t="s">
        <v>558</v>
      </c>
      <c r="C206" s="325">
        <v>128.51499999999999</v>
      </c>
      <c r="D206" s="325">
        <v>302.06</v>
      </c>
      <c r="E206" s="325">
        <f t="shared" si="8"/>
        <v>38819.240899999997</v>
      </c>
      <c r="F206" s="326">
        <f t="shared" si="9"/>
        <v>1.2847009438330175E-3</v>
      </c>
      <c r="G206" s="327">
        <v>1.3639674236906575E-2</v>
      </c>
      <c r="H206" s="326">
        <f t="shared" si="10"/>
        <v>1.7522902365728769E-5</v>
      </c>
      <c r="I206" s="327">
        <v>0.14000000000000001</v>
      </c>
      <c r="J206" s="326">
        <f t="shared" si="11"/>
        <v>1.7985813213662247E-4</v>
      </c>
      <c r="L206" s="241">
        <v>0.14000000000000001</v>
      </c>
      <c r="N206" s="209"/>
    </row>
    <row r="207" spans="1:14">
      <c r="A207" t="s">
        <v>559</v>
      </c>
      <c r="B207" s="271" t="s">
        <v>560</v>
      </c>
      <c r="C207" s="325">
        <v>492.04899999999998</v>
      </c>
      <c r="D207" s="325">
        <v>33.28</v>
      </c>
      <c r="E207" s="325">
        <f t="shared" si="8"/>
        <v>16375.390719999999</v>
      </c>
      <c r="F207" s="326">
        <f t="shared" si="9"/>
        <v>5.4193434559454343E-4</v>
      </c>
      <c r="G207" s="327">
        <v>1.2019230769230772E-2</v>
      </c>
      <c r="H207" s="326">
        <f t="shared" si="10"/>
        <v>6.5136339614728786E-6</v>
      </c>
      <c r="I207" s="327">
        <v>0.115</v>
      </c>
      <c r="J207" s="326">
        <f t="shared" si="11"/>
        <v>6.2322449743372498E-5</v>
      </c>
      <c r="L207" s="241">
        <v>0.115</v>
      </c>
      <c r="N207" s="209"/>
    </row>
    <row r="208" spans="1:14">
      <c r="A208" t="s">
        <v>561</v>
      </c>
      <c r="B208" s="271" t="s">
        <v>562</v>
      </c>
      <c r="C208" s="325">
        <v>750.71600000000001</v>
      </c>
      <c r="D208" s="325">
        <v>27.83</v>
      </c>
      <c r="E208" s="325">
        <f t="shared" si="8"/>
        <v>20892.42628</v>
      </c>
      <c r="F208" s="326" t="str">
        <f t="shared" si="9"/>
        <v/>
      </c>
      <c r="G208" s="327">
        <v>5.9647862019403523E-2</v>
      </c>
      <c r="H208" s="326" t="str">
        <f t="shared" si="10"/>
        <v/>
      </c>
      <c r="I208" s="327" t="s">
        <v>197</v>
      </c>
      <c r="J208" s="326" t="str">
        <f t="shared" si="11"/>
        <v/>
      </c>
      <c r="L208" s="231" t="s">
        <v>197</v>
      </c>
      <c r="N208" s="209"/>
    </row>
    <row r="209" spans="1:14">
      <c r="A209" t="s">
        <v>563</v>
      </c>
      <c r="B209" s="271" t="s">
        <v>564</v>
      </c>
      <c r="C209" s="325">
        <v>1318.9469999999999</v>
      </c>
      <c r="D209" s="325">
        <v>70.13</v>
      </c>
      <c r="E209" s="325">
        <f t="shared" si="8"/>
        <v>92497.753109999991</v>
      </c>
      <c r="F209" s="326">
        <f t="shared" si="9"/>
        <v>3.0611611141229305E-3</v>
      </c>
      <c r="G209" s="327">
        <v>2.6236988450021384E-2</v>
      </c>
      <c r="H209" s="326">
        <f t="shared" si="10"/>
        <v>8.0315648794897912E-5</v>
      </c>
      <c r="I209" s="327">
        <v>0.13500000000000001</v>
      </c>
      <c r="J209" s="326">
        <f t="shared" si="11"/>
        <v>4.1325675040659562E-4</v>
      </c>
      <c r="L209" s="241">
        <v>0.13500000000000001</v>
      </c>
      <c r="N209" s="209"/>
    </row>
    <row r="210" spans="1:14">
      <c r="A210" t="s">
        <v>565</v>
      </c>
      <c r="B210" s="271" t="s">
        <v>566</v>
      </c>
      <c r="C210" s="325">
        <v>253.18600000000001</v>
      </c>
      <c r="D210" s="325">
        <v>50.03</v>
      </c>
      <c r="E210" s="325">
        <f t="shared" si="8"/>
        <v>12666.89558</v>
      </c>
      <c r="F210" s="326">
        <f t="shared" si="9"/>
        <v>4.1920378476695763E-4</v>
      </c>
      <c r="G210" s="327">
        <v>1.1193284029582251E-2</v>
      </c>
      <c r="H210" s="326">
        <f t="shared" si="10"/>
        <v>4.6922670291724225E-6</v>
      </c>
      <c r="I210" s="327">
        <v>0.125</v>
      </c>
      <c r="J210" s="326">
        <f t="shared" si="11"/>
        <v>5.2400473095869703E-5</v>
      </c>
      <c r="L210" s="241">
        <v>0.125</v>
      </c>
      <c r="N210" s="209"/>
    </row>
    <row r="211" spans="1:14">
      <c r="A211" t="s">
        <v>567</v>
      </c>
      <c r="B211" s="271" t="s">
        <v>568</v>
      </c>
      <c r="C211" s="325">
        <v>112.819</v>
      </c>
      <c r="D211" s="325">
        <v>65.05</v>
      </c>
      <c r="E211" s="325">
        <f t="shared" si="8"/>
        <v>7338.8759499999996</v>
      </c>
      <c r="F211" s="326" t="str">
        <f t="shared" si="9"/>
        <v/>
      </c>
      <c r="G211" s="327">
        <v>5.2267486548808612E-2</v>
      </c>
      <c r="H211" s="326" t="str">
        <f t="shared" si="10"/>
        <v/>
      </c>
      <c r="I211" s="327">
        <v>0</v>
      </c>
      <c r="J211" s="326" t="str">
        <f t="shared" si="11"/>
        <v/>
      </c>
      <c r="L211" s="241">
        <v>0</v>
      </c>
      <c r="N211" s="209"/>
    </row>
    <row r="212" spans="1:14">
      <c r="A212" t="s">
        <v>569</v>
      </c>
      <c r="B212" s="271" t="s">
        <v>570</v>
      </c>
      <c r="C212" s="325">
        <v>422.64100000000002</v>
      </c>
      <c r="D212" s="325">
        <v>197</v>
      </c>
      <c r="E212" s="325">
        <f t="shared" ref="E212:E275" si="12">IFERROR(C212*D212,"")</f>
        <v>83260.277000000002</v>
      </c>
      <c r="F212" s="326">
        <f t="shared" ref="F212:F275" si="13">IF(AND(ISNUMBER($I212)), IF(AND($I212&lt;=20%,$I212&gt;0%), $E212/SUMIFS($E$19:$E$523,$I$19:$I$523, "&gt;"&amp;0%,$I$19:$I$523, "&lt;="&amp;20%),""),"")</f>
        <v>2.7554520378500879E-3</v>
      </c>
      <c r="G212" s="327">
        <v>2.5380710659898477E-2</v>
      </c>
      <c r="H212" s="326">
        <f t="shared" ref="H212:H275" si="14">IFERROR($G212*$F212,"")</f>
        <v>6.9935330909900705E-5</v>
      </c>
      <c r="I212" s="327">
        <v>0.115</v>
      </c>
      <c r="J212" s="326">
        <f t="shared" ref="J212:J275" si="15">IFERROR($I212*$F212,"")</f>
        <v>3.1687698435276012E-4</v>
      </c>
      <c r="L212" s="241">
        <v>0.115</v>
      </c>
      <c r="N212" s="209"/>
    </row>
    <row r="213" spans="1:14">
      <c r="A213" t="s">
        <v>571</v>
      </c>
      <c r="B213" s="271" t="s">
        <v>572</v>
      </c>
      <c r="C213" s="325">
        <v>237.40100000000001</v>
      </c>
      <c r="D213" s="325">
        <v>154.16999999999999</v>
      </c>
      <c r="E213" s="325">
        <f t="shared" si="12"/>
        <v>36600.11217</v>
      </c>
      <c r="F213" s="326">
        <f t="shared" si="13"/>
        <v>1.2112601266552152E-3</v>
      </c>
      <c r="G213" s="327">
        <v>1.5307777129143154E-2</v>
      </c>
      <c r="H213" s="326">
        <f t="shared" si="14"/>
        <v>1.8541700064255742E-5</v>
      </c>
      <c r="I213" s="327">
        <v>0.03</v>
      </c>
      <c r="J213" s="326">
        <f t="shared" si="15"/>
        <v>3.6337803799656454E-5</v>
      </c>
      <c r="L213" s="241">
        <v>0.03</v>
      </c>
      <c r="N213" s="209"/>
    </row>
    <row r="214" spans="1:14">
      <c r="A214" t="s">
        <v>573</v>
      </c>
      <c r="B214" s="271" t="s">
        <v>574</v>
      </c>
      <c r="C214" s="325">
        <v>584.4</v>
      </c>
      <c r="D214" s="325">
        <v>92.94</v>
      </c>
      <c r="E214" s="325">
        <f t="shared" si="12"/>
        <v>54314.135999999999</v>
      </c>
      <c r="F214" s="326">
        <f t="shared" si="13"/>
        <v>1.7974957821154838E-3</v>
      </c>
      <c r="G214" s="327">
        <v>4.3038519474930068E-3</v>
      </c>
      <c r="H214" s="326">
        <f t="shared" si="14"/>
        <v>7.7361557224681897E-6</v>
      </c>
      <c r="I214" s="327">
        <v>0.05</v>
      </c>
      <c r="J214" s="326">
        <f t="shared" si="15"/>
        <v>8.98747891057742E-5</v>
      </c>
      <c r="L214" s="241">
        <v>0.05</v>
      </c>
      <c r="N214" s="209"/>
    </row>
    <row r="215" spans="1:14">
      <c r="A215" t="s">
        <v>575</v>
      </c>
      <c r="B215" s="271" t="s">
        <v>576</v>
      </c>
      <c r="C215" s="325">
        <v>505.66399999999999</v>
      </c>
      <c r="D215" s="325">
        <v>62.49</v>
      </c>
      <c r="E215" s="325">
        <f t="shared" si="12"/>
        <v>31598.943360000001</v>
      </c>
      <c r="F215" s="326">
        <f t="shared" si="13"/>
        <v>1.0457492577789708E-3</v>
      </c>
      <c r="G215" s="327">
        <v>3.2645223235717717E-2</v>
      </c>
      <c r="H215" s="326">
        <f t="shared" si="14"/>
        <v>3.4138717968780617E-5</v>
      </c>
      <c r="I215" s="327">
        <v>3.5000000000000003E-2</v>
      </c>
      <c r="J215" s="326">
        <f t="shared" si="15"/>
        <v>3.660122402226398E-5</v>
      </c>
      <c r="L215" s="241">
        <v>3.5000000000000003E-2</v>
      </c>
      <c r="N215" s="209"/>
    </row>
    <row r="216" spans="1:14">
      <c r="A216" t="s">
        <v>577</v>
      </c>
      <c r="B216" s="271" t="s">
        <v>578</v>
      </c>
      <c r="C216" s="325">
        <v>111.33</v>
      </c>
      <c r="D216" s="325">
        <v>111.17</v>
      </c>
      <c r="E216" s="325">
        <f t="shared" si="12"/>
        <v>12376.5561</v>
      </c>
      <c r="F216" s="326">
        <f t="shared" si="13"/>
        <v>4.0959516297682915E-4</v>
      </c>
      <c r="G216" s="327">
        <v>1.3672753440676443E-2</v>
      </c>
      <c r="H216" s="326">
        <f t="shared" si="14"/>
        <v>5.6002936738758691E-6</v>
      </c>
      <c r="I216" s="327">
        <v>7.4999999999999997E-2</v>
      </c>
      <c r="J216" s="326">
        <f t="shared" si="15"/>
        <v>3.0719637223262182E-5</v>
      </c>
      <c r="L216" s="241">
        <v>7.4999999999999997E-2</v>
      </c>
      <c r="N216" s="209"/>
    </row>
    <row r="217" spans="1:14">
      <c r="A217" t="s">
        <v>579</v>
      </c>
      <c r="B217" s="271" t="s">
        <v>580</v>
      </c>
      <c r="C217" s="325">
        <v>379.90800000000002</v>
      </c>
      <c r="D217" s="325">
        <v>65.28</v>
      </c>
      <c r="E217" s="325">
        <f t="shared" si="12"/>
        <v>24800.394240000001</v>
      </c>
      <c r="F217" s="326" t="str">
        <f t="shared" si="13"/>
        <v/>
      </c>
      <c r="G217" s="327">
        <v>4.0594362745098034E-2</v>
      </c>
      <c r="H217" s="326" t="str">
        <f t="shared" si="14"/>
        <v/>
      </c>
      <c r="I217" s="327" t="s">
        <v>197</v>
      </c>
      <c r="J217" s="326" t="str">
        <f t="shared" si="15"/>
        <v/>
      </c>
      <c r="L217" s="231" t="s">
        <v>197</v>
      </c>
      <c r="N217" s="209"/>
    </row>
    <row r="218" spans="1:14">
      <c r="A218" t="s">
        <v>581</v>
      </c>
      <c r="B218" s="271" t="s">
        <v>582</v>
      </c>
      <c r="C218" s="325">
        <v>1402.633</v>
      </c>
      <c r="D218" s="325">
        <v>28.68</v>
      </c>
      <c r="E218" s="325">
        <f t="shared" si="12"/>
        <v>40227.514439999999</v>
      </c>
      <c r="F218" s="326">
        <f t="shared" si="13"/>
        <v>1.3313069645605651E-3</v>
      </c>
      <c r="G218" s="327">
        <v>1.7433751743375175E-2</v>
      </c>
      <c r="H218" s="326">
        <f t="shared" si="14"/>
        <v>2.3209675114375263E-5</v>
      </c>
      <c r="I218" s="327">
        <v>8.5000000000000006E-2</v>
      </c>
      <c r="J218" s="326">
        <f t="shared" si="15"/>
        <v>1.1316109198764805E-4</v>
      </c>
      <c r="L218" s="241">
        <v>8.5000000000000006E-2</v>
      </c>
      <c r="N218" s="209"/>
    </row>
    <row r="219" spans="1:14">
      <c r="A219" t="s">
        <v>583</v>
      </c>
      <c r="B219" s="271" t="s">
        <v>584</v>
      </c>
      <c r="C219" s="325">
        <v>1811.306</v>
      </c>
      <c r="D219" s="325">
        <v>77.39</v>
      </c>
      <c r="E219" s="325">
        <f t="shared" si="12"/>
        <v>140176.97134000002</v>
      </c>
      <c r="F219" s="326">
        <f t="shared" si="13"/>
        <v>4.6390780244276201E-3</v>
      </c>
      <c r="G219" s="327">
        <v>9.3035275875436099E-3</v>
      </c>
      <c r="H219" s="326">
        <f t="shared" si="14"/>
        <v>4.3159790381029673E-5</v>
      </c>
      <c r="I219" s="327">
        <v>7.0000000000000007E-2</v>
      </c>
      <c r="J219" s="326">
        <f t="shared" si="15"/>
        <v>3.2473546170993346E-4</v>
      </c>
      <c r="L219" s="241">
        <v>7.0000000000000007E-2</v>
      </c>
      <c r="N219" s="209"/>
    </row>
    <row r="220" spans="1:14">
      <c r="A220" t="s">
        <v>585</v>
      </c>
      <c r="B220" s="271" t="s">
        <v>586</v>
      </c>
      <c r="C220" s="325">
        <v>262.19600000000003</v>
      </c>
      <c r="D220" s="325">
        <v>331.24</v>
      </c>
      <c r="E220" s="325">
        <f t="shared" si="12"/>
        <v>86849.803040000013</v>
      </c>
      <c r="F220" s="326">
        <f t="shared" si="13"/>
        <v>2.8742453832269477E-3</v>
      </c>
      <c r="G220" s="327">
        <v>6.6417099384132351E-3</v>
      </c>
      <c r="H220" s="326">
        <f t="shared" si="14"/>
        <v>1.9089904127216775E-5</v>
      </c>
      <c r="I220" s="327">
        <v>0.105</v>
      </c>
      <c r="J220" s="326">
        <f t="shared" si="15"/>
        <v>3.0179576523882949E-4</v>
      </c>
      <c r="L220" s="241">
        <v>0.105</v>
      </c>
      <c r="N220" s="209"/>
    </row>
    <row r="221" spans="1:14">
      <c r="A221" t="s">
        <v>587</v>
      </c>
      <c r="B221" s="271" t="s">
        <v>588</v>
      </c>
      <c r="C221" s="325">
        <v>74.08</v>
      </c>
      <c r="D221" s="325">
        <v>442.66</v>
      </c>
      <c r="E221" s="325">
        <f t="shared" si="12"/>
        <v>32792.252800000002</v>
      </c>
      <c r="F221" s="326">
        <f t="shared" si="13"/>
        <v>1.0852411625228589E-3</v>
      </c>
      <c r="G221" s="327">
        <v>1.6265305200379523E-3</v>
      </c>
      <c r="H221" s="326">
        <f t="shared" si="14"/>
        <v>1.7651778724448975E-6</v>
      </c>
      <c r="I221" s="327">
        <v>0.17</v>
      </c>
      <c r="J221" s="326">
        <f t="shared" si="15"/>
        <v>1.8449099762888604E-4</v>
      </c>
      <c r="L221" s="241">
        <v>0.17</v>
      </c>
      <c r="N221" s="209"/>
    </row>
    <row r="222" spans="1:14">
      <c r="A222" t="s">
        <v>589</v>
      </c>
      <c r="B222" s="271" t="s">
        <v>590</v>
      </c>
      <c r="C222" s="325">
        <v>108.363</v>
      </c>
      <c r="D222" s="325">
        <v>126.47</v>
      </c>
      <c r="E222" s="325">
        <f t="shared" si="12"/>
        <v>13704.668610000001</v>
      </c>
      <c r="F222" s="326">
        <f t="shared" si="13"/>
        <v>4.5354829950283054E-4</v>
      </c>
      <c r="G222" s="327">
        <v>3.1311773543132762E-2</v>
      </c>
      <c r="H222" s="326">
        <f t="shared" si="14"/>
        <v>1.4201401644905584E-5</v>
      </c>
      <c r="I222" s="327">
        <v>0.04</v>
      </c>
      <c r="J222" s="326">
        <f t="shared" si="15"/>
        <v>1.8141931980113222E-5</v>
      </c>
      <c r="L222" s="241">
        <v>0.04</v>
      </c>
      <c r="N222" s="209"/>
    </row>
    <row r="223" spans="1:14">
      <c r="A223" t="s">
        <v>591</v>
      </c>
      <c r="B223" s="271" t="s">
        <v>592</v>
      </c>
      <c r="C223" s="325">
        <v>53.725000000000001</v>
      </c>
      <c r="D223" s="325">
        <v>205.91</v>
      </c>
      <c r="E223" s="325">
        <f t="shared" si="12"/>
        <v>11062.51475</v>
      </c>
      <c r="F223" s="326">
        <f t="shared" si="13"/>
        <v>3.6610770357675074E-4</v>
      </c>
      <c r="G223" s="327">
        <v>2.7584867174979363E-2</v>
      </c>
      <c r="H223" s="326">
        <f t="shared" si="14"/>
        <v>1.0099032374901387E-5</v>
      </c>
      <c r="I223" s="327">
        <v>4.4999999999999998E-2</v>
      </c>
      <c r="J223" s="326">
        <f t="shared" si="15"/>
        <v>1.6474846660953784E-5</v>
      </c>
      <c r="L223" s="241">
        <v>4.4999999999999998E-2</v>
      </c>
      <c r="N223" s="209"/>
    </row>
    <row r="224" spans="1:14">
      <c r="A224" t="s">
        <v>593</v>
      </c>
      <c r="B224" s="271" t="s">
        <v>594</v>
      </c>
      <c r="C224" s="325">
        <v>231.32499999999999</v>
      </c>
      <c r="D224" s="325">
        <v>136.5</v>
      </c>
      <c r="E224" s="325">
        <f t="shared" si="12"/>
        <v>31575.862499999999</v>
      </c>
      <c r="F224" s="326">
        <f t="shared" si="13"/>
        <v>1.0449854096990234E-3</v>
      </c>
      <c r="G224" s="327">
        <v>5.8608058608058608E-3</v>
      </c>
      <c r="H224" s="326">
        <f t="shared" si="14"/>
        <v>6.1244566136206503E-6</v>
      </c>
      <c r="I224" s="327">
        <v>0.09</v>
      </c>
      <c r="J224" s="326">
        <f t="shared" si="15"/>
        <v>9.4048686872912109E-5</v>
      </c>
      <c r="L224" s="241">
        <v>0.09</v>
      </c>
      <c r="N224" s="209"/>
    </row>
    <row r="225" spans="1:14">
      <c r="A225" t="s">
        <v>595</v>
      </c>
      <c r="B225" s="271" t="s">
        <v>83</v>
      </c>
      <c r="C225" s="325">
        <v>1059.8040000000001</v>
      </c>
      <c r="D225" s="325">
        <v>61.1</v>
      </c>
      <c r="E225" s="325">
        <f t="shared" si="12"/>
        <v>64754.024400000009</v>
      </c>
      <c r="F225" s="326">
        <f t="shared" si="13"/>
        <v>2.1429980168330975E-3</v>
      </c>
      <c r="G225" s="327">
        <v>4.3207855973813422E-2</v>
      </c>
      <c r="H225" s="326">
        <f t="shared" si="14"/>
        <v>9.2594349663492267E-5</v>
      </c>
      <c r="I225" s="327">
        <v>0.06</v>
      </c>
      <c r="J225" s="326">
        <f t="shared" si="15"/>
        <v>1.2857988100998586E-4</v>
      </c>
      <c r="L225" s="241">
        <v>0.06</v>
      </c>
      <c r="N225" s="209"/>
    </row>
    <row r="226" spans="1:14">
      <c r="A226" t="s">
        <v>596</v>
      </c>
      <c r="B226" s="271" t="s">
        <v>597</v>
      </c>
      <c r="C226" s="325">
        <v>1334.8920000000001</v>
      </c>
      <c r="D226" s="325">
        <v>59.31</v>
      </c>
      <c r="E226" s="325">
        <f t="shared" si="12"/>
        <v>79172.444520000005</v>
      </c>
      <c r="F226" s="326">
        <f t="shared" si="13"/>
        <v>2.6201675211122233E-3</v>
      </c>
      <c r="G226" s="327">
        <v>3.2372281234193216E-2</v>
      </c>
      <c r="H226" s="326">
        <f t="shared" si="14"/>
        <v>8.4820799874143785E-5</v>
      </c>
      <c r="I226" s="327">
        <v>7.0000000000000007E-2</v>
      </c>
      <c r="J226" s="326">
        <f t="shared" si="15"/>
        <v>1.8341172647785565E-4</v>
      </c>
      <c r="L226" s="241">
        <v>7.0000000000000007E-2</v>
      </c>
      <c r="N226" s="209"/>
    </row>
    <row r="227" spans="1:14">
      <c r="A227" t="s">
        <v>598</v>
      </c>
      <c r="B227" s="271" t="s">
        <v>599</v>
      </c>
      <c r="C227" s="325">
        <v>591.91999999999996</v>
      </c>
      <c r="D227" s="325">
        <v>44.4</v>
      </c>
      <c r="E227" s="325">
        <f t="shared" si="12"/>
        <v>26281.247999999996</v>
      </c>
      <c r="F227" s="326" t="str">
        <f t="shared" si="13"/>
        <v/>
      </c>
      <c r="G227" s="327" t="s">
        <v>197</v>
      </c>
      <c r="H227" s="326" t="str">
        <f t="shared" si="14"/>
        <v/>
      </c>
      <c r="I227" s="327">
        <v>0.34</v>
      </c>
      <c r="J227" s="326" t="str">
        <f t="shared" si="15"/>
        <v/>
      </c>
      <c r="L227" s="241">
        <v>0.34</v>
      </c>
      <c r="N227" s="209"/>
    </row>
    <row r="228" spans="1:14">
      <c r="A228" t="s">
        <v>600</v>
      </c>
      <c r="B228" s="271" t="s">
        <v>601</v>
      </c>
      <c r="C228" s="325">
        <v>176.64</v>
      </c>
      <c r="D228" s="325">
        <v>76.64</v>
      </c>
      <c r="E228" s="325">
        <f t="shared" si="12"/>
        <v>13537.6896</v>
      </c>
      <c r="F228" s="326">
        <f t="shared" si="13"/>
        <v>4.4802222308366738E-4</v>
      </c>
      <c r="G228" s="327">
        <v>6.7849686847599169E-3</v>
      </c>
      <c r="H228" s="326">
        <f t="shared" si="14"/>
        <v>3.0398167536992047E-6</v>
      </c>
      <c r="I228" s="327">
        <v>0.14499999999999999</v>
      </c>
      <c r="J228" s="326">
        <f t="shared" si="15"/>
        <v>6.4963222347131763E-5</v>
      </c>
      <c r="L228" s="241">
        <v>0.14499999999999999</v>
      </c>
      <c r="N228" s="209"/>
    </row>
    <row r="229" spans="1:14">
      <c r="A229" t="s">
        <v>602</v>
      </c>
      <c r="B229" s="271" t="s">
        <v>603</v>
      </c>
      <c r="C229" s="325">
        <v>163.03299999999999</v>
      </c>
      <c r="D229" s="325">
        <v>174.76</v>
      </c>
      <c r="E229" s="325">
        <f t="shared" si="12"/>
        <v>28491.647079999995</v>
      </c>
      <c r="F229" s="326">
        <f t="shared" si="13"/>
        <v>9.4291503508079245E-4</v>
      </c>
      <c r="G229" s="327">
        <v>1.8081940947585261E-2</v>
      </c>
      <c r="H229" s="326">
        <f t="shared" si="14"/>
        <v>1.7049733982921173E-5</v>
      </c>
      <c r="I229" s="327">
        <v>0.06</v>
      </c>
      <c r="J229" s="326">
        <f t="shared" si="15"/>
        <v>5.6574902104847546E-5</v>
      </c>
      <c r="L229" s="241">
        <v>0.06</v>
      </c>
      <c r="N229" s="209"/>
    </row>
    <row r="230" spans="1:14">
      <c r="A230" t="s">
        <v>604</v>
      </c>
      <c r="B230" s="271" t="s">
        <v>605</v>
      </c>
      <c r="C230" s="325">
        <v>175.35499999999999</v>
      </c>
      <c r="D230" s="325">
        <v>327.38</v>
      </c>
      <c r="E230" s="325">
        <f t="shared" si="12"/>
        <v>57407.719899999996</v>
      </c>
      <c r="F230" s="326">
        <f t="shared" si="13"/>
        <v>1.8998762013100442E-3</v>
      </c>
      <c r="G230" s="327">
        <v>2.4436434724173742E-2</v>
      </c>
      <c r="H230" s="326">
        <f t="shared" si="14"/>
        <v>4.6426200777324066E-5</v>
      </c>
      <c r="I230" s="327">
        <v>0.04</v>
      </c>
      <c r="J230" s="326">
        <f t="shared" si="15"/>
        <v>7.5995048052401773E-5</v>
      </c>
      <c r="L230" s="241">
        <v>0.04</v>
      </c>
      <c r="N230" s="209"/>
    </row>
    <row r="231" spans="1:14">
      <c r="A231" t="s">
        <v>606</v>
      </c>
      <c r="B231" s="271" t="s">
        <v>607</v>
      </c>
      <c r="C231" s="325">
        <v>307.28399999999999</v>
      </c>
      <c r="D231" s="325">
        <v>124.06</v>
      </c>
      <c r="E231" s="325">
        <f t="shared" si="12"/>
        <v>38121.653039999997</v>
      </c>
      <c r="F231" s="326">
        <f t="shared" si="13"/>
        <v>1.2616146659622811E-3</v>
      </c>
      <c r="G231" s="327" t="s">
        <v>197</v>
      </c>
      <c r="H231" s="326" t="str">
        <f t="shared" si="14"/>
        <v/>
      </c>
      <c r="I231" s="327">
        <v>4.4999999999999998E-2</v>
      </c>
      <c r="J231" s="326">
        <f t="shared" si="15"/>
        <v>5.6772659968302648E-5</v>
      </c>
      <c r="L231" s="241">
        <v>4.4999999999999998E-2</v>
      </c>
      <c r="N231" s="209"/>
    </row>
    <row r="232" spans="1:14">
      <c r="A232" t="s">
        <v>608</v>
      </c>
      <c r="B232" s="271" t="s">
        <v>609</v>
      </c>
      <c r="C232" s="325">
        <v>512.65599999999995</v>
      </c>
      <c r="D232" s="325">
        <v>70.040000000000006</v>
      </c>
      <c r="E232" s="325">
        <f t="shared" si="12"/>
        <v>35906.426240000001</v>
      </c>
      <c r="F232" s="326">
        <f t="shared" si="13"/>
        <v>1.1883029809632013E-3</v>
      </c>
      <c r="G232" s="327">
        <v>2.6841804683038258E-2</v>
      </c>
      <c r="H232" s="326">
        <f t="shared" si="14"/>
        <v>3.189619651928638E-5</v>
      </c>
      <c r="I232" s="327">
        <v>0.17</v>
      </c>
      <c r="J232" s="326">
        <f t="shared" si="15"/>
        <v>2.0201150676374424E-4</v>
      </c>
      <c r="L232" s="241">
        <v>0.17</v>
      </c>
      <c r="N232" s="209"/>
    </row>
    <row r="233" spans="1:14">
      <c r="A233" t="s">
        <v>610</v>
      </c>
      <c r="B233" s="271" t="s">
        <v>611</v>
      </c>
      <c r="C233" s="325">
        <v>730.26700000000005</v>
      </c>
      <c r="D233" s="325">
        <v>45</v>
      </c>
      <c r="E233" s="325">
        <f t="shared" si="12"/>
        <v>32862.014999999999</v>
      </c>
      <c r="F233" s="326" t="str">
        <f t="shared" si="13"/>
        <v/>
      </c>
      <c r="G233" s="327">
        <v>1.2444444444444445E-2</v>
      </c>
      <c r="H233" s="326" t="str">
        <f t="shared" si="14"/>
        <v/>
      </c>
      <c r="I233" s="327" t="s">
        <v>197</v>
      </c>
      <c r="J233" s="326" t="str">
        <f t="shared" si="15"/>
        <v/>
      </c>
      <c r="L233" s="231" t="s">
        <v>197</v>
      </c>
      <c r="N233" s="209"/>
    </row>
    <row r="234" spans="1:14">
      <c r="A234" t="s">
        <v>612</v>
      </c>
      <c r="B234" s="271" t="s">
        <v>613</v>
      </c>
      <c r="C234" s="325">
        <v>923.52599999999995</v>
      </c>
      <c r="D234" s="325">
        <v>192.37</v>
      </c>
      <c r="E234" s="325">
        <f t="shared" si="12"/>
        <v>177658.69662</v>
      </c>
      <c r="F234" s="326">
        <f t="shared" si="13"/>
        <v>5.879514641097934E-3</v>
      </c>
      <c r="G234" s="327">
        <v>2.3912252430212607E-2</v>
      </c>
      <c r="H234" s="326">
        <f t="shared" si="14"/>
        <v>1.4059243826506469E-4</v>
      </c>
      <c r="I234" s="327">
        <v>0.09</v>
      </c>
      <c r="J234" s="326">
        <f t="shared" si="15"/>
        <v>5.2915631769881401E-4</v>
      </c>
      <c r="L234" s="241">
        <v>0.09</v>
      </c>
      <c r="N234" s="209"/>
    </row>
    <row r="235" spans="1:14">
      <c r="A235" t="s">
        <v>614</v>
      </c>
      <c r="B235" s="271" t="s">
        <v>615</v>
      </c>
      <c r="C235" s="325">
        <v>220.42500000000001</v>
      </c>
      <c r="D235" s="325">
        <v>70.8</v>
      </c>
      <c r="E235" s="325">
        <f t="shared" si="12"/>
        <v>15606.09</v>
      </c>
      <c r="F235" s="326">
        <f t="shared" si="13"/>
        <v>5.1647477095676582E-4</v>
      </c>
      <c r="G235" s="327">
        <v>1.1299435028248588E-3</v>
      </c>
      <c r="H235" s="326">
        <f t="shared" si="14"/>
        <v>5.835873118155546E-7</v>
      </c>
      <c r="I235" s="327">
        <v>8.5000000000000006E-2</v>
      </c>
      <c r="J235" s="326">
        <f t="shared" si="15"/>
        <v>4.39003555313251E-5</v>
      </c>
      <c r="L235" s="241">
        <v>8.5000000000000006E-2</v>
      </c>
      <c r="N235" s="209"/>
    </row>
    <row r="236" spans="1:14">
      <c r="A236" t="s">
        <v>616</v>
      </c>
      <c r="B236" s="271" t="s">
        <v>617</v>
      </c>
      <c r="C236" s="325">
        <v>394.048</v>
      </c>
      <c r="D236" s="325">
        <v>632.83000000000004</v>
      </c>
      <c r="E236" s="325">
        <f t="shared" si="12"/>
        <v>249365.39584000001</v>
      </c>
      <c r="F236" s="326">
        <f t="shared" si="13"/>
        <v>8.2526075205901842E-3</v>
      </c>
      <c r="G236" s="327">
        <v>1.6434113426986711E-3</v>
      </c>
      <c r="H236" s="326">
        <f t="shared" si="14"/>
        <v>1.3562428806178265E-5</v>
      </c>
      <c r="I236" s="327">
        <v>0.15</v>
      </c>
      <c r="J236" s="326">
        <f t="shared" si="15"/>
        <v>1.2378911280885275E-3</v>
      </c>
      <c r="L236" s="241">
        <v>0.15</v>
      </c>
      <c r="N236" s="209"/>
    </row>
    <row r="237" spans="1:14">
      <c r="A237" t="s">
        <v>618</v>
      </c>
      <c r="B237" s="271" t="s">
        <v>619</v>
      </c>
      <c r="C237" s="325">
        <v>1192.8779999999999</v>
      </c>
      <c r="D237" s="325">
        <v>69.400000000000006</v>
      </c>
      <c r="E237" s="325">
        <f t="shared" si="12"/>
        <v>82785.733200000002</v>
      </c>
      <c r="F237" s="326">
        <f t="shared" si="13"/>
        <v>2.7397472776946644E-3</v>
      </c>
      <c r="G237" s="327">
        <v>1.4985590778097982E-2</v>
      </c>
      <c r="H237" s="326">
        <f t="shared" si="14"/>
        <v>4.1056731538940211E-5</v>
      </c>
      <c r="I237" s="327">
        <v>0.2</v>
      </c>
      <c r="J237" s="326">
        <f t="shared" si="15"/>
        <v>5.479494555389329E-4</v>
      </c>
      <c r="L237" s="241">
        <v>0.2</v>
      </c>
      <c r="N237" s="209"/>
    </row>
    <row r="238" spans="1:14">
      <c r="A238" t="s">
        <v>620</v>
      </c>
      <c r="B238" s="271" t="s">
        <v>621</v>
      </c>
      <c r="C238" s="325">
        <v>100.979</v>
      </c>
      <c r="D238" s="325">
        <v>86.54</v>
      </c>
      <c r="E238" s="325">
        <f t="shared" si="12"/>
        <v>8738.7226600000013</v>
      </c>
      <c r="F238" s="326">
        <f t="shared" si="13"/>
        <v>2.8920311136730598E-4</v>
      </c>
      <c r="G238" s="327">
        <v>9.1287266004159932E-3</v>
      </c>
      <c r="H238" s="326">
        <f t="shared" si="14"/>
        <v>2.640056135661795E-6</v>
      </c>
      <c r="I238" s="327">
        <v>0.08</v>
      </c>
      <c r="J238" s="326">
        <f t="shared" si="15"/>
        <v>2.3136248909384478E-5</v>
      </c>
      <c r="L238" s="241">
        <v>0.08</v>
      </c>
      <c r="N238" s="209"/>
    </row>
    <row r="239" spans="1:14">
      <c r="A239" t="s">
        <v>622</v>
      </c>
      <c r="B239" s="271" t="s">
        <v>623</v>
      </c>
      <c r="C239" s="325">
        <v>704.33199999999999</v>
      </c>
      <c r="D239" s="325">
        <v>74.760000000000005</v>
      </c>
      <c r="E239" s="325">
        <f t="shared" si="12"/>
        <v>52655.86032</v>
      </c>
      <c r="F239" s="326">
        <f t="shared" si="13"/>
        <v>1.7426160811775055E-3</v>
      </c>
      <c r="G239" s="327">
        <v>1.4446227929373995E-2</v>
      </c>
      <c r="H239" s="326">
        <f t="shared" si="14"/>
        <v>2.517422910208274E-5</v>
      </c>
      <c r="I239" s="327">
        <v>0.1</v>
      </c>
      <c r="J239" s="326">
        <f t="shared" si="15"/>
        <v>1.7426160811775056E-4</v>
      </c>
      <c r="L239" s="241">
        <v>0.1</v>
      </c>
      <c r="N239" s="209"/>
    </row>
    <row r="240" spans="1:14">
      <c r="A240" t="s">
        <v>624</v>
      </c>
      <c r="B240" s="271" t="s">
        <v>625</v>
      </c>
      <c r="C240" s="325">
        <v>54.357999999999997</v>
      </c>
      <c r="D240" s="325">
        <v>383.95</v>
      </c>
      <c r="E240" s="325">
        <f t="shared" si="12"/>
        <v>20870.754099999998</v>
      </c>
      <c r="F240" s="326">
        <f t="shared" si="13"/>
        <v>6.9070586825351391E-4</v>
      </c>
      <c r="G240" s="327" t="s">
        <v>197</v>
      </c>
      <c r="H240" s="326" t="str">
        <f t="shared" si="14"/>
        <v/>
      </c>
      <c r="I240" s="327">
        <v>0.155</v>
      </c>
      <c r="J240" s="326">
        <f t="shared" si="15"/>
        <v>1.0705940957929465E-4</v>
      </c>
      <c r="L240" s="241">
        <v>0.155</v>
      </c>
      <c r="N240" s="209"/>
    </row>
    <row r="241" spans="1:14">
      <c r="A241" t="s">
        <v>626</v>
      </c>
      <c r="B241" s="271" t="s">
        <v>627</v>
      </c>
      <c r="C241" s="325">
        <v>642.87599999999998</v>
      </c>
      <c r="D241" s="325">
        <v>235.64</v>
      </c>
      <c r="E241" s="325">
        <f t="shared" si="12"/>
        <v>151487.30063999997</v>
      </c>
      <c r="F241" s="326">
        <f t="shared" si="13"/>
        <v>5.0133870111541533E-3</v>
      </c>
      <c r="G241" s="327">
        <v>1.8163299949074861E-2</v>
      </c>
      <c r="H241" s="326">
        <f t="shared" si="14"/>
        <v>9.1059652044388803E-5</v>
      </c>
      <c r="I241" s="327">
        <v>0.1</v>
      </c>
      <c r="J241" s="326">
        <f t="shared" si="15"/>
        <v>5.0133870111541533E-4</v>
      </c>
      <c r="L241" s="241">
        <v>0.1</v>
      </c>
      <c r="N241" s="209"/>
    </row>
    <row r="242" spans="1:14">
      <c r="A242" t="s">
        <v>628</v>
      </c>
      <c r="B242" s="271" t="s">
        <v>629</v>
      </c>
      <c r="C242" s="325">
        <v>181.9</v>
      </c>
      <c r="D242" s="325">
        <v>194.48</v>
      </c>
      <c r="E242" s="325">
        <f t="shared" si="12"/>
        <v>35375.911999999997</v>
      </c>
      <c r="F242" s="326">
        <f t="shared" si="13"/>
        <v>1.1707459105763649E-3</v>
      </c>
      <c r="G242" s="327" t="s">
        <v>197</v>
      </c>
      <c r="H242" s="326" t="str">
        <f t="shared" si="14"/>
        <v/>
      </c>
      <c r="I242" s="327">
        <v>0.17</v>
      </c>
      <c r="J242" s="326">
        <f t="shared" si="15"/>
        <v>1.9902680479798204E-4</v>
      </c>
      <c r="L242" s="241">
        <v>0.17</v>
      </c>
      <c r="N242" s="209"/>
    </row>
    <row r="243" spans="1:14">
      <c r="A243" t="s">
        <v>630</v>
      </c>
      <c r="B243" s="271" t="s">
        <v>631</v>
      </c>
      <c r="C243" s="325">
        <v>941.851</v>
      </c>
      <c r="D243" s="325">
        <v>444.22</v>
      </c>
      <c r="E243" s="325">
        <f t="shared" si="12"/>
        <v>418389.05122000002</v>
      </c>
      <c r="F243" s="326">
        <f t="shared" si="13"/>
        <v>1.3846350328600442E-2</v>
      </c>
      <c r="G243" s="327">
        <v>1.3056593579757777E-2</v>
      </c>
      <c r="H243" s="326">
        <f t="shared" si="14"/>
        <v>1.807861688034815E-4</v>
      </c>
      <c r="I243" s="327">
        <v>0.12</v>
      </c>
      <c r="J243" s="326">
        <f t="shared" si="15"/>
        <v>1.661562039432053E-3</v>
      </c>
      <c r="L243" s="241">
        <v>0.12</v>
      </c>
      <c r="N243" s="209"/>
    </row>
    <row r="244" spans="1:14">
      <c r="A244" t="s">
        <v>632</v>
      </c>
      <c r="B244" s="271" t="s">
        <v>633</v>
      </c>
      <c r="C244" s="325">
        <v>778.53700000000003</v>
      </c>
      <c r="D244" s="325">
        <v>15.49</v>
      </c>
      <c r="E244" s="325">
        <f t="shared" si="12"/>
        <v>12059.538130000001</v>
      </c>
      <c r="F244" s="326" t="str">
        <f t="shared" si="13"/>
        <v/>
      </c>
      <c r="G244" s="327">
        <v>1.5493867010974821E-2</v>
      </c>
      <c r="H244" s="326" t="str">
        <f t="shared" si="14"/>
        <v/>
      </c>
      <c r="I244" s="327" t="s">
        <v>197</v>
      </c>
      <c r="J244" s="326" t="str">
        <f t="shared" si="15"/>
        <v/>
      </c>
      <c r="L244" s="231" t="s">
        <v>197</v>
      </c>
      <c r="N244" s="209"/>
    </row>
    <row r="245" spans="1:14">
      <c r="A245" t="s">
        <v>634</v>
      </c>
      <c r="B245" s="271" t="s">
        <v>635</v>
      </c>
      <c r="C245" s="325">
        <v>24.835999999999999</v>
      </c>
      <c r="D245" s="325">
        <v>753.2</v>
      </c>
      <c r="E245" s="325">
        <f t="shared" si="12"/>
        <v>18706.475200000001</v>
      </c>
      <c r="F245" s="326">
        <f t="shared" si="13"/>
        <v>6.190802753494579E-4</v>
      </c>
      <c r="G245" s="327" t="s">
        <v>197</v>
      </c>
      <c r="H245" s="326" t="str">
        <f t="shared" si="14"/>
        <v/>
      </c>
      <c r="I245" s="327">
        <v>0.115</v>
      </c>
      <c r="J245" s="326">
        <f t="shared" si="15"/>
        <v>7.1194231665187667E-5</v>
      </c>
      <c r="L245" s="241">
        <v>0.115</v>
      </c>
      <c r="N245" s="209"/>
    </row>
    <row r="246" spans="1:14">
      <c r="A246" t="s">
        <v>636</v>
      </c>
      <c r="B246" s="271" t="s">
        <v>637</v>
      </c>
      <c r="C246" s="325">
        <v>399.17599999999999</v>
      </c>
      <c r="D246" s="325">
        <v>46.92</v>
      </c>
      <c r="E246" s="325">
        <f t="shared" si="12"/>
        <v>18729.337920000002</v>
      </c>
      <c r="F246" s="326">
        <f t="shared" si="13"/>
        <v>6.1983690420879737E-4</v>
      </c>
      <c r="G246" s="327">
        <v>3.8363171355498722E-2</v>
      </c>
      <c r="H246" s="326">
        <f t="shared" si="14"/>
        <v>2.3778909368623939E-5</v>
      </c>
      <c r="I246" s="327">
        <v>4.4999999999999998E-2</v>
      </c>
      <c r="J246" s="326">
        <f t="shared" si="15"/>
        <v>2.7892660689395879E-5</v>
      </c>
      <c r="L246" s="241">
        <v>4.4999999999999998E-2</v>
      </c>
      <c r="N246" s="209"/>
    </row>
    <row r="247" spans="1:14">
      <c r="A247" t="s">
        <v>638</v>
      </c>
      <c r="B247" s="271" t="s">
        <v>639</v>
      </c>
      <c r="C247" s="325">
        <v>392.78199999999998</v>
      </c>
      <c r="D247" s="325">
        <v>71.73</v>
      </c>
      <c r="E247" s="325">
        <f t="shared" si="12"/>
        <v>28174.252860000001</v>
      </c>
      <c r="F247" s="326">
        <f t="shared" si="13"/>
        <v>9.3241105188721237E-4</v>
      </c>
      <c r="G247" s="327">
        <v>2.7882336539802034E-2</v>
      </c>
      <c r="H247" s="326">
        <f t="shared" si="14"/>
        <v>2.599779874215007E-5</v>
      </c>
      <c r="I247" s="327">
        <v>9.5000000000000001E-2</v>
      </c>
      <c r="J247" s="326">
        <f t="shared" si="15"/>
        <v>8.8579049929285173E-5</v>
      </c>
      <c r="L247" s="241">
        <v>9.5000000000000001E-2</v>
      </c>
      <c r="N247" s="209"/>
    </row>
    <row r="248" spans="1:14">
      <c r="A248" t="s">
        <v>640</v>
      </c>
      <c r="B248" s="271" t="s">
        <v>641</v>
      </c>
      <c r="C248" s="325">
        <v>191.68100000000001</v>
      </c>
      <c r="D248" s="325">
        <v>40.14</v>
      </c>
      <c r="E248" s="325">
        <f t="shared" si="12"/>
        <v>7694.0753400000003</v>
      </c>
      <c r="F248" s="326" t="str">
        <f t="shared" si="13"/>
        <v/>
      </c>
      <c r="G248" s="327">
        <v>5.2815146985550572E-2</v>
      </c>
      <c r="H248" s="326" t="str">
        <f t="shared" si="14"/>
        <v/>
      </c>
      <c r="I248" s="327">
        <v>-0.19</v>
      </c>
      <c r="J248" s="326" t="str">
        <f t="shared" si="15"/>
        <v/>
      </c>
      <c r="L248" s="241">
        <v>-0.19</v>
      </c>
      <c r="N248" s="209"/>
    </row>
    <row r="249" spans="1:14">
      <c r="A249" t="s">
        <v>642</v>
      </c>
      <c r="B249" s="271" t="s">
        <v>643</v>
      </c>
      <c r="C249" s="325">
        <v>132.70500000000001</v>
      </c>
      <c r="D249" s="325">
        <v>191.64</v>
      </c>
      <c r="E249" s="325">
        <f t="shared" si="12"/>
        <v>25431.586200000002</v>
      </c>
      <c r="F249" s="326">
        <f t="shared" si="13"/>
        <v>8.4164404137822149E-4</v>
      </c>
      <c r="G249" s="327">
        <v>7.7228136088499273E-3</v>
      </c>
      <c r="H249" s="326">
        <f t="shared" si="14"/>
        <v>6.4998600565631805E-6</v>
      </c>
      <c r="I249" s="327">
        <v>0.1</v>
      </c>
      <c r="J249" s="326">
        <f t="shared" si="15"/>
        <v>8.4164404137822155E-5</v>
      </c>
      <c r="L249" s="241">
        <v>0.1</v>
      </c>
      <c r="N249" s="209"/>
    </row>
    <row r="250" spans="1:14">
      <c r="A250" t="s">
        <v>644</v>
      </c>
      <c r="B250" s="271" t="s">
        <v>645</v>
      </c>
      <c r="C250" s="325">
        <v>749.04499999999996</v>
      </c>
      <c r="D250" s="325">
        <v>37.61</v>
      </c>
      <c r="E250" s="325">
        <f t="shared" si="12"/>
        <v>28171.582449999998</v>
      </c>
      <c r="F250" s="326" t="str">
        <f t="shared" si="13"/>
        <v/>
      </c>
      <c r="G250" s="327">
        <v>1.8080297793140125E-2</v>
      </c>
      <c r="H250" s="326" t="str">
        <f t="shared" si="14"/>
        <v/>
      </c>
      <c r="I250" s="327">
        <v>0.22</v>
      </c>
      <c r="J250" s="326" t="str">
        <f t="shared" si="15"/>
        <v/>
      </c>
      <c r="L250" s="241">
        <v>0.22</v>
      </c>
      <c r="N250" s="209"/>
    </row>
    <row r="251" spans="1:14">
      <c r="A251" t="s">
        <v>646</v>
      </c>
      <c r="B251" s="271" t="s">
        <v>647</v>
      </c>
      <c r="C251" s="325">
        <v>60.743000000000002</v>
      </c>
      <c r="D251" s="325">
        <v>217.74</v>
      </c>
      <c r="E251" s="325">
        <f t="shared" si="12"/>
        <v>13226.180820000001</v>
      </c>
      <c r="F251" s="326">
        <f t="shared" si="13"/>
        <v>4.377130152166411E-4</v>
      </c>
      <c r="G251" s="327">
        <v>2.5718747129604112E-2</v>
      </c>
      <c r="H251" s="326">
        <f t="shared" si="14"/>
        <v>1.1257430353693349E-5</v>
      </c>
      <c r="I251" s="327">
        <v>9.5000000000000001E-2</v>
      </c>
      <c r="J251" s="326">
        <f t="shared" si="15"/>
        <v>4.1582736445580905E-5</v>
      </c>
      <c r="L251" s="241">
        <v>9.5000000000000001E-2</v>
      </c>
      <c r="N251" s="209"/>
    </row>
    <row r="252" spans="1:14">
      <c r="A252" t="s">
        <v>648</v>
      </c>
      <c r="B252" s="271" t="s">
        <v>649</v>
      </c>
      <c r="C252" s="325">
        <v>1215.03</v>
      </c>
      <c r="D252" s="325">
        <v>26.79</v>
      </c>
      <c r="E252" s="325">
        <f t="shared" si="12"/>
        <v>32550.653699999999</v>
      </c>
      <c r="F252" s="326">
        <f t="shared" si="13"/>
        <v>1.0772455761949664E-3</v>
      </c>
      <c r="G252" s="327">
        <v>6.1216871967151934E-2</v>
      </c>
      <c r="H252" s="326">
        <f t="shared" si="14"/>
        <v>6.5945604515108076E-5</v>
      </c>
      <c r="I252" s="327">
        <v>0.105</v>
      </c>
      <c r="J252" s="326">
        <f t="shared" si="15"/>
        <v>1.1311078550047146E-4</v>
      </c>
      <c r="L252" s="241">
        <v>0.105</v>
      </c>
      <c r="N252" s="209"/>
    </row>
    <row r="253" spans="1:14">
      <c r="A253" t="s">
        <v>650</v>
      </c>
      <c r="B253" s="271" t="s">
        <v>85</v>
      </c>
      <c r="C253" s="325">
        <v>315.435</v>
      </c>
      <c r="D253" s="325">
        <v>86.93</v>
      </c>
      <c r="E253" s="325">
        <f t="shared" si="12"/>
        <v>27420.764550000004</v>
      </c>
      <c r="F253" s="326">
        <f t="shared" si="13"/>
        <v>9.0747478006474762E-4</v>
      </c>
      <c r="G253" s="327">
        <v>3.1174508225008626E-2</v>
      </c>
      <c r="H253" s="326">
        <f t="shared" si="14"/>
        <v>2.8290079995116368E-5</v>
      </c>
      <c r="I253" s="327">
        <v>6.5000000000000002E-2</v>
      </c>
      <c r="J253" s="326">
        <f t="shared" si="15"/>
        <v>5.8985860704208601E-5</v>
      </c>
      <c r="L253" s="241">
        <v>6.5000000000000002E-2</v>
      </c>
      <c r="N253" s="209"/>
    </row>
    <row r="254" spans="1:14">
      <c r="A254" t="s">
        <v>651</v>
      </c>
      <c r="B254" s="271" t="s">
        <v>652</v>
      </c>
      <c r="C254" s="325">
        <v>475.8</v>
      </c>
      <c r="D254" s="325">
        <v>669.85</v>
      </c>
      <c r="E254" s="325">
        <f t="shared" si="12"/>
        <v>318714.63</v>
      </c>
      <c r="F254" s="326">
        <f t="shared" si="13"/>
        <v>1.0547681419870088E-2</v>
      </c>
      <c r="G254" s="327" t="s">
        <v>197</v>
      </c>
      <c r="H254" s="326" t="str">
        <f t="shared" si="14"/>
        <v/>
      </c>
      <c r="I254" s="327">
        <v>0.155</v>
      </c>
      <c r="J254" s="326">
        <f t="shared" si="15"/>
        <v>1.6348906200798637E-3</v>
      </c>
      <c r="L254" s="241">
        <v>0.155</v>
      </c>
      <c r="N254" s="209"/>
    </row>
    <row r="255" spans="1:14">
      <c r="A255" t="s">
        <v>653</v>
      </c>
      <c r="B255" s="271" t="s">
        <v>654</v>
      </c>
      <c r="C255" s="325">
        <v>666.71400000000006</v>
      </c>
      <c r="D255" s="325">
        <v>23.38</v>
      </c>
      <c r="E255" s="325">
        <f t="shared" si="12"/>
        <v>15587.77332</v>
      </c>
      <c r="F255" s="326" t="str">
        <f t="shared" si="13"/>
        <v/>
      </c>
      <c r="G255" s="327">
        <v>2.5748502994011976E-2</v>
      </c>
      <c r="H255" s="326" t="str">
        <f t="shared" si="14"/>
        <v/>
      </c>
      <c r="I255" s="327">
        <v>0.24</v>
      </c>
      <c r="J255" s="326" t="str">
        <f t="shared" si="15"/>
        <v/>
      </c>
      <c r="L255" s="241">
        <v>0.24</v>
      </c>
      <c r="N255" s="209"/>
    </row>
    <row r="256" spans="1:14">
      <c r="A256" t="s">
        <v>655</v>
      </c>
      <c r="B256" s="271" t="s">
        <v>656</v>
      </c>
      <c r="C256" s="325">
        <v>563.26599999999996</v>
      </c>
      <c r="D256" s="325">
        <v>198.88</v>
      </c>
      <c r="E256" s="325">
        <f t="shared" si="12"/>
        <v>112022.34207999999</v>
      </c>
      <c r="F256" s="326">
        <f t="shared" si="13"/>
        <v>3.7073164045451786E-3</v>
      </c>
      <c r="G256" s="327">
        <v>3.5398230088495575E-2</v>
      </c>
      <c r="H256" s="326">
        <f t="shared" si="14"/>
        <v>1.3123243909894439E-4</v>
      </c>
      <c r="I256" s="327">
        <v>5.5E-2</v>
      </c>
      <c r="J256" s="326">
        <f t="shared" si="15"/>
        <v>2.0390240224998481E-4</v>
      </c>
      <c r="L256" s="241">
        <v>5.5E-2</v>
      </c>
      <c r="N256" s="209"/>
    </row>
    <row r="257" spans="1:14">
      <c r="A257" t="s">
        <v>657</v>
      </c>
      <c r="B257" s="271" t="s">
        <v>658</v>
      </c>
      <c r="C257" s="325">
        <v>16406.397000000001</v>
      </c>
      <c r="D257" s="325">
        <v>165.3</v>
      </c>
      <c r="E257" s="325">
        <f t="shared" si="12"/>
        <v>2711977.4241000004</v>
      </c>
      <c r="F257" s="326">
        <f t="shared" si="13"/>
        <v>8.9751367507938731E-2</v>
      </c>
      <c r="G257" s="327">
        <v>5.3236539624924376E-3</v>
      </c>
      <c r="H257" s="326">
        <f t="shared" si="14"/>
        <v>4.7780522327275303E-4</v>
      </c>
      <c r="I257" s="327">
        <v>0.17</v>
      </c>
      <c r="J257" s="326">
        <f t="shared" si="15"/>
        <v>1.5257732476349586E-2</v>
      </c>
      <c r="L257" s="241">
        <v>0.17</v>
      </c>
      <c r="N257" s="209"/>
    </row>
    <row r="258" spans="1:14">
      <c r="A258" t="s">
        <v>659</v>
      </c>
      <c r="B258" s="271" t="s">
        <v>660</v>
      </c>
      <c r="C258" s="325">
        <v>219.85</v>
      </c>
      <c r="D258" s="325">
        <v>254.19</v>
      </c>
      <c r="E258" s="325">
        <f t="shared" si="12"/>
        <v>55883.671499999997</v>
      </c>
      <c r="F258" s="326">
        <f t="shared" si="13"/>
        <v>1.8494386767079801E-3</v>
      </c>
      <c r="G258" s="327" t="s">
        <v>197</v>
      </c>
      <c r="H258" s="326" t="str">
        <f t="shared" si="14"/>
        <v/>
      </c>
      <c r="I258" s="327">
        <v>0.18</v>
      </c>
      <c r="J258" s="326">
        <f t="shared" si="15"/>
        <v>3.3289896180743641E-4</v>
      </c>
      <c r="L258" s="241">
        <v>0.18</v>
      </c>
      <c r="N258" s="209"/>
    </row>
    <row r="259" spans="1:14">
      <c r="A259" t="s">
        <v>661</v>
      </c>
      <c r="B259" s="271" t="s">
        <v>662</v>
      </c>
      <c r="C259" s="325">
        <v>103.408</v>
      </c>
      <c r="D259" s="325">
        <v>422.19</v>
      </c>
      <c r="E259" s="325">
        <f t="shared" si="12"/>
        <v>43657.823519999998</v>
      </c>
      <c r="F259" s="326">
        <f t="shared" si="13"/>
        <v>1.444831114197272E-3</v>
      </c>
      <c r="G259" s="327">
        <v>9.0006868945261605E-3</v>
      </c>
      <c r="H259" s="326">
        <f t="shared" si="14"/>
        <v>1.3004472474359017E-5</v>
      </c>
      <c r="I259" s="327">
        <v>0.13500000000000001</v>
      </c>
      <c r="J259" s="326">
        <f t="shared" si="15"/>
        <v>1.9505220041663172E-4</v>
      </c>
      <c r="L259" s="241">
        <v>0.13500000000000001</v>
      </c>
      <c r="N259" s="209"/>
    </row>
    <row r="260" spans="1:14">
      <c r="A260" t="s">
        <v>663</v>
      </c>
      <c r="B260" s="271" t="s">
        <v>664</v>
      </c>
      <c r="C260" s="325">
        <v>4559.4790000000003</v>
      </c>
      <c r="D260" s="325">
        <v>49.98</v>
      </c>
      <c r="E260" s="325">
        <f t="shared" si="12"/>
        <v>227882.76042000001</v>
      </c>
      <c r="F260" s="326">
        <f t="shared" si="13"/>
        <v>7.5416517842018761E-3</v>
      </c>
      <c r="G260" s="327">
        <v>2.000800320128051E-2</v>
      </c>
      <c r="H260" s="326">
        <f t="shared" si="14"/>
        <v>1.5089339304125401E-4</v>
      </c>
      <c r="I260" s="327">
        <v>0.11</v>
      </c>
      <c r="J260" s="326">
        <f t="shared" si="15"/>
        <v>8.2958169626220634E-4</v>
      </c>
      <c r="L260" s="241">
        <v>0.11</v>
      </c>
      <c r="N260" s="209"/>
    </row>
    <row r="261" spans="1:14">
      <c r="A261" t="s">
        <v>665</v>
      </c>
      <c r="B261" s="271" t="s">
        <v>666</v>
      </c>
      <c r="C261" s="325">
        <v>200.58500000000001</v>
      </c>
      <c r="D261" s="325">
        <v>44.44</v>
      </c>
      <c r="E261" s="325">
        <f t="shared" si="12"/>
        <v>8913.9974000000002</v>
      </c>
      <c r="F261" s="326" t="str">
        <f t="shared" si="13"/>
        <v/>
      </c>
      <c r="G261" s="327">
        <v>3.0603060306030602E-2</v>
      </c>
      <c r="H261" s="326" t="str">
        <f t="shared" si="14"/>
        <v/>
      </c>
      <c r="I261" s="327">
        <v>0.41</v>
      </c>
      <c r="J261" s="326" t="str">
        <f t="shared" si="15"/>
        <v/>
      </c>
      <c r="L261" s="241">
        <v>0.41</v>
      </c>
      <c r="N261" s="209"/>
    </row>
    <row r="262" spans="1:14">
      <c r="A262" t="s">
        <v>667</v>
      </c>
      <c r="B262" s="271" t="s">
        <v>668</v>
      </c>
      <c r="C262" s="325">
        <v>151.62200000000001</v>
      </c>
      <c r="D262" s="325">
        <v>408.13</v>
      </c>
      <c r="E262" s="325">
        <f t="shared" si="12"/>
        <v>61881.486860000005</v>
      </c>
      <c r="F262" s="326">
        <f t="shared" si="13"/>
        <v>2.0479330025959491E-3</v>
      </c>
      <c r="G262" s="327">
        <v>1.0290838703354323E-2</v>
      </c>
      <c r="H262" s="326">
        <f t="shared" si="14"/>
        <v>2.1074948204991021E-5</v>
      </c>
      <c r="I262" s="327">
        <v>0.19500000000000001</v>
      </c>
      <c r="J262" s="326">
        <f t="shared" si="15"/>
        <v>3.9934693550621006E-4</v>
      </c>
      <c r="L262" s="241">
        <v>0.19500000000000001</v>
      </c>
      <c r="N262" s="209"/>
    </row>
    <row r="263" spans="1:14">
      <c r="A263" t="s">
        <v>669</v>
      </c>
      <c r="B263" s="271" t="s">
        <v>670</v>
      </c>
      <c r="C263" s="325">
        <v>325.68299999999999</v>
      </c>
      <c r="D263" s="325">
        <v>147.56</v>
      </c>
      <c r="E263" s="325">
        <f t="shared" si="12"/>
        <v>48057.783479999998</v>
      </c>
      <c r="F263" s="326">
        <f t="shared" si="13"/>
        <v>1.5904453143306776E-3</v>
      </c>
      <c r="G263" s="327" t="s">
        <v>197</v>
      </c>
      <c r="H263" s="326" t="str">
        <f t="shared" si="14"/>
        <v/>
      </c>
      <c r="I263" s="327">
        <v>0.17499999999999999</v>
      </c>
      <c r="J263" s="326">
        <f t="shared" si="15"/>
        <v>2.7832793000786855E-4</v>
      </c>
      <c r="L263" s="241">
        <v>0.17499999999999999</v>
      </c>
      <c r="N263" s="209"/>
    </row>
    <row r="264" spans="1:14">
      <c r="A264" t="s">
        <v>671</v>
      </c>
      <c r="B264" s="271" t="s">
        <v>672</v>
      </c>
      <c r="C264" s="325">
        <v>249.352</v>
      </c>
      <c r="D264" s="325">
        <v>85.82</v>
      </c>
      <c r="E264" s="325">
        <f t="shared" si="12"/>
        <v>21399.388639999997</v>
      </c>
      <c r="F264" s="326">
        <f t="shared" si="13"/>
        <v>7.0820073102608122E-4</v>
      </c>
      <c r="G264" s="327">
        <v>1.7245397343276625E-2</v>
      </c>
      <c r="H264" s="326">
        <f t="shared" si="14"/>
        <v>1.2213203005343745E-5</v>
      </c>
      <c r="I264" s="327">
        <v>0.06</v>
      </c>
      <c r="J264" s="326">
        <f t="shared" si="15"/>
        <v>4.2492043861564872E-5</v>
      </c>
      <c r="L264" s="241">
        <v>0.06</v>
      </c>
      <c r="N264" s="209"/>
    </row>
    <row r="265" spans="1:14">
      <c r="A265" t="s">
        <v>673</v>
      </c>
      <c r="B265" s="271" t="s">
        <v>674</v>
      </c>
      <c r="C265" s="325">
        <v>347.17700000000002</v>
      </c>
      <c r="D265" s="325">
        <v>83.42</v>
      </c>
      <c r="E265" s="325">
        <f t="shared" si="12"/>
        <v>28961.505340000003</v>
      </c>
      <c r="F265" s="326">
        <f t="shared" si="13"/>
        <v>9.5846472992528256E-4</v>
      </c>
      <c r="G265" s="327">
        <v>1.630304483337329E-2</v>
      </c>
      <c r="H265" s="326">
        <f t="shared" si="14"/>
        <v>1.5625893463178903E-5</v>
      </c>
      <c r="I265" s="327">
        <v>0.05</v>
      </c>
      <c r="J265" s="326">
        <f t="shared" si="15"/>
        <v>4.7923236496264129E-5</v>
      </c>
      <c r="L265" s="241">
        <v>0.05</v>
      </c>
      <c r="N265" s="209"/>
    </row>
    <row r="266" spans="1:14">
      <c r="A266" t="s">
        <v>675</v>
      </c>
      <c r="B266" s="271" t="s">
        <v>676</v>
      </c>
      <c r="C266" s="325">
        <v>441.82400000000001</v>
      </c>
      <c r="D266" s="325">
        <v>539.38</v>
      </c>
      <c r="E266" s="325">
        <f t="shared" si="12"/>
        <v>238311.02911999999</v>
      </c>
      <c r="F266" s="326">
        <f t="shared" si="13"/>
        <v>7.8867694714834496E-3</v>
      </c>
      <c r="G266" s="327">
        <v>5.8585783677555714E-3</v>
      </c>
      <c r="H266" s="326">
        <f t="shared" si="14"/>
        <v>4.6205257017107977E-5</v>
      </c>
      <c r="I266" s="327">
        <v>0.105</v>
      </c>
      <c r="J266" s="326">
        <f t="shared" si="15"/>
        <v>8.2811079450576214E-4</v>
      </c>
      <c r="L266" s="241">
        <v>0.105</v>
      </c>
      <c r="N266" s="209"/>
    </row>
    <row r="267" spans="1:14">
      <c r="A267" t="s">
        <v>677</v>
      </c>
      <c r="B267" s="271" t="s">
        <v>678</v>
      </c>
      <c r="C267" s="325">
        <v>179.06</v>
      </c>
      <c r="D267" s="325">
        <v>209.66</v>
      </c>
      <c r="E267" s="325">
        <f t="shared" si="12"/>
        <v>37541.719599999997</v>
      </c>
      <c r="F267" s="326">
        <f t="shared" si="13"/>
        <v>1.2424220949471087E-3</v>
      </c>
      <c r="G267" s="327">
        <v>4.1972717733473244E-3</v>
      </c>
      <c r="H267" s="326">
        <f t="shared" si="14"/>
        <v>5.2147831897045488E-6</v>
      </c>
      <c r="I267" s="327">
        <v>0.13500000000000001</v>
      </c>
      <c r="J267" s="326">
        <f t="shared" si="15"/>
        <v>1.6772698281785969E-4</v>
      </c>
      <c r="L267" s="241">
        <v>0.13500000000000001</v>
      </c>
      <c r="N267" s="209"/>
    </row>
    <row r="268" spans="1:14">
      <c r="A268" t="s">
        <v>679</v>
      </c>
      <c r="B268" s="271" t="s">
        <v>680</v>
      </c>
      <c r="C268" s="325">
        <v>377.24</v>
      </c>
      <c r="D268" s="325">
        <v>236.63</v>
      </c>
      <c r="E268" s="325">
        <f t="shared" si="12"/>
        <v>89266.301200000002</v>
      </c>
      <c r="F268" s="326">
        <f t="shared" si="13"/>
        <v>2.9542180306808222E-3</v>
      </c>
      <c r="G268" s="327">
        <v>1.064953725225035E-2</v>
      </c>
      <c r="H268" s="326">
        <f t="shared" si="14"/>
        <v>3.1461054969005085E-5</v>
      </c>
      <c r="I268" s="327">
        <v>0.11</v>
      </c>
      <c r="J268" s="326">
        <f t="shared" si="15"/>
        <v>3.2496398337489047E-4</v>
      </c>
      <c r="L268" s="241">
        <v>0.11</v>
      </c>
      <c r="N268" s="209"/>
    </row>
    <row r="269" spans="1:14">
      <c r="A269" t="s">
        <v>681</v>
      </c>
      <c r="B269" s="271" t="s">
        <v>682</v>
      </c>
      <c r="C269" s="325">
        <v>294.77100000000002</v>
      </c>
      <c r="D269" s="325">
        <v>78.959999999999994</v>
      </c>
      <c r="E269" s="325">
        <f t="shared" si="12"/>
        <v>23275.118159999998</v>
      </c>
      <c r="F269" s="326">
        <f t="shared" si="13"/>
        <v>7.7027694449267306E-4</v>
      </c>
      <c r="G269" s="327">
        <v>2.3302938196555219E-2</v>
      </c>
      <c r="H269" s="326">
        <f t="shared" si="14"/>
        <v>1.7949716031744155E-5</v>
      </c>
      <c r="I269" s="327">
        <v>0.06</v>
      </c>
      <c r="J269" s="326">
        <f t="shared" si="15"/>
        <v>4.6216616669560379E-5</v>
      </c>
      <c r="L269" s="241">
        <v>0.06</v>
      </c>
      <c r="N269" s="209"/>
    </row>
    <row r="270" spans="1:14">
      <c r="A270" t="s">
        <v>683</v>
      </c>
      <c r="B270" s="271" t="s">
        <v>684</v>
      </c>
      <c r="C270" s="325">
        <v>146.06800000000001</v>
      </c>
      <c r="D270" s="325">
        <v>51.92</v>
      </c>
      <c r="E270" s="325">
        <f t="shared" si="12"/>
        <v>7583.8505600000008</v>
      </c>
      <c r="F270" s="326">
        <f t="shared" si="13"/>
        <v>2.5098326877176416E-4</v>
      </c>
      <c r="G270" s="327">
        <v>1.810477657935285E-2</v>
      </c>
      <c r="H270" s="326">
        <f t="shared" si="14"/>
        <v>4.5439960062684571E-6</v>
      </c>
      <c r="I270" s="327">
        <v>0.06</v>
      </c>
      <c r="J270" s="326">
        <f t="shared" si="15"/>
        <v>1.5058996126305848E-5</v>
      </c>
      <c r="L270" s="241">
        <v>0.06</v>
      </c>
      <c r="N270" s="209"/>
    </row>
    <row r="271" spans="1:14">
      <c r="A271" t="s">
        <v>685</v>
      </c>
      <c r="B271" s="271" t="s">
        <v>686</v>
      </c>
      <c r="C271" s="325">
        <v>902.928</v>
      </c>
      <c r="D271" s="325">
        <v>147.19</v>
      </c>
      <c r="E271" s="325">
        <f t="shared" si="12"/>
        <v>132901.97232</v>
      </c>
      <c r="F271" s="326">
        <f t="shared" si="13"/>
        <v>4.3983160236596378E-3</v>
      </c>
      <c r="G271" s="327">
        <v>6.5221822134655886E-3</v>
      </c>
      <c r="H271" s="326">
        <f t="shared" si="14"/>
        <v>2.8686618538713581E-5</v>
      </c>
      <c r="I271" s="327">
        <v>0.16500000000000001</v>
      </c>
      <c r="J271" s="326">
        <f t="shared" si="15"/>
        <v>7.2572214390384028E-4</v>
      </c>
      <c r="L271" s="241">
        <v>0.16500000000000001</v>
      </c>
      <c r="N271" s="209"/>
    </row>
    <row r="272" spans="1:14">
      <c r="A272" t="s">
        <v>687</v>
      </c>
      <c r="B272" s="271" t="s">
        <v>688</v>
      </c>
      <c r="C272" s="325">
        <v>647.51499999999999</v>
      </c>
      <c r="D272" s="325">
        <v>17.690000000000001</v>
      </c>
      <c r="E272" s="325">
        <f t="shared" si="12"/>
        <v>11454.540350000001</v>
      </c>
      <c r="F272" s="326" t="str">
        <f t="shared" si="13"/>
        <v/>
      </c>
      <c r="G272" s="327" t="s">
        <v>197</v>
      </c>
      <c r="H272" s="326" t="str">
        <f t="shared" si="14"/>
        <v/>
      </c>
      <c r="I272" s="327" t="s">
        <v>197</v>
      </c>
      <c r="J272" s="326" t="str">
        <f t="shared" si="15"/>
        <v/>
      </c>
      <c r="L272" s="231" t="s">
        <v>197</v>
      </c>
      <c r="N272" s="209"/>
    </row>
    <row r="273" spans="1:14">
      <c r="A273" t="s">
        <v>689</v>
      </c>
      <c r="B273" s="271" t="s">
        <v>690</v>
      </c>
      <c r="C273" s="325">
        <v>281.78800000000001</v>
      </c>
      <c r="D273" s="325">
        <v>46.23</v>
      </c>
      <c r="E273" s="325">
        <f t="shared" si="12"/>
        <v>13027.059240000001</v>
      </c>
      <c r="F273" s="326">
        <f t="shared" si="13"/>
        <v>4.3112319852180912E-4</v>
      </c>
      <c r="G273" s="327">
        <v>4.2465931213497739E-2</v>
      </c>
      <c r="H273" s="326">
        <f t="shared" si="14"/>
        <v>1.8308048092970275E-5</v>
      </c>
      <c r="I273" s="327">
        <v>0.12</v>
      </c>
      <c r="J273" s="326">
        <f t="shared" si="15"/>
        <v>5.1734783822617092E-5</v>
      </c>
      <c r="L273" s="241">
        <v>0.12</v>
      </c>
      <c r="N273" s="209"/>
    </row>
    <row r="274" spans="1:14">
      <c r="A274" t="s">
        <v>691</v>
      </c>
      <c r="B274" s="271" t="s">
        <v>692</v>
      </c>
      <c r="C274" s="325">
        <v>294.22300000000001</v>
      </c>
      <c r="D274" s="325">
        <v>70.45</v>
      </c>
      <c r="E274" s="325">
        <f t="shared" si="12"/>
        <v>20728.01035</v>
      </c>
      <c r="F274" s="326">
        <f t="shared" si="13"/>
        <v>6.8598184413300981E-4</v>
      </c>
      <c r="G274" s="327">
        <v>1.2491128459900641E-2</v>
      </c>
      <c r="H274" s="326">
        <f t="shared" si="14"/>
        <v>8.5686873362249639E-6</v>
      </c>
      <c r="I274" s="327">
        <v>0.11</v>
      </c>
      <c r="J274" s="326">
        <f t="shared" si="15"/>
        <v>7.5458002854631077E-5</v>
      </c>
      <c r="L274" s="241">
        <v>0.11</v>
      </c>
      <c r="N274" s="209"/>
    </row>
    <row r="275" spans="1:14">
      <c r="A275" t="s">
        <v>693</v>
      </c>
      <c r="B275" s="271" t="s">
        <v>694</v>
      </c>
      <c r="C275" s="325">
        <v>161.14099999999999</v>
      </c>
      <c r="D275" s="325">
        <v>113.9</v>
      </c>
      <c r="E275" s="325">
        <f t="shared" si="12"/>
        <v>18353.959900000002</v>
      </c>
      <c r="F275" s="326">
        <f t="shared" si="13"/>
        <v>6.0741397976701189E-4</v>
      </c>
      <c r="G275" s="327">
        <v>2.2124670763827917E-2</v>
      </c>
      <c r="H275" s="326">
        <f t="shared" si="14"/>
        <v>1.343883431969157E-5</v>
      </c>
      <c r="I275" s="327">
        <v>0.17499999999999999</v>
      </c>
      <c r="J275" s="326">
        <f t="shared" si="15"/>
        <v>1.0629744645922708E-4</v>
      </c>
      <c r="L275" s="241">
        <v>0.17499999999999999</v>
      </c>
      <c r="N275" s="209"/>
    </row>
    <row r="276" spans="1:14">
      <c r="A276" t="s">
        <v>695</v>
      </c>
      <c r="B276" s="271" t="s">
        <v>696</v>
      </c>
      <c r="C276" s="325">
        <v>606.70600000000002</v>
      </c>
      <c r="D276" s="325">
        <v>30.95</v>
      </c>
      <c r="E276" s="325">
        <f t="shared" ref="E276:E339" si="16">IFERROR(C276*D276,"")</f>
        <v>18777.5507</v>
      </c>
      <c r="F276" s="326">
        <f t="shared" ref="F276:F339" si="17">IF(AND(ISNUMBER($I276)), IF(AND($I276&lt;=20%,$I276&gt;0%), $E276/SUMIFS($E$19:$E$523,$I$19:$I$523, "&gt;"&amp;0%,$I$19:$I$523, "&lt;="&amp;20%),""),"")</f>
        <v>6.2143247904578014E-4</v>
      </c>
      <c r="G276" s="327">
        <v>3.1017770597738289E-2</v>
      </c>
      <c r="H276" s="326">
        <f t="shared" ref="H276:H339" si="18">IFERROR($G276*$F276,"")</f>
        <v>1.9275450077025814E-5</v>
      </c>
      <c r="I276" s="327">
        <v>7.0000000000000007E-2</v>
      </c>
      <c r="J276" s="326">
        <f t="shared" ref="J276:J339" si="19">IFERROR($I276*$F276,"")</f>
        <v>4.3500273533204611E-5</v>
      </c>
      <c r="L276" s="241">
        <v>7.0000000000000007E-2</v>
      </c>
      <c r="N276" s="209"/>
    </row>
    <row r="277" spans="1:14">
      <c r="A277" t="s">
        <v>697</v>
      </c>
      <c r="B277" s="271" t="s">
        <v>698</v>
      </c>
      <c r="C277" s="325">
        <v>356.53</v>
      </c>
      <c r="D277" s="325">
        <v>97.7</v>
      </c>
      <c r="E277" s="325">
        <f t="shared" si="16"/>
        <v>34832.981</v>
      </c>
      <c r="F277" s="326">
        <f t="shared" si="17"/>
        <v>1.152777914501094E-3</v>
      </c>
      <c r="G277" s="327">
        <v>9.2118730808597744E-3</v>
      </c>
      <c r="H277" s="326">
        <f t="shared" si="18"/>
        <v>1.0619243838802298E-5</v>
      </c>
      <c r="I277" s="327">
        <v>0.155</v>
      </c>
      <c r="J277" s="326">
        <f t="shared" si="19"/>
        <v>1.7868057674766958E-4</v>
      </c>
      <c r="L277" s="241">
        <v>0.155</v>
      </c>
      <c r="N277" s="209"/>
    </row>
    <row r="278" spans="1:14">
      <c r="A278" t="s">
        <v>699</v>
      </c>
      <c r="B278" s="271" t="s">
        <v>700</v>
      </c>
      <c r="C278" s="325">
        <v>282.80799999999999</v>
      </c>
      <c r="D278" s="325">
        <v>124.22</v>
      </c>
      <c r="E278" s="325">
        <f t="shared" si="16"/>
        <v>35130.409760000002</v>
      </c>
      <c r="F278" s="326">
        <f t="shared" si="17"/>
        <v>1.1626211520254807E-3</v>
      </c>
      <c r="G278" s="327">
        <v>5.4741587506037682E-3</v>
      </c>
      <c r="H278" s="326">
        <f t="shared" si="18"/>
        <v>6.3643727529973193E-6</v>
      </c>
      <c r="I278" s="327">
        <v>0.125</v>
      </c>
      <c r="J278" s="326">
        <f t="shared" si="19"/>
        <v>1.4532764400318509E-4</v>
      </c>
      <c r="L278" s="241">
        <v>0.125</v>
      </c>
      <c r="N278" s="209"/>
    </row>
    <row r="279" spans="1:14">
      <c r="A279" t="s">
        <v>701</v>
      </c>
      <c r="B279" s="271" t="s">
        <v>702</v>
      </c>
      <c r="C279" s="325">
        <v>169.404</v>
      </c>
      <c r="D279" s="325">
        <v>121.62</v>
      </c>
      <c r="E279" s="325">
        <f t="shared" si="16"/>
        <v>20602.914479999999</v>
      </c>
      <c r="F279" s="326">
        <f t="shared" si="17"/>
        <v>6.8184186667511425E-4</v>
      </c>
      <c r="G279" s="327">
        <v>9.5379049498437746E-3</v>
      </c>
      <c r="H279" s="326">
        <f t="shared" si="18"/>
        <v>6.5033429151712912E-6</v>
      </c>
      <c r="I279" s="327">
        <v>0.1</v>
      </c>
      <c r="J279" s="326">
        <f t="shared" si="19"/>
        <v>6.8184186667511428E-5</v>
      </c>
      <c r="L279" s="241">
        <v>0.1</v>
      </c>
      <c r="N279" s="209"/>
    </row>
    <row r="280" spans="1:14">
      <c r="A280" t="s">
        <v>703</v>
      </c>
      <c r="B280" s="271" t="s">
        <v>704</v>
      </c>
      <c r="C280" s="325">
        <v>575.16300000000001</v>
      </c>
      <c r="D280" s="325">
        <v>59.17</v>
      </c>
      <c r="E280" s="325">
        <f t="shared" si="16"/>
        <v>34032.39471</v>
      </c>
      <c r="F280" s="326">
        <f t="shared" si="17"/>
        <v>1.1262829615206308E-3</v>
      </c>
      <c r="G280" s="327">
        <v>1.8928511069798887E-2</v>
      </c>
      <c r="H280" s="326">
        <f t="shared" si="18"/>
        <v>2.1318859504869134E-5</v>
      </c>
      <c r="I280" s="327">
        <v>0.09</v>
      </c>
      <c r="J280" s="326">
        <f t="shared" si="19"/>
        <v>1.0136546653685677E-4</v>
      </c>
      <c r="L280" s="241">
        <v>0.09</v>
      </c>
      <c r="N280" s="209"/>
    </row>
    <row r="281" spans="1:14">
      <c r="A281" t="s">
        <v>705</v>
      </c>
      <c r="B281" s="271" t="s">
        <v>706</v>
      </c>
      <c r="C281" s="325">
        <v>128.685</v>
      </c>
      <c r="D281" s="325">
        <v>146.61000000000001</v>
      </c>
      <c r="E281" s="325">
        <f t="shared" si="16"/>
        <v>18866.507850000002</v>
      </c>
      <c r="F281" s="326">
        <f t="shared" si="17"/>
        <v>6.2437646589137805E-4</v>
      </c>
      <c r="G281" s="327">
        <v>3.2739922242684669E-2</v>
      </c>
      <c r="H281" s="326">
        <f t="shared" si="18"/>
        <v>2.0442036943445975E-5</v>
      </c>
      <c r="I281" s="327">
        <v>0.08</v>
      </c>
      <c r="J281" s="326">
        <f t="shared" si="19"/>
        <v>4.9950117271310245E-5</v>
      </c>
      <c r="L281" s="241">
        <v>0.08</v>
      </c>
      <c r="N281" s="209"/>
    </row>
    <row r="282" spans="1:14">
      <c r="A282" t="s">
        <v>707</v>
      </c>
      <c r="B282" s="271" t="s">
        <v>87</v>
      </c>
      <c r="C282" s="325">
        <v>538.67600000000004</v>
      </c>
      <c r="D282" s="325">
        <v>63.73</v>
      </c>
      <c r="E282" s="325">
        <f t="shared" si="16"/>
        <v>34329.821479999999</v>
      </c>
      <c r="F282" s="326">
        <f t="shared" si="17"/>
        <v>1.1361261331870865E-3</v>
      </c>
      <c r="G282" s="327">
        <v>2.8714890946179197E-2</v>
      </c>
      <c r="H282" s="326">
        <f t="shared" si="18"/>
        <v>3.2623738015571448E-5</v>
      </c>
      <c r="I282" s="327">
        <v>0.06</v>
      </c>
      <c r="J282" s="326">
        <f t="shared" si="19"/>
        <v>6.8167567991225179E-5</v>
      </c>
      <c r="L282" s="241">
        <v>0.06</v>
      </c>
      <c r="N282" s="209"/>
    </row>
    <row r="283" spans="1:14">
      <c r="A283" t="s">
        <v>708</v>
      </c>
      <c r="B283" s="271" t="s">
        <v>709</v>
      </c>
      <c r="C283" s="325">
        <v>660.23199999999997</v>
      </c>
      <c r="D283" s="325">
        <v>96.52</v>
      </c>
      <c r="E283" s="325">
        <f t="shared" si="16"/>
        <v>63725.592639999995</v>
      </c>
      <c r="F283" s="326">
        <f t="shared" si="17"/>
        <v>2.108962646173908E-3</v>
      </c>
      <c r="G283" s="327" t="s">
        <v>197</v>
      </c>
      <c r="H283" s="326" t="str">
        <f t="shared" si="18"/>
        <v/>
      </c>
      <c r="I283" s="327">
        <v>0.13</v>
      </c>
      <c r="J283" s="326">
        <f t="shared" si="19"/>
        <v>2.7416514400260806E-4</v>
      </c>
      <c r="L283" s="241">
        <v>0.13</v>
      </c>
      <c r="N283" s="209"/>
    </row>
    <row r="284" spans="1:14">
      <c r="A284" t="s">
        <v>710</v>
      </c>
      <c r="B284" s="271" t="s">
        <v>711</v>
      </c>
      <c r="C284" s="325">
        <v>683.75699999999995</v>
      </c>
      <c r="D284" s="325">
        <v>42.15</v>
      </c>
      <c r="E284" s="325">
        <f t="shared" si="16"/>
        <v>28820.357549999997</v>
      </c>
      <c r="F284" s="326">
        <f t="shared" si="17"/>
        <v>9.5379352320333578E-4</v>
      </c>
      <c r="G284" s="327">
        <v>2.8469750889679714E-2</v>
      </c>
      <c r="H284" s="326">
        <f t="shared" si="18"/>
        <v>2.7154264005788918E-5</v>
      </c>
      <c r="I284" s="327">
        <v>9.5000000000000001E-2</v>
      </c>
      <c r="J284" s="326">
        <f t="shared" si="19"/>
        <v>9.0610384704316907E-5</v>
      </c>
      <c r="L284" s="241">
        <v>9.5000000000000001E-2</v>
      </c>
      <c r="N284" s="209"/>
    </row>
    <row r="285" spans="1:14">
      <c r="A285" t="s">
        <v>712</v>
      </c>
      <c r="B285" s="271" t="s">
        <v>713</v>
      </c>
      <c r="C285" s="325">
        <v>1254.384</v>
      </c>
      <c r="D285" s="325">
        <v>68.930000000000007</v>
      </c>
      <c r="E285" s="325">
        <f t="shared" si="16"/>
        <v>86464.68912000001</v>
      </c>
      <c r="F285" s="326">
        <f t="shared" si="17"/>
        <v>2.8615002546505865E-3</v>
      </c>
      <c r="G285" s="327">
        <v>4.1201218627593204E-2</v>
      </c>
      <c r="H285" s="326">
        <f t="shared" si="18"/>
        <v>1.1789729759477245E-4</v>
      </c>
      <c r="I285" s="327">
        <v>3.5000000000000003E-2</v>
      </c>
      <c r="J285" s="326">
        <f t="shared" si="19"/>
        <v>1.0015250891277054E-4</v>
      </c>
      <c r="L285" s="241">
        <v>3.5000000000000003E-2</v>
      </c>
      <c r="N285" s="209"/>
    </row>
    <row r="286" spans="1:14">
      <c r="A286" t="s">
        <v>714</v>
      </c>
      <c r="B286" s="271" t="s">
        <v>715</v>
      </c>
      <c r="C286" s="325">
        <v>137.947</v>
      </c>
      <c r="D286" s="325">
        <v>96.91</v>
      </c>
      <c r="E286" s="325">
        <f t="shared" si="16"/>
        <v>13368.44377</v>
      </c>
      <c r="F286" s="326">
        <f t="shared" si="17"/>
        <v>4.4242112753156964E-4</v>
      </c>
      <c r="G286" s="327">
        <v>2.8067278918584251E-2</v>
      </c>
      <c r="H286" s="326">
        <f t="shared" si="18"/>
        <v>1.2417557185903098E-5</v>
      </c>
      <c r="I286" s="327">
        <v>0.115</v>
      </c>
      <c r="J286" s="326">
        <f t="shared" si="19"/>
        <v>5.0878429666130511E-5</v>
      </c>
      <c r="L286" s="241">
        <v>0.115</v>
      </c>
      <c r="N286" s="209"/>
    </row>
    <row r="287" spans="1:14">
      <c r="A287" t="s">
        <v>716</v>
      </c>
      <c r="B287" s="271" t="s">
        <v>717</v>
      </c>
      <c r="C287" s="325">
        <v>1446.461</v>
      </c>
      <c r="D287" s="325">
        <v>14.84</v>
      </c>
      <c r="E287" s="325">
        <f t="shared" si="16"/>
        <v>21465.481240000001</v>
      </c>
      <c r="F287" s="326">
        <f t="shared" si="17"/>
        <v>7.1038802844951906E-4</v>
      </c>
      <c r="G287" s="327">
        <v>4.1778975741239892E-2</v>
      </c>
      <c r="H287" s="326">
        <f t="shared" si="18"/>
        <v>2.9679284207459692E-5</v>
      </c>
      <c r="I287" s="327">
        <v>0.09</v>
      </c>
      <c r="J287" s="326">
        <f t="shared" si="19"/>
        <v>6.3934922560456714E-5</v>
      </c>
      <c r="L287" s="241">
        <v>0.09</v>
      </c>
      <c r="N287" s="209"/>
    </row>
    <row r="288" spans="1:14">
      <c r="A288" t="s">
        <v>718</v>
      </c>
      <c r="B288" s="271" t="s">
        <v>719</v>
      </c>
      <c r="C288" s="325">
        <v>435.27499999999998</v>
      </c>
      <c r="D288" s="325">
        <v>79.62</v>
      </c>
      <c r="E288" s="325">
        <f t="shared" si="16"/>
        <v>34656.595500000003</v>
      </c>
      <c r="F288" s="326" t="str">
        <f t="shared" si="17"/>
        <v/>
      </c>
      <c r="G288" s="327">
        <v>3.0645566440592815E-2</v>
      </c>
      <c r="H288" s="326" t="str">
        <f t="shared" si="18"/>
        <v/>
      </c>
      <c r="I288" s="327">
        <v>-1.4999999999999999E-2</v>
      </c>
      <c r="J288" s="326" t="str">
        <f t="shared" si="19"/>
        <v/>
      </c>
      <c r="L288" s="241">
        <v>-1.4999999999999999E-2</v>
      </c>
      <c r="N288" s="209"/>
    </row>
    <row r="289" spans="1:14">
      <c r="A289" t="s">
        <v>720</v>
      </c>
      <c r="B289" s="271" t="s">
        <v>721</v>
      </c>
      <c r="C289" s="325">
        <v>146.893</v>
      </c>
      <c r="D289" s="325">
        <v>235.74</v>
      </c>
      <c r="E289" s="325">
        <f t="shared" si="16"/>
        <v>34628.555820000001</v>
      </c>
      <c r="F289" s="326">
        <f t="shared" si="17"/>
        <v>1.1460125781472541E-3</v>
      </c>
      <c r="G289" s="327" t="s">
        <v>197</v>
      </c>
      <c r="H289" s="326" t="str">
        <f t="shared" si="18"/>
        <v/>
      </c>
      <c r="I289" s="327">
        <v>7.0000000000000007E-2</v>
      </c>
      <c r="J289" s="326">
        <f t="shared" si="19"/>
        <v>8.0220880470307788E-5</v>
      </c>
      <c r="L289" s="241">
        <v>7.0000000000000007E-2</v>
      </c>
      <c r="N289" s="209"/>
    </row>
    <row r="290" spans="1:14">
      <c r="A290" t="s">
        <v>722</v>
      </c>
      <c r="B290" s="271" t="s">
        <v>723</v>
      </c>
      <c r="C290" s="325">
        <v>207.661</v>
      </c>
      <c r="D290" s="325">
        <v>115.7</v>
      </c>
      <c r="E290" s="325">
        <f t="shared" si="16"/>
        <v>24026.377700000001</v>
      </c>
      <c r="F290" s="326">
        <f t="shared" si="17"/>
        <v>7.9513945642555224E-4</v>
      </c>
      <c r="G290" s="327">
        <v>2.4200518582541051E-2</v>
      </c>
      <c r="H290" s="326">
        <f t="shared" si="18"/>
        <v>1.9242787190938166E-5</v>
      </c>
      <c r="I290" s="327">
        <v>7.0000000000000007E-2</v>
      </c>
      <c r="J290" s="326">
        <f t="shared" si="19"/>
        <v>5.5659761949788661E-5</v>
      </c>
      <c r="L290" s="241">
        <v>7.0000000000000007E-2</v>
      </c>
      <c r="N290" s="209"/>
    </row>
    <row r="291" spans="1:14">
      <c r="A291" t="s">
        <v>724</v>
      </c>
      <c r="B291" s="271" t="s">
        <v>725</v>
      </c>
      <c r="C291" s="325">
        <v>94.991</v>
      </c>
      <c r="D291" s="325">
        <v>130.59</v>
      </c>
      <c r="E291" s="325">
        <f t="shared" si="16"/>
        <v>12404.874690000001</v>
      </c>
      <c r="F291" s="326">
        <f t="shared" si="17"/>
        <v>4.1053235078518271E-4</v>
      </c>
      <c r="G291" s="327">
        <v>3.0630216708783214E-2</v>
      </c>
      <c r="H291" s="326">
        <f t="shared" si="18"/>
        <v>1.2574694870516355E-5</v>
      </c>
      <c r="I291" s="327">
        <v>0.05</v>
      </c>
      <c r="J291" s="326">
        <f t="shared" si="19"/>
        <v>2.0526617539259136E-5</v>
      </c>
      <c r="L291" s="241">
        <v>0.05</v>
      </c>
      <c r="N291" s="209"/>
    </row>
    <row r="292" spans="1:14">
      <c r="A292" t="s">
        <v>726</v>
      </c>
      <c r="B292" s="271" t="s">
        <v>727</v>
      </c>
      <c r="C292" s="325">
        <v>360.59100000000001</v>
      </c>
      <c r="D292" s="325">
        <v>119.2</v>
      </c>
      <c r="E292" s="325">
        <f t="shared" si="16"/>
        <v>42982.447200000002</v>
      </c>
      <c r="F292" s="326">
        <f t="shared" si="17"/>
        <v>1.4224799147500291E-3</v>
      </c>
      <c r="G292" s="327">
        <v>2.214765100671141E-2</v>
      </c>
      <c r="H292" s="326">
        <f t="shared" si="18"/>
        <v>3.1504588715940244E-5</v>
      </c>
      <c r="I292" s="327">
        <v>0.08</v>
      </c>
      <c r="J292" s="326">
        <f t="shared" si="19"/>
        <v>1.1379839318000233E-4</v>
      </c>
      <c r="L292" s="241">
        <v>0.08</v>
      </c>
      <c r="N292" s="209"/>
    </row>
    <row r="293" spans="1:14">
      <c r="A293" t="s">
        <v>728</v>
      </c>
      <c r="B293" s="271" t="s">
        <v>729</v>
      </c>
      <c r="C293" s="325">
        <v>428.02499999999998</v>
      </c>
      <c r="D293" s="325">
        <v>17.04</v>
      </c>
      <c r="E293" s="325">
        <f t="shared" si="16"/>
        <v>7293.5459999999994</v>
      </c>
      <c r="F293" s="326">
        <f t="shared" si="17"/>
        <v>2.4137580263939497E-4</v>
      </c>
      <c r="G293" s="327">
        <v>4.2840375586854461E-2</v>
      </c>
      <c r="H293" s="326">
        <f t="shared" si="18"/>
        <v>1.0340630042650136E-5</v>
      </c>
      <c r="I293" s="327">
        <v>0.04</v>
      </c>
      <c r="J293" s="326">
        <f t="shared" si="19"/>
        <v>9.6550321055757984E-6</v>
      </c>
      <c r="L293" s="241">
        <v>0.04</v>
      </c>
      <c r="N293" s="209"/>
    </row>
    <row r="294" spans="1:14">
      <c r="A294" t="s">
        <v>730</v>
      </c>
      <c r="B294" s="271" t="s">
        <v>731</v>
      </c>
      <c r="C294" s="325">
        <v>1120</v>
      </c>
      <c r="D294" s="325">
        <v>180.56</v>
      </c>
      <c r="E294" s="325">
        <f t="shared" si="16"/>
        <v>202227.20000000001</v>
      </c>
      <c r="F294" s="326">
        <f t="shared" si="17"/>
        <v>6.6925954419863069E-3</v>
      </c>
      <c r="G294" s="327">
        <v>1.5064244572441291E-2</v>
      </c>
      <c r="H294" s="326">
        <f t="shared" si="18"/>
        <v>1.0081889456248754E-4</v>
      </c>
      <c r="I294" s="327">
        <v>0.14000000000000001</v>
      </c>
      <c r="J294" s="326">
        <f t="shared" si="19"/>
        <v>9.3696336187808302E-4</v>
      </c>
      <c r="L294" s="241">
        <v>0.14000000000000001</v>
      </c>
      <c r="N294" s="209"/>
    </row>
    <row r="295" spans="1:14">
      <c r="A295" t="s">
        <v>732</v>
      </c>
      <c r="B295" s="271" t="s">
        <v>733</v>
      </c>
      <c r="C295" s="325">
        <v>105.485</v>
      </c>
      <c r="D295" s="325">
        <v>464.15</v>
      </c>
      <c r="E295" s="325">
        <f t="shared" si="16"/>
        <v>48960.86275</v>
      </c>
      <c r="F295" s="326">
        <f t="shared" si="17"/>
        <v>1.6203322148374065E-3</v>
      </c>
      <c r="G295" s="327">
        <v>5.3431002908542503E-3</v>
      </c>
      <c r="H295" s="326">
        <f t="shared" si="18"/>
        <v>8.6575975283782581E-6</v>
      </c>
      <c r="I295" s="327">
        <v>0.08</v>
      </c>
      <c r="J295" s="326">
        <f t="shared" si="19"/>
        <v>1.2962657718699252E-4</v>
      </c>
      <c r="L295" s="241">
        <v>0.08</v>
      </c>
      <c r="N295" s="209"/>
    </row>
    <row r="296" spans="1:14">
      <c r="A296" t="s">
        <v>734</v>
      </c>
      <c r="B296" s="271" t="s">
        <v>735</v>
      </c>
      <c r="C296" s="325">
        <v>355.36599999999999</v>
      </c>
      <c r="D296" s="325">
        <v>109.09</v>
      </c>
      <c r="E296" s="325">
        <f t="shared" si="16"/>
        <v>38766.876940000002</v>
      </c>
      <c r="F296" s="326">
        <f t="shared" si="17"/>
        <v>1.2829679880287522E-3</v>
      </c>
      <c r="G296" s="327">
        <v>1.0450087084059034E-2</v>
      </c>
      <c r="H296" s="326">
        <f t="shared" si="18"/>
        <v>1.3407127200960469E-5</v>
      </c>
      <c r="I296" s="327">
        <v>0.14000000000000001</v>
      </c>
      <c r="J296" s="326">
        <f t="shared" si="19"/>
        <v>1.7961551832402532E-4</v>
      </c>
      <c r="L296" s="241">
        <v>0.14000000000000001</v>
      </c>
      <c r="N296" s="209"/>
    </row>
    <row r="297" spans="1:14">
      <c r="A297" t="s">
        <v>736</v>
      </c>
      <c r="B297" s="271" t="s">
        <v>737</v>
      </c>
      <c r="C297" s="325">
        <v>84.793999999999997</v>
      </c>
      <c r="D297" s="325">
        <v>608.07000000000005</v>
      </c>
      <c r="E297" s="325">
        <f t="shared" si="16"/>
        <v>51560.687580000005</v>
      </c>
      <c r="F297" s="326">
        <f t="shared" si="17"/>
        <v>1.7063719553234581E-3</v>
      </c>
      <c r="G297" s="327" t="s">
        <v>197</v>
      </c>
      <c r="H297" s="326" t="str">
        <f t="shared" si="18"/>
        <v/>
      </c>
      <c r="I297" s="327">
        <v>0.14499999999999999</v>
      </c>
      <c r="J297" s="326">
        <f t="shared" si="19"/>
        <v>2.4742393352190142E-4</v>
      </c>
      <c r="L297" s="241">
        <v>0.14499999999999999</v>
      </c>
      <c r="N297" s="209"/>
    </row>
    <row r="298" spans="1:14">
      <c r="A298" t="s">
        <v>738</v>
      </c>
      <c r="B298" s="271" t="s">
        <v>739</v>
      </c>
      <c r="C298" s="325">
        <v>1173.2</v>
      </c>
      <c r="D298" s="325">
        <v>109.64</v>
      </c>
      <c r="E298" s="325">
        <f t="shared" si="16"/>
        <v>128629.648</v>
      </c>
      <c r="F298" s="326">
        <f t="shared" si="17"/>
        <v>4.2569258532437924E-3</v>
      </c>
      <c r="G298" s="327">
        <v>1.7876687340386721E-2</v>
      </c>
      <c r="H298" s="326">
        <f t="shared" si="18"/>
        <v>7.6099732509648239E-5</v>
      </c>
      <c r="I298" s="327">
        <v>0.16</v>
      </c>
      <c r="J298" s="326">
        <f t="shared" si="19"/>
        <v>6.8110813651900675E-4</v>
      </c>
      <c r="L298" s="241">
        <v>0.16</v>
      </c>
      <c r="N298" s="209"/>
    </row>
    <row r="299" spans="1:14">
      <c r="A299" t="s">
        <v>740</v>
      </c>
      <c r="B299" s="271" t="s">
        <v>741</v>
      </c>
      <c r="C299" s="325">
        <v>931.05799999999999</v>
      </c>
      <c r="D299" s="325">
        <v>22.44</v>
      </c>
      <c r="E299" s="325">
        <f t="shared" si="16"/>
        <v>20892.94152</v>
      </c>
      <c r="F299" s="326">
        <f t="shared" si="17"/>
        <v>6.9144014843917369E-4</v>
      </c>
      <c r="G299" s="327">
        <v>3.4759358288770054E-2</v>
      </c>
      <c r="H299" s="326">
        <f t="shared" si="18"/>
        <v>2.4034015854837588E-5</v>
      </c>
      <c r="I299" s="327">
        <v>9.5000000000000001E-2</v>
      </c>
      <c r="J299" s="326">
        <f t="shared" si="19"/>
        <v>6.5686814101721495E-5</v>
      </c>
      <c r="L299" s="241">
        <v>9.5000000000000001E-2</v>
      </c>
      <c r="N299" s="209"/>
    </row>
    <row r="300" spans="1:14">
      <c r="A300" t="s">
        <v>742</v>
      </c>
      <c r="B300" s="271" t="s">
        <v>743</v>
      </c>
      <c r="C300" s="325">
        <v>320.34699999999998</v>
      </c>
      <c r="D300" s="325">
        <v>35.71</v>
      </c>
      <c r="E300" s="325">
        <f t="shared" si="16"/>
        <v>11439.59137</v>
      </c>
      <c r="F300" s="326" t="str">
        <f t="shared" si="17"/>
        <v/>
      </c>
      <c r="G300" s="327">
        <v>1.3441612993559227E-2</v>
      </c>
      <c r="H300" s="326" t="str">
        <f t="shared" si="18"/>
        <v/>
      </c>
      <c r="I300" s="327" t="s">
        <v>197</v>
      </c>
      <c r="J300" s="326" t="str">
        <f t="shared" si="19"/>
        <v/>
      </c>
      <c r="L300" s="231" t="s">
        <v>197</v>
      </c>
      <c r="N300" s="209"/>
    </row>
    <row r="301" spans="1:14">
      <c r="A301" t="s">
        <v>742</v>
      </c>
      <c r="B301" s="271" t="s">
        <v>744</v>
      </c>
      <c r="C301" s="325">
        <v>249.24</v>
      </c>
      <c r="D301" s="325">
        <v>33.6</v>
      </c>
      <c r="E301" s="325">
        <f t="shared" si="16"/>
        <v>8374.4639999999999</v>
      </c>
      <c r="F301" s="326" t="str">
        <f t="shared" si="17"/>
        <v/>
      </c>
      <c r="G301" s="327">
        <v>1.4285714285714285E-2</v>
      </c>
      <c r="H301" s="326" t="str">
        <f t="shared" si="18"/>
        <v/>
      </c>
      <c r="I301" s="327" t="s">
        <v>197</v>
      </c>
      <c r="J301" s="326" t="str">
        <f t="shared" si="19"/>
        <v/>
      </c>
      <c r="L301" s="231" t="s">
        <v>197</v>
      </c>
      <c r="N301" s="209"/>
    </row>
    <row r="302" spans="1:14">
      <c r="A302" t="s">
        <v>745</v>
      </c>
      <c r="B302" s="271" t="s">
        <v>746</v>
      </c>
      <c r="C302" s="325">
        <v>365.62900000000002</v>
      </c>
      <c r="D302" s="325">
        <v>88.97</v>
      </c>
      <c r="E302" s="325">
        <f t="shared" si="16"/>
        <v>32530.012130000003</v>
      </c>
      <c r="F302" s="326">
        <f t="shared" si="17"/>
        <v>1.0765624550455987E-3</v>
      </c>
      <c r="G302" s="327">
        <v>2.5626615713161743E-2</v>
      </c>
      <c r="H302" s="326">
        <f t="shared" si="18"/>
        <v>2.7588652326671525E-5</v>
      </c>
      <c r="I302" s="327">
        <v>7.4999999999999997E-2</v>
      </c>
      <c r="J302" s="326">
        <f t="shared" si="19"/>
        <v>8.0742184128419902E-5</v>
      </c>
      <c r="L302" s="241">
        <v>7.4999999999999997E-2</v>
      </c>
      <c r="N302" s="209"/>
    </row>
    <row r="303" spans="1:14">
      <c r="A303" t="s">
        <v>747</v>
      </c>
      <c r="B303" s="271" t="s">
        <v>748</v>
      </c>
      <c r="C303" s="325">
        <v>370.03300000000002</v>
      </c>
      <c r="D303" s="325">
        <v>19.510000000000002</v>
      </c>
      <c r="E303" s="325">
        <f t="shared" si="16"/>
        <v>7219.3438300000007</v>
      </c>
      <c r="F303" s="326" t="str">
        <f t="shared" si="17"/>
        <v/>
      </c>
      <c r="G303" s="327" t="s">
        <v>197</v>
      </c>
      <c r="H303" s="326" t="str">
        <f t="shared" si="18"/>
        <v/>
      </c>
      <c r="I303" s="327" t="s">
        <v>197</v>
      </c>
      <c r="J303" s="326" t="str">
        <f t="shared" si="19"/>
        <v/>
      </c>
      <c r="L303" s="231" t="s">
        <v>197</v>
      </c>
      <c r="N303" s="209"/>
    </row>
    <row r="304" spans="1:14">
      <c r="A304" t="s">
        <v>749</v>
      </c>
      <c r="B304" s="271" t="s">
        <v>750</v>
      </c>
      <c r="C304" s="325">
        <v>1482.798</v>
      </c>
      <c r="D304" s="325">
        <v>55.34</v>
      </c>
      <c r="E304" s="325">
        <f t="shared" si="16"/>
        <v>82058.041320000004</v>
      </c>
      <c r="F304" s="326">
        <f t="shared" si="17"/>
        <v>2.7156647242139336E-3</v>
      </c>
      <c r="G304" s="327">
        <v>3.3249006143838085E-2</v>
      </c>
      <c r="H304" s="326">
        <f t="shared" si="18"/>
        <v>9.0293153099993442E-5</v>
      </c>
      <c r="I304" s="327">
        <v>6.5000000000000002E-2</v>
      </c>
      <c r="J304" s="326">
        <f t="shared" si="19"/>
        <v>1.765182070739057E-4</v>
      </c>
      <c r="L304" s="241">
        <v>6.5000000000000002E-2</v>
      </c>
      <c r="N304" s="209"/>
    </row>
    <row r="305" spans="1:14">
      <c r="A305" t="s">
        <v>751</v>
      </c>
      <c r="B305" s="271" t="s">
        <v>752</v>
      </c>
      <c r="C305" s="325">
        <v>133.18700000000001</v>
      </c>
      <c r="D305" s="325">
        <v>79.05</v>
      </c>
      <c r="E305" s="325">
        <f t="shared" si="16"/>
        <v>10528.432350000001</v>
      </c>
      <c r="F305" s="326">
        <f t="shared" si="17"/>
        <v>3.484325469416141E-4</v>
      </c>
      <c r="G305" s="327">
        <v>1.4168247944339027E-2</v>
      </c>
      <c r="H305" s="326">
        <f t="shared" si="18"/>
        <v>4.9366787169463357E-6</v>
      </c>
      <c r="I305" s="327">
        <v>0.1</v>
      </c>
      <c r="J305" s="326">
        <f t="shared" si="19"/>
        <v>3.484325469416141E-5</v>
      </c>
      <c r="L305" s="241">
        <v>0.1</v>
      </c>
      <c r="N305" s="209"/>
    </row>
    <row r="306" spans="1:14">
      <c r="A306" t="s">
        <v>753</v>
      </c>
      <c r="B306" s="271" t="s">
        <v>754</v>
      </c>
      <c r="C306" s="325">
        <v>581.77300000000002</v>
      </c>
      <c r="D306" s="325">
        <v>24.85</v>
      </c>
      <c r="E306" s="325">
        <f t="shared" si="16"/>
        <v>14457.059050000002</v>
      </c>
      <c r="F306" s="326">
        <f t="shared" si="17"/>
        <v>4.7844823793513879E-4</v>
      </c>
      <c r="G306" s="327">
        <v>2.0120724346076459E-2</v>
      </c>
      <c r="H306" s="326">
        <f t="shared" si="18"/>
        <v>9.6267251093589302E-6</v>
      </c>
      <c r="I306" s="327">
        <v>0.11</v>
      </c>
      <c r="J306" s="326">
        <f t="shared" si="19"/>
        <v>5.2629306172865266E-5</v>
      </c>
      <c r="L306" s="241">
        <v>0.11</v>
      </c>
      <c r="N306" s="209"/>
    </row>
    <row r="307" spans="1:14">
      <c r="A307" t="s">
        <v>755</v>
      </c>
      <c r="B307" s="271" t="s">
        <v>756</v>
      </c>
      <c r="C307" s="325">
        <v>224.751</v>
      </c>
      <c r="D307" s="325">
        <v>199.95</v>
      </c>
      <c r="E307" s="325">
        <f t="shared" si="16"/>
        <v>44938.962449999999</v>
      </c>
      <c r="F307" s="326">
        <f t="shared" si="17"/>
        <v>1.4872296865133068E-3</v>
      </c>
      <c r="G307" s="327">
        <v>2.1605401350337589E-2</v>
      </c>
      <c r="H307" s="326">
        <f t="shared" si="18"/>
        <v>3.2132194277256747E-5</v>
      </c>
      <c r="I307" s="327">
        <v>0.12</v>
      </c>
      <c r="J307" s="326">
        <f t="shared" si="19"/>
        <v>1.784675623815968E-4</v>
      </c>
      <c r="L307" s="241">
        <v>0.12</v>
      </c>
      <c r="N307" s="209"/>
    </row>
    <row r="308" spans="1:14">
      <c r="A308" t="s">
        <v>757</v>
      </c>
      <c r="B308" s="271" t="s">
        <v>758</v>
      </c>
      <c r="C308" s="325">
        <v>418.31599999999997</v>
      </c>
      <c r="D308" s="325">
        <v>160.66999999999999</v>
      </c>
      <c r="E308" s="325">
        <f t="shared" si="16"/>
        <v>67210.831719999987</v>
      </c>
      <c r="F308" s="326">
        <f t="shared" si="17"/>
        <v>2.2243046732654194E-3</v>
      </c>
      <c r="G308" s="327">
        <v>1.4315055704238501E-2</v>
      </c>
      <c r="H308" s="326">
        <f t="shared" si="18"/>
        <v>3.1841045300992499E-5</v>
      </c>
      <c r="I308" s="327">
        <v>7.4999999999999997E-2</v>
      </c>
      <c r="J308" s="326">
        <f t="shared" si="19"/>
        <v>1.6682285049490644E-4</v>
      </c>
      <c r="L308" s="241">
        <v>7.4999999999999997E-2</v>
      </c>
      <c r="N308" s="209"/>
    </row>
    <row r="309" spans="1:14">
      <c r="A309" t="s">
        <v>759</v>
      </c>
      <c r="B309" s="271" t="s">
        <v>760</v>
      </c>
      <c r="C309" s="325">
        <v>164.26400000000001</v>
      </c>
      <c r="D309" s="325">
        <v>225.33</v>
      </c>
      <c r="E309" s="325">
        <f t="shared" si="16"/>
        <v>37013.607120000008</v>
      </c>
      <c r="F309" s="326">
        <f t="shared" si="17"/>
        <v>1.224944509456611E-3</v>
      </c>
      <c r="G309" s="327">
        <v>1.349132383615142E-2</v>
      </c>
      <c r="H309" s="326">
        <f t="shared" si="18"/>
        <v>1.6526123058394784E-5</v>
      </c>
      <c r="I309" s="327">
        <v>7.0000000000000007E-2</v>
      </c>
      <c r="J309" s="326">
        <f t="shared" si="19"/>
        <v>8.574611566196277E-5</v>
      </c>
      <c r="L309" s="241">
        <v>7.0000000000000007E-2</v>
      </c>
      <c r="N309" s="209"/>
    </row>
    <row r="310" spans="1:14">
      <c r="A310" t="s">
        <v>761</v>
      </c>
      <c r="B310" s="271" t="s">
        <v>762</v>
      </c>
      <c r="C310" s="325">
        <v>247.88</v>
      </c>
      <c r="D310" s="325">
        <v>228.45</v>
      </c>
      <c r="E310" s="325">
        <f t="shared" si="16"/>
        <v>56628.185999999994</v>
      </c>
      <c r="F310" s="326">
        <f t="shared" si="17"/>
        <v>1.8740779653357844E-3</v>
      </c>
      <c r="G310" s="327">
        <v>6.4784416721383239E-3</v>
      </c>
      <c r="H310" s="326">
        <f t="shared" si="18"/>
        <v>1.2141104787467546E-5</v>
      </c>
      <c r="I310" s="327">
        <v>0.08</v>
      </c>
      <c r="J310" s="326">
        <f t="shared" si="19"/>
        <v>1.4992623722686276E-4</v>
      </c>
      <c r="L310" s="241">
        <v>0.08</v>
      </c>
      <c r="N310" s="209"/>
    </row>
    <row r="311" spans="1:14">
      <c r="A311" t="s">
        <v>763</v>
      </c>
      <c r="B311" s="271" t="s">
        <v>764</v>
      </c>
      <c r="C311" s="325">
        <v>218.607</v>
      </c>
      <c r="D311" s="325">
        <v>48.74</v>
      </c>
      <c r="E311" s="325">
        <f t="shared" si="16"/>
        <v>10654.90518</v>
      </c>
      <c r="F311" s="326">
        <f t="shared" si="17"/>
        <v>3.5261809411624297E-4</v>
      </c>
      <c r="G311" s="327">
        <v>9.0274928190398028E-3</v>
      </c>
      <c r="H311" s="326">
        <f t="shared" si="18"/>
        <v>3.1832573124978849E-6</v>
      </c>
      <c r="I311" s="327">
        <v>5.5E-2</v>
      </c>
      <c r="J311" s="326">
        <f t="shared" si="19"/>
        <v>1.9393995176393365E-5</v>
      </c>
      <c r="L311" s="241">
        <v>5.5E-2</v>
      </c>
      <c r="N311" s="209"/>
    </row>
    <row r="312" spans="1:14">
      <c r="A312" t="s">
        <v>765</v>
      </c>
      <c r="B312" s="271" t="s">
        <v>766</v>
      </c>
      <c r="C312" s="325">
        <v>156.46299999999999</v>
      </c>
      <c r="D312" s="325">
        <v>63.08</v>
      </c>
      <c r="E312" s="325">
        <f t="shared" si="16"/>
        <v>9869.6860399999987</v>
      </c>
      <c r="F312" s="326">
        <f t="shared" si="17"/>
        <v>3.2663170832182749E-4</v>
      </c>
      <c r="G312" s="327">
        <v>2.4096385542168676E-2</v>
      </c>
      <c r="H312" s="326">
        <f t="shared" si="18"/>
        <v>7.8706435740199404E-6</v>
      </c>
      <c r="I312" s="327">
        <v>7.4999999999999997E-2</v>
      </c>
      <c r="J312" s="326">
        <f t="shared" si="19"/>
        <v>2.4497378124137059E-5</v>
      </c>
      <c r="L312" s="241">
        <v>7.4999999999999997E-2</v>
      </c>
      <c r="N312" s="209"/>
    </row>
    <row r="313" spans="1:14">
      <c r="A313" t="s">
        <v>767</v>
      </c>
      <c r="B313" s="271" t="s">
        <v>768</v>
      </c>
      <c r="C313" s="325">
        <v>125.31100000000001</v>
      </c>
      <c r="D313" s="325">
        <v>48.57</v>
      </c>
      <c r="E313" s="325">
        <f t="shared" si="16"/>
        <v>6086.35527</v>
      </c>
      <c r="F313" s="326" t="str">
        <f t="shared" si="17"/>
        <v/>
      </c>
      <c r="G313" s="327" t="s">
        <v>197</v>
      </c>
      <c r="H313" s="326" t="str">
        <f t="shared" si="18"/>
        <v/>
      </c>
      <c r="I313" s="327" t="s">
        <v>197</v>
      </c>
      <c r="J313" s="326" t="str">
        <f t="shared" si="19"/>
        <v/>
      </c>
      <c r="L313" s="231" t="s">
        <v>197</v>
      </c>
      <c r="N313" s="209"/>
    </row>
    <row r="314" spans="1:14">
      <c r="A314" t="s">
        <v>769</v>
      </c>
      <c r="B314" s="271" t="s">
        <v>770</v>
      </c>
      <c r="C314" s="325">
        <v>461.20699999999999</v>
      </c>
      <c r="D314" s="325">
        <v>22.33</v>
      </c>
      <c r="E314" s="325">
        <f t="shared" si="16"/>
        <v>10298.75231</v>
      </c>
      <c r="F314" s="326">
        <f t="shared" si="17"/>
        <v>3.4083141520058598E-4</v>
      </c>
      <c r="G314" s="327">
        <v>3.0452306314375285E-2</v>
      </c>
      <c r="H314" s="326">
        <f t="shared" si="18"/>
        <v>1.037910265725027E-5</v>
      </c>
      <c r="I314" s="327">
        <v>0.155</v>
      </c>
      <c r="J314" s="326">
        <f t="shared" si="19"/>
        <v>5.2828869356090828E-5</v>
      </c>
      <c r="L314" s="241">
        <v>0.155</v>
      </c>
      <c r="N314" s="209"/>
    </row>
    <row r="315" spans="1:14">
      <c r="A315" t="s">
        <v>771</v>
      </c>
      <c r="B315" s="271" t="s">
        <v>772</v>
      </c>
      <c r="C315" s="325">
        <v>511.75200000000001</v>
      </c>
      <c r="D315" s="325">
        <v>318.14</v>
      </c>
      <c r="E315" s="325">
        <f t="shared" si="16"/>
        <v>162808.78128</v>
      </c>
      <c r="F315" s="326" t="str">
        <f t="shared" si="17"/>
        <v/>
      </c>
      <c r="G315" s="327">
        <v>1.3327465895517698E-2</v>
      </c>
      <c r="H315" s="326" t="str">
        <f t="shared" si="18"/>
        <v/>
      </c>
      <c r="I315" s="327" t="s">
        <v>197</v>
      </c>
      <c r="J315" s="326" t="str">
        <f t="shared" si="19"/>
        <v/>
      </c>
      <c r="L315" s="231" t="s">
        <v>197</v>
      </c>
      <c r="N315" s="209"/>
    </row>
    <row r="316" spans="1:14">
      <c r="A316" t="s">
        <v>773</v>
      </c>
      <c r="B316" s="271" t="s">
        <v>774</v>
      </c>
      <c r="C316" s="325">
        <v>283.16699999999997</v>
      </c>
      <c r="D316" s="325">
        <v>652.29999999999995</v>
      </c>
      <c r="E316" s="325">
        <f t="shared" si="16"/>
        <v>184709.83409999998</v>
      </c>
      <c r="F316" s="326">
        <f t="shared" si="17"/>
        <v>6.1128680701097908E-3</v>
      </c>
      <c r="G316" s="327">
        <v>4.1698604936378962E-3</v>
      </c>
      <c r="H316" s="326">
        <f t="shared" si="18"/>
        <v>2.5489807068371348E-5</v>
      </c>
      <c r="I316" s="327">
        <v>0.15</v>
      </c>
      <c r="J316" s="326">
        <f t="shared" si="19"/>
        <v>9.1693021051646856E-4</v>
      </c>
      <c r="L316" s="241">
        <v>0.15</v>
      </c>
      <c r="N316" s="209"/>
    </row>
    <row r="317" spans="1:14">
      <c r="A317" t="s">
        <v>775</v>
      </c>
      <c r="B317" s="271" t="s">
        <v>776</v>
      </c>
      <c r="C317" s="325">
        <v>1794.412</v>
      </c>
      <c r="D317" s="325">
        <v>94.82</v>
      </c>
      <c r="E317" s="325">
        <f t="shared" si="16"/>
        <v>170146.14583999998</v>
      </c>
      <c r="F317" s="326">
        <f t="shared" si="17"/>
        <v>5.6308909984429459E-3</v>
      </c>
      <c r="G317" s="327">
        <v>2.9529635098080577E-2</v>
      </c>
      <c r="H317" s="326">
        <f t="shared" si="18"/>
        <v>1.662781564610868E-4</v>
      </c>
      <c r="I317" s="327">
        <v>8.5000000000000006E-2</v>
      </c>
      <c r="J317" s="326">
        <f t="shared" si="19"/>
        <v>4.7862573486765045E-4</v>
      </c>
      <c r="L317" s="241">
        <v>8.5000000000000006E-2</v>
      </c>
      <c r="N317" s="209"/>
    </row>
    <row r="318" spans="1:14">
      <c r="A318" t="s">
        <v>777</v>
      </c>
      <c r="B318" s="271" t="s">
        <v>778</v>
      </c>
      <c r="C318" s="325">
        <v>554.87099999999998</v>
      </c>
      <c r="D318" s="325">
        <v>83.43</v>
      </c>
      <c r="E318" s="325">
        <f t="shared" si="16"/>
        <v>46292.88753</v>
      </c>
      <c r="F318" s="326">
        <f t="shared" si="17"/>
        <v>1.5320370755252644E-3</v>
      </c>
      <c r="G318" s="327">
        <v>1.1123097207239602E-2</v>
      </c>
      <c r="H318" s="326">
        <f t="shared" si="18"/>
        <v>1.7040997316162596E-5</v>
      </c>
      <c r="I318" s="327">
        <v>0.105</v>
      </c>
      <c r="J318" s="326">
        <f t="shared" si="19"/>
        <v>1.6086389293015275E-4</v>
      </c>
      <c r="L318" s="241">
        <v>0.105</v>
      </c>
      <c r="N318" s="209"/>
    </row>
    <row r="319" spans="1:14">
      <c r="A319" t="s">
        <v>779</v>
      </c>
      <c r="B319" s="271" t="s">
        <v>780</v>
      </c>
      <c r="C319" s="325">
        <v>430.74099999999999</v>
      </c>
      <c r="D319" s="325">
        <v>179.47</v>
      </c>
      <c r="E319" s="325">
        <f t="shared" si="16"/>
        <v>77305.087270000004</v>
      </c>
      <c r="F319" s="326">
        <f t="shared" si="17"/>
        <v>2.5583683832123261E-3</v>
      </c>
      <c r="G319" s="327">
        <v>1.7830278040898203E-2</v>
      </c>
      <c r="H319" s="326">
        <f t="shared" si="18"/>
        <v>4.5616419603718977E-5</v>
      </c>
      <c r="I319" s="327">
        <v>0.125</v>
      </c>
      <c r="J319" s="326">
        <f t="shared" si="19"/>
        <v>3.1979604790154077E-4</v>
      </c>
      <c r="L319" s="241">
        <v>0.125</v>
      </c>
      <c r="N319" s="209"/>
    </row>
    <row r="320" spans="1:14">
      <c r="A320" t="s">
        <v>781</v>
      </c>
      <c r="B320" s="271" t="s">
        <v>782</v>
      </c>
      <c r="C320" s="325">
        <v>251.42099999999999</v>
      </c>
      <c r="D320" s="325">
        <v>74.73</v>
      </c>
      <c r="E320" s="325">
        <f t="shared" si="16"/>
        <v>18788.691330000001</v>
      </c>
      <c r="F320" s="326" t="str">
        <f t="shared" si="17"/>
        <v/>
      </c>
      <c r="G320" s="327" t="s">
        <v>197</v>
      </c>
      <c r="H320" s="326" t="str">
        <f t="shared" si="18"/>
        <v/>
      </c>
      <c r="I320" s="327">
        <v>0.25</v>
      </c>
      <c r="J320" s="326" t="str">
        <f t="shared" si="19"/>
        <v/>
      </c>
      <c r="L320" s="241">
        <v>0.25</v>
      </c>
      <c r="N320" s="209"/>
    </row>
    <row r="321" spans="1:14">
      <c r="A321" t="s">
        <v>783</v>
      </c>
      <c r="B321" s="271" t="s">
        <v>784</v>
      </c>
      <c r="C321" s="325">
        <v>426.2</v>
      </c>
      <c r="D321" s="325">
        <v>47.27</v>
      </c>
      <c r="E321" s="325">
        <f t="shared" si="16"/>
        <v>20146.474000000002</v>
      </c>
      <c r="F321" s="326">
        <f t="shared" si="17"/>
        <v>6.6673622571293892E-4</v>
      </c>
      <c r="G321" s="327">
        <v>3.3001903955997461E-2</v>
      </c>
      <c r="H321" s="326">
        <f t="shared" si="18"/>
        <v>2.2003564884962654E-5</v>
      </c>
      <c r="I321" s="327">
        <v>8.5000000000000006E-2</v>
      </c>
      <c r="J321" s="326">
        <f t="shared" si="19"/>
        <v>5.6672579185599812E-5</v>
      </c>
      <c r="L321" s="241">
        <v>8.5000000000000006E-2</v>
      </c>
      <c r="N321" s="209"/>
    </row>
    <row r="322" spans="1:14">
      <c r="A322" t="s">
        <v>785</v>
      </c>
      <c r="B322" s="271" t="s">
        <v>786</v>
      </c>
      <c r="C322" s="325">
        <v>67.378</v>
      </c>
      <c r="D322" s="325">
        <v>638.16</v>
      </c>
      <c r="E322" s="325">
        <f t="shared" si="16"/>
        <v>42997.944479999998</v>
      </c>
      <c r="F322" s="326">
        <f t="shared" si="17"/>
        <v>1.4229927885152356E-3</v>
      </c>
      <c r="G322" s="327" t="s">
        <v>197</v>
      </c>
      <c r="H322" s="326" t="str">
        <f t="shared" si="18"/>
        <v/>
      </c>
      <c r="I322" s="327">
        <v>0.13</v>
      </c>
      <c r="J322" s="326">
        <f t="shared" si="19"/>
        <v>1.8498906250698064E-4</v>
      </c>
      <c r="L322" s="241">
        <v>0.13</v>
      </c>
      <c r="N322" s="209"/>
    </row>
    <row r="323" spans="1:14">
      <c r="A323" t="s">
        <v>787</v>
      </c>
      <c r="B323" s="271" t="s">
        <v>788</v>
      </c>
      <c r="C323" s="325">
        <v>286.67599999999999</v>
      </c>
      <c r="D323" s="325">
        <v>108.72</v>
      </c>
      <c r="E323" s="325">
        <f t="shared" si="16"/>
        <v>31167.414719999997</v>
      </c>
      <c r="F323" s="326">
        <f t="shared" si="17"/>
        <v>1.0314680601500139E-3</v>
      </c>
      <c r="G323" s="327">
        <v>2.9801324503311258E-2</v>
      </c>
      <c r="H323" s="326">
        <f t="shared" si="18"/>
        <v>3.0739114375331537E-5</v>
      </c>
      <c r="I323" s="327">
        <v>0.05</v>
      </c>
      <c r="J323" s="326">
        <f t="shared" si="19"/>
        <v>5.1573403007500698E-5</v>
      </c>
      <c r="L323" s="241">
        <v>0.05</v>
      </c>
      <c r="N323" s="209"/>
    </row>
    <row r="324" spans="1:14">
      <c r="A324" t="s">
        <v>789</v>
      </c>
      <c r="B324" s="271" t="s">
        <v>790</v>
      </c>
      <c r="C324" s="325">
        <v>375.01600000000002</v>
      </c>
      <c r="D324" s="325">
        <v>85.31</v>
      </c>
      <c r="E324" s="325">
        <f t="shared" si="16"/>
        <v>31992.614960000003</v>
      </c>
      <c r="F324" s="326">
        <f t="shared" si="17"/>
        <v>1.0587775979616933E-3</v>
      </c>
      <c r="G324" s="327">
        <v>2.8249912085335834E-2</v>
      </c>
      <c r="H324" s="326">
        <f t="shared" si="18"/>
        <v>2.9910374060340885E-5</v>
      </c>
      <c r="I324" s="327">
        <v>0.02</v>
      </c>
      <c r="J324" s="326">
        <f t="shared" si="19"/>
        <v>2.1175551959233866E-5</v>
      </c>
      <c r="L324" s="241">
        <v>0.02</v>
      </c>
      <c r="N324" s="209"/>
    </row>
    <row r="325" spans="1:14">
      <c r="A325" t="s">
        <v>791</v>
      </c>
      <c r="B325" s="271" t="s">
        <v>792</v>
      </c>
      <c r="C325" s="325">
        <v>239.77099999999999</v>
      </c>
      <c r="D325" s="325">
        <v>43.28</v>
      </c>
      <c r="E325" s="325">
        <f t="shared" si="16"/>
        <v>10377.28888</v>
      </c>
      <c r="F325" s="326">
        <f t="shared" si="17"/>
        <v>3.4343053881210435E-4</v>
      </c>
      <c r="G325" s="327">
        <v>1.5711645101663587E-2</v>
      </c>
      <c r="H325" s="326">
        <f t="shared" si="18"/>
        <v>5.3958587428888856E-6</v>
      </c>
      <c r="I325" s="327">
        <v>9.5000000000000001E-2</v>
      </c>
      <c r="J325" s="326">
        <f t="shared" si="19"/>
        <v>3.2625901187149915E-5</v>
      </c>
      <c r="L325" s="241">
        <v>9.5000000000000001E-2</v>
      </c>
      <c r="N325" s="209"/>
    </row>
    <row r="326" spans="1:14">
      <c r="A326" t="s">
        <v>793</v>
      </c>
      <c r="B326" s="271" t="s">
        <v>794</v>
      </c>
      <c r="C326" s="325">
        <v>253.55</v>
      </c>
      <c r="D326" s="325">
        <v>29.23</v>
      </c>
      <c r="E326" s="325">
        <f t="shared" si="16"/>
        <v>7411.2665000000006</v>
      </c>
      <c r="F326" s="326" t="str">
        <f t="shared" si="17"/>
        <v/>
      </c>
      <c r="G326" s="327">
        <v>3.8316797810468699E-2</v>
      </c>
      <c r="H326" s="326" t="str">
        <f t="shared" si="18"/>
        <v/>
      </c>
      <c r="I326" s="327" t="s">
        <v>197</v>
      </c>
      <c r="J326" s="326" t="str">
        <f t="shared" si="19"/>
        <v/>
      </c>
      <c r="L326" s="231" t="s">
        <v>197</v>
      </c>
      <c r="N326" s="209"/>
    </row>
    <row r="327" spans="1:14">
      <c r="A327" t="s">
        <v>795</v>
      </c>
      <c r="B327" s="271" t="s">
        <v>796</v>
      </c>
      <c r="C327" s="325">
        <v>714.03499999999997</v>
      </c>
      <c r="D327" s="325">
        <v>15.7</v>
      </c>
      <c r="E327" s="325">
        <f t="shared" si="16"/>
        <v>11210.349499999998</v>
      </c>
      <c r="F327" s="326">
        <f t="shared" si="17"/>
        <v>3.7100021147883896E-4</v>
      </c>
      <c r="G327" s="327" t="s">
        <v>197</v>
      </c>
      <c r="H327" s="326" t="str">
        <f t="shared" si="18"/>
        <v/>
      </c>
      <c r="I327" s="327">
        <v>0.1</v>
      </c>
      <c r="J327" s="326">
        <f t="shared" si="19"/>
        <v>3.71000211478839E-5</v>
      </c>
      <c r="L327" s="241">
        <v>0.1</v>
      </c>
      <c r="N327" s="209"/>
    </row>
    <row r="328" spans="1:14">
      <c r="A328" t="s">
        <v>797</v>
      </c>
      <c r="B328" s="271" t="s">
        <v>798</v>
      </c>
      <c r="C328" s="325">
        <v>220.89099999999999</v>
      </c>
      <c r="D328" s="325">
        <v>67.72</v>
      </c>
      <c r="E328" s="325">
        <f t="shared" si="16"/>
        <v>14958.738519999999</v>
      </c>
      <c r="F328" s="326" t="str">
        <f t="shared" si="17"/>
        <v/>
      </c>
      <c r="G328" s="327" t="s">
        <v>197</v>
      </c>
      <c r="H328" s="326" t="str">
        <f t="shared" si="18"/>
        <v/>
      </c>
      <c r="I328" s="327" t="s">
        <v>197</v>
      </c>
      <c r="J328" s="326" t="str">
        <f t="shared" si="19"/>
        <v/>
      </c>
      <c r="L328" s="231" t="s">
        <v>197</v>
      </c>
      <c r="N328" s="209"/>
    </row>
    <row r="329" spans="1:14">
      <c r="A329" t="s">
        <v>799</v>
      </c>
      <c r="B329" s="271" t="s">
        <v>800</v>
      </c>
      <c r="C329" s="325">
        <v>328.61099999999999</v>
      </c>
      <c r="D329" s="325">
        <v>152.84</v>
      </c>
      <c r="E329" s="325">
        <f t="shared" si="16"/>
        <v>50224.90524</v>
      </c>
      <c r="F329" s="326">
        <f t="shared" si="17"/>
        <v>1.6621649900874767E-3</v>
      </c>
      <c r="G329" s="327">
        <v>4.3182412980895049E-2</v>
      </c>
      <c r="H329" s="326">
        <f t="shared" si="18"/>
        <v>7.1776295044342743E-5</v>
      </c>
      <c r="I329" s="327">
        <v>1.4999999999999999E-2</v>
      </c>
      <c r="J329" s="326">
        <f t="shared" si="19"/>
        <v>2.4932474851312149E-5</v>
      </c>
      <c r="L329" s="241">
        <v>1.4999999999999999E-2</v>
      </c>
      <c r="N329" s="209"/>
    </row>
    <row r="330" spans="1:14">
      <c r="A330" t="s">
        <v>801</v>
      </c>
      <c r="B330" s="271" t="s">
        <v>802</v>
      </c>
      <c r="C330" s="325">
        <v>134.44</v>
      </c>
      <c r="D330" s="325">
        <v>104.29</v>
      </c>
      <c r="E330" s="325">
        <f t="shared" si="16"/>
        <v>14020.747600000001</v>
      </c>
      <c r="F330" s="326">
        <f t="shared" si="17"/>
        <v>4.6400875589930758E-4</v>
      </c>
      <c r="G330" s="327">
        <v>2.6464665835650589E-2</v>
      </c>
      <c r="H330" s="326">
        <f t="shared" si="18"/>
        <v>1.2279836669691139E-5</v>
      </c>
      <c r="I330" s="327">
        <v>0.105</v>
      </c>
      <c r="J330" s="326">
        <f t="shared" si="19"/>
        <v>4.8720919369427296E-5</v>
      </c>
      <c r="L330" s="241">
        <v>0.105</v>
      </c>
      <c r="N330" s="209"/>
    </row>
    <row r="331" spans="1:14">
      <c r="A331" t="s">
        <v>803</v>
      </c>
      <c r="B331" s="271" t="s">
        <v>804</v>
      </c>
      <c r="C331" s="325">
        <v>799.61</v>
      </c>
      <c r="D331" s="325">
        <v>43.94</v>
      </c>
      <c r="E331" s="325">
        <f t="shared" si="16"/>
        <v>35134.863400000002</v>
      </c>
      <c r="F331" s="326" t="str">
        <f t="shared" si="17"/>
        <v/>
      </c>
      <c r="G331" s="327" t="s">
        <v>197</v>
      </c>
      <c r="H331" s="326" t="str">
        <f t="shared" si="18"/>
        <v/>
      </c>
      <c r="I331" s="327">
        <v>0.39</v>
      </c>
      <c r="J331" s="326" t="str">
        <f t="shared" si="19"/>
        <v/>
      </c>
      <c r="L331" s="241">
        <v>0.39</v>
      </c>
      <c r="N331" s="209"/>
    </row>
    <row r="332" spans="1:14">
      <c r="A332" t="s">
        <v>805</v>
      </c>
      <c r="B332" s="271" t="s">
        <v>806</v>
      </c>
      <c r="C332" s="325">
        <v>139.74100000000001</v>
      </c>
      <c r="D332" s="325">
        <v>238.87</v>
      </c>
      <c r="E332" s="325">
        <f t="shared" si="16"/>
        <v>33379.932670000002</v>
      </c>
      <c r="F332" s="326">
        <f t="shared" si="17"/>
        <v>1.1046900972819275E-3</v>
      </c>
      <c r="G332" s="327">
        <v>2.6625361075061749E-2</v>
      </c>
      <c r="H332" s="326">
        <f t="shared" si="18"/>
        <v>2.941277271617641E-5</v>
      </c>
      <c r="I332" s="327">
        <v>1.4999999999999999E-2</v>
      </c>
      <c r="J332" s="326">
        <f t="shared" si="19"/>
        <v>1.6570351459228913E-5</v>
      </c>
      <c r="L332" s="241">
        <v>1.4999999999999999E-2</v>
      </c>
      <c r="N332" s="209"/>
    </row>
    <row r="333" spans="1:14">
      <c r="A333" t="s">
        <v>807</v>
      </c>
      <c r="B333" s="271" t="s">
        <v>808</v>
      </c>
      <c r="C333" s="325">
        <v>378</v>
      </c>
      <c r="D333" s="325">
        <v>102.26</v>
      </c>
      <c r="E333" s="325">
        <f t="shared" si="16"/>
        <v>38654.28</v>
      </c>
      <c r="F333" s="326">
        <f t="shared" si="17"/>
        <v>1.2792416556292251E-3</v>
      </c>
      <c r="G333" s="327">
        <v>4.4983375708977119E-2</v>
      </c>
      <c r="H333" s="326">
        <f t="shared" si="18"/>
        <v>5.7544608017743361E-5</v>
      </c>
      <c r="I333" s="327">
        <v>4.4999999999999998E-2</v>
      </c>
      <c r="J333" s="326">
        <f t="shared" si="19"/>
        <v>5.7565874503315129E-5</v>
      </c>
      <c r="L333" s="241">
        <v>4.4999999999999998E-2</v>
      </c>
      <c r="N333" s="209"/>
    </row>
    <row r="334" spans="1:14">
      <c r="A334" t="s">
        <v>809</v>
      </c>
      <c r="B334" s="271" t="s">
        <v>810</v>
      </c>
      <c r="C334" s="325">
        <v>729.15800000000002</v>
      </c>
      <c r="D334" s="325">
        <v>198.37</v>
      </c>
      <c r="E334" s="325">
        <f t="shared" si="16"/>
        <v>144643.07246</v>
      </c>
      <c r="F334" s="326">
        <f t="shared" si="17"/>
        <v>4.7868811290503509E-3</v>
      </c>
      <c r="G334" s="327">
        <v>2.0567626153148156E-2</v>
      </c>
      <c r="H334" s="326">
        <f t="shared" si="18"/>
        <v>9.8454781501867373E-5</v>
      </c>
      <c r="I334" s="327">
        <v>0.115</v>
      </c>
      <c r="J334" s="326">
        <f t="shared" si="19"/>
        <v>5.5049132984079038E-4</v>
      </c>
      <c r="L334" s="241">
        <v>0.115</v>
      </c>
      <c r="N334" s="209"/>
    </row>
    <row r="335" spans="1:14">
      <c r="A335" t="s">
        <v>811</v>
      </c>
      <c r="B335" s="271" t="s">
        <v>812</v>
      </c>
      <c r="C335" s="325">
        <v>865.61199999999997</v>
      </c>
      <c r="D335" s="325">
        <v>44.8</v>
      </c>
      <c r="E335" s="325">
        <f t="shared" si="16"/>
        <v>38779.417599999993</v>
      </c>
      <c r="F335" s="326">
        <f t="shared" si="17"/>
        <v>1.2833830141179994E-3</v>
      </c>
      <c r="G335" s="327">
        <v>4.263392857142858E-2</v>
      </c>
      <c r="H335" s="326">
        <f t="shared" si="18"/>
        <v>5.4715659753691505E-5</v>
      </c>
      <c r="I335" s="327">
        <v>7.4999999999999997E-2</v>
      </c>
      <c r="J335" s="326">
        <f t="shared" si="19"/>
        <v>9.6253726058849953E-5</v>
      </c>
      <c r="L335" s="241">
        <v>7.4999999999999997E-2</v>
      </c>
      <c r="N335" s="209"/>
    </row>
    <row r="336" spans="1:14">
      <c r="A336" t="s">
        <v>813</v>
      </c>
      <c r="B336" s="271" t="s">
        <v>814</v>
      </c>
      <c r="C336" s="325">
        <v>100.023</v>
      </c>
      <c r="D336" s="325">
        <v>218.53</v>
      </c>
      <c r="E336" s="325">
        <f t="shared" si="16"/>
        <v>21858.02619</v>
      </c>
      <c r="F336" s="326">
        <f t="shared" si="17"/>
        <v>7.23379082784172E-4</v>
      </c>
      <c r="G336" s="327">
        <v>7.8707728915938316E-3</v>
      </c>
      <c r="H336" s="326">
        <f t="shared" si="18"/>
        <v>5.6935524751236716E-6</v>
      </c>
      <c r="I336" s="327">
        <v>0.12</v>
      </c>
      <c r="J336" s="326">
        <f t="shared" si="19"/>
        <v>8.6805489934100634E-5</v>
      </c>
      <c r="L336" s="241">
        <v>0.12</v>
      </c>
      <c r="N336" s="209"/>
    </row>
    <row r="337" spans="1:14">
      <c r="A337" t="s">
        <v>815</v>
      </c>
      <c r="B337" s="271" t="s">
        <v>816</v>
      </c>
      <c r="C337" s="325">
        <v>152.68199999999999</v>
      </c>
      <c r="D337" s="325">
        <v>216.76</v>
      </c>
      <c r="E337" s="325">
        <f t="shared" si="16"/>
        <v>33095.350319999998</v>
      </c>
      <c r="F337" s="326">
        <f t="shared" si="17"/>
        <v>1.0952720044710704E-3</v>
      </c>
      <c r="G337" s="327">
        <v>8.6731869348588304E-3</v>
      </c>
      <c r="H337" s="326">
        <f t="shared" si="18"/>
        <v>9.4994988392951308E-6</v>
      </c>
      <c r="I337" s="327">
        <v>9.5000000000000001E-2</v>
      </c>
      <c r="J337" s="326">
        <f t="shared" si="19"/>
        <v>1.0405084042475169E-4</v>
      </c>
      <c r="L337" s="241">
        <v>9.5000000000000001E-2</v>
      </c>
      <c r="N337" s="209"/>
    </row>
    <row r="338" spans="1:14">
      <c r="A338" t="s">
        <v>817</v>
      </c>
      <c r="B338" s="271" t="s">
        <v>818</v>
      </c>
      <c r="C338" s="325">
        <v>275.786</v>
      </c>
      <c r="D338" s="325">
        <v>333.32</v>
      </c>
      <c r="E338" s="325">
        <f t="shared" si="16"/>
        <v>91924.989520000003</v>
      </c>
      <c r="F338" s="326">
        <f t="shared" si="17"/>
        <v>3.0422058252608502E-3</v>
      </c>
      <c r="G338" s="327">
        <v>3.3601344053762146E-2</v>
      </c>
      <c r="H338" s="326">
        <f t="shared" si="18"/>
        <v>1.0222220461694924E-4</v>
      </c>
      <c r="I338" s="327">
        <v>7.4999999999999997E-2</v>
      </c>
      <c r="J338" s="326">
        <f t="shared" si="19"/>
        <v>2.2816543689456375E-4</v>
      </c>
      <c r="L338" s="241">
        <v>7.4999999999999997E-2</v>
      </c>
      <c r="N338" s="209"/>
    </row>
    <row r="339" spans="1:14">
      <c r="A339" t="s">
        <v>819</v>
      </c>
      <c r="B339" s="271" t="s">
        <v>820</v>
      </c>
      <c r="C339" s="325">
        <v>208.13300000000001</v>
      </c>
      <c r="D339" s="325">
        <v>115.75</v>
      </c>
      <c r="E339" s="325">
        <f t="shared" si="16"/>
        <v>24091.394749999999</v>
      </c>
      <c r="F339" s="326">
        <f t="shared" si="17"/>
        <v>7.9729115912667949E-4</v>
      </c>
      <c r="G339" s="327">
        <v>1.5896328293736498E-2</v>
      </c>
      <c r="H339" s="326">
        <f t="shared" si="18"/>
        <v>1.2674002011171404E-5</v>
      </c>
      <c r="I339" s="327">
        <v>6.5000000000000002E-2</v>
      </c>
      <c r="J339" s="326">
        <f t="shared" si="19"/>
        <v>5.1823925343234168E-5</v>
      </c>
      <c r="L339" s="241">
        <v>6.5000000000000002E-2</v>
      </c>
      <c r="N339" s="209"/>
    </row>
    <row r="340" spans="1:14">
      <c r="A340" t="s">
        <v>821</v>
      </c>
      <c r="B340" s="271" t="s">
        <v>822</v>
      </c>
      <c r="C340" s="325">
        <v>425.62200000000001</v>
      </c>
      <c r="D340" s="325">
        <v>140.53</v>
      </c>
      <c r="E340" s="325">
        <f t="shared" ref="E340:E403" si="20">IFERROR(C340*D340,"")</f>
        <v>59812.659660000005</v>
      </c>
      <c r="F340" s="326" t="str">
        <f t="shared" ref="F340:F403" si="21">IF(AND(ISNUMBER($I340)), IF(AND($I340&lt;=20%,$I340&gt;0%), $E340/SUMIFS($E$19:$E$523,$I$19:$I$523, "&gt;"&amp;0%,$I$19:$I$523, "&lt;="&amp;20%),""),"")</f>
        <v/>
      </c>
      <c r="G340" s="327">
        <v>1.7078203942218744E-2</v>
      </c>
      <c r="H340" s="326" t="str">
        <f t="shared" ref="H340:H403" si="22">IFERROR($G340*$F340,"")</f>
        <v/>
      </c>
      <c r="I340" s="327" t="s">
        <v>197</v>
      </c>
      <c r="J340" s="326" t="str">
        <f t="shared" ref="J340:J403" si="23">IFERROR($I340*$F340,"")</f>
        <v/>
      </c>
      <c r="L340" s="231" t="s">
        <v>197</v>
      </c>
      <c r="N340" s="209"/>
    </row>
    <row r="341" spans="1:14">
      <c r="A341" t="s">
        <v>823</v>
      </c>
      <c r="B341" s="271" t="s">
        <v>824</v>
      </c>
      <c r="C341" s="325">
        <v>61.036000000000001</v>
      </c>
      <c r="D341" s="325">
        <v>328.07</v>
      </c>
      <c r="E341" s="325">
        <f t="shared" si="20"/>
        <v>20024.08052</v>
      </c>
      <c r="F341" s="326">
        <f t="shared" si="21"/>
        <v>6.6268568233214325E-4</v>
      </c>
      <c r="G341" s="327" t="s">
        <v>197</v>
      </c>
      <c r="H341" s="326" t="str">
        <f t="shared" si="22"/>
        <v/>
      </c>
      <c r="I341" s="327">
        <v>0.06</v>
      </c>
      <c r="J341" s="326">
        <f t="shared" si="23"/>
        <v>3.9761140939928593E-5</v>
      </c>
      <c r="L341" s="241">
        <v>0.06</v>
      </c>
      <c r="N341" s="209"/>
    </row>
    <row r="342" spans="1:14">
      <c r="A342" t="s">
        <v>825</v>
      </c>
      <c r="B342" s="271" t="s">
        <v>826</v>
      </c>
      <c r="C342" s="325">
        <v>224.95599999999999</v>
      </c>
      <c r="D342" s="325">
        <v>133.83000000000001</v>
      </c>
      <c r="E342" s="325">
        <f t="shared" si="20"/>
        <v>30105.86148</v>
      </c>
      <c r="F342" s="326">
        <f t="shared" si="21"/>
        <v>9.9633655273929076E-4</v>
      </c>
      <c r="G342" s="327" t="s">
        <v>197</v>
      </c>
      <c r="H342" s="326" t="str">
        <f t="shared" si="22"/>
        <v/>
      </c>
      <c r="I342" s="327">
        <v>8.5000000000000006E-2</v>
      </c>
      <c r="J342" s="326">
        <f t="shared" si="23"/>
        <v>8.4688606982839722E-5</v>
      </c>
      <c r="L342" s="241">
        <v>8.5000000000000006E-2</v>
      </c>
      <c r="N342" s="209"/>
    </row>
    <row r="343" spans="1:14">
      <c r="A343" t="s">
        <v>827</v>
      </c>
      <c r="B343" s="271" t="s">
        <v>828</v>
      </c>
      <c r="C343" s="325">
        <v>129.785</v>
      </c>
      <c r="D343" s="325">
        <v>137.94999999999999</v>
      </c>
      <c r="E343" s="325">
        <f t="shared" si="20"/>
        <v>17903.840749999999</v>
      </c>
      <c r="F343" s="326">
        <f t="shared" si="21"/>
        <v>5.9251753966577537E-4</v>
      </c>
      <c r="G343" s="327">
        <v>3.1895614353026465E-2</v>
      </c>
      <c r="H343" s="326">
        <f t="shared" si="22"/>
        <v>1.8898710942583634E-5</v>
      </c>
      <c r="I343" s="327">
        <v>0.19500000000000001</v>
      </c>
      <c r="J343" s="326">
        <f t="shared" si="23"/>
        <v>1.155409202348262E-4</v>
      </c>
      <c r="L343" s="241">
        <v>0.19500000000000001</v>
      </c>
      <c r="N343" s="209"/>
    </row>
    <row r="344" spans="1:14">
      <c r="A344" t="s">
        <v>829</v>
      </c>
      <c r="B344" s="271" t="s">
        <v>830</v>
      </c>
      <c r="C344" s="325">
        <v>283.08499999999998</v>
      </c>
      <c r="D344" s="325">
        <v>129.99</v>
      </c>
      <c r="E344" s="325">
        <f t="shared" si="20"/>
        <v>36798.219149999997</v>
      </c>
      <c r="F344" s="326">
        <f t="shared" si="21"/>
        <v>1.2178163657337055E-3</v>
      </c>
      <c r="G344" s="327" t="s">
        <v>197</v>
      </c>
      <c r="H344" s="326" t="str">
        <f t="shared" si="22"/>
        <v/>
      </c>
      <c r="I344" s="327">
        <v>0.185</v>
      </c>
      <c r="J344" s="326">
        <f t="shared" si="23"/>
        <v>2.2529602766073551E-4</v>
      </c>
      <c r="L344" s="241">
        <v>0.185</v>
      </c>
      <c r="N344" s="209"/>
    </row>
    <row r="345" spans="1:14">
      <c r="A345" t="s">
        <v>831</v>
      </c>
      <c r="B345" s="271" t="s">
        <v>832</v>
      </c>
      <c r="C345" s="325">
        <v>36.387</v>
      </c>
      <c r="D345" s="325">
        <v>524.14</v>
      </c>
      <c r="E345" s="325">
        <f t="shared" si="20"/>
        <v>19071.882180000001</v>
      </c>
      <c r="F345" s="326">
        <f t="shared" si="21"/>
        <v>6.3117321383062157E-4</v>
      </c>
      <c r="G345" s="327">
        <v>7.1736558934635784E-3</v>
      </c>
      <c r="H345" s="326">
        <f t="shared" si="22"/>
        <v>4.527819445192386E-6</v>
      </c>
      <c r="I345" s="327">
        <v>0.15</v>
      </c>
      <c r="J345" s="326">
        <f t="shared" si="23"/>
        <v>9.4675982074593235E-5</v>
      </c>
      <c r="L345" s="241">
        <v>0.15</v>
      </c>
      <c r="N345" s="209"/>
    </row>
    <row r="346" spans="1:14">
      <c r="A346" t="s">
        <v>833</v>
      </c>
      <c r="B346" s="271" t="s">
        <v>834</v>
      </c>
      <c r="C346" s="325">
        <v>3.4830000000000001</v>
      </c>
      <c r="D346" s="325">
        <v>5225.34</v>
      </c>
      <c r="E346" s="325">
        <f t="shared" si="20"/>
        <v>18199.859220000002</v>
      </c>
      <c r="F346" s="326">
        <f t="shared" si="21"/>
        <v>6.0231410443582496E-4</v>
      </c>
      <c r="G346" s="327" t="s">
        <v>197</v>
      </c>
      <c r="H346" s="326" t="str">
        <f t="shared" si="22"/>
        <v/>
      </c>
      <c r="I346" s="327">
        <v>0.09</v>
      </c>
      <c r="J346" s="326">
        <f t="shared" si="23"/>
        <v>5.4208269399224242E-5</v>
      </c>
      <c r="L346" s="241">
        <v>0.09</v>
      </c>
      <c r="N346" s="209"/>
    </row>
    <row r="347" spans="1:14">
      <c r="A347" t="s">
        <v>835</v>
      </c>
      <c r="B347" s="271" t="s">
        <v>836</v>
      </c>
      <c r="C347" s="325">
        <v>223.62899999999999</v>
      </c>
      <c r="D347" s="325">
        <v>88.88</v>
      </c>
      <c r="E347" s="325">
        <f t="shared" si="20"/>
        <v>19876.145519999998</v>
      </c>
      <c r="F347" s="326">
        <f t="shared" si="21"/>
        <v>6.5778985671269014E-4</v>
      </c>
      <c r="G347" s="327">
        <v>2.2502250225022502E-2</v>
      </c>
      <c r="H347" s="326">
        <f t="shared" si="22"/>
        <v>1.4801751951230651E-5</v>
      </c>
      <c r="I347" s="327">
        <v>6.5000000000000002E-2</v>
      </c>
      <c r="J347" s="326">
        <f t="shared" si="23"/>
        <v>4.2756340686324863E-5</v>
      </c>
      <c r="L347" s="241">
        <v>6.5000000000000002E-2</v>
      </c>
      <c r="N347" s="209"/>
    </row>
    <row r="348" spans="1:14">
      <c r="A348" t="s">
        <v>837</v>
      </c>
      <c r="B348" s="271" t="s">
        <v>838</v>
      </c>
      <c r="C348" s="325">
        <v>124.723</v>
      </c>
      <c r="D348" s="325">
        <v>80.430000000000007</v>
      </c>
      <c r="E348" s="325">
        <f t="shared" si="20"/>
        <v>10031.470890000001</v>
      </c>
      <c r="F348" s="326">
        <f t="shared" si="21"/>
        <v>3.3198588693722866E-4</v>
      </c>
      <c r="G348" s="327">
        <v>1.8401094119109784E-2</v>
      </c>
      <c r="H348" s="326">
        <f t="shared" si="22"/>
        <v>6.1089035517480842E-6</v>
      </c>
      <c r="I348" s="327">
        <v>0.08</v>
      </c>
      <c r="J348" s="326">
        <f t="shared" si="23"/>
        <v>2.6558870954978293E-5</v>
      </c>
      <c r="L348" s="241">
        <v>0.08</v>
      </c>
      <c r="N348" s="209"/>
    </row>
    <row r="349" spans="1:14">
      <c r="A349" t="s">
        <v>839</v>
      </c>
      <c r="B349" s="271" t="s">
        <v>840</v>
      </c>
      <c r="C349" s="325">
        <v>252.239</v>
      </c>
      <c r="D349" s="325">
        <v>29.99</v>
      </c>
      <c r="E349" s="325">
        <f t="shared" si="20"/>
        <v>7564.64761</v>
      </c>
      <c r="F349" s="326">
        <f t="shared" si="21"/>
        <v>2.5034775794214925E-4</v>
      </c>
      <c r="G349" s="327" t="s">
        <v>197</v>
      </c>
      <c r="H349" s="326" t="str">
        <f t="shared" si="22"/>
        <v/>
      </c>
      <c r="I349" s="327">
        <v>6.5000000000000002E-2</v>
      </c>
      <c r="J349" s="326">
        <f t="shared" si="23"/>
        <v>1.6272604266239703E-5</v>
      </c>
      <c r="L349" s="241">
        <v>6.5000000000000002E-2</v>
      </c>
      <c r="N349" s="209"/>
    </row>
    <row r="350" spans="1:14">
      <c r="A350" t="s">
        <v>841</v>
      </c>
      <c r="B350" s="271" t="s">
        <v>842</v>
      </c>
      <c r="C350" s="325">
        <v>115.011</v>
      </c>
      <c r="D350" s="325">
        <v>355.17</v>
      </c>
      <c r="E350" s="325">
        <f t="shared" si="20"/>
        <v>40848.456870000002</v>
      </c>
      <c r="F350" s="326">
        <f t="shared" si="21"/>
        <v>1.351856705034418E-3</v>
      </c>
      <c r="G350" s="327">
        <v>2.2524424923276178E-3</v>
      </c>
      <c r="H350" s="326">
        <f t="shared" si="22"/>
        <v>3.0449794859575259E-6</v>
      </c>
      <c r="I350" s="327">
        <v>0.115</v>
      </c>
      <c r="J350" s="326">
        <f t="shared" si="23"/>
        <v>1.5546352107895808E-4</v>
      </c>
      <c r="L350" s="241">
        <v>0.115</v>
      </c>
      <c r="N350" s="209"/>
    </row>
    <row r="351" spans="1:14">
      <c r="A351" t="s">
        <v>843</v>
      </c>
      <c r="B351" s="271" t="s">
        <v>844</v>
      </c>
      <c r="C351" s="325">
        <v>101.9</v>
      </c>
      <c r="D351" s="325">
        <v>94.5</v>
      </c>
      <c r="E351" s="325">
        <f t="shared" si="20"/>
        <v>9629.5500000000011</v>
      </c>
      <c r="F351" s="326">
        <f t="shared" si="21"/>
        <v>3.1868454114174178E-4</v>
      </c>
      <c r="G351" s="327" t="s">
        <v>197</v>
      </c>
      <c r="H351" s="326" t="str">
        <f t="shared" si="22"/>
        <v/>
      </c>
      <c r="I351" s="327">
        <v>0.16</v>
      </c>
      <c r="J351" s="326">
        <f t="shared" si="23"/>
        <v>5.0989526582678689E-5</v>
      </c>
      <c r="L351" s="241">
        <v>0.16</v>
      </c>
      <c r="N351" s="209"/>
    </row>
    <row r="352" spans="1:14">
      <c r="A352" t="s">
        <v>845</v>
      </c>
      <c r="B352" s="271" t="s">
        <v>846</v>
      </c>
      <c r="C352" s="325">
        <v>340.35300000000001</v>
      </c>
      <c r="D352" s="325">
        <v>66.099999999999994</v>
      </c>
      <c r="E352" s="325">
        <f t="shared" si="20"/>
        <v>22497.333299999998</v>
      </c>
      <c r="F352" s="326">
        <f t="shared" si="21"/>
        <v>7.4453659201347173E-4</v>
      </c>
      <c r="G352" s="327">
        <v>2.3298033282904692E-2</v>
      </c>
      <c r="H352" s="326">
        <f t="shared" si="22"/>
        <v>1.7346238301070296E-5</v>
      </c>
      <c r="I352" s="327">
        <v>6.5000000000000002E-2</v>
      </c>
      <c r="J352" s="326">
        <f t="shared" si="23"/>
        <v>4.8394878480875667E-5</v>
      </c>
      <c r="L352" s="241">
        <v>6.5000000000000002E-2</v>
      </c>
      <c r="N352" s="209"/>
    </row>
    <row r="353" spans="1:14">
      <c r="A353" t="s">
        <v>847</v>
      </c>
      <c r="B353" s="271" t="s">
        <v>848</v>
      </c>
      <c r="C353" s="325">
        <v>289.54899999999998</v>
      </c>
      <c r="D353" s="325">
        <v>45.44</v>
      </c>
      <c r="E353" s="325">
        <f t="shared" si="20"/>
        <v>13157.106559999998</v>
      </c>
      <c r="F353" s="326">
        <f t="shared" si="21"/>
        <v>4.3542704143252799E-4</v>
      </c>
      <c r="G353" s="327">
        <v>5.4445422535211271E-2</v>
      </c>
      <c r="H353" s="326">
        <f t="shared" si="22"/>
        <v>2.370700925405093E-5</v>
      </c>
      <c r="I353" s="327">
        <v>8.5000000000000006E-2</v>
      </c>
      <c r="J353" s="326">
        <f t="shared" si="23"/>
        <v>3.7011298521764879E-5</v>
      </c>
      <c r="L353" s="241">
        <v>8.5000000000000006E-2</v>
      </c>
      <c r="N353" s="209"/>
    </row>
    <row r="354" spans="1:14">
      <c r="A354" t="s">
        <v>849</v>
      </c>
      <c r="B354" s="271" t="s">
        <v>850</v>
      </c>
      <c r="C354" s="325">
        <v>231.70500000000001</v>
      </c>
      <c r="D354" s="325">
        <v>332.07</v>
      </c>
      <c r="E354" s="325">
        <f t="shared" si="20"/>
        <v>76942.279349999997</v>
      </c>
      <c r="F354" s="326">
        <f t="shared" si="21"/>
        <v>2.5463614591600295E-3</v>
      </c>
      <c r="G354" s="327">
        <v>7.2273918149787682E-3</v>
      </c>
      <c r="H354" s="326">
        <f t="shared" si="22"/>
        <v>1.840355196791059E-5</v>
      </c>
      <c r="I354" s="327">
        <v>0.115</v>
      </c>
      <c r="J354" s="326">
        <f t="shared" si="23"/>
        <v>2.9283156780340338E-4</v>
      </c>
      <c r="L354" s="241">
        <v>0.115</v>
      </c>
      <c r="N354" s="209"/>
    </row>
    <row r="355" spans="1:14">
      <c r="A355" t="s">
        <v>851</v>
      </c>
      <c r="B355" s="271" t="s">
        <v>852</v>
      </c>
      <c r="C355" s="325">
        <v>277.14100000000002</v>
      </c>
      <c r="D355" s="325">
        <v>177.46</v>
      </c>
      <c r="E355" s="325">
        <f t="shared" si="20"/>
        <v>49181.441860000006</v>
      </c>
      <c r="F355" s="326">
        <f t="shared" si="21"/>
        <v>1.6276321564188724E-3</v>
      </c>
      <c r="G355" s="327" t="s">
        <v>197</v>
      </c>
      <c r="H355" s="326" t="str">
        <f t="shared" si="22"/>
        <v/>
      </c>
      <c r="I355" s="327">
        <v>0.12</v>
      </c>
      <c r="J355" s="326">
        <f t="shared" si="23"/>
        <v>1.9531585877026467E-4</v>
      </c>
      <c r="L355" s="241">
        <v>0.12</v>
      </c>
      <c r="N355" s="209"/>
    </row>
    <row r="356" spans="1:14">
      <c r="A356" t="s">
        <v>853</v>
      </c>
      <c r="B356" s="271" t="s">
        <v>854</v>
      </c>
      <c r="C356" s="325">
        <v>40.975999999999999</v>
      </c>
      <c r="D356" s="325">
        <v>518.98</v>
      </c>
      <c r="E356" s="325">
        <f t="shared" si="20"/>
        <v>21265.724480000001</v>
      </c>
      <c r="F356" s="326">
        <f t="shared" si="21"/>
        <v>7.0377719082984199E-4</v>
      </c>
      <c r="G356" s="327" t="s">
        <v>197</v>
      </c>
      <c r="H356" s="326" t="str">
        <f t="shared" si="22"/>
        <v/>
      </c>
      <c r="I356" s="327">
        <v>0.14000000000000001</v>
      </c>
      <c r="J356" s="326">
        <f t="shared" si="23"/>
        <v>9.8528806716177884E-5</v>
      </c>
      <c r="L356" s="241">
        <v>0.14000000000000001</v>
      </c>
      <c r="N356" s="209"/>
    </row>
    <row r="357" spans="1:14">
      <c r="A357" t="s">
        <v>855</v>
      </c>
      <c r="B357" s="271" t="s">
        <v>856</v>
      </c>
      <c r="C357" s="325">
        <v>73.12</v>
      </c>
      <c r="D357" s="325">
        <v>118.73</v>
      </c>
      <c r="E357" s="325">
        <f t="shared" si="20"/>
        <v>8681.5376000000015</v>
      </c>
      <c r="F357" s="326">
        <f t="shared" si="21"/>
        <v>2.8731060397015214E-4</v>
      </c>
      <c r="G357" s="327">
        <v>6.7379769224290408E-3</v>
      </c>
      <c r="H357" s="326">
        <f t="shared" si="22"/>
        <v>1.9358922191200345E-6</v>
      </c>
      <c r="I357" s="327">
        <v>0.11</v>
      </c>
      <c r="J357" s="326">
        <f t="shared" si="23"/>
        <v>3.1604166436716735E-5</v>
      </c>
      <c r="L357" s="241">
        <v>0.11</v>
      </c>
      <c r="N357" s="209"/>
    </row>
    <row r="358" spans="1:14">
      <c r="A358" t="s">
        <v>857</v>
      </c>
      <c r="B358" s="271" t="s">
        <v>858</v>
      </c>
      <c r="C358" s="325">
        <v>165.387</v>
      </c>
      <c r="D358" s="325">
        <v>151.66</v>
      </c>
      <c r="E358" s="325">
        <f t="shared" si="20"/>
        <v>25082.592420000001</v>
      </c>
      <c r="F358" s="326">
        <f t="shared" si="21"/>
        <v>8.3009428851950817E-4</v>
      </c>
      <c r="G358" s="327">
        <v>1.4769879994725045E-2</v>
      </c>
      <c r="H358" s="326">
        <f t="shared" si="22"/>
        <v>1.2260393025739803E-5</v>
      </c>
      <c r="I358" s="327">
        <v>0.13500000000000001</v>
      </c>
      <c r="J358" s="326">
        <f t="shared" si="23"/>
        <v>1.1206272895013361E-4</v>
      </c>
      <c r="L358" s="241">
        <v>0.13500000000000001</v>
      </c>
      <c r="N358" s="209"/>
    </row>
    <row r="359" spans="1:14">
      <c r="A359" t="s">
        <v>859</v>
      </c>
      <c r="B359" s="271" t="s">
        <v>860</v>
      </c>
      <c r="C359" s="325">
        <v>122.675</v>
      </c>
      <c r="D359" s="325">
        <v>148.68</v>
      </c>
      <c r="E359" s="325">
        <f t="shared" si="20"/>
        <v>18239.319</v>
      </c>
      <c r="F359" s="326">
        <f t="shared" si="21"/>
        <v>6.0362000366090331E-4</v>
      </c>
      <c r="G359" s="327">
        <v>1.668011837503363E-2</v>
      </c>
      <c r="H359" s="326">
        <f t="shared" si="22"/>
        <v>1.0068453114602101E-5</v>
      </c>
      <c r="I359" s="327">
        <v>7.4999999999999997E-2</v>
      </c>
      <c r="J359" s="326">
        <f t="shared" si="23"/>
        <v>4.5271500274567744E-5</v>
      </c>
      <c r="L359" s="241">
        <v>7.4999999999999997E-2</v>
      </c>
      <c r="N359" s="209"/>
    </row>
    <row r="360" spans="1:14">
      <c r="A360" t="s">
        <v>861</v>
      </c>
      <c r="B360" s="271" t="s">
        <v>862</v>
      </c>
      <c r="C360" s="325">
        <v>778.88900000000001</v>
      </c>
      <c r="D360" s="325">
        <v>58.6</v>
      </c>
      <c r="E360" s="325">
        <f t="shared" si="20"/>
        <v>45642.895400000001</v>
      </c>
      <c r="F360" s="326">
        <f t="shared" si="21"/>
        <v>1.5105259515688185E-3</v>
      </c>
      <c r="G360" s="327">
        <v>8.0204778156996587E-3</v>
      </c>
      <c r="H360" s="326">
        <f t="shared" si="22"/>
        <v>1.2115139884596326E-5</v>
      </c>
      <c r="I360" s="327">
        <v>0.13</v>
      </c>
      <c r="J360" s="326">
        <f t="shared" si="23"/>
        <v>1.9636837370394641E-4</v>
      </c>
      <c r="L360" s="241">
        <v>0.13</v>
      </c>
      <c r="N360" s="209"/>
    </row>
    <row r="361" spans="1:14">
      <c r="A361" t="s">
        <v>863</v>
      </c>
      <c r="B361" s="271" t="s">
        <v>864</v>
      </c>
      <c r="C361" s="325">
        <v>115.982</v>
      </c>
      <c r="D361" s="325">
        <v>336.2</v>
      </c>
      <c r="E361" s="325">
        <f t="shared" si="20"/>
        <v>38993.148399999998</v>
      </c>
      <c r="F361" s="326">
        <f t="shared" si="21"/>
        <v>1.2904563147318245E-3</v>
      </c>
      <c r="G361" s="327">
        <v>1.3325401546698394E-2</v>
      </c>
      <c r="H361" s="326">
        <f t="shared" si="22"/>
        <v>1.7195848572274165E-5</v>
      </c>
      <c r="I361" s="327">
        <v>7.4999999999999997E-2</v>
      </c>
      <c r="J361" s="326">
        <f t="shared" si="23"/>
        <v>9.6784223604886831E-5</v>
      </c>
      <c r="L361" s="241">
        <v>7.4999999999999997E-2</v>
      </c>
      <c r="N361" s="209"/>
    </row>
    <row r="362" spans="1:14">
      <c r="A362" t="s">
        <v>865</v>
      </c>
      <c r="B362" s="271" t="s">
        <v>866</v>
      </c>
      <c r="C362" s="325">
        <v>1224.0419999999999</v>
      </c>
      <c r="D362" s="325">
        <v>33.61</v>
      </c>
      <c r="E362" s="325">
        <f t="shared" si="20"/>
        <v>41140.051619999998</v>
      </c>
      <c r="F362" s="326">
        <f t="shared" si="21"/>
        <v>1.361506869279174E-3</v>
      </c>
      <c r="G362" s="327">
        <v>4.7604879500148772E-2</v>
      </c>
      <c r="H362" s="326">
        <f t="shared" si="22"/>
        <v>6.4814370450659887E-5</v>
      </c>
      <c r="I362" s="327">
        <v>1.4999999999999999E-2</v>
      </c>
      <c r="J362" s="326">
        <f t="shared" si="23"/>
        <v>2.0422603039187608E-5</v>
      </c>
      <c r="L362" s="241">
        <v>1.4999999999999999E-2</v>
      </c>
      <c r="N362" s="209"/>
    </row>
    <row r="363" spans="1:14">
      <c r="A363" t="s">
        <v>867</v>
      </c>
      <c r="B363" s="271" t="s">
        <v>868</v>
      </c>
      <c r="C363" s="325">
        <v>455.41399999999999</v>
      </c>
      <c r="D363" s="325">
        <v>262.48</v>
      </c>
      <c r="E363" s="325">
        <f t="shared" si="20"/>
        <v>119537.06672</v>
      </c>
      <c r="F363" s="326">
        <f t="shared" si="21"/>
        <v>3.9560119898741867E-3</v>
      </c>
      <c r="G363" s="327">
        <v>1.9963425784821701E-2</v>
      </c>
      <c r="H363" s="326">
        <f t="shared" si="22"/>
        <v>7.8975551763718139E-5</v>
      </c>
      <c r="I363" s="327">
        <v>9.5000000000000001E-2</v>
      </c>
      <c r="J363" s="326">
        <f t="shared" si="23"/>
        <v>3.7582113903804776E-4</v>
      </c>
      <c r="L363" s="241">
        <v>9.5000000000000001E-2</v>
      </c>
      <c r="N363" s="209"/>
    </row>
    <row r="364" spans="1:14">
      <c r="A364" t="s">
        <v>869</v>
      </c>
      <c r="B364" s="271" t="s">
        <v>870</v>
      </c>
      <c r="C364" s="325">
        <v>105.72</v>
      </c>
      <c r="D364" s="325">
        <v>636.53</v>
      </c>
      <c r="E364" s="325">
        <f t="shared" si="20"/>
        <v>67293.9516</v>
      </c>
      <c r="F364" s="326">
        <f t="shared" si="21"/>
        <v>2.2270554789435206E-3</v>
      </c>
      <c r="G364" s="327" t="s">
        <v>197</v>
      </c>
      <c r="H364" s="326" t="str">
        <f t="shared" si="22"/>
        <v/>
      </c>
      <c r="I364" s="327">
        <v>0.125</v>
      </c>
      <c r="J364" s="326">
        <f t="shared" si="23"/>
        <v>2.7838193486794008E-4</v>
      </c>
      <c r="L364" s="241">
        <v>0.125</v>
      </c>
      <c r="N364" s="209"/>
    </row>
    <row r="365" spans="1:14">
      <c r="A365" t="s">
        <v>871</v>
      </c>
      <c r="B365" s="271" t="s">
        <v>872</v>
      </c>
      <c r="C365" s="325">
        <v>507.14800000000002</v>
      </c>
      <c r="D365" s="325">
        <v>3507.07</v>
      </c>
      <c r="E365" s="325">
        <f t="shared" si="20"/>
        <v>1778603.5363600003</v>
      </c>
      <c r="F365" s="326" t="str">
        <f t="shared" si="21"/>
        <v/>
      </c>
      <c r="G365" s="327" t="s">
        <v>197</v>
      </c>
      <c r="H365" s="326" t="str">
        <f t="shared" si="22"/>
        <v/>
      </c>
      <c r="I365" s="327">
        <v>0.3</v>
      </c>
      <c r="J365" s="326" t="str">
        <f t="shared" si="23"/>
        <v/>
      </c>
      <c r="L365" s="241">
        <v>0.3</v>
      </c>
      <c r="N365" s="209"/>
    </row>
    <row r="366" spans="1:14">
      <c r="A366" t="s">
        <v>873</v>
      </c>
      <c r="B366" s="271" t="s">
        <v>874</v>
      </c>
      <c r="C366" s="325">
        <v>74.040999999999997</v>
      </c>
      <c r="D366" s="325">
        <v>151.63</v>
      </c>
      <c r="E366" s="325">
        <f t="shared" si="20"/>
        <v>11226.836829999998</v>
      </c>
      <c r="F366" s="326">
        <f t="shared" si="21"/>
        <v>3.7154585039194521E-4</v>
      </c>
      <c r="G366" s="327">
        <v>1.2134801820220274E-2</v>
      </c>
      <c r="H366" s="326">
        <f t="shared" si="22"/>
        <v>4.5086352616314667E-6</v>
      </c>
      <c r="I366" s="327">
        <v>0.105</v>
      </c>
      <c r="J366" s="326">
        <f t="shared" si="23"/>
        <v>3.9012314291154244E-5</v>
      </c>
      <c r="L366" s="241">
        <v>0.105</v>
      </c>
      <c r="N366" s="209"/>
    </row>
    <row r="367" spans="1:14">
      <c r="A367" t="s">
        <v>875</v>
      </c>
      <c r="B367" s="271" t="s">
        <v>876</v>
      </c>
      <c r="C367" s="325">
        <v>48.735999999999997</v>
      </c>
      <c r="D367" s="325">
        <v>116.04</v>
      </c>
      <c r="E367" s="325">
        <f t="shared" si="20"/>
        <v>5655.3254399999996</v>
      </c>
      <c r="F367" s="326">
        <f t="shared" si="21"/>
        <v>1.8715981461788129E-4</v>
      </c>
      <c r="G367" s="327">
        <v>2.3698724577731815E-2</v>
      </c>
      <c r="H367" s="326">
        <f t="shared" si="22"/>
        <v>4.4354488986485139E-6</v>
      </c>
      <c r="I367" s="327">
        <v>0.115</v>
      </c>
      <c r="J367" s="326">
        <f t="shared" si="23"/>
        <v>2.1523378681056348E-5</v>
      </c>
      <c r="L367" s="241">
        <v>0.115</v>
      </c>
      <c r="N367" s="209"/>
    </row>
    <row r="368" spans="1:14">
      <c r="A368" t="s">
        <v>877</v>
      </c>
      <c r="B368" s="271" t="s">
        <v>878</v>
      </c>
      <c r="C368" s="325">
        <v>156.20699999999999</v>
      </c>
      <c r="D368" s="325">
        <v>107.84</v>
      </c>
      <c r="E368" s="325">
        <f t="shared" si="20"/>
        <v>16845.362880000001</v>
      </c>
      <c r="F368" s="326" t="str">
        <f t="shared" si="21"/>
        <v/>
      </c>
      <c r="G368" s="327">
        <v>3.6350148367952521E-2</v>
      </c>
      <c r="H368" s="326" t="str">
        <f t="shared" si="22"/>
        <v/>
      </c>
      <c r="I368" s="327">
        <v>-0.02</v>
      </c>
      <c r="J368" s="326" t="str">
        <f t="shared" si="23"/>
        <v/>
      </c>
      <c r="L368" s="241">
        <v>-0.02</v>
      </c>
      <c r="N368" s="209"/>
    </row>
    <row r="369" spans="1:14">
      <c r="A369" t="s">
        <v>879</v>
      </c>
      <c r="B369" s="271" t="s">
        <v>880</v>
      </c>
      <c r="C369" s="325">
        <v>598.02800000000002</v>
      </c>
      <c r="D369" s="325">
        <v>80.58</v>
      </c>
      <c r="E369" s="325">
        <f t="shared" si="20"/>
        <v>48189.096239999999</v>
      </c>
      <c r="F369" s="326">
        <f t="shared" si="21"/>
        <v>1.5947910362664542E-3</v>
      </c>
      <c r="G369" s="327">
        <v>9.928021841648052E-3</v>
      </c>
      <c r="H369" s="326">
        <f t="shared" si="22"/>
        <v>1.5833120240917889E-5</v>
      </c>
      <c r="I369" s="327">
        <v>0.105</v>
      </c>
      <c r="J369" s="326">
        <f t="shared" si="23"/>
        <v>1.6745305880797769E-4</v>
      </c>
      <c r="L369" s="241">
        <v>0.105</v>
      </c>
      <c r="N369" s="209"/>
    </row>
    <row r="370" spans="1:14">
      <c r="A370" t="s">
        <v>881</v>
      </c>
      <c r="B370" s="271" t="s">
        <v>882</v>
      </c>
      <c r="C370" s="325">
        <v>427.21800000000002</v>
      </c>
      <c r="D370" s="325">
        <v>28.13</v>
      </c>
      <c r="E370" s="325">
        <f t="shared" si="20"/>
        <v>12017.64234</v>
      </c>
      <c r="F370" s="326">
        <f t="shared" si="21"/>
        <v>3.9771711395947555E-4</v>
      </c>
      <c r="G370" s="327">
        <v>2.8439388553146111E-3</v>
      </c>
      <c r="H370" s="326">
        <f t="shared" si="22"/>
        <v>1.1310831538129416E-6</v>
      </c>
      <c r="I370" s="327">
        <v>0.12</v>
      </c>
      <c r="J370" s="326">
        <f t="shared" si="23"/>
        <v>4.7726053675137065E-5</v>
      </c>
      <c r="L370" s="241">
        <v>0.12</v>
      </c>
      <c r="N370" s="209"/>
    </row>
    <row r="371" spans="1:14">
      <c r="A371" t="s">
        <v>883</v>
      </c>
      <c r="B371" s="271" t="s">
        <v>884</v>
      </c>
      <c r="C371" s="325">
        <v>244.13399999999999</v>
      </c>
      <c r="D371" s="325">
        <v>178.32</v>
      </c>
      <c r="E371" s="325">
        <f t="shared" si="20"/>
        <v>43533.974879999994</v>
      </c>
      <c r="F371" s="326">
        <f t="shared" si="21"/>
        <v>1.4407324131147261E-3</v>
      </c>
      <c r="G371" s="327">
        <v>1.3907581875280395E-2</v>
      </c>
      <c r="H371" s="326">
        <f t="shared" si="22"/>
        <v>2.0037103995763354E-5</v>
      </c>
      <c r="I371" s="327">
        <v>0.2</v>
      </c>
      <c r="J371" s="326">
        <f t="shared" si="23"/>
        <v>2.8814648262294522E-4</v>
      </c>
      <c r="L371" s="241">
        <v>0.2</v>
      </c>
      <c r="N371" s="209"/>
    </row>
    <row r="372" spans="1:14">
      <c r="A372" t="s">
        <v>885</v>
      </c>
      <c r="B372" s="271" t="s">
        <v>886</v>
      </c>
      <c r="C372" s="325">
        <v>408.83600000000001</v>
      </c>
      <c r="D372" s="325">
        <v>66.94</v>
      </c>
      <c r="E372" s="325">
        <f t="shared" si="20"/>
        <v>27367.48184</v>
      </c>
      <c r="F372" s="326">
        <f t="shared" si="21"/>
        <v>9.0571141874597986E-4</v>
      </c>
      <c r="G372" s="327">
        <v>5.8559904391992837E-2</v>
      </c>
      <c r="H372" s="326">
        <f t="shared" si="22"/>
        <v>5.3038374088500766E-5</v>
      </c>
      <c r="I372" s="327">
        <v>0.13</v>
      </c>
      <c r="J372" s="326">
        <f t="shared" si="23"/>
        <v>1.1774248443697739E-4</v>
      </c>
      <c r="L372" s="241">
        <v>0.13</v>
      </c>
      <c r="N372" s="209"/>
    </row>
    <row r="373" spans="1:14">
      <c r="A373" t="s">
        <v>887</v>
      </c>
      <c r="B373" s="271" t="s">
        <v>888</v>
      </c>
      <c r="C373" s="325">
        <v>152.50299999999999</v>
      </c>
      <c r="D373" s="325">
        <v>341</v>
      </c>
      <c r="E373" s="325">
        <f t="shared" si="20"/>
        <v>52003.522999999994</v>
      </c>
      <c r="F373" s="326">
        <f t="shared" si="21"/>
        <v>1.7210273444770536E-3</v>
      </c>
      <c r="G373" s="327" t="s">
        <v>197</v>
      </c>
      <c r="H373" s="326" t="str">
        <f t="shared" si="22"/>
        <v/>
      </c>
      <c r="I373" s="327">
        <v>0.13</v>
      </c>
      <c r="J373" s="326">
        <f t="shared" si="23"/>
        <v>2.2373355478201698E-4</v>
      </c>
      <c r="L373" s="241">
        <v>0.13</v>
      </c>
      <c r="N373" s="209"/>
    </row>
    <row r="374" spans="1:14">
      <c r="A374" t="s">
        <v>889</v>
      </c>
      <c r="B374" s="271" t="s">
        <v>890</v>
      </c>
      <c r="C374" s="325">
        <v>402.00700000000001</v>
      </c>
      <c r="D374" s="325">
        <v>15.82</v>
      </c>
      <c r="E374" s="325">
        <f t="shared" si="20"/>
        <v>6359.7507400000004</v>
      </c>
      <c r="F374" s="326">
        <f t="shared" si="21"/>
        <v>2.1047237371972239E-4</v>
      </c>
      <c r="G374" s="327">
        <v>5.9418457648546141E-2</v>
      </c>
      <c r="H374" s="326">
        <f t="shared" si="22"/>
        <v>1.2505943824054301E-5</v>
      </c>
      <c r="I374" s="327">
        <v>0.08</v>
      </c>
      <c r="J374" s="326">
        <f t="shared" si="23"/>
        <v>1.6837789897577792E-5</v>
      </c>
      <c r="L374" s="241">
        <v>0.08</v>
      </c>
      <c r="N374" s="209"/>
    </row>
    <row r="375" spans="1:14">
      <c r="A375" t="s">
        <v>891</v>
      </c>
      <c r="B375" s="271" t="s">
        <v>892</v>
      </c>
      <c r="C375" s="325">
        <v>126.78100000000001</v>
      </c>
      <c r="D375" s="325">
        <v>274.58</v>
      </c>
      <c r="E375" s="325">
        <f t="shared" si="20"/>
        <v>34811.526980000002</v>
      </c>
      <c r="F375" s="326" t="str">
        <f t="shared" si="21"/>
        <v/>
      </c>
      <c r="G375" s="327" t="s">
        <v>197</v>
      </c>
      <c r="H375" s="326" t="str">
        <f t="shared" si="22"/>
        <v/>
      </c>
      <c r="I375" s="327">
        <v>0.28999999999999998</v>
      </c>
      <c r="J375" s="326" t="str">
        <f t="shared" si="23"/>
        <v/>
      </c>
      <c r="L375" s="241">
        <v>0.28999999999999998</v>
      </c>
      <c r="N375" s="209"/>
    </row>
    <row r="376" spans="1:14">
      <c r="A376" t="s">
        <v>893</v>
      </c>
      <c r="B376" s="271" t="s">
        <v>894</v>
      </c>
      <c r="C376" s="325">
        <v>129.98699999999999</v>
      </c>
      <c r="D376" s="325">
        <v>95.09</v>
      </c>
      <c r="E376" s="325">
        <f t="shared" si="20"/>
        <v>12360.463830000001</v>
      </c>
      <c r="F376" s="326">
        <f t="shared" si="21"/>
        <v>4.0906259835222272E-4</v>
      </c>
      <c r="G376" s="327">
        <v>2.1453359974760753E-2</v>
      </c>
      <c r="H376" s="326">
        <f t="shared" si="22"/>
        <v>8.7757671746612088E-6</v>
      </c>
      <c r="I376" s="327">
        <v>0.09</v>
      </c>
      <c r="J376" s="326">
        <f t="shared" si="23"/>
        <v>3.6815633851700042E-5</v>
      </c>
      <c r="L376" s="241">
        <v>0.09</v>
      </c>
      <c r="N376" s="209"/>
    </row>
    <row r="377" spans="1:14">
      <c r="A377" t="s">
        <v>895</v>
      </c>
      <c r="B377" s="271" t="s">
        <v>896</v>
      </c>
      <c r="C377" s="325">
        <v>656.73900000000003</v>
      </c>
      <c r="D377" s="325">
        <v>357.4</v>
      </c>
      <c r="E377" s="325">
        <f t="shared" si="20"/>
        <v>234718.51860000001</v>
      </c>
      <c r="F377" s="326">
        <f t="shared" si="21"/>
        <v>7.7678773564196025E-3</v>
      </c>
      <c r="G377" s="327">
        <v>1.0856183547845552E-2</v>
      </c>
      <c r="H377" s="326">
        <f t="shared" si="22"/>
        <v>8.4329502358444487E-5</v>
      </c>
      <c r="I377" s="327">
        <v>0.1</v>
      </c>
      <c r="J377" s="326">
        <f t="shared" si="23"/>
        <v>7.7678773564196025E-4</v>
      </c>
      <c r="L377" s="241">
        <v>0.1</v>
      </c>
      <c r="N377" s="209"/>
    </row>
    <row r="378" spans="1:14">
      <c r="A378" t="s">
        <v>897</v>
      </c>
      <c r="B378" s="271" t="s">
        <v>898</v>
      </c>
      <c r="C378" s="325">
        <v>55.249000000000002</v>
      </c>
      <c r="D378" s="325">
        <v>578.04999999999995</v>
      </c>
      <c r="E378" s="325">
        <f t="shared" si="20"/>
        <v>31936.684450000001</v>
      </c>
      <c r="F378" s="326">
        <f t="shared" si="21"/>
        <v>1.0569266091911718E-3</v>
      </c>
      <c r="G378" s="327" t="s">
        <v>197</v>
      </c>
      <c r="H378" s="326" t="str">
        <f t="shared" si="22"/>
        <v/>
      </c>
      <c r="I378" s="327">
        <v>0.16500000000000001</v>
      </c>
      <c r="J378" s="326">
        <f t="shared" si="23"/>
        <v>1.7439289051654337E-4</v>
      </c>
      <c r="L378" s="241">
        <v>0.16500000000000001</v>
      </c>
      <c r="N378" s="209"/>
    </row>
    <row r="379" spans="1:14">
      <c r="A379" t="s">
        <v>899</v>
      </c>
      <c r="B379" s="271" t="s">
        <v>900</v>
      </c>
      <c r="C379" s="325">
        <v>293.13299999999998</v>
      </c>
      <c r="D379" s="325">
        <v>122.84</v>
      </c>
      <c r="E379" s="325">
        <f t="shared" si="20"/>
        <v>36008.457719999999</v>
      </c>
      <c r="F379" s="326">
        <f t="shared" si="21"/>
        <v>1.1916796554065359E-3</v>
      </c>
      <c r="G379" s="327">
        <v>1.6281341582546401E-2</v>
      </c>
      <c r="H379" s="326">
        <f t="shared" si="22"/>
        <v>1.9402143526644998E-5</v>
      </c>
      <c r="I379" s="327">
        <v>0.11</v>
      </c>
      <c r="J379" s="326">
        <f t="shared" si="23"/>
        <v>1.3108476209471894E-4</v>
      </c>
      <c r="L379" s="241">
        <v>0.11</v>
      </c>
      <c r="N379" s="209"/>
    </row>
    <row r="380" spans="1:14">
      <c r="A380" t="s">
        <v>901</v>
      </c>
      <c r="B380" s="271" t="s">
        <v>902</v>
      </c>
      <c r="C380" s="325">
        <v>739.745</v>
      </c>
      <c r="D380" s="325">
        <v>150.75</v>
      </c>
      <c r="E380" s="325">
        <f t="shared" si="20"/>
        <v>111516.55875</v>
      </c>
      <c r="F380" s="326">
        <f t="shared" si="21"/>
        <v>3.6905777897149748E-3</v>
      </c>
      <c r="G380" s="327">
        <v>1.671641791044776E-2</v>
      </c>
      <c r="H380" s="326">
        <f t="shared" si="22"/>
        <v>6.1693240663892115E-5</v>
      </c>
      <c r="I380" s="327">
        <v>8.5000000000000006E-2</v>
      </c>
      <c r="J380" s="326">
        <f t="shared" si="23"/>
        <v>3.1369911212577288E-4</v>
      </c>
      <c r="L380" s="241">
        <v>8.5000000000000006E-2</v>
      </c>
      <c r="N380" s="209"/>
    </row>
    <row r="381" spans="1:14">
      <c r="A381" t="s">
        <v>903</v>
      </c>
      <c r="B381" s="271" t="s">
        <v>904</v>
      </c>
      <c r="C381" s="325">
        <v>544.41999999999996</v>
      </c>
      <c r="D381" s="325">
        <v>37.659999999999997</v>
      </c>
      <c r="E381" s="325">
        <f t="shared" si="20"/>
        <v>20502.857199999995</v>
      </c>
      <c r="F381" s="326">
        <f t="shared" si="21"/>
        <v>6.7853052727039737E-4</v>
      </c>
      <c r="G381" s="327">
        <v>4.142326075411578E-2</v>
      </c>
      <c r="H381" s="326">
        <f t="shared" si="22"/>
        <v>2.8106946960749339E-5</v>
      </c>
      <c r="I381" s="327">
        <v>0.115</v>
      </c>
      <c r="J381" s="326">
        <f t="shared" si="23"/>
        <v>7.8031010636095695E-5</v>
      </c>
      <c r="L381" s="241">
        <v>0.115</v>
      </c>
      <c r="N381" s="209"/>
    </row>
    <row r="382" spans="1:14">
      <c r="A382" t="s">
        <v>905</v>
      </c>
      <c r="B382" s="271" t="s">
        <v>906</v>
      </c>
      <c r="C382" s="325">
        <v>111.078</v>
      </c>
      <c r="D382" s="325">
        <v>239.91</v>
      </c>
      <c r="E382" s="325">
        <f t="shared" si="20"/>
        <v>26648.722979999999</v>
      </c>
      <c r="F382" s="326">
        <f t="shared" si="21"/>
        <v>8.8192449853780172E-4</v>
      </c>
      <c r="G382" s="327" t="s">
        <v>197</v>
      </c>
      <c r="H382" s="326" t="str">
        <f t="shared" si="22"/>
        <v/>
      </c>
      <c r="I382" s="327">
        <v>8.5000000000000006E-2</v>
      </c>
      <c r="J382" s="326">
        <f t="shared" si="23"/>
        <v>7.4963582375713145E-5</v>
      </c>
      <c r="L382" s="241">
        <v>8.5000000000000006E-2</v>
      </c>
      <c r="N382" s="209"/>
    </row>
    <row r="383" spans="1:14">
      <c r="A383" t="s">
        <v>907</v>
      </c>
      <c r="B383" s="271" t="s">
        <v>908</v>
      </c>
      <c r="C383" s="325">
        <v>142.499</v>
      </c>
      <c r="D383" s="325">
        <v>113.78</v>
      </c>
      <c r="E383" s="325">
        <f t="shared" si="20"/>
        <v>16213.53622</v>
      </c>
      <c r="F383" s="326">
        <f t="shared" si="21"/>
        <v>5.3657786195156676E-4</v>
      </c>
      <c r="G383" s="327">
        <v>2.109333802074178E-3</v>
      </c>
      <c r="H383" s="326">
        <f t="shared" si="22"/>
        <v>1.1318218216591318E-6</v>
      </c>
      <c r="I383" s="327">
        <v>0.125</v>
      </c>
      <c r="J383" s="326">
        <f t="shared" si="23"/>
        <v>6.7072232743945845E-5</v>
      </c>
      <c r="L383" s="241">
        <v>0.125</v>
      </c>
      <c r="N383" s="209"/>
    </row>
    <row r="384" spans="1:14">
      <c r="A384" t="s">
        <v>909</v>
      </c>
      <c r="B384" s="271" t="s">
        <v>910</v>
      </c>
      <c r="C384" s="325">
        <v>138.67400000000001</v>
      </c>
      <c r="D384" s="325">
        <v>71.06</v>
      </c>
      <c r="E384" s="325">
        <f t="shared" si="20"/>
        <v>9854.1744400000007</v>
      </c>
      <c r="F384" s="326">
        <f t="shared" si="21"/>
        <v>3.2611836064427521E-4</v>
      </c>
      <c r="G384" s="327" t="s">
        <v>197</v>
      </c>
      <c r="H384" s="326" t="str">
        <f t="shared" si="22"/>
        <v/>
      </c>
      <c r="I384" s="327">
        <v>6.5000000000000002E-2</v>
      </c>
      <c r="J384" s="326">
        <f t="shared" si="23"/>
        <v>2.1197693441877891E-5</v>
      </c>
      <c r="L384" s="241">
        <v>6.5000000000000002E-2</v>
      </c>
      <c r="N384" s="209"/>
    </row>
    <row r="385" spans="1:14">
      <c r="A385" t="s">
        <v>911</v>
      </c>
      <c r="B385" s="271" t="s">
        <v>65</v>
      </c>
      <c r="C385" s="325">
        <v>255.41</v>
      </c>
      <c r="D385" s="325">
        <v>81.59</v>
      </c>
      <c r="E385" s="325">
        <f t="shared" si="20"/>
        <v>20838.901900000001</v>
      </c>
      <c r="F385" s="326">
        <f t="shared" si="21"/>
        <v>6.8965173760967755E-4</v>
      </c>
      <c r="G385" s="327">
        <v>2.6964088736364751E-2</v>
      </c>
      <c r="H385" s="326">
        <f t="shared" si="22"/>
        <v>1.8595830650095484E-5</v>
      </c>
      <c r="I385" s="327">
        <v>6.5000000000000002E-2</v>
      </c>
      <c r="J385" s="326">
        <f t="shared" si="23"/>
        <v>4.4827362944629045E-5</v>
      </c>
      <c r="L385" s="241">
        <v>6.5000000000000002E-2</v>
      </c>
      <c r="N385" s="209"/>
    </row>
    <row r="386" spans="1:14">
      <c r="A386" t="s">
        <v>912</v>
      </c>
      <c r="B386" s="271" t="s">
        <v>913</v>
      </c>
      <c r="C386" s="325">
        <v>87.253</v>
      </c>
      <c r="D386" s="325">
        <v>391.48</v>
      </c>
      <c r="E386" s="325">
        <f t="shared" si="20"/>
        <v>34157.80444</v>
      </c>
      <c r="F386" s="326">
        <f t="shared" si="21"/>
        <v>1.1304333259986967E-3</v>
      </c>
      <c r="G386" s="327" t="s">
        <v>197</v>
      </c>
      <c r="H386" s="326" t="str">
        <f t="shared" si="22"/>
        <v/>
      </c>
      <c r="I386" s="327">
        <v>0.08</v>
      </c>
      <c r="J386" s="326">
        <f t="shared" si="23"/>
        <v>9.0434666079895743E-5</v>
      </c>
      <c r="L386" s="241">
        <v>0.08</v>
      </c>
      <c r="N386" s="209"/>
    </row>
    <row r="387" spans="1:14">
      <c r="A387" t="s">
        <v>914</v>
      </c>
      <c r="B387" s="271" t="s">
        <v>915</v>
      </c>
      <c r="C387" s="325">
        <v>2500</v>
      </c>
      <c r="D387" s="325">
        <v>326.76</v>
      </c>
      <c r="E387" s="325">
        <f t="shared" si="20"/>
        <v>816900</v>
      </c>
      <c r="F387" s="326">
        <f t="shared" si="21"/>
        <v>2.7034846037321456E-2</v>
      </c>
      <c r="G387" s="327">
        <v>4.8965601664830458E-4</v>
      </c>
      <c r="H387" s="326">
        <f t="shared" si="22"/>
        <v>1.3237775021335026E-5</v>
      </c>
      <c r="I387" s="327">
        <v>0.17</v>
      </c>
      <c r="J387" s="326">
        <f t="shared" si="23"/>
        <v>4.5959238263446481E-3</v>
      </c>
      <c r="L387" s="241">
        <v>0.17</v>
      </c>
      <c r="N387" s="209"/>
    </row>
    <row r="388" spans="1:14">
      <c r="A388" t="s">
        <v>916</v>
      </c>
      <c r="B388" s="271" t="s">
        <v>917</v>
      </c>
      <c r="C388" s="325">
        <v>148.15700000000001</v>
      </c>
      <c r="D388" s="325">
        <v>62.12</v>
      </c>
      <c r="E388" s="325">
        <f t="shared" si="20"/>
        <v>9203.5128399999994</v>
      </c>
      <c r="F388" s="326">
        <f t="shared" si="21"/>
        <v>3.0458508095472048E-4</v>
      </c>
      <c r="G388" s="327">
        <v>1.2878300064391501E-2</v>
      </c>
      <c r="H388" s="326">
        <f t="shared" si="22"/>
        <v>3.9225380676718676E-6</v>
      </c>
      <c r="I388" s="327">
        <v>0.13500000000000001</v>
      </c>
      <c r="J388" s="326">
        <f t="shared" si="23"/>
        <v>4.1118985928887266E-5</v>
      </c>
      <c r="L388" s="241">
        <v>0.13500000000000001</v>
      </c>
      <c r="N388" s="209"/>
    </row>
    <row r="389" spans="1:14">
      <c r="A389" t="s">
        <v>918</v>
      </c>
      <c r="B389" s="271" t="s">
        <v>919</v>
      </c>
      <c r="C389" s="325">
        <v>525.25199999999995</v>
      </c>
      <c r="D389" s="325">
        <v>77.98</v>
      </c>
      <c r="E389" s="325">
        <f t="shared" si="20"/>
        <v>40959.150959999999</v>
      </c>
      <c r="F389" s="326">
        <f t="shared" si="21"/>
        <v>1.3555200636834464E-3</v>
      </c>
      <c r="G389" s="327">
        <v>1.2310848935624518E-2</v>
      </c>
      <c r="H389" s="326">
        <f t="shared" si="22"/>
        <v>1.6687602733215034E-5</v>
      </c>
      <c r="I389" s="327">
        <v>7.0000000000000007E-2</v>
      </c>
      <c r="J389" s="326">
        <f t="shared" si="23"/>
        <v>9.4886404457841255E-5</v>
      </c>
      <c r="L389" s="241">
        <v>7.0000000000000007E-2</v>
      </c>
      <c r="N389" s="209"/>
    </row>
    <row r="390" spans="1:14">
      <c r="A390" t="s">
        <v>920</v>
      </c>
      <c r="B390" s="271" t="s">
        <v>921</v>
      </c>
      <c r="C390" s="325">
        <v>58.686999999999998</v>
      </c>
      <c r="D390" s="325">
        <v>692.33</v>
      </c>
      <c r="E390" s="325">
        <f t="shared" si="20"/>
        <v>40630.770710000004</v>
      </c>
      <c r="F390" s="326">
        <f t="shared" si="21"/>
        <v>1.3446525040060721E-3</v>
      </c>
      <c r="G390" s="327" t="s">
        <v>197</v>
      </c>
      <c r="H390" s="326" t="str">
        <f t="shared" si="22"/>
        <v/>
      </c>
      <c r="I390" s="327">
        <v>0.05</v>
      </c>
      <c r="J390" s="326">
        <f t="shared" si="23"/>
        <v>6.7232625200303606E-5</v>
      </c>
      <c r="L390" s="241">
        <v>0.05</v>
      </c>
      <c r="N390" s="209"/>
    </row>
    <row r="391" spans="1:14">
      <c r="A391" t="s">
        <v>922</v>
      </c>
      <c r="B391" s="271" t="s">
        <v>923</v>
      </c>
      <c r="C391" s="325">
        <v>357.23700000000002</v>
      </c>
      <c r="D391" s="325">
        <v>324.33999999999997</v>
      </c>
      <c r="E391" s="325">
        <f t="shared" si="20"/>
        <v>115866.24858</v>
      </c>
      <c r="F391" s="326">
        <f t="shared" si="21"/>
        <v>3.8345283281702976E-3</v>
      </c>
      <c r="G391" s="327" t="s">
        <v>197</v>
      </c>
      <c r="H391" s="326" t="str">
        <f t="shared" si="22"/>
        <v/>
      </c>
      <c r="I391" s="327">
        <v>0.16</v>
      </c>
      <c r="J391" s="326">
        <f t="shared" si="23"/>
        <v>6.1352453250724766E-4</v>
      </c>
      <c r="L391" s="241">
        <v>0.16</v>
      </c>
      <c r="N391" s="209"/>
    </row>
    <row r="392" spans="1:14">
      <c r="A392" t="s">
        <v>924</v>
      </c>
      <c r="B392" s="271" t="s">
        <v>925</v>
      </c>
      <c r="C392" s="325">
        <v>115.3</v>
      </c>
      <c r="D392" s="325">
        <v>165.88</v>
      </c>
      <c r="E392" s="325">
        <f t="shared" si="20"/>
        <v>19125.964</v>
      </c>
      <c r="F392" s="326">
        <f t="shared" si="21"/>
        <v>6.3296302124538236E-4</v>
      </c>
      <c r="G392" s="327" t="s">
        <v>197</v>
      </c>
      <c r="H392" s="326" t="str">
        <f t="shared" si="22"/>
        <v/>
      </c>
      <c r="I392" s="327">
        <v>0.12</v>
      </c>
      <c r="J392" s="326">
        <f t="shared" si="23"/>
        <v>7.5955562549445883E-5</v>
      </c>
      <c r="L392" s="241">
        <v>0.12</v>
      </c>
      <c r="N392" s="209"/>
    </row>
    <row r="393" spans="1:14">
      <c r="A393" t="s">
        <v>926</v>
      </c>
      <c r="B393" s="271" t="s">
        <v>927</v>
      </c>
      <c r="C393" s="325">
        <v>317.09500000000003</v>
      </c>
      <c r="D393" s="325">
        <v>132.26</v>
      </c>
      <c r="E393" s="325">
        <f t="shared" si="20"/>
        <v>41938.984700000001</v>
      </c>
      <c r="F393" s="326">
        <f t="shared" si="21"/>
        <v>1.3879471102045296E-3</v>
      </c>
      <c r="G393" s="327">
        <v>1.3911991531831241E-2</v>
      </c>
      <c r="H393" s="326">
        <f t="shared" si="22"/>
        <v>1.9309108443795059E-5</v>
      </c>
      <c r="I393" s="327">
        <v>0.11</v>
      </c>
      <c r="J393" s="326">
        <f t="shared" si="23"/>
        <v>1.5267418212249826E-4</v>
      </c>
      <c r="L393" s="241">
        <v>0.11</v>
      </c>
      <c r="N393" s="209"/>
    </row>
    <row r="394" spans="1:14">
      <c r="A394" t="s">
        <v>928</v>
      </c>
      <c r="B394" s="271" t="s">
        <v>929</v>
      </c>
      <c r="C394" s="325">
        <v>626.00400000000002</v>
      </c>
      <c r="D394" s="325">
        <v>67.459999999999994</v>
      </c>
      <c r="E394" s="325">
        <f t="shared" si="20"/>
        <v>42230.22984</v>
      </c>
      <c r="F394" s="326">
        <f t="shared" si="21"/>
        <v>1.3975857043029727E-3</v>
      </c>
      <c r="G394" s="327">
        <v>1.0672991402312482E-2</v>
      </c>
      <c r="H394" s="326">
        <f t="shared" si="22"/>
        <v>1.4916420206020462E-5</v>
      </c>
      <c r="I394" s="327">
        <v>0.16500000000000001</v>
      </c>
      <c r="J394" s="326">
        <f t="shared" si="23"/>
        <v>2.3060164120999052E-4</v>
      </c>
      <c r="L394" s="241">
        <v>0.16500000000000001</v>
      </c>
      <c r="N394" s="209"/>
    </row>
    <row r="395" spans="1:14">
      <c r="A395" t="s">
        <v>930</v>
      </c>
      <c r="B395" s="271" t="s">
        <v>931</v>
      </c>
      <c r="C395" s="325">
        <v>334.79300000000001</v>
      </c>
      <c r="D395" s="325">
        <v>380.99</v>
      </c>
      <c r="E395" s="325">
        <f t="shared" si="20"/>
        <v>127552.78507000001</v>
      </c>
      <c r="F395" s="326">
        <f t="shared" si="21"/>
        <v>4.2212876802534037E-3</v>
      </c>
      <c r="G395" s="327">
        <v>2.0997926454762596E-2</v>
      </c>
      <c r="H395" s="326">
        <f t="shared" si="22"/>
        <v>8.8638288254356379E-5</v>
      </c>
      <c r="I395" s="327">
        <v>7.0000000000000007E-2</v>
      </c>
      <c r="J395" s="326">
        <f t="shared" si="23"/>
        <v>2.9549013761773831E-4</v>
      </c>
      <c r="L395" s="241">
        <v>7.0000000000000007E-2</v>
      </c>
      <c r="N395" s="209"/>
    </row>
    <row r="396" spans="1:14">
      <c r="A396" t="s">
        <v>932</v>
      </c>
      <c r="B396" s="271" t="s">
        <v>933</v>
      </c>
      <c r="C396" s="325">
        <v>108.78100000000001</v>
      </c>
      <c r="D396" s="325">
        <v>343.8</v>
      </c>
      <c r="E396" s="325">
        <f t="shared" si="20"/>
        <v>37398.907800000001</v>
      </c>
      <c r="F396" s="326" t="str">
        <f t="shared" si="21"/>
        <v/>
      </c>
      <c r="G396" s="327">
        <v>6.7481093659104126E-3</v>
      </c>
      <c r="H396" s="326" t="str">
        <f t="shared" si="22"/>
        <v/>
      </c>
      <c r="I396" s="327">
        <v>0.45</v>
      </c>
      <c r="J396" s="326" t="str">
        <f t="shared" si="23"/>
        <v/>
      </c>
      <c r="L396" s="241">
        <v>0.45</v>
      </c>
      <c r="N396" s="209"/>
    </row>
    <row r="397" spans="1:14">
      <c r="A397" t="s">
        <v>934</v>
      </c>
      <c r="B397" s="271" t="s">
        <v>935</v>
      </c>
      <c r="C397" s="325">
        <v>315.07100000000003</v>
      </c>
      <c r="D397" s="325">
        <v>119.87</v>
      </c>
      <c r="E397" s="325">
        <f t="shared" si="20"/>
        <v>37767.560770000004</v>
      </c>
      <c r="F397" s="326">
        <f t="shared" si="21"/>
        <v>1.2498961814446468E-3</v>
      </c>
      <c r="G397" s="327">
        <v>3.6706431967965296E-2</v>
      </c>
      <c r="H397" s="326">
        <f t="shared" si="22"/>
        <v>4.5879229151217531E-5</v>
      </c>
      <c r="I397" s="327">
        <v>0.1</v>
      </c>
      <c r="J397" s="326">
        <f t="shared" si="23"/>
        <v>1.2498961814446467E-4</v>
      </c>
      <c r="L397" s="241">
        <v>0.1</v>
      </c>
      <c r="N397" s="209"/>
    </row>
    <row r="398" spans="1:14">
      <c r="A398" t="s">
        <v>936</v>
      </c>
      <c r="B398" s="271" t="s">
        <v>937</v>
      </c>
      <c r="C398" s="325">
        <v>185.9</v>
      </c>
      <c r="D398" s="325">
        <v>390.64</v>
      </c>
      <c r="E398" s="325">
        <f t="shared" si="20"/>
        <v>72619.975999999995</v>
      </c>
      <c r="F398" s="326">
        <f t="shared" si="21"/>
        <v>2.4033172608568724E-3</v>
      </c>
      <c r="G398" s="327">
        <v>6.3485562154413262E-3</v>
      </c>
      <c r="H398" s="326">
        <f t="shared" si="22"/>
        <v>1.5257594734090321E-5</v>
      </c>
      <c r="I398" s="327">
        <v>0.1</v>
      </c>
      <c r="J398" s="326">
        <f t="shared" si="23"/>
        <v>2.4033172608568725E-4</v>
      </c>
      <c r="L398" s="241">
        <v>0.1</v>
      </c>
      <c r="N398" s="209"/>
    </row>
    <row r="399" spans="1:14">
      <c r="A399" t="s">
        <v>938</v>
      </c>
      <c r="B399" s="271" t="s">
        <v>939</v>
      </c>
      <c r="C399" s="325">
        <v>41.063000000000002</v>
      </c>
      <c r="D399" s="325">
        <v>2101.85</v>
      </c>
      <c r="E399" s="325">
        <f t="shared" si="20"/>
        <v>86308.26655</v>
      </c>
      <c r="F399" s="326">
        <f t="shared" si="21"/>
        <v>2.8563235376757885E-3</v>
      </c>
      <c r="G399" s="327" t="s">
        <v>197</v>
      </c>
      <c r="H399" s="326" t="str">
        <f t="shared" si="22"/>
        <v/>
      </c>
      <c r="I399" s="327">
        <v>0.14000000000000001</v>
      </c>
      <c r="J399" s="326">
        <f t="shared" si="23"/>
        <v>3.9988529527461042E-4</v>
      </c>
      <c r="L399" s="241">
        <v>0.14000000000000001</v>
      </c>
      <c r="N399" s="209"/>
    </row>
    <row r="400" spans="1:14">
      <c r="A400" t="s">
        <v>940</v>
      </c>
      <c r="B400" s="271" t="s">
        <v>941</v>
      </c>
      <c r="C400" s="325">
        <v>61.228999999999999</v>
      </c>
      <c r="D400" s="325">
        <v>227.58</v>
      </c>
      <c r="E400" s="325">
        <f t="shared" si="20"/>
        <v>13934.49582</v>
      </c>
      <c r="F400" s="326">
        <f t="shared" si="21"/>
        <v>4.6115430175223336E-4</v>
      </c>
      <c r="G400" s="327" t="s">
        <v>197</v>
      </c>
      <c r="H400" s="326" t="str">
        <f t="shared" si="22"/>
        <v/>
      </c>
      <c r="I400" s="327">
        <v>7.0000000000000007E-2</v>
      </c>
      <c r="J400" s="326">
        <f t="shared" si="23"/>
        <v>3.2280801122656341E-5</v>
      </c>
      <c r="L400" s="241">
        <v>7.0000000000000007E-2</v>
      </c>
      <c r="N400" s="209"/>
    </row>
    <row r="401" spans="1:14">
      <c r="A401" t="s">
        <v>942</v>
      </c>
      <c r="B401" s="271" t="s">
        <v>943</v>
      </c>
      <c r="C401" s="325">
        <v>162.47999999999999</v>
      </c>
      <c r="D401" s="325">
        <v>112.7</v>
      </c>
      <c r="E401" s="325">
        <f t="shared" si="20"/>
        <v>18311.495999999999</v>
      </c>
      <c r="F401" s="326">
        <f t="shared" si="21"/>
        <v>6.0600866088019064E-4</v>
      </c>
      <c r="G401" s="327" t="s">
        <v>197</v>
      </c>
      <c r="H401" s="326" t="str">
        <f t="shared" si="22"/>
        <v/>
      </c>
      <c r="I401" s="327">
        <v>9.5000000000000001E-2</v>
      </c>
      <c r="J401" s="326">
        <f t="shared" si="23"/>
        <v>5.7570822783618113E-5</v>
      </c>
      <c r="L401" s="241">
        <v>9.5000000000000001E-2</v>
      </c>
      <c r="N401" s="209"/>
    </row>
    <row r="402" spans="1:14">
      <c r="A402" t="s">
        <v>944</v>
      </c>
      <c r="B402" s="271" t="s">
        <v>945</v>
      </c>
      <c r="C402" s="325">
        <v>50.463999999999999</v>
      </c>
      <c r="D402" s="325">
        <v>365.87</v>
      </c>
      <c r="E402" s="325">
        <f t="shared" si="20"/>
        <v>18463.26368</v>
      </c>
      <c r="F402" s="326">
        <f t="shared" si="21"/>
        <v>6.1103132688856553E-4</v>
      </c>
      <c r="G402" s="327" t="s">
        <v>197</v>
      </c>
      <c r="H402" s="326" t="str">
        <f t="shared" si="22"/>
        <v/>
      </c>
      <c r="I402" s="327">
        <v>7.0000000000000007E-2</v>
      </c>
      <c r="J402" s="326">
        <f t="shared" si="23"/>
        <v>4.2772192882199589E-5</v>
      </c>
      <c r="L402" s="241">
        <v>7.0000000000000007E-2</v>
      </c>
      <c r="N402" s="209"/>
    </row>
    <row r="403" spans="1:14">
      <c r="A403" t="s">
        <v>946</v>
      </c>
      <c r="B403" s="271" t="s">
        <v>947</v>
      </c>
      <c r="C403" s="325">
        <v>38.026000000000003</v>
      </c>
      <c r="D403" s="325">
        <v>352.69</v>
      </c>
      <c r="E403" s="325">
        <f t="shared" si="20"/>
        <v>13411.389940000001</v>
      </c>
      <c r="F403" s="326">
        <f t="shared" si="21"/>
        <v>4.438424068727897E-4</v>
      </c>
      <c r="G403" s="327">
        <v>7.4853270577561037E-3</v>
      </c>
      <c r="H403" s="326">
        <f t="shared" si="22"/>
        <v>3.3223055775444865E-6</v>
      </c>
      <c r="I403" s="327">
        <v>0.14000000000000001</v>
      </c>
      <c r="J403" s="326">
        <f t="shared" si="23"/>
        <v>6.2137936962190565E-5</v>
      </c>
      <c r="L403" s="241">
        <v>0.14000000000000001</v>
      </c>
      <c r="N403" s="209"/>
    </row>
    <row r="404" spans="1:14">
      <c r="A404" t="s">
        <v>948</v>
      </c>
      <c r="B404" s="271" t="s">
        <v>949</v>
      </c>
      <c r="C404" s="325">
        <v>677</v>
      </c>
      <c r="D404" s="325">
        <v>42.06</v>
      </c>
      <c r="E404" s="325">
        <f t="shared" ref="E404:E467" si="24">IFERROR(C404*D404,"")</f>
        <v>28474.620000000003</v>
      </c>
      <c r="F404" s="326" t="str">
        <f t="shared" ref="F404:F467" si="25">IF(AND(ISNUMBER($I404)), IF(AND($I404&lt;=20%,$I404&gt;0%), $E404/SUMIFS($E$19:$E$523,$I$19:$I$523, "&gt;"&amp;0%,$I$19:$I$523, "&lt;="&amp;20%),""),"")</f>
        <v/>
      </c>
      <c r="G404" s="327">
        <v>7.9885877318116971E-2</v>
      </c>
      <c r="H404" s="326" t="str">
        <f t="shared" ref="H404:H467" si="26">IFERROR($G404*$F404,"")</f>
        <v/>
      </c>
      <c r="I404" s="327" t="s">
        <v>197</v>
      </c>
      <c r="J404" s="326" t="str">
        <f t="shared" ref="J404:J467" si="27">IFERROR($I404*$F404,"")</f>
        <v/>
      </c>
      <c r="L404" s="231" t="s">
        <v>197</v>
      </c>
      <c r="N404" s="209"/>
    </row>
    <row r="405" spans="1:14">
      <c r="A405" t="s">
        <v>950</v>
      </c>
      <c r="B405" s="271" t="s">
        <v>951</v>
      </c>
      <c r="C405" s="325">
        <v>300.81</v>
      </c>
      <c r="D405" s="325">
        <v>2837.95</v>
      </c>
      <c r="E405" s="325">
        <f t="shared" si="24"/>
        <v>853683.73949999991</v>
      </c>
      <c r="F405" s="326" t="str">
        <f t="shared" si="25"/>
        <v/>
      </c>
      <c r="G405" s="327" t="s">
        <v>197</v>
      </c>
      <c r="H405" s="326" t="str">
        <f t="shared" si="26"/>
        <v/>
      </c>
      <c r="I405" s="327" t="s">
        <v>197</v>
      </c>
      <c r="J405" s="326" t="str">
        <f t="shared" si="27"/>
        <v/>
      </c>
      <c r="L405" s="231" t="s">
        <v>197</v>
      </c>
      <c r="N405" s="209"/>
    </row>
    <row r="406" spans="1:14">
      <c r="A406" t="s">
        <v>952</v>
      </c>
      <c r="B406" s="271" t="s">
        <v>953</v>
      </c>
      <c r="C406" s="325">
        <v>39.295000000000002</v>
      </c>
      <c r="D406" s="325">
        <v>472.03</v>
      </c>
      <c r="E406" s="325">
        <f t="shared" si="24"/>
        <v>18548.418849999998</v>
      </c>
      <c r="F406" s="326">
        <f t="shared" si="25"/>
        <v>6.1384948934447431E-4</v>
      </c>
      <c r="G406" s="327">
        <v>2.7116920534711779E-3</v>
      </c>
      <c r="H406" s="326">
        <f t="shared" si="26"/>
        <v>1.6645707822827515E-6</v>
      </c>
      <c r="I406" s="327">
        <v>0.13</v>
      </c>
      <c r="J406" s="326">
        <f t="shared" si="27"/>
        <v>7.9800433614781669E-5</v>
      </c>
      <c r="L406" s="241">
        <v>0.13</v>
      </c>
      <c r="N406" s="209"/>
    </row>
    <row r="407" spans="1:14">
      <c r="A407" t="s">
        <v>954</v>
      </c>
      <c r="B407" s="271" t="s">
        <v>955</v>
      </c>
      <c r="C407" s="325">
        <v>46.844999999999999</v>
      </c>
      <c r="D407" s="325">
        <v>297.42</v>
      </c>
      <c r="E407" s="325">
        <f t="shared" si="24"/>
        <v>13932.6399</v>
      </c>
      <c r="F407" s="326">
        <f t="shared" si="25"/>
        <v>4.6109288112368933E-4</v>
      </c>
      <c r="G407" s="327">
        <v>4.5726581938000128E-3</v>
      </c>
      <c r="H407" s="326">
        <f t="shared" si="26"/>
        <v>2.1084201409730933E-6</v>
      </c>
      <c r="I407" s="327">
        <v>0.15</v>
      </c>
      <c r="J407" s="326">
        <f t="shared" si="27"/>
        <v>6.9163932168553395E-5</v>
      </c>
      <c r="L407" s="241">
        <v>0.15</v>
      </c>
      <c r="N407" s="209"/>
    </row>
    <row r="408" spans="1:14">
      <c r="A408" t="s">
        <v>956</v>
      </c>
      <c r="B408" s="271" t="s">
        <v>957</v>
      </c>
      <c r="C408" s="325">
        <v>442.952</v>
      </c>
      <c r="D408" s="325">
        <v>641.9</v>
      </c>
      <c r="E408" s="325">
        <f t="shared" si="24"/>
        <v>284330.88880000002</v>
      </c>
      <c r="F408" s="326" t="str">
        <f t="shared" si="25"/>
        <v/>
      </c>
      <c r="G408" s="327" t="s">
        <v>197</v>
      </c>
      <c r="H408" s="326" t="str">
        <f t="shared" si="26"/>
        <v/>
      </c>
      <c r="I408" s="327">
        <v>0.23499999999999999</v>
      </c>
      <c r="J408" s="326" t="str">
        <f t="shared" si="27"/>
        <v/>
      </c>
      <c r="L408" s="241">
        <v>0.23499999999999999</v>
      </c>
      <c r="N408" s="209"/>
    </row>
    <row r="409" spans="1:14">
      <c r="A409" t="s">
        <v>958</v>
      </c>
      <c r="B409" s="271" t="s">
        <v>959</v>
      </c>
      <c r="C409" s="325">
        <v>89.695999999999998</v>
      </c>
      <c r="D409" s="325">
        <v>123.64</v>
      </c>
      <c r="E409" s="325">
        <f t="shared" si="24"/>
        <v>11090.013440000001</v>
      </c>
      <c r="F409" s="326">
        <f t="shared" si="25"/>
        <v>3.6701775725575433E-4</v>
      </c>
      <c r="G409" s="327">
        <v>1.1646716273050792E-2</v>
      </c>
      <c r="H409" s="326">
        <f t="shared" si="26"/>
        <v>4.274551685929199E-6</v>
      </c>
      <c r="I409" s="327">
        <v>9.5000000000000001E-2</v>
      </c>
      <c r="J409" s="326">
        <f t="shared" si="27"/>
        <v>3.4866686939296659E-5</v>
      </c>
      <c r="L409" s="241">
        <v>9.5000000000000001E-2</v>
      </c>
      <c r="N409" s="209"/>
    </row>
    <row r="410" spans="1:14">
      <c r="A410" t="s">
        <v>960</v>
      </c>
      <c r="B410" s="271" t="s">
        <v>961</v>
      </c>
      <c r="C410" s="325">
        <v>302</v>
      </c>
      <c r="D410" s="325">
        <v>150.9</v>
      </c>
      <c r="E410" s="325">
        <f t="shared" si="24"/>
        <v>45571.8</v>
      </c>
      <c r="F410" s="326">
        <f t="shared" si="25"/>
        <v>1.508173089293189E-3</v>
      </c>
      <c r="G410" s="327">
        <v>5.5666003976143127E-3</v>
      </c>
      <c r="H410" s="326">
        <f t="shared" si="26"/>
        <v>8.3953969185306714E-6</v>
      </c>
      <c r="I410" s="327">
        <v>0.125</v>
      </c>
      <c r="J410" s="326">
        <f t="shared" si="27"/>
        <v>1.8852163616164862E-4</v>
      </c>
      <c r="L410" s="241">
        <v>0.125</v>
      </c>
      <c r="N410" s="209"/>
    </row>
    <row r="411" spans="1:14">
      <c r="A411" t="s">
        <v>962</v>
      </c>
      <c r="B411" s="271" t="s">
        <v>963</v>
      </c>
      <c r="C411" s="325">
        <v>242.715</v>
      </c>
      <c r="D411" s="325">
        <v>406.23</v>
      </c>
      <c r="E411" s="325">
        <f t="shared" si="24"/>
        <v>98598.114450000008</v>
      </c>
      <c r="F411" s="326">
        <f t="shared" si="25"/>
        <v>3.2630491415423556E-3</v>
      </c>
      <c r="G411" s="327">
        <v>1.1126701622233708E-2</v>
      </c>
      <c r="H411" s="326">
        <f t="shared" si="26"/>
        <v>3.6306974176627639E-5</v>
      </c>
      <c r="I411" s="327">
        <v>0.13</v>
      </c>
      <c r="J411" s="326">
        <f t="shared" si="27"/>
        <v>4.2419638840050626E-4</v>
      </c>
      <c r="L411" s="241">
        <v>0.13</v>
      </c>
      <c r="N411" s="209"/>
    </row>
    <row r="412" spans="1:14">
      <c r="A412" t="s">
        <v>964</v>
      </c>
      <c r="B412" s="271" t="s">
        <v>965</v>
      </c>
      <c r="C412" s="325">
        <v>251.00800000000001</v>
      </c>
      <c r="D412" s="325">
        <v>85.87</v>
      </c>
      <c r="E412" s="325">
        <f t="shared" si="24"/>
        <v>21554.056960000002</v>
      </c>
      <c r="F412" s="326">
        <f t="shared" si="25"/>
        <v>7.1331939208380099E-4</v>
      </c>
      <c r="G412" s="327" t="s">
        <v>197</v>
      </c>
      <c r="H412" s="326" t="str">
        <f t="shared" si="26"/>
        <v/>
      </c>
      <c r="I412" s="327">
        <v>0.14000000000000001</v>
      </c>
      <c r="J412" s="326">
        <f t="shared" si="27"/>
        <v>9.9864714891732148E-5</v>
      </c>
      <c r="L412" s="241">
        <v>0.14000000000000001</v>
      </c>
      <c r="N412" s="209"/>
    </row>
    <row r="413" spans="1:14">
      <c r="A413" t="s">
        <v>966</v>
      </c>
      <c r="B413" s="271" t="s">
        <v>967</v>
      </c>
      <c r="C413" s="325">
        <v>359.39600000000002</v>
      </c>
      <c r="D413" s="325">
        <v>220.52</v>
      </c>
      <c r="E413" s="325">
        <f t="shared" si="24"/>
        <v>79254.005920000011</v>
      </c>
      <c r="F413" s="326">
        <f t="shared" si="25"/>
        <v>2.622866749771286E-3</v>
      </c>
      <c r="G413" s="327">
        <v>1.6325049882096862E-2</v>
      </c>
      <c r="H413" s="326">
        <f t="shared" si="26"/>
        <v>4.2818430524109515E-5</v>
      </c>
      <c r="I413" s="327">
        <v>8.5000000000000006E-2</v>
      </c>
      <c r="J413" s="326">
        <f t="shared" si="27"/>
        <v>2.2294367373055932E-4</v>
      </c>
      <c r="L413" s="241">
        <v>8.5000000000000006E-2</v>
      </c>
      <c r="N413" s="209"/>
    </row>
    <row r="414" spans="1:14">
      <c r="A414" t="s">
        <v>968</v>
      </c>
      <c r="B414" s="271" t="s">
        <v>969</v>
      </c>
      <c r="C414" s="325">
        <v>325.18099999999998</v>
      </c>
      <c r="D414" s="325">
        <v>31.13</v>
      </c>
      <c r="E414" s="325">
        <f t="shared" si="24"/>
        <v>10122.884529999999</v>
      </c>
      <c r="F414" s="326">
        <f t="shared" si="25"/>
        <v>3.3501116993773188E-4</v>
      </c>
      <c r="G414" s="327">
        <v>2.5698682942499201E-2</v>
      </c>
      <c r="H414" s="326">
        <f t="shared" si="26"/>
        <v>8.6093458384254904E-6</v>
      </c>
      <c r="I414" s="327">
        <v>7.0000000000000007E-2</v>
      </c>
      <c r="J414" s="326">
        <f t="shared" si="27"/>
        <v>2.3450781895641235E-5</v>
      </c>
      <c r="L414" s="241">
        <v>7.0000000000000007E-2</v>
      </c>
      <c r="N414" s="209"/>
    </row>
    <row r="415" spans="1:14">
      <c r="A415" t="s">
        <v>970</v>
      </c>
      <c r="B415" s="271" t="s">
        <v>971</v>
      </c>
      <c r="C415" s="325">
        <v>151.917</v>
      </c>
      <c r="D415" s="325">
        <v>904.61</v>
      </c>
      <c r="E415" s="325">
        <f t="shared" si="24"/>
        <v>137425.63737000001</v>
      </c>
      <c r="F415" s="326">
        <f t="shared" si="25"/>
        <v>4.5480241741690788E-3</v>
      </c>
      <c r="G415" s="327">
        <v>1.8262013464365859E-2</v>
      </c>
      <c r="H415" s="326">
        <f t="shared" si="26"/>
        <v>8.3056078704937138E-5</v>
      </c>
      <c r="I415" s="327">
        <v>0.11</v>
      </c>
      <c r="J415" s="326">
        <f t="shared" si="27"/>
        <v>5.0028265915859869E-4</v>
      </c>
      <c r="L415" s="241">
        <v>0.11</v>
      </c>
      <c r="N415" s="209"/>
    </row>
    <row r="416" spans="1:14">
      <c r="A416" t="s">
        <v>972</v>
      </c>
      <c r="B416" s="271" t="s">
        <v>973</v>
      </c>
      <c r="C416" s="325">
        <v>193.75200000000001</v>
      </c>
      <c r="D416" s="325">
        <v>108.34</v>
      </c>
      <c r="E416" s="325">
        <f t="shared" si="24"/>
        <v>20991.091680000001</v>
      </c>
      <c r="F416" s="326">
        <f t="shared" si="25"/>
        <v>6.9468837278014383E-4</v>
      </c>
      <c r="G416" s="327">
        <v>3.2674912313088424E-2</v>
      </c>
      <c r="H416" s="326">
        <f t="shared" si="26"/>
        <v>2.2698881665513284E-5</v>
      </c>
      <c r="I416" s="327">
        <v>0.02</v>
      </c>
      <c r="J416" s="326">
        <f t="shared" si="27"/>
        <v>1.3893767455602877E-5</v>
      </c>
      <c r="L416" s="241">
        <v>0.02</v>
      </c>
      <c r="N416" s="209"/>
    </row>
    <row r="417" spans="1:14">
      <c r="A417" t="s">
        <v>974</v>
      </c>
      <c r="B417" s="271" t="s">
        <v>975</v>
      </c>
      <c r="C417" s="325">
        <v>167.22200000000001</v>
      </c>
      <c r="D417" s="325">
        <v>203.23</v>
      </c>
      <c r="E417" s="325">
        <f t="shared" si="24"/>
        <v>33984.52706</v>
      </c>
      <c r="F417" s="326">
        <f t="shared" si="25"/>
        <v>1.1246988085668807E-3</v>
      </c>
      <c r="G417" s="327">
        <v>1.0628352113369091E-2</v>
      </c>
      <c r="H417" s="326">
        <f t="shared" si="26"/>
        <v>1.1953694958935506E-5</v>
      </c>
      <c r="I417" s="327">
        <v>6.5000000000000002E-2</v>
      </c>
      <c r="J417" s="326">
        <f t="shared" si="27"/>
        <v>7.3105422556847245E-5</v>
      </c>
      <c r="L417" s="241">
        <v>6.5000000000000002E-2</v>
      </c>
      <c r="N417" s="209"/>
    </row>
    <row r="418" spans="1:14">
      <c r="A418" t="s">
        <v>976</v>
      </c>
      <c r="B418" s="271" t="s">
        <v>977</v>
      </c>
      <c r="C418" s="325">
        <v>108.871</v>
      </c>
      <c r="D418" s="325">
        <v>151.36000000000001</v>
      </c>
      <c r="E418" s="325">
        <f t="shared" si="24"/>
        <v>16478.71456</v>
      </c>
      <c r="F418" s="326">
        <f t="shared" si="25"/>
        <v>5.4535378996519454E-4</v>
      </c>
      <c r="G418" s="327">
        <v>1.7970401691331919E-2</v>
      </c>
      <c r="H418" s="326">
        <f t="shared" si="26"/>
        <v>9.800226669564804E-6</v>
      </c>
      <c r="I418" s="327">
        <v>6.5000000000000002E-2</v>
      </c>
      <c r="J418" s="326">
        <f t="shared" si="27"/>
        <v>3.5447996347737646E-5</v>
      </c>
      <c r="L418" s="241">
        <v>6.5000000000000002E-2</v>
      </c>
      <c r="N418" s="209"/>
    </row>
    <row r="419" spans="1:14">
      <c r="A419" t="s">
        <v>978</v>
      </c>
      <c r="B419" s="271" t="s">
        <v>979</v>
      </c>
      <c r="C419" s="325">
        <v>1556.828</v>
      </c>
      <c r="D419" s="325">
        <v>85.94</v>
      </c>
      <c r="E419" s="325">
        <f t="shared" si="24"/>
        <v>133793.79832</v>
      </c>
      <c r="F419" s="326">
        <f t="shared" si="25"/>
        <v>4.4278305035250808E-3</v>
      </c>
      <c r="G419" s="327">
        <v>5.818012566907145E-2</v>
      </c>
      <c r="H419" s="326">
        <f t="shared" si="26"/>
        <v>2.5761173513643711E-4</v>
      </c>
      <c r="I419" s="327">
        <v>7.0000000000000007E-2</v>
      </c>
      <c r="J419" s="326">
        <f t="shared" si="27"/>
        <v>3.0994813524675568E-4</v>
      </c>
      <c r="L419" s="241">
        <v>7.0000000000000007E-2</v>
      </c>
      <c r="N419" s="209"/>
    </row>
    <row r="420" spans="1:14">
      <c r="A420" t="s">
        <v>980</v>
      </c>
      <c r="B420" s="271" t="s">
        <v>981</v>
      </c>
      <c r="C420" s="325">
        <v>979</v>
      </c>
      <c r="D420" s="325">
        <v>284.95999999999998</v>
      </c>
      <c r="E420" s="325">
        <f t="shared" si="24"/>
        <v>278975.83999999997</v>
      </c>
      <c r="F420" s="326">
        <f t="shared" si="25"/>
        <v>9.2325485157698905E-3</v>
      </c>
      <c r="G420" s="327" t="s">
        <v>197</v>
      </c>
      <c r="H420" s="326" t="str">
        <f t="shared" si="26"/>
        <v/>
      </c>
      <c r="I420" s="327">
        <v>0.2</v>
      </c>
      <c r="J420" s="326">
        <f t="shared" si="27"/>
        <v>1.8465097031539783E-3</v>
      </c>
      <c r="L420" s="241">
        <v>0.2</v>
      </c>
      <c r="N420" s="209"/>
    </row>
    <row r="421" spans="1:14">
      <c r="A421" t="s">
        <v>982</v>
      </c>
      <c r="B421" s="271" t="s">
        <v>983</v>
      </c>
      <c r="C421" s="325">
        <v>407.58499999999998</v>
      </c>
      <c r="D421" s="325">
        <v>58.34</v>
      </c>
      <c r="E421" s="325">
        <f t="shared" si="24"/>
        <v>23778.508900000001</v>
      </c>
      <c r="F421" s="326" t="str">
        <f t="shared" si="25"/>
        <v/>
      </c>
      <c r="G421" s="327">
        <v>1.3712718546451833E-3</v>
      </c>
      <c r="H421" s="326" t="str">
        <f t="shared" si="26"/>
        <v/>
      </c>
      <c r="I421" s="327" t="s">
        <v>197</v>
      </c>
      <c r="J421" s="326" t="str">
        <f t="shared" si="27"/>
        <v/>
      </c>
      <c r="L421" s="231" t="s">
        <v>197</v>
      </c>
      <c r="N421" s="209"/>
    </row>
    <row r="422" spans="1:14">
      <c r="A422" t="s">
        <v>984</v>
      </c>
      <c r="B422" s="271" t="s">
        <v>985</v>
      </c>
      <c r="C422" s="325">
        <v>40.061</v>
      </c>
      <c r="D422" s="325">
        <v>177.51</v>
      </c>
      <c r="E422" s="325">
        <f t="shared" si="24"/>
        <v>7111.22811</v>
      </c>
      <c r="F422" s="326">
        <f t="shared" si="25"/>
        <v>2.3534209461393372E-4</v>
      </c>
      <c r="G422" s="327">
        <v>2.6590051264717484E-2</v>
      </c>
      <c r="H422" s="326">
        <f t="shared" si="26"/>
        <v>6.2577583605304901E-6</v>
      </c>
      <c r="I422" s="327">
        <v>7.0000000000000007E-2</v>
      </c>
      <c r="J422" s="326">
        <f t="shared" si="27"/>
        <v>1.6473946622975363E-5</v>
      </c>
      <c r="L422" s="241">
        <v>7.0000000000000007E-2</v>
      </c>
      <c r="N422" s="209"/>
    </row>
    <row r="423" spans="1:14">
      <c r="A423" t="s">
        <v>986</v>
      </c>
      <c r="B423" s="271" t="s">
        <v>987</v>
      </c>
      <c r="C423" s="325">
        <v>841.16</v>
      </c>
      <c r="D423" s="325">
        <v>58.66</v>
      </c>
      <c r="E423" s="325">
        <f t="shared" si="24"/>
        <v>49342.445599999992</v>
      </c>
      <c r="F423" s="326">
        <f t="shared" si="25"/>
        <v>1.6329604846381557E-3</v>
      </c>
      <c r="G423" s="327">
        <v>3.2730992158199794E-2</v>
      </c>
      <c r="H423" s="326">
        <f t="shared" si="26"/>
        <v>5.3448416817341608E-5</v>
      </c>
      <c r="I423" s="327">
        <v>6.5000000000000002E-2</v>
      </c>
      <c r="J423" s="326">
        <f t="shared" si="27"/>
        <v>1.0614243150148012E-4</v>
      </c>
      <c r="L423" s="241">
        <v>6.5000000000000002E-2</v>
      </c>
      <c r="N423" s="209"/>
    </row>
    <row r="424" spans="1:14">
      <c r="A424" t="s">
        <v>278</v>
      </c>
      <c r="B424" s="271" t="s">
        <v>988</v>
      </c>
      <c r="C424" s="325">
        <v>253.01900000000001</v>
      </c>
      <c r="D424" s="325">
        <v>20.07</v>
      </c>
      <c r="E424" s="325">
        <f t="shared" si="24"/>
        <v>5078.0913300000002</v>
      </c>
      <c r="F424" s="326" t="str">
        <f t="shared" si="25"/>
        <v/>
      </c>
      <c r="G424" s="327" t="s">
        <v>197</v>
      </c>
      <c r="H424" s="326" t="str">
        <f t="shared" si="26"/>
        <v/>
      </c>
      <c r="I424" s="327" t="s">
        <v>197</v>
      </c>
      <c r="J424" s="326" t="str">
        <f t="shared" si="27"/>
        <v/>
      </c>
      <c r="L424" s="231" t="s">
        <v>197</v>
      </c>
      <c r="N424" s="209"/>
    </row>
    <row r="425" spans="1:14">
      <c r="A425" t="s">
        <v>989</v>
      </c>
      <c r="B425" s="271" t="s">
        <v>990</v>
      </c>
      <c r="C425" s="325">
        <v>275.14299999999997</v>
      </c>
      <c r="D425" s="325">
        <v>40.119999999999997</v>
      </c>
      <c r="E425" s="325">
        <f t="shared" si="24"/>
        <v>11038.737159999999</v>
      </c>
      <c r="F425" s="326">
        <f t="shared" si="25"/>
        <v>3.6532079760932682E-4</v>
      </c>
      <c r="G425" s="327">
        <v>2.4925224327018946E-2</v>
      </c>
      <c r="H425" s="326">
        <f t="shared" si="26"/>
        <v>9.1057028317379568E-6</v>
      </c>
      <c r="I425" s="327">
        <v>0.1</v>
      </c>
      <c r="J425" s="326">
        <f t="shared" si="27"/>
        <v>3.6532079760932683E-5</v>
      </c>
      <c r="L425" s="241">
        <v>0.1</v>
      </c>
      <c r="N425" s="209"/>
    </row>
    <row r="426" spans="1:14">
      <c r="A426" t="s">
        <v>991</v>
      </c>
      <c r="B426" s="271" t="s">
        <v>992</v>
      </c>
      <c r="C426" s="325">
        <v>2217.9830000000002</v>
      </c>
      <c r="D426" s="325">
        <v>34.659999999999997</v>
      </c>
      <c r="E426" s="325">
        <f t="shared" si="24"/>
        <v>76875.290779999996</v>
      </c>
      <c r="F426" s="326">
        <f t="shared" si="25"/>
        <v>2.5441445101133768E-3</v>
      </c>
      <c r="G426" s="327">
        <v>1.0770340450086558E-2</v>
      </c>
      <c r="H426" s="326">
        <f t="shared" si="26"/>
        <v>2.7401302528139754E-5</v>
      </c>
      <c r="I426" s="327">
        <v>0.115</v>
      </c>
      <c r="J426" s="326">
        <f t="shared" si="27"/>
        <v>2.9257661866303835E-4</v>
      </c>
      <c r="L426" s="241">
        <v>0.115</v>
      </c>
      <c r="N426" s="209"/>
    </row>
    <row r="427" spans="1:14">
      <c r="A427" t="s">
        <v>993</v>
      </c>
      <c r="B427" s="271" t="s">
        <v>994</v>
      </c>
      <c r="C427" s="325">
        <v>624.33399999999995</v>
      </c>
      <c r="D427" s="325">
        <v>107.31</v>
      </c>
      <c r="E427" s="325">
        <f t="shared" si="24"/>
        <v>66997.281539999996</v>
      </c>
      <c r="F427" s="326">
        <f t="shared" si="25"/>
        <v>2.2172373501689055E-3</v>
      </c>
      <c r="G427" s="327" t="s">
        <v>197</v>
      </c>
      <c r="H427" s="326" t="str">
        <f t="shared" si="26"/>
        <v/>
      </c>
      <c r="I427" s="327">
        <v>0.13</v>
      </c>
      <c r="J427" s="326">
        <f t="shared" si="27"/>
        <v>2.8824085552195774E-4</v>
      </c>
      <c r="L427" s="241">
        <v>0.13</v>
      </c>
      <c r="N427" s="209"/>
    </row>
    <row r="428" spans="1:14">
      <c r="A428" t="s">
        <v>995</v>
      </c>
      <c r="B428" s="271" t="s">
        <v>996</v>
      </c>
      <c r="C428" s="325">
        <v>111.89</v>
      </c>
      <c r="D428" s="325">
        <v>289.60000000000002</v>
      </c>
      <c r="E428" s="325">
        <f t="shared" si="24"/>
        <v>32403.344000000001</v>
      </c>
      <c r="F428" s="326">
        <f t="shared" si="25"/>
        <v>1.0723704445273156E-3</v>
      </c>
      <c r="G428" s="327">
        <v>1.5607734806629832E-2</v>
      </c>
      <c r="H428" s="326">
        <f t="shared" si="26"/>
        <v>1.6737273512650089E-5</v>
      </c>
      <c r="I428" s="327">
        <v>0.13500000000000001</v>
      </c>
      <c r="J428" s="326">
        <f t="shared" si="27"/>
        <v>1.4477001001118761E-4</v>
      </c>
      <c r="L428" s="241">
        <v>0.13500000000000001</v>
      </c>
      <c r="N428" s="209"/>
    </row>
    <row r="429" spans="1:14">
      <c r="A429" t="s">
        <v>997</v>
      </c>
      <c r="B429" s="271" t="s">
        <v>998</v>
      </c>
      <c r="C429" s="325">
        <v>53.441000000000003</v>
      </c>
      <c r="D429" s="325">
        <v>588.78</v>
      </c>
      <c r="E429" s="325">
        <f t="shared" si="24"/>
        <v>31464.991979999999</v>
      </c>
      <c r="F429" s="326">
        <f t="shared" si="25"/>
        <v>1.0413162121983774E-3</v>
      </c>
      <c r="G429" s="327" t="s">
        <v>197</v>
      </c>
      <c r="H429" s="326" t="str">
        <f t="shared" si="26"/>
        <v/>
      </c>
      <c r="I429" s="327">
        <v>0.13</v>
      </c>
      <c r="J429" s="326">
        <f t="shared" si="27"/>
        <v>1.3537110758578906E-4</v>
      </c>
      <c r="L429" s="241">
        <v>0.13</v>
      </c>
      <c r="N429" s="209"/>
    </row>
    <row r="430" spans="1:14">
      <c r="A430" t="s">
        <v>999</v>
      </c>
      <c r="B430" s="271" t="s">
        <v>1000</v>
      </c>
      <c r="C430" s="325">
        <v>208.90799999999999</v>
      </c>
      <c r="D430" s="325">
        <v>119.6</v>
      </c>
      <c r="E430" s="325">
        <f t="shared" si="24"/>
        <v>24985.396799999999</v>
      </c>
      <c r="F430" s="326">
        <f t="shared" si="25"/>
        <v>8.2687765414296024E-4</v>
      </c>
      <c r="G430" s="327">
        <v>8.0267558528428103E-3</v>
      </c>
      <c r="H430" s="326">
        <f t="shared" si="26"/>
        <v>6.6371450499769388E-6</v>
      </c>
      <c r="I430" s="327">
        <v>8.5000000000000006E-2</v>
      </c>
      <c r="J430" s="326">
        <f t="shared" si="27"/>
        <v>7.0284600602151624E-5</v>
      </c>
      <c r="L430" s="241">
        <v>8.5000000000000006E-2</v>
      </c>
      <c r="N430" s="209"/>
    </row>
    <row r="431" spans="1:14">
      <c r="A431" t="s">
        <v>1001</v>
      </c>
      <c r="B431" s="271" t="s">
        <v>1002</v>
      </c>
      <c r="C431" s="325">
        <v>334.666</v>
      </c>
      <c r="D431" s="325">
        <v>95.57</v>
      </c>
      <c r="E431" s="325">
        <f t="shared" si="24"/>
        <v>31984.029619999998</v>
      </c>
      <c r="F431" s="326">
        <f t="shared" si="25"/>
        <v>1.058493470963189E-3</v>
      </c>
      <c r="G431" s="327" t="s">
        <v>197</v>
      </c>
      <c r="H431" s="326" t="str">
        <f t="shared" si="26"/>
        <v/>
      </c>
      <c r="I431" s="327">
        <v>0.105</v>
      </c>
      <c r="J431" s="326">
        <f t="shared" si="27"/>
        <v>1.1114181445113484E-4</v>
      </c>
      <c r="L431" s="241">
        <v>0.105</v>
      </c>
      <c r="N431" s="209"/>
    </row>
    <row r="432" spans="1:14">
      <c r="A432" t="s">
        <v>1003</v>
      </c>
      <c r="B432" s="271" t="s">
        <v>1004</v>
      </c>
      <c r="C432" s="325">
        <v>974.70899999999995</v>
      </c>
      <c r="D432" s="325">
        <v>314.92</v>
      </c>
      <c r="E432" s="325">
        <f t="shared" si="24"/>
        <v>306955.35827999999</v>
      </c>
      <c r="F432" s="326">
        <f t="shared" si="25"/>
        <v>1.0158514936259818E-2</v>
      </c>
      <c r="G432" s="327">
        <v>6.223802870570303E-3</v>
      </c>
      <c r="H432" s="326">
        <f t="shared" si="26"/>
        <v>6.3224594421025155E-5</v>
      </c>
      <c r="I432" s="327">
        <v>0.13</v>
      </c>
      <c r="J432" s="326">
        <f t="shared" si="27"/>
        <v>1.3206069417137764E-3</v>
      </c>
      <c r="L432" s="241">
        <v>0.13</v>
      </c>
      <c r="N432" s="209"/>
    </row>
    <row r="433" spans="1:14">
      <c r="A433" t="s">
        <v>1005</v>
      </c>
      <c r="B433" s="271" t="s">
        <v>1006</v>
      </c>
      <c r="C433" s="325">
        <v>162.113</v>
      </c>
      <c r="D433" s="325">
        <v>141.25</v>
      </c>
      <c r="E433" s="325">
        <f t="shared" si="24"/>
        <v>22898.46125</v>
      </c>
      <c r="F433" s="326">
        <f t="shared" si="25"/>
        <v>7.5781169590564512E-4</v>
      </c>
      <c r="G433" s="327" t="s">
        <v>197</v>
      </c>
      <c r="H433" s="326" t="str">
        <f t="shared" si="26"/>
        <v/>
      </c>
      <c r="I433" s="327">
        <v>0.125</v>
      </c>
      <c r="J433" s="326">
        <f t="shared" si="27"/>
        <v>9.472646198820564E-5</v>
      </c>
      <c r="L433" s="241">
        <v>0.125</v>
      </c>
      <c r="N433" s="209"/>
    </row>
    <row r="434" spans="1:14">
      <c r="A434" t="s">
        <v>1007</v>
      </c>
      <c r="B434" s="271" t="s">
        <v>1008</v>
      </c>
      <c r="C434" s="325">
        <v>563.404</v>
      </c>
      <c r="D434" s="325">
        <v>130.72</v>
      </c>
      <c r="E434" s="325">
        <f t="shared" si="24"/>
        <v>73648.170880000005</v>
      </c>
      <c r="F434" s="326">
        <f t="shared" si="25"/>
        <v>2.4373447921056945E-3</v>
      </c>
      <c r="G434" s="327">
        <v>1.0097919216646267E-2</v>
      </c>
      <c r="H434" s="326">
        <f t="shared" si="26"/>
        <v>2.4612110813796796E-5</v>
      </c>
      <c r="I434" s="327">
        <v>0.08</v>
      </c>
      <c r="J434" s="326">
        <f t="shared" si="27"/>
        <v>1.9498758336845557E-4</v>
      </c>
      <c r="L434" s="241">
        <v>0.08</v>
      </c>
      <c r="N434" s="209"/>
    </row>
    <row r="435" spans="1:14">
      <c r="A435" t="s">
        <v>1009</v>
      </c>
      <c r="B435" s="271" t="s">
        <v>1010</v>
      </c>
      <c r="C435" s="325">
        <v>608.93700000000001</v>
      </c>
      <c r="D435" s="325">
        <v>104.5</v>
      </c>
      <c r="E435" s="325">
        <f t="shared" si="24"/>
        <v>63633.916499999999</v>
      </c>
      <c r="F435" s="326" t="str">
        <f t="shared" si="25"/>
        <v/>
      </c>
      <c r="G435" s="327">
        <v>1.492822966507177E-2</v>
      </c>
      <c r="H435" s="326" t="str">
        <f t="shared" si="26"/>
        <v/>
      </c>
      <c r="I435" s="327">
        <v>0.28000000000000003</v>
      </c>
      <c r="J435" s="326" t="str">
        <f t="shared" si="27"/>
        <v/>
      </c>
      <c r="L435" s="241">
        <v>0.28000000000000003</v>
      </c>
      <c r="N435" s="209"/>
    </row>
    <row r="436" spans="1:14">
      <c r="A436" t="s">
        <v>1011</v>
      </c>
      <c r="B436" s="271" t="s">
        <v>1012</v>
      </c>
      <c r="C436" s="325">
        <v>28.135000000000002</v>
      </c>
      <c r="D436" s="325">
        <v>1643.41</v>
      </c>
      <c r="E436" s="325">
        <f t="shared" si="24"/>
        <v>46237.340350000006</v>
      </c>
      <c r="F436" s="326" t="str">
        <f t="shared" si="25"/>
        <v/>
      </c>
      <c r="G436" s="327" t="s">
        <v>197</v>
      </c>
      <c r="H436" s="326" t="str">
        <f t="shared" si="26"/>
        <v/>
      </c>
      <c r="I436" s="327">
        <v>0.22</v>
      </c>
      <c r="J436" s="326" t="str">
        <f t="shared" si="27"/>
        <v/>
      </c>
      <c r="L436" s="241">
        <v>0.22</v>
      </c>
      <c r="N436" s="209"/>
    </row>
    <row r="437" spans="1:14">
      <c r="A437" t="s">
        <v>1013</v>
      </c>
      <c r="B437" s="271" t="s">
        <v>1014</v>
      </c>
      <c r="C437" s="325">
        <v>115.658</v>
      </c>
      <c r="D437" s="325">
        <v>81.010000000000005</v>
      </c>
      <c r="E437" s="325">
        <f t="shared" si="24"/>
        <v>9369.4545800000014</v>
      </c>
      <c r="F437" s="326" t="str">
        <f t="shared" si="25"/>
        <v/>
      </c>
      <c r="G437" s="327" t="s">
        <v>197</v>
      </c>
      <c r="H437" s="326" t="str">
        <f t="shared" si="26"/>
        <v/>
      </c>
      <c r="I437" s="327">
        <v>0.27</v>
      </c>
      <c r="J437" s="326" t="str">
        <f t="shared" si="27"/>
        <v/>
      </c>
      <c r="L437" s="241">
        <v>0.27</v>
      </c>
      <c r="N437" s="209"/>
    </row>
    <row r="438" spans="1:14">
      <c r="A438" t="s">
        <v>1015</v>
      </c>
      <c r="B438" s="271" t="s">
        <v>1016</v>
      </c>
      <c r="C438" s="325">
        <v>224.66</v>
      </c>
      <c r="D438" s="325">
        <v>106.65</v>
      </c>
      <c r="E438" s="325">
        <f t="shared" si="24"/>
        <v>23959.989000000001</v>
      </c>
      <c r="F438" s="326" t="str">
        <f t="shared" si="25"/>
        <v/>
      </c>
      <c r="G438" s="327" t="s">
        <v>197</v>
      </c>
      <c r="H438" s="326" t="str">
        <f t="shared" si="26"/>
        <v/>
      </c>
      <c r="I438" s="327" t="s">
        <v>197</v>
      </c>
      <c r="J438" s="326" t="str">
        <f t="shared" si="27"/>
        <v/>
      </c>
      <c r="L438" s="231" t="s">
        <v>197</v>
      </c>
      <c r="N438" s="209"/>
    </row>
    <row r="439" spans="1:14">
      <c r="A439" t="s">
        <v>1017</v>
      </c>
      <c r="B439" s="271" t="s">
        <v>1018</v>
      </c>
      <c r="C439" s="325">
        <v>56.976999999999997</v>
      </c>
      <c r="D439" s="325">
        <v>152.1</v>
      </c>
      <c r="E439" s="325">
        <f t="shared" si="24"/>
        <v>8666.2016999999996</v>
      </c>
      <c r="F439" s="326">
        <f t="shared" si="25"/>
        <v>2.8680307098527785E-4</v>
      </c>
      <c r="G439" s="327">
        <v>1.7882971729125573E-2</v>
      </c>
      <c r="H439" s="326">
        <f t="shared" si="26"/>
        <v>5.1288912102561184E-6</v>
      </c>
      <c r="I439" s="327">
        <v>0.155</v>
      </c>
      <c r="J439" s="326">
        <f t="shared" si="27"/>
        <v>4.4454476002718068E-5</v>
      </c>
      <c r="L439" s="241">
        <v>0.155</v>
      </c>
      <c r="N439" s="209"/>
    </row>
    <row r="440" spans="1:14">
      <c r="A440" t="s">
        <v>1019</v>
      </c>
      <c r="B440" s="271" t="s">
        <v>1020</v>
      </c>
      <c r="C440" s="325">
        <v>244.839</v>
      </c>
      <c r="D440" s="325">
        <v>36.020000000000003</v>
      </c>
      <c r="E440" s="325">
        <f t="shared" si="24"/>
        <v>8819.1007800000007</v>
      </c>
      <c r="F440" s="326" t="str">
        <f t="shared" si="25"/>
        <v/>
      </c>
      <c r="G440" s="327">
        <v>3.6091060521932256E-2</v>
      </c>
      <c r="H440" s="326" t="str">
        <f t="shared" si="26"/>
        <v/>
      </c>
      <c r="I440" s="327">
        <v>-1.4999999999999999E-2</v>
      </c>
      <c r="J440" s="326" t="str">
        <f t="shared" si="27"/>
        <v/>
      </c>
      <c r="L440" s="241">
        <v>-1.4999999999999999E-2</v>
      </c>
      <c r="N440" s="209"/>
    </row>
    <row r="441" spans="1:14">
      <c r="A441" t="s">
        <v>1021</v>
      </c>
      <c r="B441" s="271" t="s">
        <v>1022</v>
      </c>
      <c r="C441" s="325">
        <v>953.28300000000002</v>
      </c>
      <c r="D441" s="325">
        <v>22.75</v>
      </c>
      <c r="E441" s="325">
        <f t="shared" si="24"/>
        <v>21687.188249999999</v>
      </c>
      <c r="F441" s="326">
        <f t="shared" si="25"/>
        <v>7.1772529724710118E-4</v>
      </c>
      <c r="G441" s="327">
        <v>2.9890109890109894E-2</v>
      </c>
      <c r="H441" s="326">
        <f t="shared" si="26"/>
        <v>2.1452888005627643E-5</v>
      </c>
      <c r="I441" s="327">
        <v>9.5000000000000001E-2</v>
      </c>
      <c r="J441" s="326">
        <f t="shared" si="27"/>
        <v>6.8183903238474609E-5</v>
      </c>
      <c r="L441" s="241">
        <v>9.5000000000000001E-2</v>
      </c>
      <c r="N441" s="209"/>
    </row>
    <row r="442" spans="1:14">
      <c r="A442" t="s">
        <v>1023</v>
      </c>
      <c r="B442" s="271" t="s">
        <v>1024</v>
      </c>
      <c r="C442" s="325">
        <v>529.13900000000001</v>
      </c>
      <c r="D442" s="325">
        <v>83.78</v>
      </c>
      <c r="E442" s="325">
        <f t="shared" si="24"/>
        <v>44331.265420000003</v>
      </c>
      <c r="F442" s="326">
        <f t="shared" si="25"/>
        <v>1.4671182951026232E-3</v>
      </c>
      <c r="G442" s="327" t="s">
        <v>197</v>
      </c>
      <c r="H442" s="326" t="str">
        <f t="shared" si="26"/>
        <v/>
      </c>
      <c r="I442" s="327">
        <v>0.115</v>
      </c>
      <c r="J442" s="326">
        <f t="shared" si="27"/>
        <v>1.6871860393680168E-4</v>
      </c>
      <c r="L442" s="241">
        <v>0.115</v>
      </c>
      <c r="N442" s="209"/>
    </row>
    <row r="443" spans="1:14">
      <c r="A443" t="s">
        <v>1025</v>
      </c>
      <c r="B443" s="271" t="s">
        <v>1026</v>
      </c>
      <c r="C443" s="325">
        <v>370.41</v>
      </c>
      <c r="D443" s="325">
        <v>34.22</v>
      </c>
      <c r="E443" s="325">
        <f t="shared" si="24"/>
        <v>12675.430200000001</v>
      </c>
      <c r="F443" s="326" t="str">
        <f t="shared" si="25"/>
        <v/>
      </c>
      <c r="G443" s="327">
        <v>8.7668030391583867E-3</v>
      </c>
      <c r="H443" s="326" t="str">
        <f t="shared" si="26"/>
        <v/>
      </c>
      <c r="I443" s="327">
        <v>0.33500000000000002</v>
      </c>
      <c r="J443" s="326" t="str">
        <f t="shared" si="27"/>
        <v/>
      </c>
      <c r="L443" s="241">
        <v>0.33500000000000002</v>
      </c>
      <c r="N443" s="209"/>
    </row>
    <row r="444" spans="1:14">
      <c r="A444" t="s">
        <v>1027</v>
      </c>
      <c r="B444" s="271" t="s">
        <v>1028</v>
      </c>
      <c r="C444" s="325">
        <v>146.00399999999999</v>
      </c>
      <c r="D444" s="325">
        <v>161.09</v>
      </c>
      <c r="E444" s="325">
        <f t="shared" si="24"/>
        <v>23519.784359999998</v>
      </c>
      <c r="F444" s="326" t="str">
        <f t="shared" si="25"/>
        <v/>
      </c>
      <c r="G444" s="327" t="s">
        <v>197</v>
      </c>
      <c r="H444" s="326" t="str">
        <f t="shared" si="26"/>
        <v/>
      </c>
      <c r="I444" s="327" t="s">
        <v>197</v>
      </c>
      <c r="J444" s="326" t="str">
        <f t="shared" si="27"/>
        <v/>
      </c>
      <c r="L444" s="231" t="s">
        <v>197</v>
      </c>
      <c r="N444" s="209"/>
    </row>
    <row r="445" spans="1:14">
      <c r="A445" t="s">
        <v>1029</v>
      </c>
      <c r="B445" s="271" t="s">
        <v>1030</v>
      </c>
      <c r="C445" s="325">
        <v>226.99299999999999</v>
      </c>
      <c r="D445" s="325">
        <v>63.3</v>
      </c>
      <c r="E445" s="325">
        <f t="shared" si="24"/>
        <v>14368.656899999998</v>
      </c>
      <c r="F445" s="326">
        <f t="shared" si="25"/>
        <v>4.7552261850238286E-4</v>
      </c>
      <c r="G445" s="327">
        <v>3.6176935229067932E-2</v>
      </c>
      <c r="H445" s="326">
        <f t="shared" si="26"/>
        <v>1.7202950969517484E-5</v>
      </c>
      <c r="I445" s="327">
        <v>0.08</v>
      </c>
      <c r="J445" s="326">
        <f t="shared" si="27"/>
        <v>3.8041809480190632E-5</v>
      </c>
      <c r="L445" s="241">
        <v>0.08</v>
      </c>
      <c r="N445" s="209"/>
    </row>
    <row r="446" spans="1:14">
      <c r="A446" t="s">
        <v>1031</v>
      </c>
      <c r="B446" s="271" t="s">
        <v>1032</v>
      </c>
      <c r="C446" s="325">
        <v>169.20699999999999</v>
      </c>
      <c r="D446" s="325">
        <v>23.27</v>
      </c>
      <c r="E446" s="325">
        <f t="shared" si="24"/>
        <v>3937.4468899999997</v>
      </c>
      <c r="F446" s="326">
        <f t="shared" si="25"/>
        <v>1.3030759022068819E-4</v>
      </c>
      <c r="G446" s="327" t="s">
        <v>197</v>
      </c>
      <c r="H446" s="326" t="str">
        <f t="shared" si="26"/>
        <v/>
      </c>
      <c r="I446" s="327">
        <v>0.13500000000000001</v>
      </c>
      <c r="J446" s="326">
        <f t="shared" si="27"/>
        <v>1.7591524679792907E-5</v>
      </c>
      <c r="L446" s="241">
        <v>0.13500000000000001</v>
      </c>
      <c r="N446" s="209"/>
    </row>
    <row r="447" spans="1:14">
      <c r="A447" t="s">
        <v>1033</v>
      </c>
      <c r="B447" s="271" t="s">
        <v>1034</v>
      </c>
      <c r="C447" s="325">
        <v>214.47499999999999</v>
      </c>
      <c r="D447" s="325">
        <v>60.59</v>
      </c>
      <c r="E447" s="325">
        <f t="shared" si="24"/>
        <v>12995.04025</v>
      </c>
      <c r="F447" s="326">
        <f t="shared" si="25"/>
        <v>4.3006354805673319E-4</v>
      </c>
      <c r="G447" s="327">
        <v>1.9805248390823565E-2</v>
      </c>
      <c r="H447" s="326">
        <f t="shared" si="26"/>
        <v>8.5175153931024889E-6</v>
      </c>
      <c r="I447" s="327">
        <v>0.19500000000000001</v>
      </c>
      <c r="J447" s="326">
        <f t="shared" si="27"/>
        <v>8.3862391871062974E-5</v>
      </c>
      <c r="L447" s="241">
        <v>0.19500000000000001</v>
      </c>
      <c r="N447" s="209"/>
    </row>
    <row r="448" spans="1:14">
      <c r="A448" t="s">
        <v>1035</v>
      </c>
      <c r="B448" s="271" t="s">
        <v>1036</v>
      </c>
      <c r="C448" s="325">
        <v>140.339</v>
      </c>
      <c r="D448" s="325">
        <v>87.91</v>
      </c>
      <c r="E448" s="325">
        <f t="shared" si="24"/>
        <v>12337.201489999999</v>
      </c>
      <c r="F448" s="326">
        <f t="shared" si="25"/>
        <v>4.0829274429374815E-4</v>
      </c>
      <c r="G448" s="327">
        <v>1.6380389034239565E-2</v>
      </c>
      <c r="H448" s="326">
        <f t="shared" si="26"/>
        <v>6.6879939913888907E-6</v>
      </c>
      <c r="I448" s="327">
        <v>0.09</v>
      </c>
      <c r="J448" s="326">
        <f t="shared" si="27"/>
        <v>3.6746346986437335E-5</v>
      </c>
      <c r="L448" s="241">
        <v>0.09</v>
      </c>
      <c r="N448" s="209"/>
    </row>
    <row r="449" spans="1:14">
      <c r="A449" t="s">
        <v>1037</v>
      </c>
      <c r="B449" s="271" t="s">
        <v>1038</v>
      </c>
      <c r="C449" s="325">
        <v>363.274</v>
      </c>
      <c r="D449" s="325">
        <v>25.77</v>
      </c>
      <c r="E449" s="325">
        <f t="shared" si="24"/>
        <v>9361.5709800000004</v>
      </c>
      <c r="F449" s="326" t="str">
        <f t="shared" si="25"/>
        <v/>
      </c>
      <c r="G449" s="327">
        <v>1.9402405898331393E-2</v>
      </c>
      <c r="H449" s="326" t="str">
        <f t="shared" si="26"/>
        <v/>
      </c>
      <c r="I449" s="327" t="s">
        <v>197</v>
      </c>
      <c r="J449" s="326" t="str">
        <f t="shared" si="27"/>
        <v/>
      </c>
      <c r="L449" s="231" t="s">
        <v>197</v>
      </c>
      <c r="N449" s="209"/>
    </row>
    <row r="450" spans="1:14">
      <c r="A450" t="s">
        <v>950</v>
      </c>
      <c r="B450" s="271" t="s">
        <v>1039</v>
      </c>
      <c r="C450" s="325">
        <v>317.738</v>
      </c>
      <c r="D450" s="325">
        <v>2849.04</v>
      </c>
      <c r="E450" s="325">
        <f t="shared" si="24"/>
        <v>905248.27151999995</v>
      </c>
      <c r="F450" s="326" t="str">
        <f t="shared" si="25"/>
        <v/>
      </c>
      <c r="G450" s="327" t="s">
        <v>197</v>
      </c>
      <c r="H450" s="326" t="str">
        <f t="shared" si="26"/>
        <v/>
      </c>
      <c r="I450" s="327">
        <v>0.23499999999999999</v>
      </c>
      <c r="J450" s="326" t="str">
        <f t="shared" si="27"/>
        <v/>
      </c>
      <c r="L450" s="241">
        <v>0.23499999999999999</v>
      </c>
      <c r="N450" s="209"/>
    </row>
    <row r="451" spans="1:14">
      <c r="A451" t="s">
        <v>1040</v>
      </c>
      <c r="B451" s="271" t="s">
        <v>1041</v>
      </c>
      <c r="C451" s="325">
        <v>326.31299999999999</v>
      </c>
      <c r="D451" s="325">
        <v>153.93</v>
      </c>
      <c r="E451" s="325">
        <f t="shared" si="24"/>
        <v>50229.360090000002</v>
      </c>
      <c r="F451" s="326">
        <f t="shared" si="25"/>
        <v>1.6623124208426112E-3</v>
      </c>
      <c r="G451" s="327">
        <v>1.2992918859221724E-2</v>
      </c>
      <c r="H451" s="326">
        <f t="shared" si="26"/>
        <v>2.1598290402684483E-5</v>
      </c>
      <c r="I451" s="327">
        <v>0.09</v>
      </c>
      <c r="J451" s="326">
        <f t="shared" si="27"/>
        <v>1.4960811787583501E-4</v>
      </c>
      <c r="L451" s="241">
        <v>0.09</v>
      </c>
      <c r="N451" s="209"/>
    </row>
    <row r="452" spans="1:14">
      <c r="A452" t="s">
        <v>1042</v>
      </c>
      <c r="B452" s="271" t="s">
        <v>1043</v>
      </c>
      <c r="C452" s="325">
        <v>49.304000000000002</v>
      </c>
      <c r="D452" s="325">
        <v>376.47</v>
      </c>
      <c r="E452" s="325">
        <f t="shared" si="24"/>
        <v>18561.476880000002</v>
      </c>
      <c r="F452" s="326">
        <f t="shared" si="25"/>
        <v>6.142816375028791E-4</v>
      </c>
      <c r="G452" s="327">
        <v>1.5937524902382661E-4</v>
      </c>
      <c r="H452" s="326">
        <f t="shared" si="26"/>
        <v>9.7901288947785343E-8</v>
      </c>
      <c r="I452" s="327">
        <v>0.19</v>
      </c>
      <c r="J452" s="326">
        <f t="shared" si="27"/>
        <v>1.1671351112554703E-4</v>
      </c>
      <c r="L452" s="241">
        <v>0.19</v>
      </c>
      <c r="N452" s="209"/>
    </row>
    <row r="453" spans="1:14">
      <c r="A453" t="s">
        <v>1044</v>
      </c>
      <c r="B453" s="271" t="s">
        <v>1045</v>
      </c>
      <c r="C453" s="325">
        <v>293.07600000000002</v>
      </c>
      <c r="D453" s="325">
        <v>107.85</v>
      </c>
      <c r="E453" s="325">
        <f t="shared" si="24"/>
        <v>31608.246600000002</v>
      </c>
      <c r="F453" s="326">
        <f t="shared" si="25"/>
        <v>1.0460571432741946E-3</v>
      </c>
      <c r="G453" s="327">
        <v>1.8544274455261939E-2</v>
      </c>
      <c r="H453" s="326">
        <f t="shared" si="26"/>
        <v>1.9398370760763924E-5</v>
      </c>
      <c r="I453" s="327">
        <v>0.16</v>
      </c>
      <c r="J453" s="326">
        <f t="shared" si="27"/>
        <v>1.6736914292387115E-4</v>
      </c>
      <c r="L453" s="241">
        <v>0.16</v>
      </c>
      <c r="N453" s="209"/>
    </row>
    <row r="454" spans="1:14">
      <c r="A454" t="s">
        <v>1046</v>
      </c>
      <c r="B454" s="271" t="s">
        <v>1047</v>
      </c>
      <c r="C454" s="325">
        <v>1669.731</v>
      </c>
      <c r="D454" s="325">
        <v>193.77</v>
      </c>
      <c r="E454" s="325">
        <f t="shared" si="24"/>
        <v>323543.77587000001</v>
      </c>
      <c r="F454" s="326">
        <f t="shared" si="25"/>
        <v>1.0707499286300761E-2</v>
      </c>
      <c r="G454" s="327">
        <v>7.7411363988233476E-3</v>
      </c>
      <c r="H454" s="326">
        <f t="shared" si="26"/>
        <v>8.2888212465557839E-5</v>
      </c>
      <c r="I454" s="327">
        <v>0.12</v>
      </c>
      <c r="J454" s="326">
        <f t="shared" si="27"/>
        <v>1.2848999143560914E-3</v>
      </c>
      <c r="L454" s="241">
        <v>0.12</v>
      </c>
      <c r="N454" s="209"/>
    </row>
    <row r="455" spans="1:14">
      <c r="A455" t="s">
        <v>1048</v>
      </c>
      <c r="B455" s="271" t="s">
        <v>1049</v>
      </c>
      <c r="C455" s="325">
        <v>115.13800000000001</v>
      </c>
      <c r="D455" s="325">
        <v>206.25</v>
      </c>
      <c r="E455" s="325">
        <f t="shared" si="24"/>
        <v>23747.212500000001</v>
      </c>
      <c r="F455" s="326">
        <f t="shared" si="25"/>
        <v>7.8590064114708732E-4</v>
      </c>
      <c r="G455" s="327">
        <v>1.9878787878787878E-2</v>
      </c>
      <c r="H455" s="326">
        <f t="shared" si="26"/>
        <v>1.5622752139166342E-5</v>
      </c>
      <c r="I455" s="327">
        <v>0.09</v>
      </c>
      <c r="J455" s="326">
        <f t="shared" si="27"/>
        <v>7.0731057703237856E-5</v>
      </c>
      <c r="L455" s="241">
        <v>0.09</v>
      </c>
      <c r="N455" s="209"/>
    </row>
    <row r="456" spans="1:14">
      <c r="A456" t="s">
        <v>1050</v>
      </c>
      <c r="B456" s="271" t="s">
        <v>1051</v>
      </c>
      <c r="C456" s="325">
        <v>180.32499999999999</v>
      </c>
      <c r="D456" s="325">
        <v>121.11</v>
      </c>
      <c r="E456" s="325">
        <f t="shared" si="24"/>
        <v>21839.160749999999</v>
      </c>
      <c r="F456" s="326">
        <f t="shared" si="25"/>
        <v>7.2275474165817578E-4</v>
      </c>
      <c r="G456" s="327">
        <v>9.2477912641400397E-3</v>
      </c>
      <c r="H456" s="326">
        <f t="shared" si="26"/>
        <v>6.6838849860222694E-6</v>
      </c>
      <c r="I456" s="327">
        <v>6.5000000000000002E-2</v>
      </c>
      <c r="J456" s="326">
        <f t="shared" si="27"/>
        <v>4.6979058207781428E-5</v>
      </c>
      <c r="L456" s="241">
        <v>6.5000000000000002E-2</v>
      </c>
      <c r="N456" s="209"/>
    </row>
    <row r="457" spans="1:14">
      <c r="A457" t="s">
        <v>1052</v>
      </c>
      <c r="B457" s="271" t="s">
        <v>1053</v>
      </c>
      <c r="C457" s="325">
        <v>615.58799999999997</v>
      </c>
      <c r="D457" s="325">
        <v>60.85</v>
      </c>
      <c r="E457" s="325">
        <f t="shared" si="24"/>
        <v>37458.529799999997</v>
      </c>
      <c r="F457" s="326" t="str">
        <f t="shared" si="25"/>
        <v/>
      </c>
      <c r="G457" s="327">
        <v>3.8126540673787998E-2</v>
      </c>
      <c r="H457" s="326" t="str">
        <f t="shared" si="26"/>
        <v/>
      </c>
      <c r="I457" s="327" t="s">
        <v>197</v>
      </c>
      <c r="J457" s="326" t="str">
        <f t="shared" si="27"/>
        <v/>
      </c>
      <c r="L457" s="231" t="s">
        <v>197</v>
      </c>
      <c r="N457" s="209"/>
    </row>
    <row r="458" spans="1:14">
      <c r="A458" t="s">
        <v>1054</v>
      </c>
      <c r="B458" s="271" t="s">
        <v>1055</v>
      </c>
      <c r="C458" s="325">
        <v>113.815</v>
      </c>
      <c r="D458" s="325">
        <v>225.33</v>
      </c>
      <c r="E458" s="325">
        <f t="shared" si="24"/>
        <v>25645.933950000002</v>
      </c>
      <c r="F458" s="326">
        <f t="shared" si="25"/>
        <v>8.4873775960529491E-4</v>
      </c>
      <c r="G458" s="327">
        <v>9.2309057826299203E-3</v>
      </c>
      <c r="H458" s="326">
        <f t="shared" si="26"/>
        <v>7.8346182930768798E-6</v>
      </c>
      <c r="I458" s="327">
        <v>0.11</v>
      </c>
      <c r="J458" s="326">
        <f t="shared" si="27"/>
        <v>9.3361153556582437E-5</v>
      </c>
      <c r="L458" s="241">
        <v>0.11</v>
      </c>
      <c r="N458" s="209"/>
    </row>
    <row r="459" spans="1:14">
      <c r="A459" t="s">
        <v>1056</v>
      </c>
      <c r="B459" s="271" t="s">
        <v>1057</v>
      </c>
      <c r="C459" s="325">
        <v>1207.6099999999999</v>
      </c>
      <c r="D459" s="325">
        <v>158.37</v>
      </c>
      <c r="E459" s="325">
        <f t="shared" si="24"/>
        <v>191249.19569999998</v>
      </c>
      <c r="F459" s="326" t="str">
        <f t="shared" si="25"/>
        <v/>
      </c>
      <c r="G459" s="327" t="s">
        <v>197</v>
      </c>
      <c r="H459" s="326" t="str">
        <f t="shared" si="26"/>
        <v/>
      </c>
      <c r="I459" s="327">
        <v>0.28999999999999998</v>
      </c>
      <c r="J459" s="326" t="str">
        <f t="shared" si="27"/>
        <v/>
      </c>
      <c r="L459" s="241">
        <v>0.28999999999999998</v>
      </c>
      <c r="N459" s="209"/>
    </row>
    <row r="460" spans="1:14">
      <c r="A460" t="s">
        <v>1058</v>
      </c>
      <c r="B460" s="271" t="s">
        <v>1059</v>
      </c>
      <c r="C460" s="325">
        <v>145.72300000000001</v>
      </c>
      <c r="D460" s="325">
        <v>254.85</v>
      </c>
      <c r="E460" s="325">
        <f t="shared" si="24"/>
        <v>37137.506550000006</v>
      </c>
      <c r="F460" s="326">
        <f t="shared" si="25"/>
        <v>1.2290448914056399E-3</v>
      </c>
      <c r="G460" s="327">
        <v>6.5921130076515609E-3</v>
      </c>
      <c r="H460" s="326">
        <f t="shared" si="26"/>
        <v>8.1020028156228193E-6</v>
      </c>
      <c r="I460" s="327">
        <v>8.5000000000000006E-2</v>
      </c>
      <c r="J460" s="326">
        <f t="shared" si="27"/>
        <v>1.044688157694794E-4</v>
      </c>
      <c r="L460" s="241">
        <v>8.5000000000000006E-2</v>
      </c>
      <c r="N460" s="209"/>
    </row>
    <row r="461" spans="1:14">
      <c r="A461" t="s">
        <v>1060</v>
      </c>
      <c r="B461" s="271" t="s">
        <v>1061</v>
      </c>
      <c r="C461" s="325">
        <v>22.986000000000001</v>
      </c>
      <c r="D461" s="325">
        <v>1514.13</v>
      </c>
      <c r="E461" s="325">
        <f t="shared" si="24"/>
        <v>34803.792180000004</v>
      </c>
      <c r="F461" s="326">
        <f t="shared" si="25"/>
        <v>1.1518119269203484E-3</v>
      </c>
      <c r="G461" s="327" t="s">
        <v>197</v>
      </c>
      <c r="H461" s="326" t="str">
        <f t="shared" si="26"/>
        <v/>
      </c>
      <c r="I461" s="327">
        <v>0.125</v>
      </c>
      <c r="J461" s="326">
        <f t="shared" si="27"/>
        <v>1.4397649086504355E-4</v>
      </c>
      <c r="L461" s="241">
        <v>0.125</v>
      </c>
      <c r="N461" s="209"/>
    </row>
    <row r="462" spans="1:14">
      <c r="A462" t="s">
        <v>1062</v>
      </c>
      <c r="B462" s="271" t="s">
        <v>1063</v>
      </c>
      <c r="C462" s="325">
        <v>237.18799999999999</v>
      </c>
      <c r="D462" s="325">
        <v>145.16</v>
      </c>
      <c r="E462" s="325">
        <f t="shared" si="24"/>
        <v>34430.210079999997</v>
      </c>
      <c r="F462" s="326">
        <f t="shared" si="25"/>
        <v>1.1394484374408534E-3</v>
      </c>
      <c r="G462" s="327" t="s">
        <v>197</v>
      </c>
      <c r="H462" s="326" t="str">
        <f t="shared" si="26"/>
        <v/>
      </c>
      <c r="I462" s="327">
        <v>0.12</v>
      </c>
      <c r="J462" s="326">
        <f t="shared" si="27"/>
        <v>1.3673381249290241E-4</v>
      </c>
      <c r="L462" s="241">
        <v>0.12</v>
      </c>
      <c r="N462" s="209"/>
    </row>
    <row r="463" spans="1:14">
      <c r="A463" t="s">
        <v>1064</v>
      </c>
      <c r="B463" s="271" t="s">
        <v>1065</v>
      </c>
      <c r="C463" s="325">
        <v>116.976</v>
      </c>
      <c r="D463" s="325">
        <v>266.49</v>
      </c>
      <c r="E463" s="325">
        <f t="shared" si="24"/>
        <v>31172.934240000002</v>
      </c>
      <c r="F463" s="326">
        <f t="shared" si="25"/>
        <v>1.0316507255599785E-3</v>
      </c>
      <c r="G463" s="327">
        <v>5.8538781943037266E-3</v>
      </c>
      <c r="H463" s="326">
        <f t="shared" si="26"/>
        <v>6.0391576864931762E-6</v>
      </c>
      <c r="I463" s="327">
        <v>6.5000000000000002E-2</v>
      </c>
      <c r="J463" s="326">
        <f t="shared" si="27"/>
        <v>6.7057297161398602E-5</v>
      </c>
      <c r="L463" s="241">
        <v>6.5000000000000002E-2</v>
      </c>
      <c r="N463" s="209"/>
    </row>
    <row r="464" spans="1:14">
      <c r="A464" t="s">
        <v>1066</v>
      </c>
      <c r="B464" s="271" t="s">
        <v>1067</v>
      </c>
      <c r="C464" s="325">
        <v>163.5</v>
      </c>
      <c r="D464" s="325">
        <v>332.11</v>
      </c>
      <c r="E464" s="325">
        <f t="shared" si="24"/>
        <v>54299.985000000001</v>
      </c>
      <c r="F464" s="326" t="str">
        <f t="shared" si="25"/>
        <v/>
      </c>
      <c r="G464" s="327" t="s">
        <v>197</v>
      </c>
      <c r="H464" s="326" t="str">
        <f t="shared" si="26"/>
        <v/>
      </c>
      <c r="I464" s="327">
        <v>0.21</v>
      </c>
      <c r="J464" s="326" t="str">
        <f t="shared" si="27"/>
        <v/>
      </c>
      <c r="L464" s="241">
        <v>0.21</v>
      </c>
      <c r="N464" s="209"/>
    </row>
    <row r="465" spans="1:14">
      <c r="A465" t="s">
        <v>1068</v>
      </c>
      <c r="B465" s="271" t="s">
        <v>1069</v>
      </c>
      <c r="C465" s="325">
        <v>405.45</v>
      </c>
      <c r="D465" s="325">
        <v>352.43</v>
      </c>
      <c r="E465" s="325">
        <f t="shared" si="24"/>
        <v>142892.74350000001</v>
      </c>
      <c r="F465" s="326" t="str">
        <f t="shared" si="25"/>
        <v/>
      </c>
      <c r="G465" s="327" t="s">
        <v>197</v>
      </c>
      <c r="H465" s="326" t="str">
        <f t="shared" si="26"/>
        <v/>
      </c>
      <c r="I465" s="327" t="s">
        <v>197</v>
      </c>
      <c r="J465" s="326" t="str">
        <f t="shared" si="27"/>
        <v/>
      </c>
      <c r="L465" s="231" t="s">
        <v>197</v>
      </c>
      <c r="N465" s="209"/>
    </row>
    <row r="466" spans="1:14">
      <c r="A466" t="s">
        <v>1070</v>
      </c>
      <c r="B466" s="271" t="s">
        <v>1071</v>
      </c>
      <c r="C466" s="325">
        <v>65.087999999999994</v>
      </c>
      <c r="D466" s="325">
        <v>339.44</v>
      </c>
      <c r="E466" s="325">
        <f t="shared" si="24"/>
        <v>22093.470719999998</v>
      </c>
      <c r="F466" s="326" t="str">
        <f t="shared" si="25"/>
        <v/>
      </c>
      <c r="G466" s="327">
        <v>2.462880037709168E-2</v>
      </c>
      <c r="H466" s="326" t="str">
        <f t="shared" si="26"/>
        <v/>
      </c>
      <c r="I466" s="327">
        <v>-5.0000000000000001E-3</v>
      </c>
      <c r="J466" s="326" t="str">
        <f t="shared" si="27"/>
        <v/>
      </c>
      <c r="L466" s="241">
        <v>-5.0000000000000001E-3</v>
      </c>
      <c r="N466" s="209"/>
    </row>
    <row r="467" spans="1:14">
      <c r="A467" t="s">
        <v>1072</v>
      </c>
      <c r="B467" s="271" t="s">
        <v>1073</v>
      </c>
      <c r="C467" s="325">
        <v>565.81299999999999</v>
      </c>
      <c r="D467" s="325">
        <v>67.92</v>
      </c>
      <c r="E467" s="325">
        <f t="shared" si="24"/>
        <v>38430.018960000001</v>
      </c>
      <c r="F467" s="326">
        <f t="shared" si="25"/>
        <v>1.2718198626452987E-3</v>
      </c>
      <c r="G467" s="327">
        <v>4.3462897526501766E-2</v>
      </c>
      <c r="H467" s="326">
        <f t="shared" si="26"/>
        <v>5.5276976362322172E-5</v>
      </c>
      <c r="I467" s="327">
        <v>6.5000000000000002E-2</v>
      </c>
      <c r="J467" s="326">
        <f t="shared" si="27"/>
        <v>8.2668291071944422E-5</v>
      </c>
      <c r="L467" s="241">
        <v>6.5000000000000002E-2</v>
      </c>
      <c r="N467" s="209"/>
    </row>
    <row r="468" spans="1:14">
      <c r="A468" t="s">
        <v>1074</v>
      </c>
      <c r="B468" s="271" t="s">
        <v>1075</v>
      </c>
      <c r="C468" s="325">
        <v>265.00200000000001</v>
      </c>
      <c r="D468" s="325">
        <v>43.39</v>
      </c>
      <c r="E468" s="325">
        <f t="shared" ref="E468:E523" si="28">IFERROR(C468*D468,"")</f>
        <v>11498.43678</v>
      </c>
      <c r="F468" s="326">
        <f t="shared" ref="F468:F523" si="29">IF(AND(ISNUMBER($I468)), IF(AND($I468&lt;=20%,$I468&gt;0%), $E468/SUMIFS($E$19:$E$523,$I$19:$I$523, "&gt;"&amp;0%,$I$19:$I$523, "&lt;="&amp;20%),""),"")</f>
        <v>3.805342979767099E-4</v>
      </c>
      <c r="G468" s="327">
        <v>2.3046784973496198E-2</v>
      </c>
      <c r="H468" s="326">
        <f t="shared" ref="H468:H523" si="30">IFERROR($G468*$F468,"")</f>
        <v>8.7700921405095614E-6</v>
      </c>
      <c r="I468" s="327">
        <v>0.08</v>
      </c>
      <c r="J468" s="326">
        <f t="shared" ref="J468:J523" si="31">IFERROR($I468*$F468,"")</f>
        <v>3.0442743838136794E-5</v>
      </c>
      <c r="L468" s="241">
        <v>0.08</v>
      </c>
      <c r="N468" s="209"/>
    </row>
    <row r="469" spans="1:14">
      <c r="A469" t="s">
        <v>1076</v>
      </c>
      <c r="B469" s="271" t="s">
        <v>1077</v>
      </c>
      <c r="C469" s="325">
        <v>398.84100000000001</v>
      </c>
      <c r="D469" s="325">
        <v>127.82</v>
      </c>
      <c r="E469" s="325">
        <f t="shared" si="28"/>
        <v>50979.856619999999</v>
      </c>
      <c r="F469" s="326">
        <f t="shared" si="29"/>
        <v>1.6871496813886926E-3</v>
      </c>
      <c r="G469" s="327">
        <v>6.2588014395243315E-3</v>
      </c>
      <c r="H469" s="326">
        <f t="shared" si="30"/>
        <v>1.0559534854568567E-5</v>
      </c>
      <c r="I469" s="327">
        <v>0.105</v>
      </c>
      <c r="J469" s="326">
        <f t="shared" si="31"/>
        <v>1.7715071654581273E-4</v>
      </c>
      <c r="L469" s="241">
        <v>0.105</v>
      </c>
      <c r="N469" s="209"/>
    </row>
    <row r="470" spans="1:14">
      <c r="A470" t="s">
        <v>1078</v>
      </c>
      <c r="B470" s="271" t="s">
        <v>1079</v>
      </c>
      <c r="C470" s="325">
        <v>186.821</v>
      </c>
      <c r="D470" s="325">
        <v>88.77</v>
      </c>
      <c r="E470" s="325">
        <f t="shared" si="28"/>
        <v>16584.100169999998</v>
      </c>
      <c r="F470" s="326">
        <f t="shared" si="29"/>
        <v>5.4884146745435983E-4</v>
      </c>
      <c r="G470" s="327">
        <v>5.40723217303143E-3</v>
      </c>
      <c r="H470" s="326">
        <f t="shared" si="30"/>
        <v>2.9677132407129969E-6</v>
      </c>
      <c r="I470" s="327">
        <v>9.5000000000000001E-2</v>
      </c>
      <c r="J470" s="326">
        <f t="shared" si="31"/>
        <v>5.2139939408164183E-5</v>
      </c>
      <c r="L470" s="241">
        <v>9.5000000000000001E-2</v>
      </c>
      <c r="N470" s="209"/>
    </row>
    <row r="471" spans="1:14">
      <c r="A471" t="s">
        <v>1080</v>
      </c>
      <c r="B471" s="271" t="s">
        <v>1081</v>
      </c>
      <c r="C471" s="325">
        <v>40.088000000000001</v>
      </c>
      <c r="D471" s="325">
        <v>554.12</v>
      </c>
      <c r="E471" s="325">
        <f t="shared" si="28"/>
        <v>22213.562560000002</v>
      </c>
      <c r="F471" s="326">
        <f t="shared" si="29"/>
        <v>7.3514535897907746E-4</v>
      </c>
      <c r="G471" s="327">
        <v>5.7749223994802571E-3</v>
      </c>
      <c r="H471" s="326">
        <f t="shared" si="30"/>
        <v>4.2454074004422289E-6</v>
      </c>
      <c r="I471" s="327">
        <v>0.17</v>
      </c>
      <c r="J471" s="326">
        <f t="shared" si="31"/>
        <v>1.2497471102644318E-4</v>
      </c>
      <c r="L471" s="241">
        <v>0.17</v>
      </c>
      <c r="N471" s="209"/>
    </row>
    <row r="472" spans="1:14">
      <c r="A472" t="s">
        <v>1082</v>
      </c>
      <c r="B472" s="271" t="s">
        <v>1083</v>
      </c>
      <c r="C472" s="325">
        <v>311.62299999999999</v>
      </c>
      <c r="D472" s="325">
        <v>57.84</v>
      </c>
      <c r="E472" s="325">
        <f t="shared" si="28"/>
        <v>18024.27432</v>
      </c>
      <c r="F472" s="326">
        <f t="shared" si="29"/>
        <v>5.9650322092746596E-4</v>
      </c>
      <c r="G472" s="327" t="s">
        <v>197</v>
      </c>
      <c r="H472" s="326" t="str">
        <f t="shared" si="30"/>
        <v/>
      </c>
      <c r="I472" s="327">
        <v>0.01</v>
      </c>
      <c r="J472" s="326">
        <f t="shared" si="31"/>
        <v>5.9650322092746597E-6</v>
      </c>
      <c r="L472" s="241">
        <v>0.01</v>
      </c>
      <c r="N472" s="209"/>
    </row>
    <row r="473" spans="1:14">
      <c r="A473" t="s">
        <v>1084</v>
      </c>
      <c r="B473" s="271" t="s">
        <v>1085</v>
      </c>
      <c r="C473" s="325">
        <v>1382.653</v>
      </c>
      <c r="D473" s="325">
        <v>159.78</v>
      </c>
      <c r="E473" s="325">
        <f t="shared" si="28"/>
        <v>220920.29634</v>
      </c>
      <c r="F473" s="326">
        <f t="shared" si="29"/>
        <v>7.3112329514889596E-3</v>
      </c>
      <c r="G473" s="327">
        <v>2.691200400550757E-2</v>
      </c>
      <c r="H473" s="326">
        <f t="shared" si="30"/>
        <v>1.9675993047566981E-4</v>
      </c>
      <c r="I473" s="327">
        <v>6.5000000000000002E-2</v>
      </c>
      <c r="J473" s="326">
        <f t="shared" si="31"/>
        <v>4.7523014184678241E-4</v>
      </c>
      <c r="L473" s="241">
        <v>6.5000000000000002E-2</v>
      </c>
      <c r="N473" s="209"/>
    </row>
    <row r="474" spans="1:14">
      <c r="A474" t="s">
        <v>1086</v>
      </c>
      <c r="B474" s="271" t="s">
        <v>1087</v>
      </c>
      <c r="C474" s="325">
        <v>181.17500000000001</v>
      </c>
      <c r="D474" s="325">
        <v>106.73</v>
      </c>
      <c r="E474" s="325">
        <f t="shared" si="28"/>
        <v>19336.807750000004</v>
      </c>
      <c r="F474" s="326" t="str">
        <f t="shared" si="29"/>
        <v/>
      </c>
      <c r="G474" s="327">
        <v>1.8738873793684999E-2</v>
      </c>
      <c r="H474" s="326" t="str">
        <f t="shared" si="30"/>
        <v/>
      </c>
      <c r="I474" s="327" t="s">
        <v>197</v>
      </c>
      <c r="J474" s="326" t="str">
        <f t="shared" si="31"/>
        <v/>
      </c>
      <c r="L474" s="231" t="s">
        <v>197</v>
      </c>
      <c r="N474" s="209"/>
    </row>
    <row r="475" spans="1:14">
      <c r="A475" t="s">
        <v>1088</v>
      </c>
      <c r="B475" s="271" t="s">
        <v>1089</v>
      </c>
      <c r="C475" s="325">
        <v>199</v>
      </c>
      <c r="D475" s="325">
        <v>647.70000000000005</v>
      </c>
      <c r="E475" s="325">
        <f t="shared" si="28"/>
        <v>128892.3</v>
      </c>
      <c r="F475" s="326" t="str">
        <f t="shared" si="29"/>
        <v/>
      </c>
      <c r="G475" s="327" t="s">
        <v>197</v>
      </c>
      <c r="H475" s="326" t="str">
        <f t="shared" si="30"/>
        <v/>
      </c>
      <c r="I475" s="327">
        <v>0.44500000000000001</v>
      </c>
      <c r="J475" s="326" t="str">
        <f t="shared" si="31"/>
        <v/>
      </c>
      <c r="L475" s="241">
        <v>0.44500000000000001</v>
      </c>
      <c r="N475" s="209"/>
    </row>
    <row r="476" spans="1:14">
      <c r="A476" t="s">
        <v>1090</v>
      </c>
      <c r="B476" s="271" t="s">
        <v>1091</v>
      </c>
      <c r="C476" s="325">
        <v>244.148</v>
      </c>
      <c r="D476" s="325">
        <v>89.38</v>
      </c>
      <c r="E476" s="325">
        <f t="shared" si="28"/>
        <v>21821.948239999998</v>
      </c>
      <c r="F476" s="326">
        <f t="shared" si="29"/>
        <v>7.2218510332084458E-4</v>
      </c>
      <c r="G476" s="327">
        <v>1.1300067129111659E-2</v>
      </c>
      <c r="H476" s="326">
        <f t="shared" si="30"/>
        <v>8.1607401471699831E-6</v>
      </c>
      <c r="I476" s="327">
        <v>0.08</v>
      </c>
      <c r="J476" s="326">
        <f t="shared" si="31"/>
        <v>5.7774808265667571E-5</v>
      </c>
      <c r="L476" s="241">
        <v>0.08</v>
      </c>
      <c r="N476" s="209"/>
    </row>
    <row r="477" spans="1:14">
      <c r="A477" t="s">
        <v>1092</v>
      </c>
      <c r="B477" s="271" t="s">
        <v>1093</v>
      </c>
      <c r="C477" s="325">
        <v>380.85</v>
      </c>
      <c r="D477" s="325">
        <v>58.33</v>
      </c>
      <c r="E477" s="325">
        <f t="shared" si="28"/>
        <v>22214.980500000001</v>
      </c>
      <c r="F477" s="326" t="str">
        <f t="shared" si="29"/>
        <v/>
      </c>
      <c r="G477" s="327">
        <v>1.9201097205554605E-2</v>
      </c>
      <c r="H477" s="326" t="str">
        <f t="shared" si="30"/>
        <v/>
      </c>
      <c r="I477" s="327">
        <v>-0.01</v>
      </c>
      <c r="J477" s="326" t="str">
        <f t="shared" si="31"/>
        <v/>
      </c>
      <c r="L477" s="241">
        <v>-0.01</v>
      </c>
      <c r="N477" s="209"/>
    </row>
    <row r="478" spans="1:14">
      <c r="A478" t="s">
        <v>1094</v>
      </c>
      <c r="B478" s="271" t="s">
        <v>1095</v>
      </c>
      <c r="C478" s="325">
        <v>77.789000000000001</v>
      </c>
      <c r="D478" s="325">
        <v>122.67</v>
      </c>
      <c r="E478" s="325">
        <f t="shared" si="28"/>
        <v>9542.3766300000007</v>
      </c>
      <c r="F478" s="326">
        <f t="shared" si="29"/>
        <v>3.1579958749196281E-4</v>
      </c>
      <c r="G478" s="327">
        <v>3.489035624031956E-2</v>
      </c>
      <c r="H478" s="326">
        <f t="shared" si="30"/>
        <v>1.1018360108140547E-5</v>
      </c>
      <c r="I478" s="327">
        <v>0.01</v>
      </c>
      <c r="J478" s="326">
        <f t="shared" si="31"/>
        <v>3.1579958749196281E-6</v>
      </c>
      <c r="L478" s="241">
        <v>0.01</v>
      </c>
      <c r="N478" s="209"/>
    </row>
    <row r="479" spans="1:14">
      <c r="A479" t="s">
        <v>1096</v>
      </c>
      <c r="B479" s="271" t="s">
        <v>1097</v>
      </c>
      <c r="C479" s="325">
        <v>468.96</v>
      </c>
      <c r="D479" s="325">
        <v>39.58</v>
      </c>
      <c r="E479" s="325">
        <f t="shared" si="28"/>
        <v>18561.436799999999</v>
      </c>
      <c r="F479" s="326" t="str">
        <f t="shared" si="29"/>
        <v/>
      </c>
      <c r="G479" s="327">
        <v>2.5265285497726126E-4</v>
      </c>
      <c r="H479" s="326" t="str">
        <f t="shared" si="30"/>
        <v/>
      </c>
      <c r="I479" s="327">
        <v>0.25</v>
      </c>
      <c r="J479" s="326" t="str">
        <f t="shared" si="31"/>
        <v/>
      </c>
      <c r="L479" s="241">
        <v>0.25</v>
      </c>
      <c r="N479" s="209"/>
    </row>
    <row r="480" spans="1:14">
      <c r="A480" t="s">
        <v>1098</v>
      </c>
      <c r="B480" s="271" t="s">
        <v>1099</v>
      </c>
      <c r="C480" s="325">
        <v>503.65199999999999</v>
      </c>
      <c r="D480" s="325">
        <v>81.05</v>
      </c>
      <c r="E480" s="325">
        <f t="shared" si="28"/>
        <v>40820.994599999998</v>
      </c>
      <c r="F480" s="326">
        <f t="shared" si="29"/>
        <v>1.3509478566548299E-3</v>
      </c>
      <c r="G480" s="327">
        <v>3.8494756323257252E-2</v>
      </c>
      <c r="H480" s="326">
        <f t="shared" si="30"/>
        <v>5.2004408547354346E-5</v>
      </c>
      <c r="I480" s="327">
        <v>6.5000000000000002E-2</v>
      </c>
      <c r="J480" s="326">
        <f t="shared" si="31"/>
        <v>8.7811610682563942E-5</v>
      </c>
      <c r="L480" s="241">
        <v>6.5000000000000002E-2</v>
      </c>
      <c r="N480" s="209"/>
    </row>
    <row r="481" spans="1:14">
      <c r="A481" t="s">
        <v>1100</v>
      </c>
      <c r="B481" s="271" t="s">
        <v>1101</v>
      </c>
      <c r="C481" s="325">
        <v>117.872</v>
      </c>
      <c r="D481" s="325">
        <v>109.58</v>
      </c>
      <c r="E481" s="325">
        <f t="shared" si="28"/>
        <v>12916.413759999999</v>
      </c>
      <c r="F481" s="326" t="str">
        <f t="shared" si="29"/>
        <v/>
      </c>
      <c r="G481" s="327" t="s">
        <v>197</v>
      </c>
      <c r="H481" s="326" t="str">
        <f t="shared" si="30"/>
        <v/>
      </c>
      <c r="I481" s="327" t="s">
        <v>197</v>
      </c>
      <c r="J481" s="326" t="str">
        <f t="shared" si="31"/>
        <v/>
      </c>
      <c r="L481" s="231" t="s">
        <v>197</v>
      </c>
      <c r="N481" s="209"/>
    </row>
    <row r="482" spans="1:14">
      <c r="A482" t="s">
        <v>1102</v>
      </c>
      <c r="B482" s="271" t="s">
        <v>1103</v>
      </c>
      <c r="C482" s="325">
        <v>105.014</v>
      </c>
      <c r="D482" s="325">
        <v>191.16</v>
      </c>
      <c r="E482" s="325">
        <f t="shared" si="28"/>
        <v>20074.47624</v>
      </c>
      <c r="F482" s="326">
        <f t="shared" si="29"/>
        <v>6.6435350034063873E-4</v>
      </c>
      <c r="G482" s="327">
        <v>6.2774639045825482E-3</v>
      </c>
      <c r="H482" s="326">
        <f t="shared" si="30"/>
        <v>4.1704551182714293E-6</v>
      </c>
      <c r="I482" s="327">
        <v>0.1</v>
      </c>
      <c r="J482" s="326">
        <f t="shared" si="31"/>
        <v>6.6435350034063878E-5</v>
      </c>
      <c r="L482" s="241">
        <v>0.1</v>
      </c>
      <c r="N482" s="209"/>
    </row>
    <row r="483" spans="1:14">
      <c r="A483" t="s">
        <v>1104</v>
      </c>
      <c r="B483" s="271" t="s">
        <v>1105</v>
      </c>
      <c r="C483" s="325">
        <v>140.79900000000001</v>
      </c>
      <c r="D483" s="325">
        <v>679.85</v>
      </c>
      <c r="E483" s="325">
        <f t="shared" si="28"/>
        <v>95722.200150000004</v>
      </c>
      <c r="F483" s="326">
        <f t="shared" si="29"/>
        <v>3.1678723753322548E-3</v>
      </c>
      <c r="G483" s="327">
        <v>8.8254762079870552E-3</v>
      </c>
      <c r="H483" s="326">
        <f t="shared" si="30"/>
        <v>2.7957982278434254E-5</v>
      </c>
      <c r="I483" s="327">
        <v>0.17499999999999999</v>
      </c>
      <c r="J483" s="326">
        <f t="shared" si="31"/>
        <v>5.5437766568314456E-4</v>
      </c>
      <c r="L483" s="241">
        <v>0.17499999999999999</v>
      </c>
      <c r="N483" s="209"/>
    </row>
    <row r="484" spans="1:14">
      <c r="A484" t="s">
        <v>1106</v>
      </c>
      <c r="B484" s="271" t="s">
        <v>1107</v>
      </c>
      <c r="C484" s="325">
        <v>67.731999999999999</v>
      </c>
      <c r="D484" s="325">
        <v>167.87</v>
      </c>
      <c r="E484" s="325">
        <f t="shared" si="28"/>
        <v>11370.170840000001</v>
      </c>
      <c r="F484" s="326">
        <f t="shared" si="29"/>
        <v>3.7628940883515977E-4</v>
      </c>
      <c r="G484" s="327" t="s">
        <v>197</v>
      </c>
      <c r="H484" s="326" t="str">
        <f t="shared" si="30"/>
        <v/>
      </c>
      <c r="I484" s="327">
        <v>0.105</v>
      </c>
      <c r="J484" s="326">
        <f t="shared" si="31"/>
        <v>3.9510387927691773E-5</v>
      </c>
      <c r="L484" s="241">
        <v>0.105</v>
      </c>
      <c r="N484" s="209"/>
    </row>
    <row r="485" spans="1:14">
      <c r="A485" t="s">
        <v>1108</v>
      </c>
      <c r="B485" s="271" t="s">
        <v>1109</v>
      </c>
      <c r="C485" s="325">
        <v>165.47800000000001</v>
      </c>
      <c r="D485" s="325">
        <v>73.69</v>
      </c>
      <c r="E485" s="325">
        <f t="shared" si="28"/>
        <v>12194.07382</v>
      </c>
      <c r="F485" s="326">
        <f t="shared" si="29"/>
        <v>4.0355601455677843E-4</v>
      </c>
      <c r="G485" s="327">
        <v>1.0856289862939341E-2</v>
      </c>
      <c r="H485" s="326">
        <f t="shared" si="30"/>
        <v>4.381121069960955E-6</v>
      </c>
      <c r="I485" s="327">
        <v>0.12</v>
      </c>
      <c r="J485" s="326">
        <f t="shared" si="31"/>
        <v>4.8426721746813411E-5</v>
      </c>
      <c r="L485" s="241">
        <v>0.12</v>
      </c>
      <c r="N485" s="209"/>
    </row>
    <row r="486" spans="1:14">
      <c r="A486" t="s">
        <v>1110</v>
      </c>
      <c r="B486" s="271" t="s">
        <v>1111</v>
      </c>
      <c r="C486" s="325">
        <v>254.25200000000001</v>
      </c>
      <c r="D486" s="325">
        <v>186.94</v>
      </c>
      <c r="E486" s="325">
        <f t="shared" si="28"/>
        <v>47529.868880000002</v>
      </c>
      <c r="F486" s="326">
        <f t="shared" si="29"/>
        <v>1.5729742775674827E-3</v>
      </c>
      <c r="G486" s="327" t="s">
        <v>197</v>
      </c>
      <c r="H486" s="326" t="str">
        <f t="shared" si="30"/>
        <v/>
      </c>
      <c r="I486" s="327">
        <v>0.185</v>
      </c>
      <c r="J486" s="326">
        <f t="shared" si="31"/>
        <v>2.9100024134998429E-4</v>
      </c>
      <c r="L486" s="241">
        <v>0.185</v>
      </c>
      <c r="N486" s="209"/>
    </row>
    <row r="487" spans="1:14">
      <c r="A487" t="s">
        <v>1112</v>
      </c>
      <c r="B487" s="271" t="s">
        <v>1113</v>
      </c>
      <c r="C487" s="325">
        <v>1533.1690000000001</v>
      </c>
      <c r="D487" s="325">
        <v>11.32</v>
      </c>
      <c r="E487" s="325">
        <f t="shared" si="28"/>
        <v>17355.47308</v>
      </c>
      <c r="F487" s="326">
        <f t="shared" si="29"/>
        <v>5.7436962005469122E-4</v>
      </c>
      <c r="G487" s="327">
        <v>4.2402826855123671E-2</v>
      </c>
      <c r="H487" s="326">
        <f t="shared" si="30"/>
        <v>2.4354895550022239E-5</v>
      </c>
      <c r="I487" s="327">
        <v>0.15</v>
      </c>
      <c r="J487" s="326">
        <f t="shared" si="31"/>
        <v>8.615544300820368E-5</v>
      </c>
      <c r="L487" s="241">
        <v>0.15</v>
      </c>
      <c r="N487" s="209"/>
    </row>
    <row r="488" spans="1:14">
      <c r="A488" t="s">
        <v>1114</v>
      </c>
      <c r="B488" s="271" t="s">
        <v>1115</v>
      </c>
      <c r="C488" s="325">
        <v>2366.2779999999998</v>
      </c>
      <c r="D488" s="325">
        <v>324.45999999999998</v>
      </c>
      <c r="E488" s="325">
        <f t="shared" si="28"/>
        <v>767762.55987999984</v>
      </c>
      <c r="F488" s="326" t="str">
        <f t="shared" si="29"/>
        <v/>
      </c>
      <c r="G488" s="327" t="s">
        <v>197</v>
      </c>
      <c r="H488" s="326" t="str">
        <f t="shared" si="30"/>
        <v/>
      </c>
      <c r="I488" s="327">
        <v>0.215</v>
      </c>
      <c r="J488" s="326" t="str">
        <f t="shared" si="31"/>
        <v/>
      </c>
      <c r="L488" s="241">
        <v>0.215</v>
      </c>
      <c r="N488" s="209"/>
    </row>
    <row r="489" spans="1:14">
      <c r="A489" t="s">
        <v>1116</v>
      </c>
      <c r="B489" s="271" t="s">
        <v>1117</v>
      </c>
      <c r="C489" s="325">
        <v>1249.0540000000001</v>
      </c>
      <c r="D489" s="325">
        <v>108.81</v>
      </c>
      <c r="E489" s="325">
        <f t="shared" si="28"/>
        <v>135909.56574000002</v>
      </c>
      <c r="F489" s="326">
        <f t="shared" si="29"/>
        <v>4.4978506362836571E-3</v>
      </c>
      <c r="G489" s="327" t="s">
        <v>197</v>
      </c>
      <c r="H489" s="326" t="str">
        <f t="shared" si="30"/>
        <v/>
      </c>
      <c r="I489" s="327">
        <v>8.5000000000000006E-2</v>
      </c>
      <c r="J489" s="326">
        <f t="shared" si="31"/>
        <v>3.8231730408411088E-4</v>
      </c>
      <c r="L489" s="241">
        <v>8.5000000000000006E-2</v>
      </c>
      <c r="N489" s="209"/>
    </row>
    <row r="490" spans="1:14">
      <c r="A490" t="s">
        <v>1118</v>
      </c>
      <c r="B490" s="271" t="s">
        <v>1119</v>
      </c>
      <c r="C490" s="325">
        <v>72.394000000000005</v>
      </c>
      <c r="D490" s="325">
        <v>338.74</v>
      </c>
      <c r="E490" s="325">
        <f t="shared" si="28"/>
        <v>24522.743560000003</v>
      </c>
      <c r="F490" s="326">
        <f t="shared" si="29"/>
        <v>8.11566405382931E-4</v>
      </c>
      <c r="G490" s="327" t="s">
        <v>197</v>
      </c>
      <c r="H490" s="326" t="str">
        <f t="shared" si="30"/>
        <v/>
      </c>
      <c r="I490" s="327">
        <v>0.105</v>
      </c>
      <c r="J490" s="326">
        <f t="shared" si="31"/>
        <v>8.5214472565207751E-5</v>
      </c>
      <c r="L490" s="241">
        <v>0.105</v>
      </c>
      <c r="N490" s="209"/>
    </row>
    <row r="491" spans="1:14">
      <c r="A491" t="s">
        <v>1120</v>
      </c>
      <c r="B491" s="271" t="s">
        <v>1121</v>
      </c>
      <c r="C491" s="325">
        <v>45.497</v>
      </c>
      <c r="D491" s="325">
        <v>314.77999999999997</v>
      </c>
      <c r="E491" s="325">
        <f t="shared" si="28"/>
        <v>14321.545659999998</v>
      </c>
      <c r="F491" s="326">
        <f t="shared" si="29"/>
        <v>4.7396349851214258E-4</v>
      </c>
      <c r="G491" s="327" t="s">
        <v>197</v>
      </c>
      <c r="H491" s="326" t="str">
        <f t="shared" si="30"/>
        <v/>
      </c>
      <c r="I491" s="327">
        <v>9.5000000000000001E-2</v>
      </c>
      <c r="J491" s="326">
        <f t="shared" si="31"/>
        <v>4.5026532358653544E-5</v>
      </c>
      <c r="L491" s="241">
        <v>9.5000000000000001E-2</v>
      </c>
      <c r="N491" s="209"/>
    </row>
    <row r="492" spans="1:14">
      <c r="A492" t="s">
        <v>1122</v>
      </c>
      <c r="B492" s="271" t="s">
        <v>1123</v>
      </c>
      <c r="C492" s="325">
        <v>688.423</v>
      </c>
      <c r="D492" s="325">
        <v>202.24</v>
      </c>
      <c r="E492" s="325">
        <f t="shared" si="28"/>
        <v>139226.66752000002</v>
      </c>
      <c r="F492" s="326">
        <f t="shared" si="29"/>
        <v>4.6076282539999321E-3</v>
      </c>
      <c r="G492" s="327">
        <v>1.9382911392405063E-2</v>
      </c>
      <c r="H492" s="326">
        <f t="shared" si="30"/>
        <v>8.9309250176422732E-5</v>
      </c>
      <c r="I492" s="327">
        <v>0.1</v>
      </c>
      <c r="J492" s="326">
        <f t="shared" si="31"/>
        <v>4.6076282539999323E-4</v>
      </c>
      <c r="L492" s="241">
        <v>0.1</v>
      </c>
      <c r="N492" s="209"/>
    </row>
    <row r="493" spans="1:14">
      <c r="A493" t="s">
        <v>1124</v>
      </c>
      <c r="B493" s="271" t="s">
        <v>1125</v>
      </c>
      <c r="C493" s="325">
        <v>154.964</v>
      </c>
      <c r="D493" s="325">
        <v>200.07</v>
      </c>
      <c r="E493" s="325">
        <f t="shared" si="28"/>
        <v>31003.64748</v>
      </c>
      <c r="F493" s="326">
        <f t="shared" si="29"/>
        <v>1.0260482754525515E-3</v>
      </c>
      <c r="G493" s="327">
        <v>2.2392162743039942E-2</v>
      </c>
      <c r="H493" s="326">
        <f t="shared" si="30"/>
        <v>2.2975439966149009E-5</v>
      </c>
      <c r="I493" s="327">
        <v>0.12</v>
      </c>
      <c r="J493" s="326">
        <f t="shared" si="31"/>
        <v>1.2312579305430617E-4</v>
      </c>
      <c r="L493" s="241">
        <v>0.12</v>
      </c>
      <c r="N493" s="209"/>
    </row>
    <row r="494" spans="1:14">
      <c r="A494" t="s">
        <v>1126</v>
      </c>
      <c r="B494" s="271" t="s">
        <v>1127</v>
      </c>
      <c r="C494" s="325">
        <v>640.01400000000001</v>
      </c>
      <c r="D494" s="325">
        <v>36.200000000000003</v>
      </c>
      <c r="E494" s="325">
        <f t="shared" si="28"/>
        <v>23168.506800000003</v>
      </c>
      <c r="F494" s="326" t="str">
        <f t="shared" si="29"/>
        <v/>
      </c>
      <c r="G494" s="327" t="s">
        <v>197</v>
      </c>
      <c r="H494" s="326" t="str">
        <f t="shared" si="30"/>
        <v/>
      </c>
      <c r="I494" s="327">
        <v>0.49</v>
      </c>
      <c r="J494" s="326" t="str">
        <f t="shared" si="31"/>
        <v/>
      </c>
      <c r="L494" s="241">
        <v>0.49</v>
      </c>
      <c r="N494" s="209"/>
    </row>
    <row r="495" spans="1:14">
      <c r="A495" t="s">
        <v>1128</v>
      </c>
      <c r="B495" s="271" t="s">
        <v>1129</v>
      </c>
      <c r="C495" s="325">
        <v>222.636</v>
      </c>
      <c r="D495" s="325">
        <v>102.67</v>
      </c>
      <c r="E495" s="325">
        <f t="shared" si="28"/>
        <v>22858.038120000001</v>
      </c>
      <c r="F495" s="326">
        <f t="shared" si="29"/>
        <v>7.5647391515414964E-4</v>
      </c>
      <c r="G495" s="327">
        <v>2.7271841823317423E-2</v>
      </c>
      <c r="H495" s="326">
        <f t="shared" si="30"/>
        <v>2.0630436957549615E-5</v>
      </c>
      <c r="I495" s="327">
        <v>0.04</v>
      </c>
      <c r="J495" s="326">
        <f t="shared" si="31"/>
        <v>3.0258956606165985E-5</v>
      </c>
      <c r="L495" s="241">
        <v>0.04</v>
      </c>
      <c r="N495" s="209"/>
    </row>
    <row r="496" spans="1:14">
      <c r="A496" t="s">
        <v>1130</v>
      </c>
      <c r="B496" s="271" t="s">
        <v>1131</v>
      </c>
      <c r="C496" s="325">
        <v>323.61099999999999</v>
      </c>
      <c r="D496" s="325">
        <v>42.26</v>
      </c>
      <c r="E496" s="325">
        <f t="shared" si="28"/>
        <v>13675.800859999999</v>
      </c>
      <c r="F496" s="326" t="str">
        <f t="shared" si="29"/>
        <v/>
      </c>
      <c r="G496" s="327" t="s">
        <v>197</v>
      </c>
      <c r="H496" s="326" t="str">
        <f t="shared" si="30"/>
        <v/>
      </c>
      <c r="I496" s="327" t="s">
        <v>197</v>
      </c>
      <c r="J496" s="326" t="str">
        <f t="shared" si="31"/>
        <v/>
      </c>
      <c r="L496" s="231" t="s">
        <v>197</v>
      </c>
      <c r="N496" s="209"/>
    </row>
    <row r="497" spans="1:14">
      <c r="A497" t="s">
        <v>1132</v>
      </c>
      <c r="B497" s="271" t="s">
        <v>1133</v>
      </c>
      <c r="C497" s="325">
        <v>199.63</v>
      </c>
      <c r="D497" s="325">
        <v>21.55</v>
      </c>
      <c r="E497" s="325">
        <f t="shared" si="28"/>
        <v>4302.0264999999999</v>
      </c>
      <c r="F497" s="326" t="str">
        <f t="shared" si="29"/>
        <v/>
      </c>
      <c r="G497" s="327">
        <v>9.2807424593967514E-3</v>
      </c>
      <c r="H497" s="326" t="str">
        <f t="shared" si="30"/>
        <v/>
      </c>
      <c r="I497" s="327" t="s">
        <v>197</v>
      </c>
      <c r="J497" s="326" t="str">
        <f t="shared" si="31"/>
        <v/>
      </c>
      <c r="L497" s="231" t="s">
        <v>197</v>
      </c>
      <c r="N497" s="209"/>
    </row>
    <row r="498" spans="1:14">
      <c r="A498" t="s">
        <v>1134</v>
      </c>
      <c r="B498" s="271" t="s">
        <v>1135</v>
      </c>
      <c r="C498" s="325">
        <v>583.50300000000004</v>
      </c>
      <c r="D498" s="325">
        <v>71.41</v>
      </c>
      <c r="E498" s="325">
        <f t="shared" si="28"/>
        <v>41667.949229999998</v>
      </c>
      <c r="F498" s="326">
        <f t="shared" si="29"/>
        <v>1.378977343767875E-3</v>
      </c>
      <c r="G498" s="327" t="s">
        <v>197</v>
      </c>
      <c r="H498" s="326" t="str">
        <f t="shared" si="30"/>
        <v/>
      </c>
      <c r="I498" s="327">
        <v>9.5000000000000001E-2</v>
      </c>
      <c r="J498" s="326">
        <f t="shared" si="31"/>
        <v>1.3100284765794814E-4</v>
      </c>
      <c r="L498" s="241">
        <v>9.5000000000000001E-2</v>
      </c>
      <c r="N498" s="209"/>
    </row>
    <row r="499" spans="1:14">
      <c r="A499" t="s">
        <v>1136</v>
      </c>
      <c r="B499" s="271" t="s">
        <v>1137</v>
      </c>
      <c r="C499" s="325">
        <v>62.381999999999998</v>
      </c>
      <c r="D499" s="325">
        <v>403.51</v>
      </c>
      <c r="E499" s="325">
        <f t="shared" si="28"/>
        <v>25171.76082</v>
      </c>
      <c r="F499" s="326">
        <f t="shared" si="29"/>
        <v>8.3304526656503917E-4</v>
      </c>
      <c r="G499" s="327">
        <v>6.0469381180144229E-3</v>
      </c>
      <c r="H499" s="326">
        <f t="shared" si="30"/>
        <v>5.037373176423621E-6</v>
      </c>
      <c r="I499" s="327">
        <v>7.0000000000000007E-2</v>
      </c>
      <c r="J499" s="326">
        <f t="shared" si="31"/>
        <v>5.831316865955275E-5</v>
      </c>
      <c r="L499" s="241">
        <v>7.0000000000000007E-2</v>
      </c>
      <c r="N499" s="209"/>
    </row>
    <row r="500" spans="1:14">
      <c r="A500" t="s">
        <v>1138</v>
      </c>
      <c r="B500" s="271" t="s">
        <v>1139</v>
      </c>
      <c r="C500" s="325">
        <v>163.00399999999999</v>
      </c>
      <c r="D500" s="325">
        <v>152.87</v>
      </c>
      <c r="E500" s="325">
        <f t="shared" si="28"/>
        <v>24918.421480000001</v>
      </c>
      <c r="F500" s="326">
        <f t="shared" si="29"/>
        <v>8.2466114359760546E-4</v>
      </c>
      <c r="G500" s="327">
        <v>2.6166023418590961E-3</v>
      </c>
      <c r="H500" s="326">
        <f t="shared" si="30"/>
        <v>2.1578102795776947E-6</v>
      </c>
      <c r="I500" s="327">
        <v>0.13500000000000001</v>
      </c>
      <c r="J500" s="326">
        <f t="shared" si="31"/>
        <v>1.1132925438567674E-4</v>
      </c>
      <c r="L500" s="241">
        <v>0.13500000000000001</v>
      </c>
      <c r="N500" s="209"/>
    </row>
    <row r="501" spans="1:14">
      <c r="A501" t="s">
        <v>1140</v>
      </c>
      <c r="B501" s="271" t="s">
        <v>1141</v>
      </c>
      <c r="C501" s="325">
        <v>1174.93</v>
      </c>
      <c r="D501" s="325">
        <v>184.89</v>
      </c>
      <c r="E501" s="325">
        <f t="shared" si="28"/>
        <v>217232.8077</v>
      </c>
      <c r="F501" s="326">
        <f t="shared" si="29"/>
        <v>7.1891975889638382E-3</v>
      </c>
      <c r="G501" s="327" t="s">
        <v>197</v>
      </c>
      <c r="H501" s="326" t="str">
        <f t="shared" si="30"/>
        <v/>
      </c>
      <c r="I501" s="327">
        <v>0.16</v>
      </c>
      <c r="J501" s="326">
        <f t="shared" si="31"/>
        <v>1.1502716142342141E-3</v>
      </c>
      <c r="L501" s="241">
        <v>0.16</v>
      </c>
      <c r="N501" s="209"/>
    </row>
    <row r="502" spans="1:14">
      <c r="A502" t="s">
        <v>1142</v>
      </c>
      <c r="B502" s="271" t="s">
        <v>1143</v>
      </c>
      <c r="C502" s="325">
        <v>1004.265</v>
      </c>
      <c r="D502" s="325">
        <v>1144.76</v>
      </c>
      <c r="E502" s="325">
        <f t="shared" si="28"/>
        <v>1149642.4014000001</v>
      </c>
      <c r="F502" s="326" t="str">
        <f t="shared" si="29"/>
        <v/>
      </c>
      <c r="G502" s="327" t="s">
        <v>197</v>
      </c>
      <c r="H502" s="326" t="str">
        <f t="shared" si="30"/>
        <v/>
      </c>
      <c r="I502" s="327" t="s">
        <v>197</v>
      </c>
      <c r="J502" s="326" t="str">
        <f t="shared" si="31"/>
        <v/>
      </c>
      <c r="L502" s="231" t="s">
        <v>197</v>
      </c>
      <c r="N502" s="209"/>
    </row>
    <row r="503" spans="1:14">
      <c r="A503" t="s">
        <v>1144</v>
      </c>
      <c r="B503" s="271" t="s">
        <v>1145</v>
      </c>
      <c r="C503" s="325">
        <v>290.35700000000003</v>
      </c>
      <c r="D503" s="325">
        <v>31.25</v>
      </c>
      <c r="E503" s="325">
        <f t="shared" si="28"/>
        <v>9073.65625</v>
      </c>
      <c r="F503" s="326">
        <f t="shared" si="29"/>
        <v>3.0028755014607609E-4</v>
      </c>
      <c r="G503" s="327" t="s">
        <v>197</v>
      </c>
      <c r="H503" s="326" t="str">
        <f t="shared" si="30"/>
        <v/>
      </c>
      <c r="I503" s="327">
        <v>2.5000000000000001E-2</v>
      </c>
      <c r="J503" s="326">
        <f t="shared" si="31"/>
        <v>7.5071887536519029E-6</v>
      </c>
      <c r="L503" s="241">
        <v>2.5000000000000001E-2</v>
      </c>
      <c r="N503" s="209"/>
    </row>
    <row r="504" spans="1:14">
      <c r="A504" t="s">
        <v>1146</v>
      </c>
      <c r="B504" s="271" t="s">
        <v>1147</v>
      </c>
      <c r="C504" s="325">
        <v>739.61400000000003</v>
      </c>
      <c r="D504" s="325">
        <v>54.93</v>
      </c>
      <c r="E504" s="325">
        <f t="shared" si="28"/>
        <v>40626.997020000003</v>
      </c>
      <c r="F504" s="326" t="str">
        <f t="shared" si="29"/>
        <v/>
      </c>
      <c r="G504" s="327">
        <v>5.097396686692153E-2</v>
      </c>
      <c r="H504" s="326" t="str">
        <f t="shared" si="30"/>
        <v/>
      </c>
      <c r="I504" s="327" t="s">
        <v>197</v>
      </c>
      <c r="J504" s="326" t="str">
        <f t="shared" si="31"/>
        <v/>
      </c>
      <c r="L504" s="231" t="s">
        <v>197</v>
      </c>
      <c r="N504" s="209"/>
    </row>
    <row r="505" spans="1:14">
      <c r="A505" t="s">
        <v>1148</v>
      </c>
      <c r="B505" s="271" t="s">
        <v>1149</v>
      </c>
      <c r="C505" s="325">
        <v>169.51400000000001</v>
      </c>
      <c r="D505" s="325">
        <v>51.23</v>
      </c>
      <c r="E505" s="325">
        <f t="shared" si="28"/>
        <v>8684.2022199999992</v>
      </c>
      <c r="F505" s="326" t="str">
        <f t="shared" si="29"/>
        <v/>
      </c>
      <c r="G505" s="327" t="s">
        <v>197</v>
      </c>
      <c r="H505" s="326" t="str">
        <f t="shared" si="30"/>
        <v/>
      </c>
      <c r="I505" s="327">
        <v>0.3</v>
      </c>
      <c r="J505" s="326" t="str">
        <f t="shared" si="31"/>
        <v/>
      </c>
      <c r="L505" s="241">
        <v>0.3</v>
      </c>
      <c r="N505" s="209"/>
    </row>
    <row r="506" spans="1:14">
      <c r="A506" t="s">
        <v>1150</v>
      </c>
      <c r="B506" s="271" t="s">
        <v>1151</v>
      </c>
      <c r="C506" s="325">
        <v>39.369</v>
      </c>
      <c r="D506" s="325">
        <v>256.38</v>
      </c>
      <c r="E506" s="325">
        <f t="shared" si="28"/>
        <v>10093.424219999999</v>
      </c>
      <c r="F506" s="326">
        <f t="shared" si="29"/>
        <v>3.3403619754813487E-4</v>
      </c>
      <c r="G506" s="327">
        <v>2.4182853576722053E-2</v>
      </c>
      <c r="H506" s="326">
        <f t="shared" si="30"/>
        <v>8.0779484546315469E-6</v>
      </c>
      <c r="I506" s="327">
        <v>0.11</v>
      </c>
      <c r="J506" s="326">
        <f t="shared" si="31"/>
        <v>3.6743981730294833E-5</v>
      </c>
      <c r="L506" s="241">
        <v>0.11</v>
      </c>
      <c r="N506" s="209"/>
    </row>
    <row r="507" spans="1:14">
      <c r="A507" t="s">
        <v>1152</v>
      </c>
      <c r="B507" s="271" t="s">
        <v>1153</v>
      </c>
      <c r="C507" s="325">
        <v>46.655000000000001</v>
      </c>
      <c r="D507" s="325">
        <v>415.29</v>
      </c>
      <c r="E507" s="325">
        <f t="shared" si="28"/>
        <v>19375.354950000001</v>
      </c>
      <c r="F507" s="326">
        <f t="shared" si="29"/>
        <v>6.4121647446652489E-4</v>
      </c>
      <c r="G507" s="327" t="s">
        <v>197</v>
      </c>
      <c r="H507" s="326" t="str">
        <f t="shared" si="30"/>
        <v/>
      </c>
      <c r="I507" s="327">
        <v>0.15</v>
      </c>
      <c r="J507" s="326">
        <f t="shared" si="31"/>
        <v>9.6182471169978733E-5</v>
      </c>
      <c r="L507" s="241">
        <v>0.15</v>
      </c>
      <c r="N507" s="209"/>
    </row>
    <row r="508" spans="1:14">
      <c r="A508" t="s">
        <v>1132</v>
      </c>
      <c r="B508" s="271" t="s">
        <v>1154</v>
      </c>
      <c r="C508" s="325">
        <v>393.03800000000001</v>
      </c>
      <c r="D508" s="325">
        <v>21.62</v>
      </c>
      <c r="E508" s="325">
        <f t="shared" si="28"/>
        <v>8497.4815600000002</v>
      </c>
      <c r="F508" s="326" t="str">
        <f t="shared" si="29"/>
        <v/>
      </c>
      <c r="G508" s="327">
        <v>9.2506938020351526E-3</v>
      </c>
      <c r="H508" s="326" t="str">
        <f t="shared" si="30"/>
        <v/>
      </c>
      <c r="I508" s="327" t="s">
        <v>197</v>
      </c>
      <c r="J508" s="326" t="str">
        <f t="shared" si="31"/>
        <v/>
      </c>
      <c r="L508" s="231" t="s">
        <v>197</v>
      </c>
      <c r="N508" s="209"/>
    </row>
    <row r="509" spans="1:14">
      <c r="A509" t="s">
        <v>1155</v>
      </c>
      <c r="B509" s="271" t="s">
        <v>1156</v>
      </c>
      <c r="C509" s="325">
        <v>976.76</v>
      </c>
      <c r="D509" s="325">
        <v>52.73</v>
      </c>
      <c r="E509" s="325">
        <f t="shared" si="28"/>
        <v>51504.554799999998</v>
      </c>
      <c r="F509" s="326">
        <f t="shared" si="29"/>
        <v>1.7045142725410525E-3</v>
      </c>
      <c r="G509" s="327">
        <v>2.901574056514318E-2</v>
      </c>
      <c r="H509" s="326">
        <f t="shared" si="30"/>
        <v>4.9457743921634937E-5</v>
      </c>
      <c r="I509" s="327">
        <v>5.5E-2</v>
      </c>
      <c r="J509" s="326">
        <f t="shared" si="31"/>
        <v>9.3748284989757892E-5</v>
      </c>
      <c r="L509" s="241">
        <v>5.5E-2</v>
      </c>
      <c r="N509" s="209"/>
    </row>
    <row r="510" spans="1:14">
      <c r="A510" t="s">
        <v>1157</v>
      </c>
      <c r="B510" s="271" t="s">
        <v>1158</v>
      </c>
      <c r="C510" s="325">
        <v>290.15100000000001</v>
      </c>
      <c r="D510" s="325">
        <v>119.04</v>
      </c>
      <c r="E510" s="325">
        <f t="shared" si="28"/>
        <v>34539.575040000003</v>
      </c>
      <c r="F510" s="326">
        <f t="shared" si="29"/>
        <v>1.1430678092800969E-3</v>
      </c>
      <c r="G510" s="327">
        <v>8.4005376344086016E-3</v>
      </c>
      <c r="H510" s="326">
        <f t="shared" si="30"/>
        <v>9.6023841505384487E-6</v>
      </c>
      <c r="I510" s="327">
        <v>0.16500000000000001</v>
      </c>
      <c r="J510" s="326">
        <f t="shared" si="31"/>
        <v>1.8860618853121599E-4</v>
      </c>
      <c r="L510" s="241">
        <v>0.16500000000000001</v>
      </c>
      <c r="N510" s="209"/>
    </row>
    <row r="511" spans="1:14">
      <c r="A511" t="s">
        <v>1159</v>
      </c>
      <c r="B511" s="271" t="s">
        <v>1160</v>
      </c>
      <c r="C511" s="325">
        <v>432.20299999999997</v>
      </c>
      <c r="D511" s="325">
        <v>181.65</v>
      </c>
      <c r="E511" s="325">
        <f t="shared" si="28"/>
        <v>78509.674950000001</v>
      </c>
      <c r="F511" s="326">
        <f t="shared" si="29"/>
        <v>2.5982335349656058E-3</v>
      </c>
      <c r="G511" s="327">
        <v>3.236994219653179E-2</v>
      </c>
      <c r="H511" s="326">
        <f t="shared" si="30"/>
        <v>8.4104669339927119E-5</v>
      </c>
      <c r="I511" s="327">
        <v>8.5000000000000006E-2</v>
      </c>
      <c r="J511" s="326">
        <f t="shared" si="31"/>
        <v>2.2084985047207651E-4</v>
      </c>
      <c r="L511" s="241">
        <v>8.5000000000000006E-2</v>
      </c>
      <c r="N511" s="209"/>
    </row>
    <row r="512" spans="1:14">
      <c r="A512" t="s">
        <v>1161</v>
      </c>
      <c r="B512" s="271" t="s">
        <v>1162</v>
      </c>
      <c r="C512" s="325">
        <v>270.51400000000001</v>
      </c>
      <c r="D512" s="325">
        <v>160.35</v>
      </c>
      <c r="E512" s="325">
        <f t="shared" si="28"/>
        <v>43376.919900000001</v>
      </c>
      <c r="F512" s="326">
        <f t="shared" si="29"/>
        <v>1.4355347668866755E-3</v>
      </c>
      <c r="G512" s="327" t="s">
        <v>197</v>
      </c>
      <c r="H512" s="326" t="str">
        <f t="shared" si="30"/>
        <v/>
      </c>
      <c r="I512" s="327">
        <v>0.155</v>
      </c>
      <c r="J512" s="326">
        <f t="shared" si="31"/>
        <v>2.225078888674347E-4</v>
      </c>
      <c r="L512" s="241">
        <v>0.155</v>
      </c>
      <c r="N512" s="209"/>
    </row>
    <row r="513" spans="1:14">
      <c r="A513" t="s">
        <v>1163</v>
      </c>
      <c r="B513" s="271" t="s">
        <v>1164</v>
      </c>
      <c r="C513" s="325">
        <v>62.354999999999997</v>
      </c>
      <c r="D513" s="325">
        <v>220.72</v>
      </c>
      <c r="E513" s="325">
        <f t="shared" si="28"/>
        <v>13762.995599999998</v>
      </c>
      <c r="F513" s="326">
        <f t="shared" si="29"/>
        <v>4.5547859843105964E-4</v>
      </c>
      <c r="G513" s="327">
        <v>1.8122508155128669E-2</v>
      </c>
      <c r="H513" s="326">
        <f t="shared" si="30"/>
        <v>8.2544146145534538E-6</v>
      </c>
      <c r="I513" s="327">
        <v>0.11</v>
      </c>
      <c r="J513" s="326">
        <f t="shared" si="31"/>
        <v>5.0102645827416559E-5</v>
      </c>
      <c r="L513" s="241">
        <v>0.11</v>
      </c>
      <c r="N513" s="209"/>
    </row>
    <row r="514" spans="1:14">
      <c r="A514" t="s">
        <v>1165</v>
      </c>
      <c r="B514" s="271" t="s">
        <v>1166</v>
      </c>
      <c r="C514" s="325">
        <v>78.852999999999994</v>
      </c>
      <c r="D514" s="325">
        <v>611.53</v>
      </c>
      <c r="E514" s="325">
        <f t="shared" si="28"/>
        <v>48220.975089999993</v>
      </c>
      <c r="F514" s="326">
        <f t="shared" si="29"/>
        <v>1.595846048877051E-3</v>
      </c>
      <c r="G514" s="327" t="s">
        <v>197</v>
      </c>
      <c r="H514" s="326" t="str">
        <f t="shared" si="30"/>
        <v/>
      </c>
      <c r="I514" s="327">
        <v>0.17</v>
      </c>
      <c r="J514" s="326">
        <f t="shared" si="31"/>
        <v>2.712938283090987E-4</v>
      </c>
      <c r="L514" s="241">
        <v>0.17</v>
      </c>
      <c r="N514" s="209"/>
    </row>
    <row r="515" spans="1:14">
      <c r="A515" t="s">
        <v>1167</v>
      </c>
      <c r="B515" s="271" t="s">
        <v>1168</v>
      </c>
      <c r="C515" s="325">
        <v>156.30000000000001</v>
      </c>
      <c r="D515" s="325">
        <v>365.33</v>
      </c>
      <c r="E515" s="325">
        <f t="shared" si="28"/>
        <v>57101.079000000005</v>
      </c>
      <c r="F515" s="326">
        <f t="shared" si="29"/>
        <v>1.8897280931936952E-3</v>
      </c>
      <c r="G515" s="327" t="s">
        <v>197</v>
      </c>
      <c r="H515" s="326" t="str">
        <f t="shared" si="30"/>
        <v/>
      </c>
      <c r="I515" s="327">
        <v>0.1</v>
      </c>
      <c r="J515" s="326">
        <f t="shared" si="31"/>
        <v>1.8897280931936953E-4</v>
      </c>
      <c r="L515" s="241">
        <v>0.1</v>
      </c>
      <c r="N515" s="209"/>
    </row>
    <row r="516" spans="1:14">
      <c r="A516" t="s">
        <v>1169</v>
      </c>
      <c r="B516" s="271" t="s">
        <v>1170</v>
      </c>
      <c r="C516" s="325">
        <v>291.49099999999999</v>
      </c>
      <c r="D516" s="325">
        <v>55.9</v>
      </c>
      <c r="E516" s="325">
        <f t="shared" si="28"/>
        <v>16294.346899999999</v>
      </c>
      <c r="F516" s="326">
        <f t="shared" si="29"/>
        <v>5.3925224595446951E-4</v>
      </c>
      <c r="G516" s="327">
        <v>1.7889087656529516E-2</v>
      </c>
      <c r="H516" s="326">
        <f t="shared" si="30"/>
        <v>9.6467306968599187E-6</v>
      </c>
      <c r="I516" s="327">
        <v>0.12</v>
      </c>
      <c r="J516" s="326">
        <f t="shared" si="31"/>
        <v>6.4710269514536335E-5</v>
      </c>
      <c r="L516" s="241">
        <v>0.12</v>
      </c>
      <c r="N516" s="209"/>
    </row>
    <row r="517" spans="1:14">
      <c r="A517" t="s">
        <v>1171</v>
      </c>
      <c r="B517" s="271" t="s">
        <v>1172</v>
      </c>
      <c r="C517" s="325">
        <v>358.92700000000002</v>
      </c>
      <c r="D517" s="325">
        <v>19.16</v>
      </c>
      <c r="E517" s="325">
        <f t="shared" si="28"/>
        <v>6877.0413200000003</v>
      </c>
      <c r="F517" s="326" t="str">
        <f t="shared" si="29"/>
        <v/>
      </c>
      <c r="G517" s="327">
        <v>1.2526096033402923E-2</v>
      </c>
      <c r="H517" s="326" t="str">
        <f t="shared" si="30"/>
        <v/>
      </c>
      <c r="I517" s="327" t="s">
        <v>197</v>
      </c>
      <c r="J517" s="326" t="str">
        <f t="shared" si="31"/>
        <v/>
      </c>
      <c r="L517" s="231" t="s">
        <v>197</v>
      </c>
      <c r="N517" s="209"/>
    </row>
    <row r="518" spans="1:14">
      <c r="A518" t="s">
        <v>1173</v>
      </c>
      <c r="B518" s="271" t="s">
        <v>1174</v>
      </c>
      <c r="C518" s="325">
        <v>192.322</v>
      </c>
      <c r="D518" s="325">
        <v>133.54</v>
      </c>
      <c r="E518" s="325">
        <f t="shared" si="28"/>
        <v>25682.67988</v>
      </c>
      <c r="F518" s="326">
        <f t="shared" si="29"/>
        <v>8.4995384549101907E-4</v>
      </c>
      <c r="G518" s="327">
        <v>2.0068893215515953E-2</v>
      </c>
      <c r="H518" s="326">
        <f t="shared" si="30"/>
        <v>1.7057632963276407E-5</v>
      </c>
      <c r="I518" s="327">
        <v>0.1</v>
      </c>
      <c r="J518" s="326">
        <f t="shared" si="31"/>
        <v>8.4995384549101907E-5</v>
      </c>
      <c r="L518" s="241">
        <v>0.1</v>
      </c>
      <c r="N518" s="209"/>
    </row>
    <row r="519" spans="1:14">
      <c r="A519" t="s">
        <v>1175</v>
      </c>
      <c r="B519" s="271" t="s">
        <v>1176</v>
      </c>
      <c r="C519" s="325">
        <v>473.12599999999998</v>
      </c>
      <c r="D519" s="325">
        <v>222.04</v>
      </c>
      <c r="E519" s="325">
        <f t="shared" si="28"/>
        <v>105052.89704</v>
      </c>
      <c r="F519" s="326">
        <f t="shared" si="29"/>
        <v>3.4766665408874809E-3</v>
      </c>
      <c r="G519" s="327">
        <v>4.5036930282831922E-3</v>
      </c>
      <c r="H519" s="326">
        <f t="shared" si="30"/>
        <v>1.5657838861860389E-5</v>
      </c>
      <c r="I519" s="327">
        <v>0.11</v>
      </c>
      <c r="J519" s="326">
        <f t="shared" si="31"/>
        <v>3.8243331949762291E-4</v>
      </c>
      <c r="L519" s="241">
        <v>0.11</v>
      </c>
      <c r="N519" s="209"/>
    </row>
    <row r="520" spans="1:14">
      <c r="A520" t="s">
        <v>1177</v>
      </c>
      <c r="B520" s="271" t="s">
        <v>1178</v>
      </c>
      <c r="C520" s="325">
        <v>90.040999999999997</v>
      </c>
      <c r="D520" s="325">
        <v>812.2</v>
      </c>
      <c r="E520" s="325">
        <f t="shared" si="28"/>
        <v>73131.300199999998</v>
      </c>
      <c r="F520" s="326">
        <f t="shared" si="29"/>
        <v>2.4202392476632829E-3</v>
      </c>
      <c r="G520" s="327">
        <v>1.4134449642945086E-2</v>
      </c>
      <c r="H520" s="326">
        <f t="shared" si="30"/>
        <v>3.4208749769975972E-5</v>
      </c>
      <c r="I520" s="327">
        <v>0.17</v>
      </c>
      <c r="J520" s="326">
        <f t="shared" si="31"/>
        <v>4.1144067210275811E-4</v>
      </c>
      <c r="L520" s="241">
        <v>0.17</v>
      </c>
      <c r="N520" s="209"/>
    </row>
    <row r="521" spans="1:14">
      <c r="A521" t="s">
        <v>1179</v>
      </c>
      <c r="B521" s="271" t="s">
        <v>1180</v>
      </c>
      <c r="C521" s="325">
        <v>283.78699999999998</v>
      </c>
      <c r="D521" s="325">
        <v>167.74</v>
      </c>
      <c r="E521" s="325">
        <f t="shared" si="28"/>
        <v>47602.431380000002</v>
      </c>
      <c r="F521" s="326">
        <f t="shared" si="29"/>
        <v>1.5753756926924465E-3</v>
      </c>
      <c r="G521" s="327">
        <v>2.7661857636818884E-2</v>
      </c>
      <c r="H521" s="326">
        <f t="shared" si="30"/>
        <v>4.3577818135763394E-5</v>
      </c>
      <c r="I521" s="327">
        <v>0.08</v>
      </c>
      <c r="J521" s="326">
        <f t="shared" si="31"/>
        <v>1.2603005541539573E-4</v>
      </c>
      <c r="L521" s="241">
        <v>0.08</v>
      </c>
      <c r="N521" s="209"/>
    </row>
    <row r="522" spans="1:14">
      <c r="A522" t="s">
        <v>1181</v>
      </c>
      <c r="B522" s="271" t="s">
        <v>1182</v>
      </c>
      <c r="C522" s="325">
        <v>763.99</v>
      </c>
      <c r="D522" s="325">
        <v>35.619999999999997</v>
      </c>
      <c r="E522" s="325">
        <f t="shared" si="28"/>
        <v>27213.323799999998</v>
      </c>
      <c r="F522" s="326">
        <f t="shared" si="29"/>
        <v>9.0060964511785488E-4</v>
      </c>
      <c r="G522" s="327" t="s">
        <v>197</v>
      </c>
      <c r="H522" s="326" t="str">
        <f t="shared" si="30"/>
        <v/>
      </c>
      <c r="I522" s="327">
        <v>0.17</v>
      </c>
      <c r="J522" s="326">
        <f t="shared" si="31"/>
        <v>1.5310363967003534E-4</v>
      </c>
      <c r="L522" s="241">
        <v>0.17</v>
      </c>
      <c r="N522" s="209"/>
    </row>
    <row r="523" spans="1:14">
      <c r="A523" t="s">
        <v>1031</v>
      </c>
      <c r="B523" s="271" t="s">
        <v>1183</v>
      </c>
      <c r="C523" s="325">
        <v>330.14600000000002</v>
      </c>
      <c r="D523" s="325">
        <v>22.71</v>
      </c>
      <c r="E523" s="325">
        <f t="shared" si="28"/>
        <v>7497.6156600000004</v>
      </c>
      <c r="F523" s="326" t="str">
        <f t="shared" si="29"/>
        <v/>
      </c>
      <c r="G523" s="327" t="s">
        <v>197</v>
      </c>
      <c r="H523" s="326" t="str">
        <f t="shared" si="30"/>
        <v/>
      </c>
      <c r="I523" s="327" t="s">
        <v>197</v>
      </c>
      <c r="J523" s="326" t="str">
        <f t="shared" si="31"/>
        <v/>
      </c>
      <c r="L523" s="231" t="s">
        <v>197</v>
      </c>
      <c r="N523" s="209"/>
    </row>
    <row r="524" spans="1:14">
      <c r="A524" s="233"/>
      <c r="B524" s="231"/>
      <c r="C524" s="231"/>
      <c r="D524" s="231"/>
      <c r="E524" s="231"/>
      <c r="F524" s="231"/>
      <c r="G524" s="231"/>
    </row>
    <row r="525" spans="1:14">
      <c r="A525" s="233"/>
      <c r="B525" s="231"/>
      <c r="C525" s="231"/>
      <c r="D525" s="231"/>
      <c r="E525" s="231"/>
      <c r="F525" s="231"/>
      <c r="G525" s="231"/>
    </row>
    <row r="526" spans="1:14">
      <c r="A526" s="233"/>
      <c r="B526" s="231"/>
      <c r="C526" s="231"/>
      <c r="D526" s="231"/>
      <c r="E526" s="231"/>
      <c r="F526" s="231"/>
      <c r="G526" s="231"/>
    </row>
    <row r="527" spans="1:14">
      <c r="A527" s="244" t="s">
        <v>31</v>
      </c>
      <c r="B527" s="231"/>
      <c r="C527" s="231"/>
      <c r="D527" s="231"/>
      <c r="E527" s="231"/>
      <c r="F527" s="231"/>
      <c r="G527" s="231"/>
    </row>
    <row r="528" spans="1:14">
      <c r="A528" s="233" t="s">
        <v>1184</v>
      </c>
      <c r="B528" s="233"/>
      <c r="C528" s="233"/>
      <c r="D528" s="233"/>
      <c r="E528" s="233"/>
      <c r="F528" s="233"/>
      <c r="G528" s="233"/>
    </row>
    <row r="529" spans="1:7">
      <c r="A529" s="233" t="s">
        <v>1185</v>
      </c>
      <c r="B529" s="233"/>
      <c r="C529" s="233"/>
      <c r="D529" s="233"/>
      <c r="E529" s="233"/>
      <c r="F529" s="233"/>
      <c r="G529" s="233"/>
    </row>
    <row r="530" spans="1:7">
      <c r="A530" s="233" t="s">
        <v>1186</v>
      </c>
      <c r="B530" s="233"/>
      <c r="C530" s="233"/>
      <c r="D530" s="233"/>
      <c r="E530" s="233"/>
      <c r="F530" s="233"/>
      <c r="G530" s="233"/>
    </row>
    <row r="531" spans="1:7">
      <c r="A531" s="233" t="s">
        <v>1187</v>
      </c>
      <c r="B531" s="233"/>
      <c r="C531" s="233"/>
      <c r="D531" s="233"/>
      <c r="E531" s="233"/>
      <c r="F531" s="233"/>
      <c r="G531" s="233"/>
    </row>
    <row r="532" spans="1:7">
      <c r="A532" s="233" t="s">
        <v>1188</v>
      </c>
      <c r="B532" s="233"/>
      <c r="C532" s="233"/>
      <c r="D532" s="233"/>
      <c r="E532" s="233"/>
      <c r="F532" s="233"/>
      <c r="G532" s="233"/>
    </row>
    <row r="533" spans="1:7">
      <c r="A533" s="233" t="s">
        <v>1189</v>
      </c>
      <c r="B533" s="233"/>
      <c r="C533" s="233"/>
      <c r="D533" s="233"/>
      <c r="E533" s="233"/>
      <c r="F533" s="233"/>
      <c r="G533" s="233"/>
    </row>
    <row r="534" spans="1:7" ht="13.8">
      <c r="A534" s="233" t="s">
        <v>1190</v>
      </c>
      <c r="B534" s="233"/>
      <c r="C534" s="233"/>
      <c r="D534" s="233"/>
      <c r="E534" s="233"/>
      <c r="F534" s="233"/>
      <c r="G534" s="233"/>
    </row>
    <row r="535" spans="1:7">
      <c r="A535" s="233" t="s">
        <v>1191</v>
      </c>
      <c r="B535" s="233"/>
      <c r="C535" s="233"/>
      <c r="D535" s="233"/>
      <c r="E535" s="233"/>
      <c r="F535" s="233"/>
      <c r="G535" s="233"/>
    </row>
    <row r="536" spans="1:7">
      <c r="A536" s="233" t="s">
        <v>1192</v>
      </c>
      <c r="B536" s="233"/>
      <c r="C536" s="233"/>
      <c r="D536" s="233"/>
      <c r="E536" s="233"/>
      <c r="F536" s="233"/>
      <c r="G536" s="233"/>
    </row>
    <row r="537" spans="1:7">
      <c r="A537" s="233" t="s">
        <v>1193</v>
      </c>
      <c r="B537" s="233"/>
      <c r="C537" s="233"/>
      <c r="D537" s="233"/>
      <c r="E537" s="233"/>
      <c r="F537" s="233"/>
      <c r="G537" s="233"/>
    </row>
    <row r="538" spans="1:7">
      <c r="A538" s="233" t="s">
        <v>1194</v>
      </c>
      <c r="B538" s="233"/>
      <c r="C538" s="233"/>
      <c r="D538" s="233"/>
      <c r="E538" s="233"/>
      <c r="F538" s="233"/>
      <c r="G538" s="233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3" fitToHeight="6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3"/>
  <sheetViews>
    <sheetView view="pageLayout" topLeftCell="A28" zoomScale="70" zoomScaleNormal="100" zoomScaleSheetLayoutView="80" zoomScalePageLayoutView="70" workbookViewId="0">
      <selection activeCell="B53" sqref="B53"/>
    </sheetView>
  </sheetViews>
  <sheetFormatPr defaultRowHeight="13.2"/>
  <cols>
    <col min="1" max="1" width="31.33203125" customWidth="1"/>
    <col min="3" max="3" width="11.33203125" customWidth="1"/>
    <col min="4" max="4" width="12.44140625" customWidth="1"/>
    <col min="5" max="5" width="11.44140625" customWidth="1"/>
    <col min="6" max="11" width="11.5546875" customWidth="1"/>
    <col min="12" max="12" width="12.109375" customWidth="1"/>
  </cols>
  <sheetData>
    <row r="1" spans="1:13"/>
    <row r="2" spans="1:13">
      <c r="A2" s="360" t="s">
        <v>157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4" spans="1:13" ht="13.8" thickBot="1">
      <c r="A4" s="58"/>
      <c r="B4" s="58"/>
      <c r="C4" s="59" t="s">
        <v>34</v>
      </c>
      <c r="D4" s="59" t="s">
        <v>35</v>
      </c>
      <c r="E4" s="59" t="s">
        <v>36</v>
      </c>
      <c r="F4" s="59" t="s">
        <v>37</v>
      </c>
      <c r="G4" s="59" t="s">
        <v>38</v>
      </c>
      <c r="H4" s="60" t="s">
        <v>39</v>
      </c>
      <c r="I4" s="60" t="s">
        <v>40</v>
      </c>
      <c r="J4" s="60" t="s">
        <v>41</v>
      </c>
      <c r="K4" s="60" t="s">
        <v>42</v>
      </c>
      <c r="L4" s="60" t="s">
        <v>43</v>
      </c>
      <c r="M4" s="60" t="s">
        <v>158</v>
      </c>
    </row>
    <row r="5" spans="1:13" ht="13.8" thickBot="1">
      <c r="C5" s="57"/>
      <c r="D5" s="57"/>
      <c r="E5" s="57"/>
      <c r="F5" s="57"/>
      <c r="G5" s="57"/>
      <c r="H5" s="57"/>
      <c r="I5" s="57"/>
      <c r="J5" s="57"/>
      <c r="K5" s="57"/>
      <c r="L5" s="57"/>
      <c r="M5" s="72"/>
    </row>
    <row r="6" spans="1:13">
      <c r="A6" s="108" t="s">
        <v>44</v>
      </c>
      <c r="B6" s="47" t="s">
        <v>45</v>
      </c>
      <c r="C6" s="292">
        <v>40908</v>
      </c>
      <c r="D6" s="292">
        <v>41274</v>
      </c>
      <c r="E6" s="292">
        <v>41639</v>
      </c>
      <c r="F6" s="292">
        <v>42004</v>
      </c>
      <c r="G6" s="292">
        <v>42369</v>
      </c>
      <c r="H6" s="292">
        <v>42735</v>
      </c>
      <c r="I6" s="293">
        <v>43100</v>
      </c>
      <c r="J6" s="292">
        <v>43465</v>
      </c>
      <c r="K6" s="293">
        <v>43830</v>
      </c>
      <c r="L6" s="292">
        <v>44196</v>
      </c>
      <c r="M6" s="292" t="s">
        <v>159</v>
      </c>
    </row>
    <row r="7" spans="1:13">
      <c r="A7" s="2" t="s">
        <v>56</v>
      </c>
      <c r="B7" s="211" t="s">
        <v>57</v>
      </c>
      <c r="C7" s="211">
        <v>0.85</v>
      </c>
      <c r="D7" s="211">
        <v>0.8</v>
      </c>
      <c r="E7" s="211">
        <v>0.85</v>
      </c>
      <c r="F7" s="211">
        <v>0.85</v>
      </c>
      <c r="G7" s="211" t="s">
        <v>160</v>
      </c>
      <c r="H7" s="211" t="s">
        <v>160</v>
      </c>
      <c r="I7" s="211">
        <v>0.6</v>
      </c>
      <c r="J7" s="211">
        <v>0.5</v>
      </c>
      <c r="K7" s="211">
        <v>0.55000000000000004</v>
      </c>
      <c r="L7" s="211">
        <v>0.85</v>
      </c>
      <c r="M7" s="211">
        <v>0.73124999999999996</v>
      </c>
    </row>
    <row r="8" spans="1:13">
      <c r="A8" s="2" t="s">
        <v>61</v>
      </c>
      <c r="B8" s="231" t="s">
        <v>62</v>
      </c>
      <c r="C8" s="231">
        <v>0.75</v>
      </c>
      <c r="D8" s="231">
        <v>0.7</v>
      </c>
      <c r="E8" s="231">
        <v>0.75</v>
      </c>
      <c r="F8" s="231">
        <v>0.8</v>
      </c>
      <c r="G8" s="231">
        <v>0.8</v>
      </c>
      <c r="H8" s="231">
        <v>0.7</v>
      </c>
      <c r="I8" s="231">
        <v>0.7</v>
      </c>
      <c r="J8" s="231">
        <v>0.6</v>
      </c>
      <c r="K8" s="231">
        <v>0.6</v>
      </c>
      <c r="L8" s="231">
        <v>0.85</v>
      </c>
      <c r="M8" s="211">
        <v>0.72499999999999987</v>
      </c>
    </row>
    <row r="9" spans="1:13">
      <c r="A9" s="2" t="s">
        <v>64</v>
      </c>
      <c r="B9" s="231" t="s">
        <v>65</v>
      </c>
      <c r="C9" s="231">
        <v>0.8</v>
      </c>
      <c r="D9" s="231">
        <v>0.8</v>
      </c>
      <c r="E9" s="231">
        <v>0.8</v>
      </c>
      <c r="F9" s="231">
        <v>0.75</v>
      </c>
      <c r="G9" s="231">
        <v>0.75</v>
      </c>
      <c r="H9" s="231">
        <v>0.65</v>
      </c>
      <c r="I9" s="231">
        <v>0.7</v>
      </c>
      <c r="J9" s="231">
        <v>0.55000000000000004</v>
      </c>
      <c r="K9" s="231">
        <v>0.55000000000000004</v>
      </c>
      <c r="L9" s="231">
        <v>0.85</v>
      </c>
      <c r="M9" s="211">
        <v>0.72</v>
      </c>
    </row>
    <row r="10" spans="1:13">
      <c r="A10" s="2" t="s">
        <v>66</v>
      </c>
      <c r="B10" s="231" t="s">
        <v>67</v>
      </c>
      <c r="C10" s="231">
        <v>0.7</v>
      </c>
      <c r="D10" s="231">
        <v>0.7</v>
      </c>
      <c r="E10" s="231">
        <v>0.7</v>
      </c>
      <c r="F10" s="231">
        <v>0.8</v>
      </c>
      <c r="G10" s="231">
        <v>0.8</v>
      </c>
      <c r="H10" s="231">
        <v>0.7</v>
      </c>
      <c r="I10" s="231">
        <v>0.75</v>
      </c>
      <c r="J10" s="231">
        <v>0.65</v>
      </c>
      <c r="K10" s="231">
        <v>0.6</v>
      </c>
      <c r="L10" s="231">
        <v>0.9</v>
      </c>
      <c r="M10" s="211">
        <v>0.73</v>
      </c>
    </row>
    <row r="11" spans="1:13">
      <c r="A11" s="2" t="s">
        <v>69</v>
      </c>
      <c r="B11" s="211" t="s">
        <v>70</v>
      </c>
      <c r="C11" s="211">
        <v>0.85</v>
      </c>
      <c r="D11" s="211">
        <v>0.8</v>
      </c>
      <c r="E11" s="211">
        <v>0.85</v>
      </c>
      <c r="F11" s="211">
        <v>0.9</v>
      </c>
      <c r="G11" s="211">
        <v>0.95</v>
      </c>
      <c r="H11" s="211">
        <v>0.9</v>
      </c>
      <c r="I11" s="211">
        <v>0.9</v>
      </c>
      <c r="J11" s="211">
        <v>0.8</v>
      </c>
      <c r="K11" s="211">
        <v>0.7</v>
      </c>
      <c r="L11" s="211">
        <v>0.95</v>
      </c>
      <c r="M11" s="211">
        <v>0.86</v>
      </c>
    </row>
    <row r="12" spans="1:13">
      <c r="A12" s="2" t="s">
        <v>71</v>
      </c>
      <c r="B12" s="211" t="s">
        <v>72</v>
      </c>
      <c r="C12" s="211">
        <v>0.75</v>
      </c>
      <c r="D12" s="211">
        <v>0.75</v>
      </c>
      <c r="E12" s="211">
        <v>0.7</v>
      </c>
      <c r="F12" s="211">
        <v>0.7</v>
      </c>
      <c r="G12" s="211">
        <v>0.75</v>
      </c>
      <c r="H12" s="211">
        <v>0.65</v>
      </c>
      <c r="I12" s="211">
        <v>0.65</v>
      </c>
      <c r="J12" s="211">
        <v>0.55000000000000004</v>
      </c>
      <c r="K12" s="211">
        <v>0.5</v>
      </c>
      <c r="L12" s="211">
        <v>0.8</v>
      </c>
      <c r="M12" s="211">
        <v>0.68</v>
      </c>
    </row>
    <row r="13" spans="1:13">
      <c r="A13" s="2" t="s">
        <v>73</v>
      </c>
      <c r="B13" s="231" t="s">
        <v>74</v>
      </c>
      <c r="C13" s="231">
        <v>0.65</v>
      </c>
      <c r="D13" s="231">
        <v>0.6</v>
      </c>
      <c r="E13" s="231">
        <v>0.65</v>
      </c>
      <c r="F13" s="231">
        <v>0.6</v>
      </c>
      <c r="G13" s="231">
        <v>0.65</v>
      </c>
      <c r="H13" s="231">
        <v>0.6</v>
      </c>
      <c r="I13" s="231">
        <v>0.6</v>
      </c>
      <c r="J13" s="231">
        <v>0.5</v>
      </c>
      <c r="K13" s="231">
        <v>0.5</v>
      </c>
      <c r="L13" s="231">
        <v>0.85</v>
      </c>
      <c r="M13" s="211">
        <v>0.61999999999999988</v>
      </c>
    </row>
    <row r="14" spans="1:13">
      <c r="A14" s="2" t="s">
        <v>75</v>
      </c>
      <c r="B14" s="231" t="s">
        <v>76</v>
      </c>
      <c r="C14" s="231">
        <v>0.6</v>
      </c>
      <c r="D14" s="231">
        <v>0.6</v>
      </c>
      <c r="E14" s="231">
        <v>0.65</v>
      </c>
      <c r="F14" s="231">
        <v>0.7</v>
      </c>
      <c r="G14" s="231">
        <v>0.75</v>
      </c>
      <c r="H14" s="231">
        <v>0.7</v>
      </c>
      <c r="I14" s="231">
        <v>0.75</v>
      </c>
      <c r="J14" s="231">
        <v>0.6</v>
      </c>
      <c r="K14" s="231">
        <v>0.55000000000000004</v>
      </c>
      <c r="L14" s="231">
        <v>0.7</v>
      </c>
      <c r="M14" s="211">
        <v>0.65999999999999992</v>
      </c>
    </row>
    <row r="15" spans="1:13">
      <c r="A15" s="2" t="s">
        <v>78</v>
      </c>
      <c r="B15" s="231" t="s">
        <v>79</v>
      </c>
      <c r="C15" s="231">
        <v>0.75</v>
      </c>
      <c r="D15" s="231">
        <v>0.7</v>
      </c>
      <c r="E15" s="231">
        <v>0.7</v>
      </c>
      <c r="F15" s="231">
        <v>0.7</v>
      </c>
      <c r="G15" s="231">
        <v>0.75</v>
      </c>
      <c r="H15" s="231">
        <v>0.65</v>
      </c>
      <c r="I15" s="231">
        <v>0.65</v>
      </c>
      <c r="J15" s="231">
        <v>0.55000000000000004</v>
      </c>
      <c r="K15" s="231">
        <v>0.55000000000000004</v>
      </c>
      <c r="L15" s="231">
        <v>0.9</v>
      </c>
      <c r="M15" s="211">
        <v>0.69000000000000006</v>
      </c>
    </row>
    <row r="16" spans="1:13">
      <c r="A16" s="2" t="s">
        <v>80</v>
      </c>
      <c r="B16" s="231" t="s">
        <v>81</v>
      </c>
      <c r="C16" s="231">
        <v>0.7</v>
      </c>
      <c r="D16" s="231">
        <v>0.7</v>
      </c>
      <c r="E16" s="231">
        <v>0.7</v>
      </c>
      <c r="F16" s="231">
        <v>0.7</v>
      </c>
      <c r="G16" s="231">
        <v>0.7</v>
      </c>
      <c r="H16" s="231">
        <v>0.7</v>
      </c>
      <c r="I16" s="231">
        <v>0.7</v>
      </c>
      <c r="J16" s="231">
        <v>0.6</v>
      </c>
      <c r="K16" s="231">
        <v>0.6</v>
      </c>
      <c r="L16" s="231">
        <v>0.9</v>
      </c>
      <c r="M16" s="211">
        <v>0.7</v>
      </c>
    </row>
    <row r="17" spans="1:16">
      <c r="A17" s="2" t="s">
        <v>82</v>
      </c>
      <c r="B17" s="231" t="s">
        <v>83</v>
      </c>
      <c r="C17" s="231">
        <v>0.55000000000000004</v>
      </c>
      <c r="D17" s="231">
        <v>0.55000000000000004</v>
      </c>
      <c r="E17" s="231">
        <v>0.55000000000000004</v>
      </c>
      <c r="F17" s="231">
        <v>0.55000000000000004</v>
      </c>
      <c r="G17" s="231">
        <v>0.6</v>
      </c>
      <c r="H17" s="231">
        <v>0.55000000000000004</v>
      </c>
      <c r="I17" s="231">
        <v>0.55000000000000004</v>
      </c>
      <c r="J17" s="231">
        <v>0.5</v>
      </c>
      <c r="K17" s="231">
        <v>0.5</v>
      </c>
      <c r="L17" s="231">
        <v>0.9</v>
      </c>
      <c r="M17" s="211">
        <v>0.58000000000000007</v>
      </c>
    </row>
    <row r="18" spans="1:16">
      <c r="A18" s="2" t="s">
        <v>84</v>
      </c>
      <c r="B18" s="231" t="s">
        <v>85</v>
      </c>
      <c r="C18" s="211">
        <v>0.65</v>
      </c>
      <c r="D18" s="211">
        <v>0.6</v>
      </c>
      <c r="E18" s="211">
        <v>0.65</v>
      </c>
      <c r="F18" s="211">
        <v>0.65</v>
      </c>
      <c r="G18" s="211">
        <v>0.7</v>
      </c>
      <c r="H18" s="211">
        <v>0.6</v>
      </c>
      <c r="I18" s="211">
        <v>0.6</v>
      </c>
      <c r="J18" s="211">
        <v>0.5</v>
      </c>
      <c r="K18" s="211">
        <v>0.5</v>
      </c>
      <c r="L18" s="211">
        <v>0.8</v>
      </c>
      <c r="M18" s="211">
        <v>0.625</v>
      </c>
      <c r="N18" s="233"/>
      <c r="O18" s="233"/>
      <c r="P18" s="2"/>
    </row>
    <row r="19" spans="1:16">
      <c r="A19" s="2" t="s">
        <v>86</v>
      </c>
      <c r="B19" s="231" t="s">
        <v>87</v>
      </c>
      <c r="C19" s="231">
        <v>0.65</v>
      </c>
      <c r="D19" s="231">
        <v>0.65</v>
      </c>
      <c r="E19" s="231">
        <v>0.65</v>
      </c>
      <c r="F19" s="231">
        <v>0.7</v>
      </c>
      <c r="G19" s="231">
        <v>0.65</v>
      </c>
      <c r="H19" s="231">
        <v>0.6</v>
      </c>
      <c r="I19" s="231">
        <v>0.6</v>
      </c>
      <c r="J19" s="231">
        <v>0.55000000000000004</v>
      </c>
      <c r="K19" s="231">
        <v>0.5</v>
      </c>
      <c r="L19" s="231">
        <v>0.8</v>
      </c>
      <c r="M19" s="211">
        <v>0.63500000000000001</v>
      </c>
    </row>
    <row r="20" spans="1:16">
      <c r="A20" s="294" t="s">
        <v>15</v>
      </c>
      <c r="B20" s="295"/>
      <c r="C20" s="296">
        <f>AVERAGE(C7:C19)</f>
        <v>0.71153846153846168</v>
      </c>
      <c r="D20" s="296">
        <f t="shared" ref="D20:M20" si="0">AVERAGE(D7:D19)</f>
        <v>0.68846153846153846</v>
      </c>
      <c r="E20" s="296">
        <f t="shared" si="0"/>
        <v>0.70769230769230773</v>
      </c>
      <c r="F20" s="296">
        <f t="shared" si="0"/>
        <v>0.72307692307692306</v>
      </c>
      <c r="G20" s="296">
        <f t="shared" si="0"/>
        <v>0.73749999999999993</v>
      </c>
      <c r="H20" s="296">
        <f t="shared" si="0"/>
        <v>0.66666666666666663</v>
      </c>
      <c r="I20" s="296">
        <f t="shared" si="0"/>
        <v>0.67307692307692313</v>
      </c>
      <c r="J20" s="296">
        <f t="shared" si="0"/>
        <v>0.57307692307692304</v>
      </c>
      <c r="K20" s="296">
        <f t="shared" si="0"/>
        <v>0.55384615384615377</v>
      </c>
      <c r="L20" s="296">
        <f t="shared" si="0"/>
        <v>0.85000000000000009</v>
      </c>
      <c r="M20" s="296">
        <f t="shared" si="0"/>
        <v>0.68894230769230758</v>
      </c>
    </row>
    <row r="22" spans="1:16">
      <c r="A22" s="297" t="s">
        <v>31</v>
      </c>
    </row>
    <row r="23" spans="1:16">
      <c r="A23" s="2" t="s">
        <v>161</v>
      </c>
    </row>
    <row r="24" spans="1:16">
      <c r="A24" s="2" t="s">
        <v>162</v>
      </c>
    </row>
    <row r="25" spans="1:16">
      <c r="A25" s="2" t="s">
        <v>163</v>
      </c>
    </row>
    <row r="26" spans="1:16">
      <c r="A26" s="2" t="s">
        <v>164</v>
      </c>
    </row>
    <row r="27" spans="1:16">
      <c r="A27" s="2" t="s">
        <v>165</v>
      </c>
    </row>
    <row r="28" spans="1:16">
      <c r="A28" s="2" t="s">
        <v>166</v>
      </c>
    </row>
    <row r="29" spans="1:16">
      <c r="A29" t="s">
        <v>167</v>
      </c>
    </row>
    <row r="30" spans="1:16">
      <c r="A30" t="s">
        <v>168</v>
      </c>
    </row>
    <row r="31" spans="1:16">
      <c r="A31" s="56" t="s">
        <v>169</v>
      </c>
    </row>
    <row r="32" spans="1:16">
      <c r="A32" t="s">
        <v>170</v>
      </c>
    </row>
    <row r="33" spans="1:1">
      <c r="A33" t="s">
        <v>171</v>
      </c>
    </row>
  </sheetData>
  <mergeCells count="1">
    <mergeCell ref="A2:M2"/>
  </mergeCells>
  <pageMargins left="0.7" right="0.7" top="0.75" bottom="0.75" header="0.3" footer="0.3"/>
  <pageSetup scale="74" orientation="landscape" useFirstPageNumber="1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I278"/>
  <sheetViews>
    <sheetView view="pageLayout" zoomScale="90" zoomScaleNormal="100" zoomScaleSheetLayoutView="100" zoomScalePageLayoutView="90" workbookViewId="0">
      <selection activeCell="J4" sqref="J4"/>
    </sheetView>
  </sheetViews>
  <sheetFormatPr defaultRowHeight="13.2"/>
  <cols>
    <col min="1" max="1" width="5.6640625" customWidth="1"/>
    <col min="2" max="2" width="36" customWidth="1"/>
    <col min="4" max="4" width="20.44140625" customWidth="1"/>
    <col min="5" max="5" width="9.33203125" bestFit="1" customWidth="1"/>
    <col min="7" max="7" width="9.44140625" customWidth="1"/>
    <col min="12" max="12" width="15.88671875" customWidth="1"/>
  </cols>
  <sheetData>
    <row r="2" spans="2:9" ht="13.2" customHeight="1">
      <c r="B2" s="362" t="s">
        <v>127</v>
      </c>
      <c r="C2" s="362"/>
      <c r="D2" s="362"/>
      <c r="E2" s="362"/>
      <c r="F2" s="362"/>
      <c r="G2" s="362"/>
      <c r="H2" s="362"/>
      <c r="I2" s="362"/>
    </row>
    <row r="3" spans="2:9">
      <c r="B3" s="22"/>
      <c r="C3" s="22"/>
      <c r="D3" s="22"/>
      <c r="E3" s="22"/>
      <c r="F3" s="22"/>
      <c r="G3" s="22"/>
      <c r="H3" s="22"/>
    </row>
    <row r="4" spans="2:9">
      <c r="B4" s="363" t="s">
        <v>128</v>
      </c>
      <c r="C4" s="363"/>
      <c r="D4" s="363"/>
      <c r="E4" s="363"/>
      <c r="F4" s="363"/>
      <c r="G4" s="363"/>
      <c r="H4" s="363"/>
      <c r="I4" s="363"/>
    </row>
    <row r="5" spans="2:9" ht="15.6">
      <c r="B5" s="362" t="s">
        <v>129</v>
      </c>
      <c r="C5" s="362"/>
      <c r="D5" s="362"/>
      <c r="E5" s="362"/>
      <c r="F5" s="362"/>
      <c r="G5" s="362"/>
      <c r="H5" s="362"/>
      <c r="I5" s="362"/>
    </row>
    <row r="6" spans="2:9">
      <c r="B6" s="22"/>
      <c r="C6" s="22"/>
      <c r="D6" s="22"/>
      <c r="E6" s="22"/>
      <c r="F6" s="22"/>
      <c r="G6" s="22"/>
      <c r="H6" s="22"/>
    </row>
    <row r="7" spans="2:9" ht="13.8" thickBot="1">
      <c r="B7" s="22"/>
      <c r="C7" s="22"/>
      <c r="D7" s="19" t="s">
        <v>34</v>
      </c>
      <c r="E7" s="19" t="s">
        <v>35</v>
      </c>
      <c r="F7" s="19" t="s">
        <v>36</v>
      </c>
      <c r="G7" s="19" t="s">
        <v>37</v>
      </c>
      <c r="H7" s="19" t="s">
        <v>38</v>
      </c>
      <c r="I7" s="19" t="s">
        <v>39</v>
      </c>
    </row>
    <row r="8" spans="2:9" ht="52.5" customHeight="1">
      <c r="B8" s="47" t="s">
        <v>44</v>
      </c>
      <c r="C8" s="47" t="s">
        <v>45</v>
      </c>
      <c r="D8" s="48" t="s">
        <v>130</v>
      </c>
      <c r="E8" s="49" t="s">
        <v>131</v>
      </c>
      <c r="F8" s="49" t="s">
        <v>132</v>
      </c>
      <c r="G8" s="49" t="s">
        <v>133</v>
      </c>
      <c r="H8" s="50" t="s">
        <v>134</v>
      </c>
      <c r="I8" s="50" t="s">
        <v>135</v>
      </c>
    </row>
    <row r="9" spans="2:9">
      <c r="B9" t="str">
        <f>'AEB-3 Proxy Selection'!A6</f>
        <v>NiSource Inc.</v>
      </c>
      <c r="C9" s="56" t="str">
        <f>'AEB-3 Proxy Selection'!B6</f>
        <v>NI</v>
      </c>
      <c r="D9" s="52">
        <v>1.9706666666666664E-2</v>
      </c>
      <c r="E9" s="245">
        <v>0.85</v>
      </c>
      <c r="F9" s="51">
        <f>'AEB-7 MRP'!B8</f>
        <v>0.12969404159360159</v>
      </c>
      <c r="G9" s="51">
        <f>F9-D9</f>
        <v>0.10998737492693493</v>
      </c>
      <c r="H9" s="51">
        <f>IFERROR(G9*E9+D9, "")</f>
        <v>0.11319593535456135</v>
      </c>
      <c r="I9" s="51">
        <f>IFERROR((0.25*G9)+(0.75*E9*G9)+D9, "")</f>
        <v>0.11732046191432141</v>
      </c>
    </row>
    <row r="10" spans="2:9">
      <c r="B10" t="str">
        <f>'AEB-3 Proxy Selection'!A7</f>
        <v>Alliant Energy Corporation</v>
      </c>
      <c r="C10" s="56" t="str">
        <f>'AEB-3 Proxy Selection'!B7</f>
        <v>LNT</v>
      </c>
      <c r="D10" s="51">
        <f>D9</f>
        <v>1.9706666666666664E-2</v>
      </c>
      <c r="E10" s="245">
        <v>0.85</v>
      </c>
      <c r="F10" s="51">
        <f>F9</f>
        <v>0.12969404159360159</v>
      </c>
      <c r="G10" s="51">
        <f t="shared" ref="G10:G15" si="0">F10-D10</f>
        <v>0.10998737492693493</v>
      </c>
      <c r="H10" s="51">
        <f t="shared" ref="H10:H21" si="1">IFERROR(G10*E10+D10, "")</f>
        <v>0.11319593535456135</v>
      </c>
      <c r="I10" s="51">
        <f t="shared" ref="I10:I21" si="2">IFERROR((0.25*G10)+(0.75*E10*G10)+D10, "")</f>
        <v>0.11732046191432141</v>
      </c>
    </row>
    <row r="11" spans="2:9">
      <c r="B11" t="str">
        <f>'AEB-3 Proxy Selection'!A8</f>
        <v>Ameren Corporation</v>
      </c>
      <c r="C11" s="56" t="str">
        <f>'AEB-3 Proxy Selection'!B8</f>
        <v>AEE</v>
      </c>
      <c r="D11" s="51">
        <f t="shared" ref="D11:D20" si="3">D10</f>
        <v>1.9706666666666664E-2</v>
      </c>
      <c r="E11" s="245">
        <v>0.85</v>
      </c>
      <c r="F11" s="51">
        <f t="shared" ref="F11:F20" si="4">F10</f>
        <v>0.12969404159360159</v>
      </c>
      <c r="G11" s="51">
        <f t="shared" si="0"/>
        <v>0.10998737492693493</v>
      </c>
      <c r="H11" s="51">
        <f t="shared" si="1"/>
        <v>0.11319593535456135</v>
      </c>
      <c r="I11" s="51">
        <f t="shared" si="2"/>
        <v>0.11732046191432141</v>
      </c>
    </row>
    <row r="12" spans="2:9">
      <c r="B12" t="str">
        <f>'AEB-3 Proxy Selection'!A9</f>
        <v>Avista Corporation</v>
      </c>
      <c r="C12" s="56" t="str">
        <f>'AEB-3 Proxy Selection'!B9</f>
        <v>AVA</v>
      </c>
      <c r="D12" s="51">
        <f t="shared" si="3"/>
        <v>1.9706666666666664E-2</v>
      </c>
      <c r="E12" s="245">
        <v>0.95</v>
      </c>
      <c r="F12" s="51">
        <f t="shared" si="4"/>
        <v>0.12969404159360159</v>
      </c>
      <c r="G12" s="51">
        <f t="shared" si="0"/>
        <v>0.10998737492693493</v>
      </c>
      <c r="H12" s="51">
        <f t="shared" si="1"/>
        <v>0.12419467284725484</v>
      </c>
      <c r="I12" s="51">
        <f t="shared" si="2"/>
        <v>0.12556951503384153</v>
      </c>
    </row>
    <row r="13" spans="2:9">
      <c r="B13" t="str">
        <f>'AEB-3 Proxy Selection'!A10</f>
        <v>Black Hills Corporation</v>
      </c>
      <c r="C13" s="56" t="str">
        <f>'AEB-3 Proxy Selection'!B10</f>
        <v>BKH</v>
      </c>
      <c r="D13" s="51">
        <f t="shared" si="3"/>
        <v>1.9706666666666664E-2</v>
      </c>
      <c r="E13" s="245">
        <v>1</v>
      </c>
      <c r="F13" s="51">
        <f t="shared" si="4"/>
        <v>0.12969404159360159</v>
      </c>
      <c r="G13" s="51">
        <f t="shared" si="0"/>
        <v>0.10998737492693493</v>
      </c>
      <c r="H13" s="51">
        <f t="shared" si="1"/>
        <v>0.12969404159360159</v>
      </c>
      <c r="I13" s="51">
        <f t="shared" si="2"/>
        <v>0.12969404159360159</v>
      </c>
    </row>
    <row r="14" spans="2:9">
      <c r="B14" t="str">
        <f>'AEB-3 Proxy Selection'!A11</f>
        <v>CMS Energy Corporation</v>
      </c>
      <c r="C14" s="56" t="str">
        <f>'AEB-3 Proxy Selection'!B11</f>
        <v>CMS</v>
      </c>
      <c r="D14" s="51">
        <f t="shared" si="3"/>
        <v>1.9706666666666664E-2</v>
      </c>
      <c r="E14" s="245">
        <v>0.8</v>
      </c>
      <c r="F14" s="51">
        <f t="shared" si="4"/>
        <v>0.12969404159360159</v>
      </c>
      <c r="G14" s="51">
        <f t="shared" si="0"/>
        <v>0.10998737492693493</v>
      </c>
      <c r="H14" s="51">
        <f t="shared" si="1"/>
        <v>0.10769656660821461</v>
      </c>
      <c r="I14" s="51">
        <f t="shared" si="2"/>
        <v>0.11319593535456136</v>
      </c>
    </row>
    <row r="15" spans="2:9">
      <c r="B15" t="str">
        <f>'AEB-3 Proxy Selection'!A12</f>
        <v>Duke Energy Corporation</v>
      </c>
      <c r="C15" s="56" t="str">
        <f>'AEB-3 Proxy Selection'!B12</f>
        <v>DUK</v>
      </c>
      <c r="D15" s="51">
        <f t="shared" si="3"/>
        <v>1.9706666666666664E-2</v>
      </c>
      <c r="E15" s="245">
        <v>0.85</v>
      </c>
      <c r="F15" s="51">
        <f t="shared" si="4"/>
        <v>0.12969404159360159</v>
      </c>
      <c r="G15" s="51">
        <f t="shared" si="0"/>
        <v>0.10998737492693493</v>
      </c>
      <c r="H15" s="51">
        <f t="shared" si="1"/>
        <v>0.11319593535456135</v>
      </c>
      <c r="I15" s="51">
        <f t="shared" si="2"/>
        <v>0.11732046191432141</v>
      </c>
    </row>
    <row r="16" spans="2:9">
      <c r="B16" t="str">
        <f>'AEB-3 Proxy Selection'!A13</f>
        <v>MGE Energy, Inc.</v>
      </c>
      <c r="C16" s="56" t="str">
        <f>'AEB-3 Proxy Selection'!B13</f>
        <v>MGEE</v>
      </c>
      <c r="D16" s="51">
        <f t="shared" si="3"/>
        <v>1.9706666666666664E-2</v>
      </c>
      <c r="E16" s="245">
        <v>0.75</v>
      </c>
      <c r="F16" s="51">
        <f t="shared" si="4"/>
        <v>0.12969404159360159</v>
      </c>
      <c r="G16" s="51">
        <f t="shared" ref="G16:G21" si="5">F16-D16</f>
        <v>0.10998737492693493</v>
      </c>
      <c r="H16" s="51">
        <f t="shared" si="1"/>
        <v>0.10219719786186786</v>
      </c>
      <c r="I16" s="51">
        <f t="shared" si="2"/>
        <v>0.10907140879480129</v>
      </c>
    </row>
    <row r="17" spans="2:9">
      <c r="B17" t="str">
        <f>'AEB-3 Proxy Selection'!A14</f>
        <v>NextEra Energy, Inc.</v>
      </c>
      <c r="C17" s="56" t="str">
        <f>'AEB-3 Proxy Selection'!B14</f>
        <v>NEE</v>
      </c>
      <c r="D17" s="51">
        <f t="shared" si="3"/>
        <v>1.9706666666666664E-2</v>
      </c>
      <c r="E17" s="245">
        <v>0.9</v>
      </c>
      <c r="F17" s="51">
        <f t="shared" si="4"/>
        <v>0.12969404159360159</v>
      </c>
      <c r="G17" s="51">
        <f t="shared" si="5"/>
        <v>0.10998737492693493</v>
      </c>
      <c r="H17" s="51">
        <f t="shared" si="1"/>
        <v>0.1186953041009081</v>
      </c>
      <c r="I17" s="51">
        <f t="shared" si="2"/>
        <v>0.12144498847408149</v>
      </c>
    </row>
    <row r="18" spans="2:9">
      <c r="B18" t="str">
        <f>'AEB-3 Proxy Selection'!A15</f>
        <v>NorthWestern Corporation</v>
      </c>
      <c r="C18" s="56" t="str">
        <f>'AEB-3 Proxy Selection'!B15</f>
        <v>NWE</v>
      </c>
      <c r="D18" s="51">
        <f t="shared" si="3"/>
        <v>1.9706666666666664E-2</v>
      </c>
      <c r="E18" s="245">
        <v>0.95</v>
      </c>
      <c r="F18" s="51">
        <f t="shared" si="4"/>
        <v>0.12969404159360159</v>
      </c>
      <c r="G18" s="51">
        <f t="shared" si="5"/>
        <v>0.10998737492693493</v>
      </c>
      <c r="H18" s="51">
        <f t="shared" si="1"/>
        <v>0.12419467284725484</v>
      </c>
      <c r="I18" s="51">
        <f t="shared" si="2"/>
        <v>0.12556951503384153</v>
      </c>
    </row>
    <row r="19" spans="2:9">
      <c r="B19" t="str">
        <f>'AEB-3 Proxy Selection'!A16</f>
        <v>Southern Company</v>
      </c>
      <c r="C19" s="56" t="str">
        <f>'AEB-3 Proxy Selection'!B16</f>
        <v>SO</v>
      </c>
      <c r="D19" s="51">
        <f t="shared" si="3"/>
        <v>1.9706666666666664E-2</v>
      </c>
      <c r="E19" s="245">
        <v>0.95</v>
      </c>
      <c r="F19" s="51">
        <f t="shared" si="4"/>
        <v>0.12969404159360159</v>
      </c>
      <c r="G19" s="51">
        <f t="shared" si="5"/>
        <v>0.10998737492693493</v>
      </c>
      <c r="H19" s="51">
        <f t="shared" si="1"/>
        <v>0.12419467284725484</v>
      </c>
      <c r="I19" s="51">
        <f t="shared" si="2"/>
        <v>0.12556951503384153</v>
      </c>
    </row>
    <row r="20" spans="2:9">
      <c r="B20" t="str">
        <f>'AEB-3 Proxy Selection'!A17</f>
        <v>Wisconsin Energy Corporation</v>
      </c>
      <c r="C20" s="56" t="str">
        <f>'AEB-3 Proxy Selection'!B17</f>
        <v>WEC</v>
      </c>
      <c r="D20" s="51">
        <f t="shared" si="3"/>
        <v>1.9706666666666664E-2</v>
      </c>
      <c r="E20" s="245">
        <v>0.8</v>
      </c>
      <c r="F20" s="51">
        <f t="shared" si="4"/>
        <v>0.12969404159360159</v>
      </c>
      <c r="G20" s="51">
        <f t="shared" si="5"/>
        <v>0.10998737492693493</v>
      </c>
      <c r="H20" s="51">
        <f t="shared" si="1"/>
        <v>0.10769656660821461</v>
      </c>
      <c r="I20" s="51">
        <f t="shared" si="2"/>
        <v>0.11319593535456136</v>
      </c>
    </row>
    <row r="21" spans="2:9">
      <c r="B21" t="str">
        <f>'AEB-3 Proxy Selection'!A18</f>
        <v>Xcel Energy Inc.</v>
      </c>
      <c r="C21" s="56" t="str">
        <f>'AEB-3 Proxy Selection'!B18</f>
        <v>XEL</v>
      </c>
      <c r="D21" s="51">
        <f>D20</f>
        <v>1.9706666666666664E-2</v>
      </c>
      <c r="E21" s="246">
        <v>0.8</v>
      </c>
      <c r="F21" s="51">
        <f>F20</f>
        <v>0.12969404159360159</v>
      </c>
      <c r="G21" s="51">
        <f t="shared" si="5"/>
        <v>0.10998737492693493</v>
      </c>
      <c r="H21" s="51">
        <f t="shared" si="1"/>
        <v>0.10769656660821461</v>
      </c>
      <c r="I21" s="51">
        <f t="shared" si="2"/>
        <v>0.11319593535456136</v>
      </c>
    </row>
    <row r="22" spans="2:9" ht="13.8" thickBot="1">
      <c r="B22" s="54" t="s">
        <v>15</v>
      </c>
      <c r="C22" s="54"/>
      <c r="D22" s="54"/>
      <c r="E22" s="57"/>
      <c r="F22" s="54"/>
      <c r="G22" s="54"/>
      <c r="H22" s="55">
        <f>AVERAGE(H9:H21)</f>
        <v>0.11531107718007932</v>
      </c>
      <c r="I22" s="55">
        <f>AVERAGE(I9:I21)</f>
        <v>0.11890681828345991</v>
      </c>
    </row>
    <row r="24" spans="2:9">
      <c r="B24" s="282" t="s">
        <v>31</v>
      </c>
    </row>
    <row r="25" spans="2:9">
      <c r="B25" s="28" t="s">
        <v>136</v>
      </c>
    </row>
    <row r="26" spans="2:9">
      <c r="B26" s="28" t="s">
        <v>137</v>
      </c>
    </row>
    <row r="27" spans="2:9">
      <c r="B27" s="28" t="s">
        <v>138</v>
      </c>
    </row>
    <row r="28" spans="2:9">
      <c r="B28" s="22" t="s">
        <v>139</v>
      </c>
    </row>
    <row r="29" spans="2:9">
      <c r="B29" s="22" t="s">
        <v>140</v>
      </c>
    </row>
    <row r="30" spans="2:9">
      <c r="B30" s="22" t="s">
        <v>141</v>
      </c>
    </row>
    <row r="33" spans="2:9" ht="13.2" customHeight="1">
      <c r="B33" s="362" t="s">
        <v>142</v>
      </c>
      <c r="C33" s="362"/>
      <c r="D33" s="362"/>
      <c r="E33" s="362"/>
      <c r="F33" s="362"/>
      <c r="G33" s="362"/>
      <c r="H33" s="362"/>
      <c r="I33" s="362"/>
    </row>
    <row r="34" spans="2:9">
      <c r="B34" s="22"/>
      <c r="C34" s="22"/>
      <c r="D34" s="22"/>
      <c r="E34" s="22"/>
      <c r="F34" s="22"/>
      <c r="G34" s="22"/>
      <c r="H34" s="22"/>
    </row>
    <row r="35" spans="2:9">
      <c r="B35" s="363" t="s">
        <v>128</v>
      </c>
      <c r="C35" s="363"/>
      <c r="D35" s="363"/>
      <c r="E35" s="363"/>
      <c r="F35" s="363"/>
      <c r="G35" s="363"/>
      <c r="H35" s="363"/>
      <c r="I35" s="363"/>
    </row>
    <row r="36" spans="2:9" ht="15.6">
      <c r="B36" s="362" t="s">
        <v>129</v>
      </c>
      <c r="C36" s="362"/>
      <c r="D36" s="362"/>
      <c r="E36" s="362"/>
      <c r="F36" s="362"/>
      <c r="G36" s="362"/>
      <c r="H36" s="362"/>
      <c r="I36" s="362"/>
    </row>
    <row r="38" spans="2:9" ht="13.8" thickBot="1">
      <c r="B38" s="22"/>
      <c r="C38" s="22"/>
      <c r="D38" s="19" t="s">
        <v>34</v>
      </c>
      <c r="E38" s="19" t="s">
        <v>35</v>
      </c>
      <c r="F38" s="19" t="s">
        <v>36</v>
      </c>
      <c r="G38" s="19" t="s">
        <v>37</v>
      </c>
      <c r="H38" s="19" t="s">
        <v>38</v>
      </c>
      <c r="I38" s="19" t="s">
        <v>39</v>
      </c>
    </row>
    <row r="39" spans="2:9" ht="52.8">
      <c r="B39" s="47" t="s">
        <v>44</v>
      </c>
      <c r="C39" s="47" t="s">
        <v>45</v>
      </c>
      <c r="D39" s="48" t="s">
        <v>143</v>
      </c>
      <c r="E39" s="49" t="s">
        <v>131</v>
      </c>
      <c r="F39" s="49" t="s">
        <v>132</v>
      </c>
      <c r="G39" s="49" t="s">
        <v>133</v>
      </c>
      <c r="H39" s="50" t="s">
        <v>134</v>
      </c>
      <c r="I39" s="50" t="s">
        <v>135</v>
      </c>
    </row>
    <row r="40" spans="2:9">
      <c r="B40" t="str">
        <f t="shared" ref="B40:C52" si="6">B9</f>
        <v>NiSource Inc.</v>
      </c>
      <c r="C40" t="str">
        <f t="shared" si="6"/>
        <v>NI</v>
      </c>
      <c r="D40" s="51">
        <v>2.46E-2</v>
      </c>
      <c r="E40" s="53">
        <f>E9</f>
        <v>0.85</v>
      </c>
      <c r="F40" s="51">
        <f t="shared" ref="F40:F52" si="7">F9</f>
        <v>0.12969404159360159</v>
      </c>
      <c r="G40" s="51">
        <f>F40-D40</f>
        <v>0.1050940415936016</v>
      </c>
      <c r="H40" s="51">
        <f>IFERROR(G40*E40+D40,"")</f>
        <v>0.11392993535456135</v>
      </c>
      <c r="I40" s="288">
        <f>IFERROR((0.25*G40)+(0.75*E40*G40)+D40,"")</f>
        <v>0.11787096191432141</v>
      </c>
    </row>
    <row r="41" spans="2:9">
      <c r="B41" t="str">
        <f t="shared" si="6"/>
        <v>Alliant Energy Corporation</v>
      </c>
      <c r="C41" t="str">
        <f t="shared" si="6"/>
        <v>LNT</v>
      </c>
      <c r="D41" s="51">
        <f>D40</f>
        <v>2.46E-2</v>
      </c>
      <c r="E41" s="53">
        <f t="shared" ref="E41:E52" si="8">E10</f>
        <v>0.85</v>
      </c>
      <c r="F41" s="51">
        <f t="shared" si="7"/>
        <v>0.12969404159360159</v>
      </c>
      <c r="G41" s="51">
        <f>F41-D41</f>
        <v>0.1050940415936016</v>
      </c>
      <c r="H41" s="51">
        <f t="shared" ref="H41:H52" si="9">IFERROR(G41*E41+D41,"")</f>
        <v>0.11392993535456135</v>
      </c>
      <c r="I41" s="51">
        <f t="shared" ref="I41:I52" si="10">IFERROR((0.25*G41)+(0.75*E41*G41)+D41,"")</f>
        <v>0.11787096191432141</v>
      </c>
    </row>
    <row r="42" spans="2:9">
      <c r="B42" t="str">
        <f t="shared" si="6"/>
        <v>Ameren Corporation</v>
      </c>
      <c r="C42" t="str">
        <f t="shared" si="6"/>
        <v>AEE</v>
      </c>
      <c r="D42" s="51">
        <f t="shared" ref="D42:D51" si="11">D41</f>
        <v>2.46E-2</v>
      </c>
      <c r="E42" s="53">
        <f t="shared" si="8"/>
        <v>0.85</v>
      </c>
      <c r="F42" s="51">
        <f t="shared" si="7"/>
        <v>0.12969404159360159</v>
      </c>
      <c r="G42" s="51">
        <f t="shared" ref="G42:G52" si="12">F42-D42</f>
        <v>0.1050940415936016</v>
      </c>
      <c r="H42" s="51">
        <f t="shared" si="9"/>
        <v>0.11392993535456135</v>
      </c>
      <c r="I42" s="51">
        <f t="shared" si="10"/>
        <v>0.11787096191432141</v>
      </c>
    </row>
    <row r="43" spans="2:9">
      <c r="B43" t="str">
        <f t="shared" si="6"/>
        <v>Avista Corporation</v>
      </c>
      <c r="C43" t="str">
        <f t="shared" si="6"/>
        <v>AVA</v>
      </c>
      <c r="D43" s="51">
        <f t="shared" si="11"/>
        <v>2.46E-2</v>
      </c>
      <c r="E43" s="53">
        <f t="shared" si="8"/>
        <v>0.95</v>
      </c>
      <c r="F43" s="51">
        <f t="shared" si="7"/>
        <v>0.12969404159360159</v>
      </c>
      <c r="G43" s="51">
        <f t="shared" si="12"/>
        <v>0.1050940415936016</v>
      </c>
      <c r="H43" s="51">
        <f t="shared" si="9"/>
        <v>0.12443933951392151</v>
      </c>
      <c r="I43" s="51">
        <f t="shared" si="10"/>
        <v>0.12575301503384154</v>
      </c>
    </row>
    <row r="44" spans="2:9">
      <c r="B44" t="str">
        <f t="shared" si="6"/>
        <v>Black Hills Corporation</v>
      </c>
      <c r="C44" t="str">
        <f t="shared" si="6"/>
        <v>BKH</v>
      </c>
      <c r="D44" s="51">
        <f t="shared" si="11"/>
        <v>2.46E-2</v>
      </c>
      <c r="E44" s="53">
        <f t="shared" si="8"/>
        <v>1</v>
      </c>
      <c r="F44" s="51">
        <f t="shared" si="7"/>
        <v>0.12969404159360159</v>
      </c>
      <c r="G44" s="51">
        <f t="shared" si="12"/>
        <v>0.1050940415936016</v>
      </c>
      <c r="H44" s="51">
        <f t="shared" si="9"/>
        <v>0.12969404159360159</v>
      </c>
      <c r="I44" s="51">
        <f t="shared" si="10"/>
        <v>0.12969404159360159</v>
      </c>
    </row>
    <row r="45" spans="2:9">
      <c r="B45" t="str">
        <f t="shared" si="6"/>
        <v>CMS Energy Corporation</v>
      </c>
      <c r="C45" t="str">
        <f t="shared" si="6"/>
        <v>CMS</v>
      </c>
      <c r="D45" s="51">
        <f t="shared" si="11"/>
        <v>2.46E-2</v>
      </c>
      <c r="E45" s="53">
        <f t="shared" si="8"/>
        <v>0.8</v>
      </c>
      <c r="F45" s="51">
        <f t="shared" si="7"/>
        <v>0.12969404159360159</v>
      </c>
      <c r="G45" s="51">
        <f t="shared" si="12"/>
        <v>0.1050940415936016</v>
      </c>
      <c r="H45" s="51">
        <f t="shared" si="9"/>
        <v>0.10867523327488128</v>
      </c>
      <c r="I45" s="51">
        <f t="shared" si="10"/>
        <v>0.11392993535456136</v>
      </c>
    </row>
    <row r="46" spans="2:9">
      <c r="B46" t="str">
        <f t="shared" si="6"/>
        <v>Duke Energy Corporation</v>
      </c>
      <c r="C46" t="str">
        <f t="shared" si="6"/>
        <v>DUK</v>
      </c>
      <c r="D46" s="51">
        <f t="shared" si="11"/>
        <v>2.46E-2</v>
      </c>
      <c r="E46" s="53">
        <f t="shared" si="8"/>
        <v>0.85</v>
      </c>
      <c r="F46" s="51">
        <f t="shared" si="7"/>
        <v>0.12969404159360159</v>
      </c>
      <c r="G46" s="51">
        <f t="shared" si="12"/>
        <v>0.1050940415936016</v>
      </c>
      <c r="H46" s="51">
        <f t="shared" si="9"/>
        <v>0.11392993535456135</v>
      </c>
      <c r="I46" s="51">
        <f t="shared" si="10"/>
        <v>0.11787096191432141</v>
      </c>
    </row>
    <row r="47" spans="2:9">
      <c r="B47" t="str">
        <f t="shared" si="6"/>
        <v>MGE Energy, Inc.</v>
      </c>
      <c r="C47" t="str">
        <f t="shared" si="6"/>
        <v>MGEE</v>
      </c>
      <c r="D47" s="51">
        <f t="shared" si="11"/>
        <v>2.46E-2</v>
      </c>
      <c r="E47" s="53">
        <f t="shared" si="8"/>
        <v>0.75</v>
      </c>
      <c r="F47" s="51">
        <f t="shared" si="7"/>
        <v>0.12969404159360159</v>
      </c>
      <c r="G47" s="51">
        <f t="shared" si="12"/>
        <v>0.1050940415936016</v>
      </c>
      <c r="H47" s="51">
        <f t="shared" si="9"/>
        <v>0.1034205311952012</v>
      </c>
      <c r="I47" s="51">
        <f t="shared" si="10"/>
        <v>0.10998890879480129</v>
      </c>
    </row>
    <row r="48" spans="2:9">
      <c r="B48" t="str">
        <f t="shared" si="6"/>
        <v>NextEra Energy, Inc.</v>
      </c>
      <c r="C48" t="str">
        <f t="shared" si="6"/>
        <v>NEE</v>
      </c>
      <c r="D48" s="51">
        <f t="shared" si="11"/>
        <v>2.46E-2</v>
      </c>
      <c r="E48" s="53">
        <f t="shared" si="8"/>
        <v>0.9</v>
      </c>
      <c r="F48" s="51">
        <f t="shared" si="7"/>
        <v>0.12969404159360159</v>
      </c>
      <c r="G48" s="51">
        <f t="shared" si="12"/>
        <v>0.1050940415936016</v>
      </c>
      <c r="H48" s="51">
        <f t="shared" si="9"/>
        <v>0.11918463743424143</v>
      </c>
      <c r="I48" s="51">
        <f t="shared" si="10"/>
        <v>0.12181198847408148</v>
      </c>
    </row>
    <row r="49" spans="2:9">
      <c r="B49" t="str">
        <f t="shared" si="6"/>
        <v>NorthWestern Corporation</v>
      </c>
      <c r="C49" t="str">
        <f t="shared" si="6"/>
        <v>NWE</v>
      </c>
      <c r="D49" s="51">
        <f t="shared" si="11"/>
        <v>2.46E-2</v>
      </c>
      <c r="E49" s="53">
        <f t="shared" si="8"/>
        <v>0.95</v>
      </c>
      <c r="F49" s="51">
        <f t="shared" si="7"/>
        <v>0.12969404159360159</v>
      </c>
      <c r="G49" s="51">
        <f t="shared" si="12"/>
        <v>0.1050940415936016</v>
      </c>
      <c r="H49" s="51">
        <f t="shared" si="9"/>
        <v>0.12443933951392151</v>
      </c>
      <c r="I49" s="51">
        <f t="shared" si="10"/>
        <v>0.12575301503384154</v>
      </c>
    </row>
    <row r="50" spans="2:9">
      <c r="B50" t="str">
        <f t="shared" si="6"/>
        <v>Southern Company</v>
      </c>
      <c r="C50" t="str">
        <f t="shared" si="6"/>
        <v>SO</v>
      </c>
      <c r="D50" s="51">
        <f t="shared" si="11"/>
        <v>2.46E-2</v>
      </c>
      <c r="E50" s="53">
        <f t="shared" si="8"/>
        <v>0.95</v>
      </c>
      <c r="F50" s="51">
        <f t="shared" si="7"/>
        <v>0.12969404159360159</v>
      </c>
      <c r="G50" s="51">
        <f t="shared" si="12"/>
        <v>0.1050940415936016</v>
      </c>
      <c r="H50" s="51">
        <f t="shared" si="9"/>
        <v>0.12443933951392151</v>
      </c>
      <c r="I50" s="51">
        <f t="shared" si="10"/>
        <v>0.12575301503384154</v>
      </c>
    </row>
    <row r="51" spans="2:9">
      <c r="B51" t="str">
        <f t="shared" si="6"/>
        <v>Wisconsin Energy Corporation</v>
      </c>
      <c r="C51" t="str">
        <f t="shared" si="6"/>
        <v>WEC</v>
      </c>
      <c r="D51" s="51">
        <f t="shared" si="11"/>
        <v>2.46E-2</v>
      </c>
      <c r="E51" s="53">
        <f t="shared" si="8"/>
        <v>0.8</v>
      </c>
      <c r="F51" s="51">
        <f t="shared" si="7"/>
        <v>0.12969404159360159</v>
      </c>
      <c r="G51" s="51">
        <f t="shared" si="12"/>
        <v>0.1050940415936016</v>
      </c>
      <c r="H51" s="51">
        <f t="shared" si="9"/>
        <v>0.10867523327488128</v>
      </c>
      <c r="I51" s="51">
        <f t="shared" si="10"/>
        <v>0.11392993535456136</v>
      </c>
    </row>
    <row r="52" spans="2:9">
      <c r="B52" t="str">
        <f t="shared" si="6"/>
        <v>Xcel Energy Inc.</v>
      </c>
      <c r="C52" t="str">
        <f t="shared" si="6"/>
        <v>XEL</v>
      </c>
      <c r="D52" s="51">
        <f>D51</f>
        <v>2.46E-2</v>
      </c>
      <c r="E52" s="53">
        <f t="shared" si="8"/>
        <v>0.8</v>
      </c>
      <c r="F52" s="51">
        <f t="shared" si="7"/>
        <v>0.12969404159360159</v>
      </c>
      <c r="G52" s="51">
        <f t="shared" si="12"/>
        <v>0.1050940415936016</v>
      </c>
      <c r="H52" s="51">
        <f t="shared" si="9"/>
        <v>0.10867523327488128</v>
      </c>
      <c r="I52" s="289">
        <f t="shared" si="10"/>
        <v>0.11392993535456136</v>
      </c>
    </row>
    <row r="53" spans="2:9" ht="13.8" thickBot="1">
      <c r="B53" s="54" t="s">
        <v>15</v>
      </c>
      <c r="C53" s="54"/>
      <c r="D53" s="54"/>
      <c r="E53" s="54"/>
      <c r="F53" s="54"/>
      <c r="G53" s="54"/>
      <c r="H53" s="55">
        <f>AVERAGE(H40:H52)</f>
        <v>0.11595097461597678</v>
      </c>
      <c r="I53" s="55">
        <f>AVERAGE(I40:I52)</f>
        <v>0.11938674136038295</v>
      </c>
    </row>
    <row r="55" spans="2:9">
      <c r="B55" s="282" t="s">
        <v>31</v>
      </c>
    </row>
    <row r="56" spans="2:9">
      <c r="B56" s="28" t="s">
        <v>144</v>
      </c>
    </row>
    <row r="57" spans="2:9">
      <c r="B57" s="28" t="s">
        <v>145</v>
      </c>
    </row>
    <row r="58" spans="2:9">
      <c r="B58" s="28" t="str">
        <f>B27</f>
        <v>[3] Source: Direct Exhibit AEB-6</v>
      </c>
    </row>
    <row r="59" spans="2:9">
      <c r="B59" s="22" t="s">
        <v>139</v>
      </c>
    </row>
    <row r="60" spans="2:9">
      <c r="B60" s="22" t="s">
        <v>140</v>
      </c>
    </row>
    <row r="61" spans="2:9">
      <c r="B61" s="22" t="s">
        <v>141</v>
      </c>
    </row>
    <row r="64" spans="2:9" ht="13.2" customHeight="1">
      <c r="B64" s="362" t="s">
        <v>146</v>
      </c>
      <c r="C64" s="362"/>
      <c r="D64" s="362"/>
      <c r="E64" s="362"/>
      <c r="F64" s="362"/>
      <c r="G64" s="362"/>
      <c r="H64" s="362"/>
      <c r="I64" s="362"/>
    </row>
    <row r="65" spans="2:9">
      <c r="B65" s="22"/>
      <c r="C65" s="22"/>
      <c r="D65" s="22"/>
      <c r="E65" s="22"/>
      <c r="F65" s="22"/>
      <c r="G65" s="22"/>
      <c r="H65" s="22"/>
    </row>
    <row r="66" spans="2:9">
      <c r="B66" s="363" t="s">
        <v>128</v>
      </c>
      <c r="C66" s="363"/>
      <c r="D66" s="363"/>
      <c r="E66" s="363"/>
      <c r="F66" s="363"/>
      <c r="G66" s="363"/>
      <c r="H66" s="363"/>
      <c r="I66" s="363"/>
    </row>
    <row r="67" spans="2:9" ht="15.6">
      <c r="B67" s="362" t="s">
        <v>129</v>
      </c>
      <c r="C67" s="362"/>
      <c r="D67" s="362"/>
      <c r="E67" s="362"/>
      <c r="F67" s="362"/>
      <c r="G67" s="362"/>
      <c r="H67" s="362"/>
      <c r="I67" s="362"/>
    </row>
    <row r="68" spans="2:9">
      <c r="B68" s="22"/>
      <c r="C68" s="22"/>
      <c r="D68" s="22"/>
      <c r="E68" s="22"/>
      <c r="F68" s="22"/>
      <c r="G68" s="22"/>
      <c r="H68" s="22"/>
    </row>
    <row r="69" spans="2:9" ht="13.8" thickBot="1">
      <c r="B69" s="22"/>
      <c r="C69" s="22"/>
      <c r="D69" s="19" t="s">
        <v>34</v>
      </c>
      <c r="E69" s="19" t="s">
        <v>35</v>
      </c>
      <c r="F69" s="19" t="s">
        <v>36</v>
      </c>
      <c r="G69" s="19" t="s">
        <v>37</v>
      </c>
      <c r="H69" s="19" t="s">
        <v>38</v>
      </c>
      <c r="I69" s="19" t="s">
        <v>39</v>
      </c>
    </row>
    <row r="70" spans="2:9" ht="52.8">
      <c r="B70" s="47" t="s">
        <v>44</v>
      </c>
      <c r="C70" s="47" t="s">
        <v>45</v>
      </c>
      <c r="D70" s="48" t="s">
        <v>147</v>
      </c>
      <c r="E70" s="49" t="s">
        <v>131</v>
      </c>
      <c r="F70" s="49" t="s">
        <v>132</v>
      </c>
      <c r="G70" s="49" t="s">
        <v>133</v>
      </c>
      <c r="H70" s="50" t="s">
        <v>134</v>
      </c>
      <c r="I70" s="50" t="s">
        <v>135</v>
      </c>
    </row>
    <row r="71" spans="2:9">
      <c r="B71" t="str">
        <f t="shared" ref="B71:C83" si="13">B9</f>
        <v>NiSource Inc.</v>
      </c>
      <c r="C71" t="str">
        <f t="shared" si="13"/>
        <v>NI</v>
      </c>
      <c r="D71" s="51">
        <v>3.4000000000000002E-2</v>
      </c>
      <c r="E71" s="53">
        <f>E9</f>
        <v>0.85</v>
      </c>
      <c r="F71" s="51">
        <f t="shared" ref="E71:F83" si="14">F9</f>
        <v>0.12969404159360159</v>
      </c>
      <c r="G71" s="51">
        <f>F71-D71</f>
        <v>9.5694041593601592E-2</v>
      </c>
      <c r="H71" s="51">
        <f>IFERROR(G71*E71+D71,"")</f>
        <v>0.11533993535456136</v>
      </c>
      <c r="I71" s="288">
        <f>IFERROR((0.25*G71)+(0.75*E71*G71)+D71,"")</f>
        <v>0.11892846191432141</v>
      </c>
    </row>
    <row r="72" spans="2:9">
      <c r="B72" t="str">
        <f t="shared" si="13"/>
        <v>Alliant Energy Corporation</v>
      </c>
      <c r="C72" t="str">
        <f t="shared" si="13"/>
        <v>LNT</v>
      </c>
      <c r="D72" s="51">
        <f>D71</f>
        <v>3.4000000000000002E-2</v>
      </c>
      <c r="E72" s="53">
        <f t="shared" si="14"/>
        <v>0.85</v>
      </c>
      <c r="F72" s="51">
        <f t="shared" si="14"/>
        <v>0.12969404159360159</v>
      </c>
      <c r="G72" s="51">
        <f t="shared" ref="G72:G83" si="15">F72-D72</f>
        <v>9.5694041593601592E-2</v>
      </c>
      <c r="H72" s="51">
        <f t="shared" ref="H72:H83" si="16">IFERROR(G72*E72+D72,"")</f>
        <v>0.11533993535456136</v>
      </c>
      <c r="I72" s="51">
        <f t="shared" ref="I72:I83" si="17">IFERROR((0.25*G72)+(0.75*E72*G72)+D72,"")</f>
        <v>0.11892846191432141</v>
      </c>
    </row>
    <row r="73" spans="2:9">
      <c r="B73" t="str">
        <f t="shared" si="13"/>
        <v>Ameren Corporation</v>
      </c>
      <c r="C73" t="str">
        <f t="shared" si="13"/>
        <v>AEE</v>
      </c>
      <c r="D73" s="51">
        <f t="shared" ref="D73:D82" si="18">D72</f>
        <v>3.4000000000000002E-2</v>
      </c>
      <c r="E73" s="53">
        <f t="shared" si="14"/>
        <v>0.85</v>
      </c>
      <c r="F73" s="51">
        <f t="shared" si="14"/>
        <v>0.12969404159360159</v>
      </c>
      <c r="G73" s="51">
        <f t="shared" si="15"/>
        <v>9.5694041593601592E-2</v>
      </c>
      <c r="H73" s="51">
        <f t="shared" si="16"/>
        <v>0.11533993535456136</v>
      </c>
      <c r="I73" s="51">
        <f t="shared" si="17"/>
        <v>0.11892846191432141</v>
      </c>
    </row>
    <row r="74" spans="2:9">
      <c r="B74" t="str">
        <f t="shared" si="13"/>
        <v>Avista Corporation</v>
      </c>
      <c r="C74" t="str">
        <f t="shared" si="13"/>
        <v>AVA</v>
      </c>
      <c r="D74" s="51">
        <f t="shared" si="18"/>
        <v>3.4000000000000002E-2</v>
      </c>
      <c r="E74" s="53">
        <f t="shared" si="14"/>
        <v>0.95</v>
      </c>
      <c r="F74" s="51">
        <f t="shared" si="14"/>
        <v>0.12969404159360159</v>
      </c>
      <c r="G74" s="51">
        <f t="shared" si="15"/>
        <v>9.5694041593601592E-2</v>
      </c>
      <c r="H74" s="51">
        <f t="shared" si="16"/>
        <v>0.12490933951392151</v>
      </c>
      <c r="I74" s="51">
        <f t="shared" si="17"/>
        <v>0.12610551503384151</v>
      </c>
    </row>
    <row r="75" spans="2:9">
      <c r="B75" t="str">
        <f t="shared" si="13"/>
        <v>Black Hills Corporation</v>
      </c>
      <c r="C75" t="str">
        <f t="shared" si="13"/>
        <v>BKH</v>
      </c>
      <c r="D75" s="51">
        <f t="shared" si="18"/>
        <v>3.4000000000000002E-2</v>
      </c>
      <c r="E75" s="53">
        <f t="shared" si="14"/>
        <v>1</v>
      </c>
      <c r="F75" s="51">
        <f t="shared" si="14"/>
        <v>0.12969404159360159</v>
      </c>
      <c r="G75" s="51">
        <f t="shared" si="15"/>
        <v>9.5694041593601592E-2</v>
      </c>
      <c r="H75" s="51">
        <f t="shared" si="16"/>
        <v>0.12969404159360159</v>
      </c>
      <c r="I75" s="51">
        <f t="shared" si="17"/>
        <v>0.12969404159360159</v>
      </c>
    </row>
    <row r="76" spans="2:9">
      <c r="B76" t="str">
        <f t="shared" si="13"/>
        <v>CMS Energy Corporation</v>
      </c>
      <c r="C76" t="str">
        <f t="shared" si="13"/>
        <v>CMS</v>
      </c>
      <c r="D76" s="51">
        <f t="shared" si="18"/>
        <v>3.4000000000000002E-2</v>
      </c>
      <c r="E76" s="53">
        <f t="shared" si="14"/>
        <v>0.8</v>
      </c>
      <c r="F76" s="51">
        <f t="shared" si="14"/>
        <v>0.12969404159360159</v>
      </c>
      <c r="G76" s="51">
        <f t="shared" si="15"/>
        <v>9.5694041593601592E-2</v>
      </c>
      <c r="H76" s="51">
        <f t="shared" si="16"/>
        <v>0.11055523327488129</v>
      </c>
      <c r="I76" s="51">
        <f t="shared" si="17"/>
        <v>0.11533993535456136</v>
      </c>
    </row>
    <row r="77" spans="2:9">
      <c r="B77" t="str">
        <f t="shared" si="13"/>
        <v>Duke Energy Corporation</v>
      </c>
      <c r="C77" t="str">
        <f t="shared" si="13"/>
        <v>DUK</v>
      </c>
      <c r="D77" s="51">
        <f t="shared" si="18"/>
        <v>3.4000000000000002E-2</v>
      </c>
      <c r="E77" s="53">
        <f t="shared" si="14"/>
        <v>0.85</v>
      </c>
      <c r="F77" s="51">
        <f t="shared" si="14"/>
        <v>0.12969404159360159</v>
      </c>
      <c r="G77" s="51">
        <f t="shared" si="15"/>
        <v>9.5694041593601592E-2</v>
      </c>
      <c r="H77" s="51">
        <f t="shared" si="16"/>
        <v>0.11533993535456136</v>
      </c>
      <c r="I77" s="51">
        <f t="shared" si="17"/>
        <v>0.11892846191432141</v>
      </c>
    </row>
    <row r="78" spans="2:9">
      <c r="B78" t="str">
        <f t="shared" si="13"/>
        <v>MGE Energy, Inc.</v>
      </c>
      <c r="C78" t="str">
        <f t="shared" si="13"/>
        <v>MGEE</v>
      </c>
      <c r="D78" s="51">
        <f t="shared" si="18"/>
        <v>3.4000000000000002E-2</v>
      </c>
      <c r="E78" s="53">
        <f t="shared" si="14"/>
        <v>0.75</v>
      </c>
      <c r="F78" s="51">
        <f t="shared" si="14"/>
        <v>0.12969404159360159</v>
      </c>
      <c r="G78" s="51">
        <f t="shared" si="15"/>
        <v>9.5694041593601592E-2</v>
      </c>
      <c r="H78" s="51">
        <f t="shared" si="16"/>
        <v>0.10577053119520119</v>
      </c>
      <c r="I78" s="51">
        <f t="shared" si="17"/>
        <v>0.1117514087948013</v>
      </c>
    </row>
    <row r="79" spans="2:9">
      <c r="B79" t="str">
        <f t="shared" si="13"/>
        <v>NextEra Energy, Inc.</v>
      </c>
      <c r="C79" t="str">
        <f t="shared" si="13"/>
        <v>NEE</v>
      </c>
      <c r="D79" s="51">
        <f t="shared" si="18"/>
        <v>3.4000000000000002E-2</v>
      </c>
      <c r="E79" s="53">
        <f t="shared" si="14"/>
        <v>0.9</v>
      </c>
      <c r="F79" s="51">
        <f t="shared" si="14"/>
        <v>0.12969404159360159</v>
      </c>
      <c r="G79" s="51">
        <f t="shared" si="15"/>
        <v>9.5694041593601592E-2</v>
      </c>
      <c r="H79" s="51">
        <f t="shared" si="16"/>
        <v>0.12012463743424144</v>
      </c>
      <c r="I79" s="51">
        <f t="shared" si="17"/>
        <v>0.12251698847408149</v>
      </c>
    </row>
    <row r="80" spans="2:9">
      <c r="B80" t="str">
        <f t="shared" si="13"/>
        <v>NorthWestern Corporation</v>
      </c>
      <c r="C80" t="str">
        <f t="shared" si="13"/>
        <v>NWE</v>
      </c>
      <c r="D80" s="51">
        <f t="shared" si="18"/>
        <v>3.4000000000000002E-2</v>
      </c>
      <c r="E80" s="53">
        <f t="shared" si="14"/>
        <v>0.95</v>
      </c>
      <c r="F80" s="51">
        <f t="shared" si="14"/>
        <v>0.12969404159360159</v>
      </c>
      <c r="G80" s="51">
        <f t="shared" si="15"/>
        <v>9.5694041593601592E-2</v>
      </c>
      <c r="H80" s="51">
        <f t="shared" si="16"/>
        <v>0.12490933951392151</v>
      </c>
      <c r="I80" s="51">
        <f t="shared" si="17"/>
        <v>0.12610551503384151</v>
      </c>
    </row>
    <row r="81" spans="2:9">
      <c r="B81" t="str">
        <f t="shared" si="13"/>
        <v>Southern Company</v>
      </c>
      <c r="C81" t="str">
        <f t="shared" si="13"/>
        <v>SO</v>
      </c>
      <c r="D81" s="51">
        <f t="shared" si="18"/>
        <v>3.4000000000000002E-2</v>
      </c>
      <c r="E81" s="53">
        <f t="shared" si="14"/>
        <v>0.95</v>
      </c>
      <c r="F81" s="51">
        <f t="shared" si="14"/>
        <v>0.12969404159360159</v>
      </c>
      <c r="G81" s="51">
        <f t="shared" si="15"/>
        <v>9.5694041593601592E-2</v>
      </c>
      <c r="H81" s="51">
        <f t="shared" si="16"/>
        <v>0.12490933951392151</v>
      </c>
      <c r="I81" s="51">
        <f t="shared" si="17"/>
        <v>0.12610551503384151</v>
      </c>
    </row>
    <row r="82" spans="2:9">
      <c r="B82" t="str">
        <f t="shared" si="13"/>
        <v>Wisconsin Energy Corporation</v>
      </c>
      <c r="C82" t="str">
        <f t="shared" si="13"/>
        <v>WEC</v>
      </c>
      <c r="D82" s="51">
        <f t="shared" si="18"/>
        <v>3.4000000000000002E-2</v>
      </c>
      <c r="E82" s="53">
        <f t="shared" si="14"/>
        <v>0.8</v>
      </c>
      <c r="F82" s="51">
        <f t="shared" si="14"/>
        <v>0.12969404159360159</v>
      </c>
      <c r="G82" s="51">
        <f t="shared" si="15"/>
        <v>9.5694041593601592E-2</v>
      </c>
      <c r="H82" s="51">
        <f t="shared" si="16"/>
        <v>0.11055523327488129</v>
      </c>
      <c r="I82" s="51">
        <f t="shared" si="17"/>
        <v>0.11533993535456136</v>
      </c>
    </row>
    <row r="83" spans="2:9">
      <c r="B83" t="str">
        <f t="shared" si="13"/>
        <v>Xcel Energy Inc.</v>
      </c>
      <c r="C83" t="str">
        <f t="shared" si="13"/>
        <v>XEL</v>
      </c>
      <c r="D83" s="51">
        <f>D82</f>
        <v>3.4000000000000002E-2</v>
      </c>
      <c r="E83" s="53">
        <f t="shared" si="14"/>
        <v>0.8</v>
      </c>
      <c r="F83" s="51">
        <f t="shared" si="14"/>
        <v>0.12969404159360159</v>
      </c>
      <c r="G83" s="51">
        <f t="shared" si="15"/>
        <v>9.5694041593601592E-2</v>
      </c>
      <c r="H83" s="51">
        <f t="shared" si="16"/>
        <v>0.11055523327488129</v>
      </c>
      <c r="I83" s="289">
        <f t="shared" si="17"/>
        <v>0.11533993535456136</v>
      </c>
    </row>
    <row r="84" spans="2:9" ht="13.8" thickBot="1">
      <c r="B84" s="54" t="s">
        <v>15</v>
      </c>
      <c r="C84" s="54"/>
      <c r="D84" s="54"/>
      <c r="E84" s="54"/>
      <c r="F84" s="54"/>
      <c r="G84" s="54"/>
      <c r="H84" s="55">
        <f>AVERAGE(H71:H83)</f>
        <v>0.11718020538520757</v>
      </c>
      <c r="I84" s="55">
        <f>AVERAGE(I71:I83)</f>
        <v>0.12030866443730605</v>
      </c>
    </row>
    <row r="86" spans="2:9">
      <c r="B86" s="282" t="s">
        <v>31</v>
      </c>
    </row>
    <row r="87" spans="2:9">
      <c r="B87" s="22" t="s">
        <v>148</v>
      </c>
    </row>
    <row r="88" spans="2:9">
      <c r="B88" s="28" t="s">
        <v>145</v>
      </c>
    </row>
    <row r="89" spans="2:9">
      <c r="B89" s="28" t="str">
        <f>B27</f>
        <v>[3] Source: Direct Exhibit AEB-6</v>
      </c>
    </row>
    <row r="90" spans="2:9">
      <c r="B90" s="22" t="s">
        <v>139</v>
      </c>
    </row>
    <row r="91" spans="2:9">
      <c r="B91" s="22" t="s">
        <v>140</v>
      </c>
    </row>
    <row r="92" spans="2:9">
      <c r="B92" t="s">
        <v>141</v>
      </c>
    </row>
    <row r="95" spans="2:9" ht="13.2" customHeight="1">
      <c r="B95" s="362" t="s">
        <v>149</v>
      </c>
      <c r="C95" s="362"/>
      <c r="D95" s="362"/>
      <c r="E95" s="362"/>
      <c r="F95" s="362"/>
      <c r="G95" s="362"/>
      <c r="H95" s="362"/>
      <c r="I95" s="362"/>
    </row>
    <row r="96" spans="2:9">
      <c r="B96" s="22"/>
      <c r="C96" s="22"/>
      <c r="D96" s="22"/>
      <c r="E96" s="22"/>
      <c r="F96" s="22"/>
      <c r="G96" s="22"/>
      <c r="H96" s="22"/>
    </row>
    <row r="97" spans="2:9">
      <c r="B97" s="363" t="s">
        <v>128</v>
      </c>
      <c r="C97" s="363"/>
      <c r="D97" s="363"/>
      <c r="E97" s="363"/>
      <c r="F97" s="363"/>
      <c r="G97" s="363"/>
      <c r="H97" s="363"/>
      <c r="I97" s="363"/>
    </row>
    <row r="98" spans="2:9" ht="15.6">
      <c r="B98" s="362" t="s">
        <v>129</v>
      </c>
      <c r="C98" s="362"/>
      <c r="D98" s="362"/>
      <c r="E98" s="362"/>
      <c r="F98" s="362"/>
      <c r="G98" s="362"/>
      <c r="H98" s="362"/>
      <c r="I98" s="362"/>
    </row>
    <row r="99" spans="2:9">
      <c r="B99" s="22"/>
      <c r="C99" s="22"/>
      <c r="D99" s="22"/>
      <c r="E99" s="22"/>
      <c r="F99" s="22"/>
      <c r="G99" s="22"/>
      <c r="H99" s="22"/>
    </row>
    <row r="100" spans="2:9" ht="13.8" thickBot="1">
      <c r="B100" s="22"/>
      <c r="C100" s="22"/>
      <c r="D100" s="19" t="s">
        <v>34</v>
      </c>
      <c r="E100" s="19" t="s">
        <v>35</v>
      </c>
      <c r="F100" s="19" t="s">
        <v>36</v>
      </c>
      <c r="G100" s="19" t="s">
        <v>37</v>
      </c>
      <c r="H100" s="19" t="s">
        <v>38</v>
      </c>
      <c r="I100" s="19" t="s">
        <v>39</v>
      </c>
    </row>
    <row r="101" spans="2:9" ht="52.8">
      <c r="B101" s="47" t="s">
        <v>44</v>
      </c>
      <c r="C101" s="47" t="s">
        <v>45</v>
      </c>
      <c r="D101" s="48" t="s">
        <v>130</v>
      </c>
      <c r="E101" s="49" t="s">
        <v>131</v>
      </c>
      <c r="F101" s="49" t="s">
        <v>132</v>
      </c>
      <c r="G101" s="49" t="s">
        <v>133</v>
      </c>
      <c r="H101" s="50" t="s">
        <v>134</v>
      </c>
      <c r="I101" s="50" t="s">
        <v>135</v>
      </c>
    </row>
    <row r="102" spans="2:9">
      <c r="B102" t="str">
        <f t="shared" ref="B102:D114" si="19">B9</f>
        <v>NiSource Inc.</v>
      </c>
      <c r="C102" s="56" t="str">
        <f t="shared" si="19"/>
        <v>NI</v>
      </c>
      <c r="D102" s="51">
        <f t="shared" si="19"/>
        <v>1.9706666666666664E-2</v>
      </c>
      <c r="E102" s="245">
        <v>1.0132084688015484</v>
      </c>
      <c r="F102" s="51">
        <f>F9</f>
        <v>0.12969404159360159</v>
      </c>
      <c r="G102" s="51">
        <f>F102-D102</f>
        <v>0.10998737492693493</v>
      </c>
      <c r="H102" s="51">
        <f>IFERROR(G102*E102+D102,"")</f>
        <v>0.13114680640388821</v>
      </c>
      <c r="I102" s="288">
        <f>IFERROR((0.25*G102)+(0.75*E102*G102)+D102,"")</f>
        <v>0.13078361520131657</v>
      </c>
    </row>
    <row r="103" spans="2:9">
      <c r="B103" t="str">
        <f t="shared" si="19"/>
        <v>Alliant Energy Corporation</v>
      </c>
      <c r="C103" s="56" t="str">
        <f t="shared" si="19"/>
        <v>LNT</v>
      </c>
      <c r="D103" s="51">
        <f t="shared" si="19"/>
        <v>1.9706666666666664E-2</v>
      </c>
      <c r="E103" s="245">
        <v>1.0374441373022709</v>
      </c>
      <c r="F103" s="51">
        <f t="shared" ref="F103:F114" si="20">F10</f>
        <v>0.12969404159360159</v>
      </c>
      <c r="G103" s="51">
        <f t="shared" ref="G103:G114" si="21">F103-D103</f>
        <v>0.10998737492693493</v>
      </c>
      <c r="H103" s="51">
        <f t="shared" ref="H103:H114" si="22">IFERROR(G103*E103+D103,"")</f>
        <v>0.13381242396188209</v>
      </c>
      <c r="I103" s="51">
        <f t="shared" ref="I103:I114" si="23">IFERROR((0.25*G103)+(0.75*E103*G103)+D103,"")</f>
        <v>0.13278282836981198</v>
      </c>
    </row>
    <row r="104" spans="2:9">
      <c r="B104" t="str">
        <f t="shared" si="19"/>
        <v>Ameren Corporation</v>
      </c>
      <c r="C104" s="56" t="str">
        <f t="shared" si="19"/>
        <v>AEE</v>
      </c>
      <c r="D104" s="51">
        <f t="shared" si="19"/>
        <v>1.9706666666666664E-2</v>
      </c>
      <c r="E104" s="245">
        <v>0.95871172976195129</v>
      </c>
      <c r="F104" s="51">
        <f t="shared" si="20"/>
        <v>0.12969404159360159</v>
      </c>
      <c r="G104" s="51">
        <f t="shared" si="21"/>
        <v>0.10998737492693493</v>
      </c>
      <c r="H104" s="51">
        <f t="shared" si="22"/>
        <v>0.12515285313484473</v>
      </c>
      <c r="I104" s="51">
        <f t="shared" si="23"/>
        <v>0.12628815024953394</v>
      </c>
    </row>
    <row r="105" spans="2:9">
      <c r="B105" t="str">
        <f t="shared" si="19"/>
        <v>Avista Corporation</v>
      </c>
      <c r="C105" s="56" t="str">
        <f t="shared" si="19"/>
        <v>AVA</v>
      </c>
      <c r="D105" s="51">
        <f t="shared" si="19"/>
        <v>1.9706666666666664E-2</v>
      </c>
      <c r="E105" s="245">
        <v>0.98220646606993445</v>
      </c>
      <c r="F105" s="51">
        <f t="shared" si="20"/>
        <v>0.12969404159360159</v>
      </c>
      <c r="G105" s="51">
        <f t="shared" si="21"/>
        <v>0.10998737492693493</v>
      </c>
      <c r="H105" s="51">
        <f t="shared" si="22"/>
        <v>0.12773697750596033</v>
      </c>
      <c r="I105" s="51">
        <f t="shared" si="23"/>
        <v>0.12822624352787065</v>
      </c>
    </row>
    <row r="106" spans="2:9">
      <c r="B106" t="str">
        <f t="shared" si="19"/>
        <v>Black Hills Corporation</v>
      </c>
      <c r="C106" s="56" t="str">
        <f t="shared" si="19"/>
        <v>BKH</v>
      </c>
      <c r="D106" s="51">
        <f t="shared" si="19"/>
        <v>1.9706666666666664E-2</v>
      </c>
      <c r="E106" s="245">
        <v>1.2244884901136905</v>
      </c>
      <c r="F106" s="51">
        <f t="shared" si="20"/>
        <v>0.12969404159360159</v>
      </c>
      <c r="G106" s="51">
        <f t="shared" si="21"/>
        <v>0.10998737492693493</v>
      </c>
      <c r="H106" s="51">
        <f t="shared" si="22"/>
        <v>0.15438494132251762</v>
      </c>
      <c r="I106" s="51">
        <f t="shared" si="23"/>
        <v>0.14821221639028859</v>
      </c>
    </row>
    <row r="107" spans="2:9">
      <c r="B107" t="str">
        <f t="shared" si="19"/>
        <v>CMS Energy Corporation</v>
      </c>
      <c r="C107" s="56" t="str">
        <f t="shared" si="19"/>
        <v>CMS</v>
      </c>
      <c r="D107" s="51">
        <f t="shared" si="19"/>
        <v>1.9706666666666664E-2</v>
      </c>
      <c r="E107" s="245">
        <v>0.98880555531362946</v>
      </c>
      <c r="F107" s="51">
        <f t="shared" si="20"/>
        <v>0.12969404159360159</v>
      </c>
      <c r="G107" s="51">
        <f t="shared" si="21"/>
        <v>0.10998737492693493</v>
      </c>
      <c r="H107" s="51">
        <f t="shared" si="22"/>
        <v>0.12846279400878291</v>
      </c>
      <c r="I107" s="51">
        <f t="shared" si="23"/>
        <v>0.1287706059049876</v>
      </c>
    </row>
    <row r="108" spans="2:9">
      <c r="B108" t="str">
        <f t="shared" si="19"/>
        <v>Duke Energy Corporation</v>
      </c>
      <c r="C108" s="56" t="str">
        <f t="shared" si="19"/>
        <v>DUK</v>
      </c>
      <c r="D108" s="51">
        <f t="shared" si="19"/>
        <v>1.9706666666666664E-2</v>
      </c>
      <c r="E108" s="245">
        <v>0.98006578625892316</v>
      </c>
      <c r="F108" s="51">
        <f t="shared" si="20"/>
        <v>0.12969404159360159</v>
      </c>
      <c r="G108" s="51">
        <f t="shared" si="21"/>
        <v>0.10998737492693493</v>
      </c>
      <c r="H108" s="51">
        <f t="shared" si="22"/>
        <v>0.12750152975298812</v>
      </c>
      <c r="I108" s="51">
        <f t="shared" si="23"/>
        <v>0.12804965771314147</v>
      </c>
    </row>
    <row r="109" spans="2:9">
      <c r="B109" t="str">
        <f t="shared" si="19"/>
        <v>MGE Energy, Inc.</v>
      </c>
      <c r="C109" s="56" t="str">
        <f t="shared" si="19"/>
        <v>MGEE</v>
      </c>
      <c r="D109" s="51">
        <f t="shared" si="19"/>
        <v>1.9706666666666664E-2</v>
      </c>
      <c r="E109" s="245">
        <v>0.79070791303878485</v>
      </c>
      <c r="F109" s="51">
        <f t="shared" si="20"/>
        <v>0.12969404159360159</v>
      </c>
      <c r="G109" s="51">
        <f t="shared" si="21"/>
        <v>0.10998737492693493</v>
      </c>
      <c r="H109" s="51">
        <f t="shared" si="22"/>
        <v>0.10667455435575775</v>
      </c>
      <c r="I109" s="51">
        <f t="shared" si="23"/>
        <v>0.11242942616521871</v>
      </c>
    </row>
    <row r="110" spans="2:9">
      <c r="B110" t="str">
        <f t="shared" si="19"/>
        <v>NextEra Energy, Inc.</v>
      </c>
      <c r="C110" s="56" t="str">
        <f t="shared" si="19"/>
        <v>NEE</v>
      </c>
      <c r="D110" s="51">
        <f t="shared" si="19"/>
        <v>1.9706666666666664E-2</v>
      </c>
      <c r="E110" s="245">
        <v>1.005644389274595</v>
      </c>
      <c r="F110" s="51">
        <f t="shared" si="20"/>
        <v>0.12969404159360159</v>
      </c>
      <c r="G110" s="51">
        <f t="shared" si="21"/>
        <v>0.10998737492693493</v>
      </c>
      <c r="H110" s="51">
        <f t="shared" si="22"/>
        <v>0.13031485315298003</v>
      </c>
      <c r="I110" s="51">
        <f t="shared" si="23"/>
        <v>0.13015965026313542</v>
      </c>
    </row>
    <row r="111" spans="2:9">
      <c r="B111" t="str">
        <f t="shared" si="19"/>
        <v>NorthWestern Corporation</v>
      </c>
      <c r="C111" s="56" t="str">
        <f t="shared" si="19"/>
        <v>NWE</v>
      </c>
      <c r="D111" s="51">
        <f t="shared" si="19"/>
        <v>1.9706666666666664E-2</v>
      </c>
      <c r="E111" s="245">
        <v>1.2693756497216717</v>
      </c>
      <c r="F111" s="51">
        <f t="shared" si="20"/>
        <v>0.12969404159360159</v>
      </c>
      <c r="G111" s="51">
        <f t="shared" si="21"/>
        <v>0.10998737492693493</v>
      </c>
      <c r="H111" s="51">
        <f t="shared" si="22"/>
        <v>0.15932196217572581</v>
      </c>
      <c r="I111" s="51">
        <f t="shared" si="23"/>
        <v>0.15191498203019477</v>
      </c>
    </row>
    <row r="112" spans="2:9">
      <c r="B112" t="str">
        <f t="shared" si="19"/>
        <v>Southern Company</v>
      </c>
      <c r="C112" s="56" t="str">
        <f t="shared" si="19"/>
        <v>SO</v>
      </c>
      <c r="D112" s="51">
        <f t="shared" si="19"/>
        <v>1.9706666666666664E-2</v>
      </c>
      <c r="E112" s="245">
        <v>1.1065270975307429</v>
      </c>
      <c r="F112" s="51">
        <f t="shared" si="20"/>
        <v>0.12969404159360159</v>
      </c>
      <c r="G112" s="51">
        <f t="shared" si="21"/>
        <v>0.10998737492693493</v>
      </c>
      <c r="H112" s="51">
        <f t="shared" si="22"/>
        <v>0.14141067740959357</v>
      </c>
      <c r="I112" s="51">
        <f t="shared" si="23"/>
        <v>0.13848151845559559</v>
      </c>
    </row>
    <row r="113" spans="2:9">
      <c r="B113" t="str">
        <f t="shared" si="19"/>
        <v>Wisconsin Energy Corporation</v>
      </c>
      <c r="C113" s="56" t="str">
        <f t="shared" si="19"/>
        <v>WEC</v>
      </c>
      <c r="D113" s="51">
        <f t="shared" si="19"/>
        <v>1.9706666666666664E-2</v>
      </c>
      <c r="E113" s="245">
        <v>0.98898826716952459</v>
      </c>
      <c r="F113" s="51">
        <f t="shared" si="20"/>
        <v>0.12969404159360159</v>
      </c>
      <c r="G113" s="51">
        <f t="shared" si="21"/>
        <v>0.10998737492693493</v>
      </c>
      <c r="H113" s="51">
        <f t="shared" si="22"/>
        <v>0.12848289000618085</v>
      </c>
      <c r="I113" s="51">
        <f t="shared" si="23"/>
        <v>0.12878567790303602</v>
      </c>
    </row>
    <row r="114" spans="2:9">
      <c r="B114" t="str">
        <f t="shared" si="19"/>
        <v>Xcel Energy Inc.</v>
      </c>
      <c r="C114" s="56" t="str">
        <f t="shared" si="19"/>
        <v>XEL</v>
      </c>
      <c r="D114" s="51">
        <f t="shared" si="19"/>
        <v>1.9706666666666664E-2</v>
      </c>
      <c r="E114" s="332">
        <v>0.99443067218734804</v>
      </c>
      <c r="F114" s="51">
        <f t="shared" si="20"/>
        <v>0.12969404159360159</v>
      </c>
      <c r="G114" s="51">
        <f t="shared" si="21"/>
        <v>0.10998737492693493</v>
      </c>
      <c r="H114" s="51">
        <f t="shared" si="22"/>
        <v>0.12908148584738044</v>
      </c>
      <c r="I114" s="289">
        <f t="shared" si="23"/>
        <v>0.12923462478393571</v>
      </c>
    </row>
    <row r="115" spans="2:9" ht="13.8" thickBot="1">
      <c r="B115" s="54" t="s">
        <v>15</v>
      </c>
      <c r="C115" s="54"/>
      <c r="D115" s="54"/>
      <c r="E115" s="57"/>
      <c r="F115" s="54"/>
      <c r="G115" s="54"/>
      <c r="H115" s="55">
        <f>AVERAGE(H102:H114)</f>
        <v>0.1325757499260371</v>
      </c>
      <c r="I115" s="55">
        <f>AVERAGE(I102:I114)</f>
        <v>0.13185532284292825</v>
      </c>
    </row>
    <row r="117" spans="2:9">
      <c r="B117" s="282" t="s">
        <v>31</v>
      </c>
    </row>
    <row r="118" spans="2:9">
      <c r="B118" s="22" t="str">
        <f>B25</f>
        <v>[1] Source: Bloomberg Professional, as of November 30, 2021</v>
      </c>
    </row>
    <row r="119" spans="2:9">
      <c r="B119" s="28" t="s">
        <v>150</v>
      </c>
    </row>
    <row r="120" spans="2:9">
      <c r="B120" s="28" t="str">
        <f>B27</f>
        <v>[3] Source: Direct Exhibit AEB-6</v>
      </c>
    </row>
    <row r="121" spans="2:9">
      <c r="B121" s="22" t="s">
        <v>139</v>
      </c>
    </row>
    <row r="122" spans="2:9">
      <c r="B122" s="22" t="s">
        <v>140</v>
      </c>
    </row>
    <row r="123" spans="2:9">
      <c r="B123" t="s">
        <v>141</v>
      </c>
    </row>
    <row r="126" spans="2:9" ht="13.2" customHeight="1">
      <c r="B126" s="362" t="s">
        <v>151</v>
      </c>
      <c r="C126" s="362"/>
      <c r="D126" s="362"/>
      <c r="E126" s="362"/>
      <c r="F126" s="362"/>
      <c r="G126" s="362"/>
      <c r="H126" s="362"/>
      <c r="I126" s="362"/>
    </row>
    <row r="127" spans="2:9">
      <c r="B127" s="22"/>
      <c r="C127" s="22"/>
      <c r="D127" s="22"/>
      <c r="E127" s="22"/>
      <c r="F127" s="22"/>
      <c r="G127" s="22"/>
      <c r="H127" s="22"/>
    </row>
    <row r="128" spans="2:9">
      <c r="B128" s="363" t="s">
        <v>128</v>
      </c>
      <c r="C128" s="363"/>
      <c r="D128" s="363"/>
      <c r="E128" s="363"/>
      <c r="F128" s="363"/>
      <c r="G128" s="363"/>
      <c r="H128" s="363"/>
      <c r="I128" s="363"/>
    </row>
    <row r="129" spans="2:9" ht="15.6">
      <c r="B129" s="362" t="s">
        <v>129</v>
      </c>
      <c r="C129" s="362"/>
      <c r="D129" s="362"/>
      <c r="E129" s="362"/>
      <c r="F129" s="362"/>
      <c r="G129" s="362"/>
      <c r="H129" s="362"/>
      <c r="I129" s="362"/>
    </row>
    <row r="130" spans="2:9">
      <c r="B130" s="22"/>
      <c r="C130" s="22"/>
      <c r="D130" s="22"/>
      <c r="E130" s="22"/>
      <c r="F130" s="22"/>
      <c r="G130" s="22"/>
      <c r="H130" s="22"/>
    </row>
    <row r="131" spans="2:9" ht="13.8" thickBot="1">
      <c r="B131" s="22"/>
      <c r="C131" s="22"/>
      <c r="D131" s="19" t="s">
        <v>34</v>
      </c>
      <c r="E131" s="19" t="s">
        <v>35</v>
      </c>
      <c r="F131" s="19" t="s">
        <v>36</v>
      </c>
      <c r="G131" s="19" t="s">
        <v>37</v>
      </c>
      <c r="H131" s="19" t="s">
        <v>38</v>
      </c>
      <c r="I131" s="19" t="s">
        <v>39</v>
      </c>
    </row>
    <row r="132" spans="2:9" ht="52.8">
      <c r="B132" s="47" t="s">
        <v>44</v>
      </c>
      <c r="C132" s="47" t="s">
        <v>45</v>
      </c>
      <c r="D132" s="48" t="str">
        <f t="shared" ref="D132:D145" si="24">D39</f>
        <v>Near-term projected 30-year U.S. Treasury bond yield 
(Q1 2022 - Q1 2023)</v>
      </c>
      <c r="E132" s="49" t="s">
        <v>131</v>
      </c>
      <c r="F132" s="49" t="s">
        <v>132</v>
      </c>
      <c r="G132" s="49" t="s">
        <v>133</v>
      </c>
      <c r="H132" s="50" t="s">
        <v>134</v>
      </c>
      <c r="I132" s="50" t="s">
        <v>135</v>
      </c>
    </row>
    <row r="133" spans="2:9">
      <c r="B133" t="str">
        <f t="shared" ref="B133:C145" si="25">B9</f>
        <v>NiSource Inc.</v>
      </c>
      <c r="C133" t="str">
        <f t="shared" si="25"/>
        <v>NI</v>
      </c>
      <c r="D133" s="51">
        <f t="shared" si="24"/>
        <v>2.46E-2</v>
      </c>
      <c r="E133" s="53">
        <f t="shared" ref="E133:E145" si="26">E102</f>
        <v>1.0132084688015484</v>
      </c>
      <c r="F133" s="51">
        <f t="shared" ref="F133:F145" si="27">F9</f>
        <v>0.12969404159360159</v>
      </c>
      <c r="G133" s="51">
        <f>F133-D133</f>
        <v>0.1050940415936016</v>
      </c>
      <c r="H133" s="51">
        <f>IFERROR(G133*E133+D133,"")</f>
        <v>0.13108217296321931</v>
      </c>
      <c r="I133" s="288">
        <f>IFERROR((0.25*G133)+(0.75*E133*G133)+D133,"")</f>
        <v>0.13073514012081489</v>
      </c>
    </row>
    <row r="134" spans="2:9">
      <c r="B134" t="str">
        <f t="shared" si="25"/>
        <v>Alliant Energy Corporation</v>
      </c>
      <c r="C134" t="str">
        <f t="shared" si="25"/>
        <v>LNT</v>
      </c>
      <c r="D134" s="51">
        <f t="shared" si="24"/>
        <v>2.46E-2</v>
      </c>
      <c r="E134" s="53">
        <f t="shared" si="26"/>
        <v>1.0374441373022709</v>
      </c>
      <c r="F134" s="51">
        <f t="shared" si="27"/>
        <v>0.12969404159360159</v>
      </c>
      <c r="G134" s="51">
        <f t="shared" ref="G134:G145" si="28">F134-D134</f>
        <v>0.1050940415936016</v>
      </c>
      <c r="H134" s="51">
        <f t="shared" ref="H134:H145" si="29">IFERROR(G134*E134+D134,"")</f>
        <v>0.13362919731668299</v>
      </c>
      <c r="I134" s="51">
        <f t="shared" ref="I134:I145" si="30">IFERROR((0.25*G134)+(0.75*E134*G134)+D134,"")</f>
        <v>0.13264540838591266</v>
      </c>
    </row>
    <row r="135" spans="2:9">
      <c r="B135" t="str">
        <f t="shared" si="25"/>
        <v>Ameren Corporation</v>
      </c>
      <c r="C135" t="str">
        <f t="shared" si="25"/>
        <v>AEE</v>
      </c>
      <c r="D135" s="51">
        <f t="shared" si="24"/>
        <v>2.46E-2</v>
      </c>
      <c r="E135" s="53">
        <f t="shared" si="26"/>
        <v>0.95871172976195129</v>
      </c>
      <c r="F135" s="51">
        <f t="shared" si="27"/>
        <v>0.12969404159360159</v>
      </c>
      <c r="G135" s="51">
        <f t="shared" si="28"/>
        <v>0.1050940415936016</v>
      </c>
      <c r="H135" s="51">
        <f t="shared" si="29"/>
        <v>0.12535489040387623</v>
      </c>
      <c r="I135" s="51">
        <f t="shared" si="30"/>
        <v>0.12643967820130758</v>
      </c>
    </row>
    <row r="136" spans="2:9">
      <c r="B136" t="str">
        <f t="shared" si="25"/>
        <v>Avista Corporation</v>
      </c>
      <c r="C136" t="str">
        <f t="shared" si="25"/>
        <v>AVA</v>
      </c>
      <c r="D136" s="51">
        <f t="shared" si="24"/>
        <v>2.46E-2</v>
      </c>
      <c r="E136" s="53">
        <f t="shared" si="26"/>
        <v>0.98220646606993445</v>
      </c>
      <c r="F136" s="51">
        <f t="shared" si="27"/>
        <v>0.12969404159360159</v>
      </c>
      <c r="G136" s="51">
        <f t="shared" si="28"/>
        <v>0.1050940415936016</v>
      </c>
      <c r="H136" s="51">
        <f t="shared" si="29"/>
        <v>0.12782404719865814</v>
      </c>
      <c r="I136" s="51">
        <f t="shared" si="30"/>
        <v>0.12829154579739399</v>
      </c>
    </row>
    <row r="137" spans="2:9">
      <c r="B137" t="str">
        <f t="shared" si="25"/>
        <v>Black Hills Corporation</v>
      </c>
      <c r="C137" t="str">
        <f t="shared" si="25"/>
        <v>BKH</v>
      </c>
      <c r="D137" s="51">
        <f t="shared" si="24"/>
        <v>2.46E-2</v>
      </c>
      <c r="E137" s="53">
        <f t="shared" si="26"/>
        <v>1.2244884901136905</v>
      </c>
      <c r="F137" s="51">
        <f t="shared" si="27"/>
        <v>0.12969404159360159</v>
      </c>
      <c r="G137" s="51">
        <f t="shared" si="28"/>
        <v>0.1050940415936016</v>
      </c>
      <c r="H137" s="51">
        <f t="shared" si="29"/>
        <v>0.15328644431089461</v>
      </c>
      <c r="I137" s="51">
        <f t="shared" si="30"/>
        <v>0.14738834363157136</v>
      </c>
    </row>
    <row r="138" spans="2:9">
      <c r="B138" t="str">
        <f t="shared" si="25"/>
        <v>CMS Energy Corporation</v>
      </c>
      <c r="C138" t="str">
        <f t="shared" si="25"/>
        <v>CMS</v>
      </c>
      <c r="D138" s="51">
        <f t="shared" si="24"/>
        <v>2.46E-2</v>
      </c>
      <c r="E138" s="53">
        <f t="shared" si="26"/>
        <v>0.98880555531362946</v>
      </c>
      <c r="F138" s="51">
        <f t="shared" si="27"/>
        <v>0.12969404159360159</v>
      </c>
      <c r="G138" s="51">
        <f t="shared" si="28"/>
        <v>0.1050940415936016</v>
      </c>
      <c r="H138" s="51">
        <f t="shared" si="29"/>
        <v>0.12851757215811491</v>
      </c>
      <c r="I138" s="51">
        <f t="shared" si="30"/>
        <v>0.12881168951698657</v>
      </c>
    </row>
    <row r="139" spans="2:9">
      <c r="B139" t="str">
        <f t="shared" si="25"/>
        <v>Duke Energy Corporation</v>
      </c>
      <c r="C139" t="str">
        <f t="shared" si="25"/>
        <v>DUK</v>
      </c>
      <c r="D139" s="51">
        <f t="shared" si="24"/>
        <v>2.46E-2</v>
      </c>
      <c r="E139" s="53">
        <f t="shared" si="26"/>
        <v>0.98006578625892316</v>
      </c>
      <c r="F139" s="51">
        <f t="shared" si="27"/>
        <v>0.12969404159360159</v>
      </c>
      <c r="G139" s="51">
        <f t="shared" si="28"/>
        <v>0.1050940415936016</v>
      </c>
      <c r="H139" s="51">
        <f t="shared" si="29"/>
        <v>0.12759907450556113</v>
      </c>
      <c r="I139" s="51">
        <f t="shared" si="30"/>
        <v>0.12812281627757124</v>
      </c>
    </row>
    <row r="140" spans="2:9">
      <c r="B140" t="str">
        <f t="shared" si="25"/>
        <v>MGE Energy, Inc.</v>
      </c>
      <c r="C140" t="str">
        <f t="shared" si="25"/>
        <v>MGEE</v>
      </c>
      <c r="D140" s="51">
        <f t="shared" si="24"/>
        <v>2.46E-2</v>
      </c>
      <c r="E140" s="53">
        <f t="shared" si="26"/>
        <v>0.79070791303878485</v>
      </c>
      <c r="F140" s="51">
        <f t="shared" si="27"/>
        <v>0.12969404159360159</v>
      </c>
      <c r="G140" s="51">
        <f t="shared" si="28"/>
        <v>0.1050940415936016</v>
      </c>
      <c r="H140" s="51">
        <f t="shared" si="29"/>
        <v>0.10769869030128797</v>
      </c>
      <c r="I140" s="51">
        <f t="shared" si="30"/>
        <v>0.11319752812436637</v>
      </c>
    </row>
    <row r="141" spans="2:9">
      <c r="B141" t="str">
        <f t="shared" si="25"/>
        <v>NextEra Energy, Inc.</v>
      </c>
      <c r="C141" t="str">
        <f t="shared" si="25"/>
        <v>NEE</v>
      </c>
      <c r="D141" s="51">
        <f t="shared" si="24"/>
        <v>2.46E-2</v>
      </c>
      <c r="E141" s="53">
        <f t="shared" si="26"/>
        <v>1.005644389274595</v>
      </c>
      <c r="F141" s="51">
        <f t="shared" si="27"/>
        <v>0.12969404159360159</v>
      </c>
      <c r="G141" s="51">
        <f t="shared" si="28"/>
        <v>0.1050940415936016</v>
      </c>
      <c r="H141" s="51">
        <f t="shared" si="29"/>
        <v>0.13028723327479635</v>
      </c>
      <c r="I141" s="51">
        <f t="shared" si="30"/>
        <v>0.13013893535449766</v>
      </c>
    </row>
    <row r="142" spans="2:9">
      <c r="B142" t="str">
        <f t="shared" si="25"/>
        <v>NorthWestern Corporation</v>
      </c>
      <c r="C142" t="str">
        <f t="shared" si="25"/>
        <v>NWE</v>
      </c>
      <c r="D142" s="51">
        <f t="shared" si="24"/>
        <v>2.46E-2</v>
      </c>
      <c r="E142" s="53">
        <f t="shared" si="26"/>
        <v>1.2693756497216717</v>
      </c>
      <c r="F142" s="51">
        <f t="shared" si="27"/>
        <v>0.12969404159360159</v>
      </c>
      <c r="G142" s="51">
        <f t="shared" si="28"/>
        <v>0.1050940415936016</v>
      </c>
      <c r="H142" s="51">
        <f t="shared" si="29"/>
        <v>0.15800381732975444</v>
      </c>
      <c r="I142" s="51">
        <f t="shared" si="30"/>
        <v>0.15092637339571624</v>
      </c>
    </row>
    <row r="143" spans="2:9">
      <c r="B143" t="str">
        <f t="shared" si="25"/>
        <v>Southern Company</v>
      </c>
      <c r="C143" t="str">
        <f t="shared" si="25"/>
        <v>SO</v>
      </c>
      <c r="D143" s="51">
        <f t="shared" si="24"/>
        <v>2.46E-2</v>
      </c>
      <c r="E143" s="53">
        <f t="shared" si="26"/>
        <v>1.1065270975307429</v>
      </c>
      <c r="F143" s="51">
        <f t="shared" si="27"/>
        <v>0.12969404159360159</v>
      </c>
      <c r="G143" s="51">
        <f t="shared" si="28"/>
        <v>0.1050940415936016</v>
      </c>
      <c r="H143" s="51">
        <f t="shared" si="29"/>
        <v>0.14088940481234313</v>
      </c>
      <c r="I143" s="51">
        <f t="shared" si="30"/>
        <v>0.13809056400765776</v>
      </c>
    </row>
    <row r="144" spans="2:9">
      <c r="B144" t="str">
        <f t="shared" si="25"/>
        <v>Wisconsin Energy Corporation</v>
      </c>
      <c r="C144" t="str">
        <f t="shared" si="25"/>
        <v>WEC</v>
      </c>
      <c r="D144" s="51">
        <f t="shared" si="24"/>
        <v>2.46E-2</v>
      </c>
      <c r="E144" s="53">
        <f t="shared" si="26"/>
        <v>0.98898826716952459</v>
      </c>
      <c r="F144" s="51">
        <f t="shared" si="27"/>
        <v>0.12969404159360159</v>
      </c>
      <c r="G144" s="51">
        <f t="shared" si="28"/>
        <v>0.1050940415936016</v>
      </c>
      <c r="H144" s="51">
        <f t="shared" si="29"/>
        <v>0.12853677408549799</v>
      </c>
      <c r="I144" s="51">
        <f t="shared" si="30"/>
        <v>0.1288260909625239</v>
      </c>
    </row>
    <row r="145" spans="2:9">
      <c r="B145" t="str">
        <f t="shared" si="25"/>
        <v>Xcel Energy Inc.</v>
      </c>
      <c r="C145" t="str">
        <f t="shared" si="25"/>
        <v>XEL</v>
      </c>
      <c r="D145" s="51">
        <f t="shared" si="24"/>
        <v>2.46E-2</v>
      </c>
      <c r="E145" s="53">
        <f t="shared" si="26"/>
        <v>0.99443067218734804</v>
      </c>
      <c r="F145" s="51">
        <f t="shared" si="27"/>
        <v>0.12969404159360159</v>
      </c>
      <c r="G145" s="51">
        <f t="shared" si="28"/>
        <v>0.1050940415936016</v>
      </c>
      <c r="H145" s="51">
        <f t="shared" si="29"/>
        <v>0.12910873842481035</v>
      </c>
      <c r="I145" s="289">
        <f t="shared" si="30"/>
        <v>0.12925506421700816</v>
      </c>
    </row>
    <row r="146" spans="2:9" ht="13.8" thickBot="1">
      <c r="B146" s="54" t="s">
        <v>15</v>
      </c>
      <c r="C146" s="54"/>
      <c r="D146" s="54"/>
      <c r="E146" s="54"/>
      <c r="F146" s="54"/>
      <c r="G146" s="54"/>
      <c r="H146" s="55">
        <f>AVERAGE(H133:H145)</f>
        <v>0.13244754285273058</v>
      </c>
      <c r="I146" s="55">
        <f>AVERAGE(I133:I145)</f>
        <v>0.13175916753794834</v>
      </c>
    </row>
    <row r="148" spans="2:9">
      <c r="B148" s="282" t="s">
        <v>31</v>
      </c>
    </row>
    <row r="149" spans="2:9">
      <c r="B149" s="22" t="str">
        <f>B56</f>
        <v>[1] Source: Blue Chip Financial Forecasts, Vol. 40, No.12, December 1, 2021, at 2</v>
      </c>
    </row>
    <row r="150" spans="2:9">
      <c r="B150" s="22" t="str">
        <f>B119</f>
        <v>[2] Source: Bloomberg Professional, based on 10-year weekly returns</v>
      </c>
    </row>
    <row r="151" spans="2:9">
      <c r="B151" s="28" t="str">
        <f>B27</f>
        <v>[3] Source: Direct Exhibit AEB-6</v>
      </c>
    </row>
    <row r="152" spans="2:9">
      <c r="B152" s="22" t="s">
        <v>139</v>
      </c>
    </row>
    <row r="153" spans="2:9">
      <c r="B153" s="22" t="s">
        <v>140</v>
      </c>
    </row>
    <row r="154" spans="2:9">
      <c r="B154" t="s">
        <v>141</v>
      </c>
    </row>
    <row r="157" spans="2:9" ht="13.2" customHeight="1">
      <c r="B157" s="362" t="s">
        <v>152</v>
      </c>
      <c r="C157" s="362"/>
      <c r="D157" s="362"/>
      <c r="E157" s="362"/>
      <c r="F157" s="362"/>
      <c r="G157" s="362"/>
      <c r="H157" s="362"/>
      <c r="I157" s="362"/>
    </row>
    <row r="158" spans="2:9">
      <c r="B158" s="22"/>
      <c r="C158" s="22"/>
      <c r="D158" s="22"/>
      <c r="E158" s="22"/>
      <c r="F158" s="22"/>
      <c r="G158" s="22"/>
      <c r="H158" s="22"/>
    </row>
    <row r="159" spans="2:9">
      <c r="B159" s="363" t="s">
        <v>128</v>
      </c>
      <c r="C159" s="363"/>
      <c r="D159" s="363"/>
      <c r="E159" s="363"/>
      <c r="F159" s="363"/>
      <c r="G159" s="363"/>
      <c r="H159" s="363"/>
      <c r="I159" s="363"/>
    </row>
    <row r="160" spans="2:9" ht="15.6">
      <c r="B160" s="362" t="s">
        <v>129</v>
      </c>
      <c r="C160" s="362"/>
      <c r="D160" s="362"/>
      <c r="E160" s="362"/>
      <c r="F160" s="362"/>
      <c r="G160" s="362"/>
      <c r="H160" s="362"/>
      <c r="I160" s="362"/>
    </row>
    <row r="161" spans="2:9">
      <c r="B161" s="22"/>
      <c r="C161" s="22"/>
      <c r="D161" s="22"/>
      <c r="E161" s="22"/>
      <c r="F161" s="22"/>
      <c r="G161" s="22"/>
      <c r="H161" s="22"/>
    </row>
    <row r="162" spans="2:9" ht="13.8" thickBot="1">
      <c r="B162" s="22"/>
      <c r="C162" s="22"/>
      <c r="D162" s="19" t="s">
        <v>34</v>
      </c>
      <c r="E162" s="19" t="s">
        <v>35</v>
      </c>
      <c r="F162" s="19" t="s">
        <v>36</v>
      </c>
      <c r="G162" s="19" t="s">
        <v>37</v>
      </c>
      <c r="H162" s="19" t="s">
        <v>38</v>
      </c>
      <c r="I162" s="19" t="s">
        <v>39</v>
      </c>
    </row>
    <row r="163" spans="2:9" ht="52.8">
      <c r="B163" s="47" t="s">
        <v>44</v>
      </c>
      <c r="C163" s="47" t="s">
        <v>45</v>
      </c>
      <c r="D163" s="48" t="str">
        <f t="shared" ref="D163:D176" si="31">D70</f>
        <v>Projected 30-year U.S. Treasury bond yield 
(2023 - 2027)</v>
      </c>
      <c r="E163" s="49" t="s">
        <v>131</v>
      </c>
      <c r="F163" s="49" t="s">
        <v>132</v>
      </c>
      <c r="G163" s="49" t="s">
        <v>133</v>
      </c>
      <c r="H163" s="50" t="s">
        <v>134</v>
      </c>
      <c r="I163" s="50" t="s">
        <v>135</v>
      </c>
    </row>
    <row r="164" spans="2:9">
      <c r="B164" t="str">
        <f t="shared" ref="B164:C176" si="32">B9</f>
        <v>NiSource Inc.</v>
      </c>
      <c r="C164" t="str">
        <f t="shared" si="32"/>
        <v>NI</v>
      </c>
      <c r="D164" s="51">
        <f t="shared" si="31"/>
        <v>3.4000000000000002E-2</v>
      </c>
      <c r="E164" s="53">
        <f t="shared" ref="E164:E176" si="33">E102</f>
        <v>1.0132084688015484</v>
      </c>
      <c r="F164" s="51">
        <f t="shared" ref="F164:F176" si="34">F9</f>
        <v>0.12969404159360159</v>
      </c>
      <c r="G164" s="51">
        <f>F164-D164</f>
        <v>9.5694041593601592E-2</v>
      </c>
      <c r="H164" s="51">
        <f>IFERROR(G164*E164+D164,"")</f>
        <v>0.13095801335648477</v>
      </c>
      <c r="I164" s="288">
        <f>IFERROR((0.25*G164)+(0.75*E164*G164)+D164,"")</f>
        <v>0.13064202041576395</v>
      </c>
    </row>
    <row r="165" spans="2:9">
      <c r="B165" t="str">
        <f t="shared" si="32"/>
        <v>Alliant Energy Corporation</v>
      </c>
      <c r="C165" t="str">
        <f t="shared" si="32"/>
        <v>LNT</v>
      </c>
      <c r="D165" s="51">
        <f t="shared" si="31"/>
        <v>3.4000000000000002E-2</v>
      </c>
      <c r="E165" s="53">
        <f t="shared" si="33"/>
        <v>1.0374441373022709</v>
      </c>
      <c r="F165" s="51">
        <f t="shared" si="34"/>
        <v>0.12969404159360159</v>
      </c>
      <c r="G165" s="51">
        <f t="shared" ref="G165:G176" si="35">F165-D165</f>
        <v>9.5694041593601592E-2</v>
      </c>
      <c r="H165" s="51">
        <f t="shared" ref="H165:H176" si="36">IFERROR(G165*E165+D165,"")</f>
        <v>0.13327722242604162</v>
      </c>
      <c r="I165" s="51">
        <f t="shared" ref="I165:I176" si="37">IFERROR((0.25*G165)+(0.75*E165*G165)+D165,"")</f>
        <v>0.13238142721793164</v>
      </c>
    </row>
    <row r="166" spans="2:9">
      <c r="B166" t="str">
        <f t="shared" si="32"/>
        <v>Ameren Corporation</v>
      </c>
      <c r="C166" t="str">
        <f t="shared" si="32"/>
        <v>AEE</v>
      </c>
      <c r="D166" s="51">
        <f t="shared" si="31"/>
        <v>3.4000000000000002E-2</v>
      </c>
      <c r="E166" s="53">
        <f t="shared" si="33"/>
        <v>0.95871172976195129</v>
      </c>
      <c r="F166" s="51">
        <f t="shared" si="34"/>
        <v>0.12969404159360159</v>
      </c>
      <c r="G166" s="51">
        <f t="shared" si="35"/>
        <v>9.5694041593601592E-2</v>
      </c>
      <c r="H166" s="51">
        <f t="shared" si="36"/>
        <v>0.12574300014411388</v>
      </c>
      <c r="I166" s="51">
        <f t="shared" si="37"/>
        <v>0.12673076050648582</v>
      </c>
    </row>
    <row r="167" spans="2:9">
      <c r="B167" t="str">
        <f t="shared" si="32"/>
        <v>Avista Corporation</v>
      </c>
      <c r="C167" t="str">
        <f t="shared" si="32"/>
        <v>AVA</v>
      </c>
      <c r="D167" s="51">
        <f t="shared" si="31"/>
        <v>3.4000000000000002E-2</v>
      </c>
      <c r="E167" s="53">
        <f t="shared" si="33"/>
        <v>0.98220646606993445</v>
      </c>
      <c r="F167" s="51">
        <f t="shared" si="34"/>
        <v>0.12969404159360159</v>
      </c>
      <c r="G167" s="51">
        <f t="shared" si="35"/>
        <v>9.5694041593601592E-2</v>
      </c>
      <c r="H167" s="51">
        <f t="shared" si="36"/>
        <v>0.12799130641760076</v>
      </c>
      <c r="I167" s="51">
        <f t="shared" si="37"/>
        <v>0.12841699021160097</v>
      </c>
    </row>
    <row r="168" spans="2:9">
      <c r="B168" t="str">
        <f t="shared" si="32"/>
        <v>Black Hills Corporation</v>
      </c>
      <c r="C168" t="str">
        <f t="shared" si="32"/>
        <v>BKH</v>
      </c>
      <c r="D168" s="51">
        <f t="shared" si="31"/>
        <v>3.4000000000000002E-2</v>
      </c>
      <c r="E168" s="53">
        <f t="shared" si="33"/>
        <v>1.2244884901136905</v>
      </c>
      <c r="F168" s="51">
        <f t="shared" si="34"/>
        <v>0.12969404159360159</v>
      </c>
      <c r="G168" s="51">
        <f t="shared" si="35"/>
        <v>9.5694041593601592E-2</v>
      </c>
      <c r="H168" s="51">
        <f t="shared" si="36"/>
        <v>0.15117625250382594</v>
      </c>
      <c r="I168" s="51">
        <f t="shared" si="37"/>
        <v>0.14580569977626984</v>
      </c>
    </row>
    <row r="169" spans="2:9">
      <c r="B169" t="str">
        <f t="shared" si="32"/>
        <v>CMS Energy Corporation</v>
      </c>
      <c r="C169" t="str">
        <f t="shared" si="32"/>
        <v>CMS</v>
      </c>
      <c r="D169" s="51">
        <f t="shared" si="31"/>
        <v>3.4000000000000002E-2</v>
      </c>
      <c r="E169" s="53">
        <f t="shared" si="33"/>
        <v>0.98880555531362946</v>
      </c>
      <c r="F169" s="51">
        <f t="shared" si="34"/>
        <v>0.12969404159360159</v>
      </c>
      <c r="G169" s="51">
        <f t="shared" si="35"/>
        <v>9.5694041593601592E-2</v>
      </c>
      <c r="H169" s="51">
        <f t="shared" si="36"/>
        <v>0.12862279993816678</v>
      </c>
      <c r="I169" s="51">
        <f t="shared" si="37"/>
        <v>0.12889061035202548</v>
      </c>
    </row>
    <row r="170" spans="2:9">
      <c r="B170" t="str">
        <f t="shared" si="32"/>
        <v>Duke Energy Corporation</v>
      </c>
      <c r="C170" t="str">
        <f t="shared" si="32"/>
        <v>DUK</v>
      </c>
      <c r="D170" s="51">
        <f t="shared" si="31"/>
        <v>3.4000000000000002E-2</v>
      </c>
      <c r="E170" s="53">
        <f t="shared" si="33"/>
        <v>0.98006578625892316</v>
      </c>
      <c r="F170" s="51">
        <f t="shared" si="34"/>
        <v>0.12969404159360159</v>
      </c>
      <c r="G170" s="51">
        <f t="shared" si="35"/>
        <v>9.5694041593601592E-2</v>
      </c>
      <c r="H170" s="51">
        <f t="shared" si="36"/>
        <v>0.12778645611472725</v>
      </c>
      <c r="I170" s="51">
        <f t="shared" si="37"/>
        <v>0.12826335248444584</v>
      </c>
    </row>
    <row r="171" spans="2:9">
      <c r="B171" t="str">
        <f t="shared" si="32"/>
        <v>MGE Energy, Inc.</v>
      </c>
      <c r="C171" t="str">
        <f t="shared" si="32"/>
        <v>MGEE</v>
      </c>
      <c r="D171" s="51">
        <f t="shared" si="31"/>
        <v>3.4000000000000002E-2</v>
      </c>
      <c r="E171" s="53">
        <f t="shared" si="33"/>
        <v>0.79070791303878485</v>
      </c>
      <c r="F171" s="51">
        <f t="shared" si="34"/>
        <v>0.12969404159360159</v>
      </c>
      <c r="G171" s="51">
        <f t="shared" si="35"/>
        <v>9.5694041593601592E-2</v>
      </c>
      <c r="H171" s="51">
        <f t="shared" si="36"/>
        <v>0.10966603591872338</v>
      </c>
      <c r="I171" s="51">
        <f t="shared" si="37"/>
        <v>0.11467303733744294</v>
      </c>
    </row>
    <row r="172" spans="2:9">
      <c r="B172" t="str">
        <f t="shared" si="32"/>
        <v>NextEra Energy, Inc.</v>
      </c>
      <c r="C172" t="str">
        <f t="shared" si="32"/>
        <v>NEE</v>
      </c>
      <c r="D172" s="51">
        <f t="shared" si="31"/>
        <v>3.4000000000000002E-2</v>
      </c>
      <c r="E172" s="53">
        <f t="shared" si="33"/>
        <v>1.005644389274595</v>
      </c>
      <c r="F172" s="51">
        <f t="shared" si="34"/>
        <v>0.12969404159360159</v>
      </c>
      <c r="G172" s="51">
        <f t="shared" si="35"/>
        <v>9.5694041593601592E-2</v>
      </c>
      <c r="H172" s="51">
        <f t="shared" si="36"/>
        <v>0.13023417601561516</v>
      </c>
      <c r="I172" s="51">
        <f t="shared" si="37"/>
        <v>0.13009914241011178</v>
      </c>
    </row>
    <row r="173" spans="2:9">
      <c r="B173" t="str">
        <f t="shared" si="32"/>
        <v>NorthWestern Corporation</v>
      </c>
      <c r="C173" t="str">
        <f t="shared" si="32"/>
        <v>NWE</v>
      </c>
      <c r="D173" s="51">
        <f t="shared" si="31"/>
        <v>3.4000000000000002E-2</v>
      </c>
      <c r="E173" s="53">
        <f t="shared" si="33"/>
        <v>1.2693756497216717</v>
      </c>
      <c r="F173" s="51">
        <f t="shared" si="34"/>
        <v>0.12969404159360159</v>
      </c>
      <c r="G173" s="51">
        <f t="shared" si="35"/>
        <v>9.5694041593601592E-2</v>
      </c>
      <c r="H173" s="51">
        <f t="shared" si="36"/>
        <v>0.1554716862223707</v>
      </c>
      <c r="I173" s="51">
        <f t="shared" si="37"/>
        <v>0.14902727506517843</v>
      </c>
    </row>
    <row r="174" spans="2:9">
      <c r="B174" t="str">
        <f t="shared" si="32"/>
        <v>Southern Company</v>
      </c>
      <c r="C174" t="str">
        <f t="shared" si="32"/>
        <v>SO</v>
      </c>
      <c r="D174" s="51">
        <f t="shared" si="31"/>
        <v>3.4000000000000002E-2</v>
      </c>
      <c r="E174" s="53">
        <f t="shared" si="33"/>
        <v>1.1065270975307429</v>
      </c>
      <c r="F174" s="51">
        <f t="shared" si="34"/>
        <v>0.12969404159360159</v>
      </c>
      <c r="G174" s="51">
        <f t="shared" si="35"/>
        <v>9.5694041593601592E-2</v>
      </c>
      <c r="H174" s="51">
        <f t="shared" si="36"/>
        <v>0.13988805009555416</v>
      </c>
      <c r="I174" s="51">
        <f t="shared" si="37"/>
        <v>0.13733954797006601</v>
      </c>
    </row>
    <row r="175" spans="2:9">
      <c r="B175" t="str">
        <f t="shared" si="32"/>
        <v>Wisconsin Energy Corporation</v>
      </c>
      <c r="C175" t="str">
        <f t="shared" si="32"/>
        <v>WEC</v>
      </c>
      <c r="D175" s="51">
        <f t="shared" si="31"/>
        <v>3.4000000000000002E-2</v>
      </c>
      <c r="E175" s="53">
        <f t="shared" si="33"/>
        <v>0.98898826716952459</v>
      </c>
      <c r="F175" s="51">
        <f t="shared" si="34"/>
        <v>0.12969404159360159</v>
      </c>
      <c r="G175" s="51">
        <f t="shared" si="35"/>
        <v>9.5694041593601592E-2</v>
      </c>
      <c r="H175" s="51">
        <f t="shared" si="36"/>
        <v>0.12864028437410446</v>
      </c>
      <c r="I175" s="51">
        <f t="shared" si="37"/>
        <v>0.12890372367897873</v>
      </c>
    </row>
    <row r="176" spans="2:9">
      <c r="B176" t="str">
        <f t="shared" si="32"/>
        <v>Xcel Energy Inc.</v>
      </c>
      <c r="C176" t="str">
        <f t="shared" si="32"/>
        <v>XEL</v>
      </c>
      <c r="D176" s="51">
        <f t="shared" si="31"/>
        <v>3.4000000000000002E-2</v>
      </c>
      <c r="E176" s="53">
        <f t="shared" si="33"/>
        <v>0.99443067218734804</v>
      </c>
      <c r="F176" s="51">
        <f t="shared" si="34"/>
        <v>0.12969404159360159</v>
      </c>
      <c r="G176" s="51">
        <f t="shared" si="35"/>
        <v>9.5694041593601592E-2</v>
      </c>
      <c r="H176" s="51">
        <f t="shared" si="36"/>
        <v>0.12916109010624927</v>
      </c>
      <c r="I176" s="289">
        <f t="shared" si="37"/>
        <v>0.12929432797808735</v>
      </c>
    </row>
    <row r="177" spans="2:9" ht="13.8" thickBot="1">
      <c r="B177" s="54" t="s">
        <v>15</v>
      </c>
      <c r="C177" s="54"/>
      <c r="D177" s="54"/>
      <c r="E177" s="54"/>
      <c r="F177" s="54"/>
      <c r="G177" s="54"/>
      <c r="H177" s="55">
        <f>AVERAGE(H164:H176)</f>
        <v>0.13220125951027523</v>
      </c>
      <c r="I177" s="55">
        <f>AVERAGE(I164:I176)</f>
        <v>0.13157445503110685</v>
      </c>
    </row>
    <row r="179" spans="2:9">
      <c r="B179" s="282" t="s">
        <v>31</v>
      </c>
    </row>
    <row r="180" spans="2:9">
      <c r="B180" s="22" t="str">
        <f>B87</f>
        <v>[1] Source: Blue Chip Financial Forecasts, Vol. 40, No. 12, December 1, 2021, at 14</v>
      </c>
    </row>
    <row r="181" spans="2:9">
      <c r="B181" s="22" t="str">
        <f>B119</f>
        <v>[2] Source: Bloomberg Professional, based on 10-year weekly returns</v>
      </c>
    </row>
    <row r="182" spans="2:9">
      <c r="B182" s="28" t="str">
        <f>B27</f>
        <v>[3] Source: Direct Exhibit AEB-6</v>
      </c>
    </row>
    <row r="183" spans="2:9">
      <c r="B183" s="22" t="s">
        <v>139</v>
      </c>
    </row>
    <row r="184" spans="2:9">
      <c r="B184" s="22" t="s">
        <v>140</v>
      </c>
    </row>
    <row r="185" spans="2:9">
      <c r="B185" t="s">
        <v>141</v>
      </c>
    </row>
    <row r="188" spans="2:9" ht="13.2" customHeight="1">
      <c r="B188" s="362" t="s">
        <v>153</v>
      </c>
      <c r="C188" s="362"/>
      <c r="D188" s="362"/>
      <c r="E188" s="362"/>
      <c r="F188" s="362"/>
      <c r="G188" s="362"/>
      <c r="H188" s="362"/>
      <c r="I188" s="362"/>
    </row>
    <row r="189" spans="2:9">
      <c r="B189" s="22"/>
      <c r="C189" s="22"/>
      <c r="D189" s="22"/>
      <c r="E189" s="22"/>
      <c r="F189" s="22"/>
      <c r="G189" s="22"/>
      <c r="H189" s="22"/>
    </row>
    <row r="190" spans="2:9">
      <c r="B190" s="363" t="s">
        <v>128</v>
      </c>
      <c r="C190" s="363"/>
      <c r="D190" s="363"/>
      <c r="E190" s="363"/>
      <c r="F190" s="363"/>
      <c r="G190" s="363"/>
      <c r="H190" s="363"/>
      <c r="I190" s="363"/>
    </row>
    <row r="191" spans="2:9" ht="15.6">
      <c r="B191" s="362" t="s">
        <v>129</v>
      </c>
      <c r="C191" s="362"/>
      <c r="D191" s="362"/>
      <c r="E191" s="362"/>
      <c r="F191" s="362"/>
      <c r="G191" s="362"/>
      <c r="H191" s="362"/>
      <c r="I191" s="362"/>
    </row>
    <row r="192" spans="2:9">
      <c r="B192" s="22"/>
      <c r="C192" s="22"/>
      <c r="D192" s="22"/>
      <c r="E192" s="22"/>
      <c r="F192" s="22"/>
      <c r="G192" s="22"/>
      <c r="H192" s="22"/>
    </row>
    <row r="193" spans="2:9" ht="13.8" thickBot="1">
      <c r="B193" s="22"/>
      <c r="C193" s="22"/>
      <c r="D193" s="19" t="s">
        <v>34</v>
      </c>
      <c r="E193" s="19" t="s">
        <v>35</v>
      </c>
      <c r="F193" s="19" t="s">
        <v>36</v>
      </c>
      <c r="G193" s="19" t="s">
        <v>37</v>
      </c>
      <c r="H193" s="19" t="s">
        <v>38</v>
      </c>
      <c r="I193" s="19" t="s">
        <v>39</v>
      </c>
    </row>
    <row r="194" spans="2:9" ht="52.8">
      <c r="B194" s="47" t="s">
        <v>44</v>
      </c>
      <c r="C194" s="47" t="s">
        <v>45</v>
      </c>
      <c r="D194" s="48" t="s">
        <v>130</v>
      </c>
      <c r="E194" s="49" t="s">
        <v>131</v>
      </c>
      <c r="F194" s="49" t="s">
        <v>132</v>
      </c>
      <c r="G194" s="49" t="s">
        <v>133</v>
      </c>
      <c r="H194" s="50" t="s">
        <v>134</v>
      </c>
      <c r="I194" s="50" t="s">
        <v>135</v>
      </c>
    </row>
    <row r="195" spans="2:9">
      <c r="B195" t="str">
        <f>B102</f>
        <v>NiSource Inc.</v>
      </c>
      <c r="C195" s="56" t="str">
        <f t="shared" ref="B195:D207" si="38">C102</f>
        <v>NI</v>
      </c>
      <c r="D195" s="51">
        <f t="shared" si="38"/>
        <v>1.9706666666666664E-2</v>
      </c>
      <c r="E195" s="290">
        <f>'AEB-6 CAPM LT Beta'!M7</f>
        <v>0.73124999999999996</v>
      </c>
      <c r="F195" s="51">
        <f t="shared" ref="F195:F207" si="39">F102</f>
        <v>0.12969404159360159</v>
      </c>
      <c r="G195" s="51">
        <f>F195-D195</f>
        <v>0.10998737492693493</v>
      </c>
      <c r="H195" s="51">
        <f>IFERROR(G195*E195+D195,"")</f>
        <v>0.10013493458198783</v>
      </c>
      <c r="I195" s="288">
        <f>IFERROR((0.25*G195)+(0.75*E195*G195)+D195,"")</f>
        <v>0.10752471133489126</v>
      </c>
    </row>
    <row r="196" spans="2:9">
      <c r="B196" t="str">
        <f t="shared" si="38"/>
        <v>Alliant Energy Corporation</v>
      </c>
      <c r="C196" s="56" t="str">
        <f t="shared" si="38"/>
        <v>LNT</v>
      </c>
      <c r="D196" s="51">
        <f t="shared" si="38"/>
        <v>1.9706666666666664E-2</v>
      </c>
      <c r="E196" s="53">
        <f>'AEB-6 CAPM LT Beta'!M8</f>
        <v>0.72499999999999987</v>
      </c>
      <c r="F196" s="51">
        <f t="shared" si="39"/>
        <v>0.12969404159360159</v>
      </c>
      <c r="G196" s="51">
        <f t="shared" ref="G196:G207" si="40">F196-D196</f>
        <v>0.10998737492693493</v>
      </c>
      <c r="H196" s="51">
        <f t="shared" ref="H196:H207" si="41">IFERROR(G196*E196+D196,"")</f>
        <v>9.9447513488694475E-2</v>
      </c>
      <c r="I196" s="51">
        <f t="shared" ref="I196:I207" si="42">IFERROR((0.25*G196)+(0.75*E196*G196)+D196,"")</f>
        <v>0.10700914551492126</v>
      </c>
    </row>
    <row r="197" spans="2:9">
      <c r="B197" t="str">
        <f t="shared" si="38"/>
        <v>Ameren Corporation</v>
      </c>
      <c r="C197" s="56" t="str">
        <f t="shared" si="38"/>
        <v>AEE</v>
      </c>
      <c r="D197" s="51">
        <f t="shared" si="38"/>
        <v>1.9706666666666664E-2</v>
      </c>
      <c r="E197" s="53">
        <f>'AEB-6 CAPM LT Beta'!M9</f>
        <v>0.72</v>
      </c>
      <c r="F197" s="51">
        <f t="shared" si="39"/>
        <v>0.12969404159360159</v>
      </c>
      <c r="G197" s="51">
        <f t="shared" si="40"/>
        <v>0.10998737492693493</v>
      </c>
      <c r="H197" s="51">
        <f t="shared" si="41"/>
        <v>9.8897576614059818E-2</v>
      </c>
      <c r="I197" s="51">
        <f t="shared" si="42"/>
        <v>0.10659669285894527</v>
      </c>
    </row>
    <row r="198" spans="2:9">
      <c r="B198" t="str">
        <f t="shared" si="38"/>
        <v>Avista Corporation</v>
      </c>
      <c r="C198" s="56" t="str">
        <f t="shared" si="38"/>
        <v>AVA</v>
      </c>
      <c r="D198" s="51">
        <f t="shared" si="38"/>
        <v>1.9706666666666664E-2</v>
      </c>
      <c r="E198" s="53">
        <f>'AEB-6 CAPM LT Beta'!M10</f>
        <v>0.73</v>
      </c>
      <c r="F198" s="51">
        <f t="shared" si="39"/>
        <v>0.12969404159360159</v>
      </c>
      <c r="G198" s="51">
        <f t="shared" si="40"/>
        <v>0.10998737492693493</v>
      </c>
      <c r="H198" s="51">
        <f t="shared" si="41"/>
        <v>9.999745036332916E-2</v>
      </c>
      <c r="I198" s="51">
        <f t="shared" si="42"/>
        <v>0.10742159817089728</v>
      </c>
    </row>
    <row r="199" spans="2:9">
      <c r="B199" t="str">
        <f t="shared" si="38"/>
        <v>Black Hills Corporation</v>
      </c>
      <c r="C199" s="56" t="str">
        <f t="shared" si="38"/>
        <v>BKH</v>
      </c>
      <c r="D199" s="51">
        <f t="shared" si="38"/>
        <v>1.9706666666666664E-2</v>
      </c>
      <c r="E199" s="53">
        <f>'AEB-6 CAPM LT Beta'!M11</f>
        <v>0.86</v>
      </c>
      <c r="F199" s="51">
        <f t="shared" si="39"/>
        <v>0.12969404159360159</v>
      </c>
      <c r="G199" s="51">
        <f t="shared" si="40"/>
        <v>0.10998737492693493</v>
      </c>
      <c r="H199" s="51">
        <f t="shared" si="41"/>
        <v>0.11429580910383071</v>
      </c>
      <c r="I199" s="51">
        <f t="shared" si="42"/>
        <v>0.11814536722627343</v>
      </c>
    </row>
    <row r="200" spans="2:9">
      <c r="B200" t="str">
        <f t="shared" si="38"/>
        <v>CMS Energy Corporation</v>
      </c>
      <c r="C200" s="56" t="str">
        <f t="shared" si="38"/>
        <v>CMS</v>
      </c>
      <c r="D200" s="51">
        <f t="shared" si="38"/>
        <v>1.9706666666666664E-2</v>
      </c>
      <c r="E200" s="53">
        <f>'AEB-6 CAPM LT Beta'!M12</f>
        <v>0.68</v>
      </c>
      <c r="F200" s="51">
        <f t="shared" si="39"/>
        <v>0.12969404159360159</v>
      </c>
      <c r="G200" s="51">
        <f t="shared" si="40"/>
        <v>0.10998737492693493</v>
      </c>
      <c r="H200" s="51">
        <f t="shared" si="41"/>
        <v>9.4498081616982421E-2</v>
      </c>
      <c r="I200" s="51">
        <f t="shared" si="42"/>
        <v>0.10329707161113721</v>
      </c>
    </row>
    <row r="201" spans="2:9">
      <c r="B201" t="str">
        <f t="shared" si="38"/>
        <v>Duke Energy Corporation</v>
      </c>
      <c r="C201" s="56" t="str">
        <f t="shared" si="38"/>
        <v>DUK</v>
      </c>
      <c r="D201" s="51">
        <f t="shared" si="38"/>
        <v>1.9706666666666664E-2</v>
      </c>
      <c r="E201" s="53">
        <f>'AEB-6 CAPM LT Beta'!M13</f>
        <v>0.61999999999999988</v>
      </c>
      <c r="F201" s="51">
        <f t="shared" si="39"/>
        <v>0.12969404159360159</v>
      </c>
      <c r="G201" s="51">
        <f t="shared" si="40"/>
        <v>0.10998737492693493</v>
      </c>
      <c r="H201" s="51">
        <f t="shared" si="41"/>
        <v>8.7898839121366312E-2</v>
      </c>
      <c r="I201" s="51">
        <f t="shared" si="42"/>
        <v>9.8347639739425133E-2</v>
      </c>
    </row>
    <row r="202" spans="2:9">
      <c r="B202" t="str">
        <f t="shared" si="38"/>
        <v>MGE Energy, Inc.</v>
      </c>
      <c r="C202" s="56" t="str">
        <f t="shared" si="38"/>
        <v>MGEE</v>
      </c>
      <c r="D202" s="51">
        <f t="shared" si="38"/>
        <v>1.9706666666666664E-2</v>
      </c>
      <c r="E202" s="53">
        <f>'AEB-6 CAPM LT Beta'!M14</f>
        <v>0.65999999999999992</v>
      </c>
      <c r="F202" s="51">
        <f t="shared" si="39"/>
        <v>0.12969404159360159</v>
      </c>
      <c r="G202" s="51">
        <f t="shared" si="40"/>
        <v>0.10998737492693493</v>
      </c>
      <c r="H202" s="51">
        <f t="shared" si="41"/>
        <v>9.2298334118443709E-2</v>
      </c>
      <c r="I202" s="51">
        <f t="shared" si="42"/>
        <v>0.10164726098723319</v>
      </c>
    </row>
    <row r="203" spans="2:9">
      <c r="B203" t="str">
        <f t="shared" si="38"/>
        <v>NextEra Energy, Inc.</v>
      </c>
      <c r="C203" s="56" t="str">
        <f t="shared" si="38"/>
        <v>NEE</v>
      </c>
      <c r="D203" s="51">
        <f t="shared" si="38"/>
        <v>1.9706666666666664E-2</v>
      </c>
      <c r="E203" s="53">
        <f>'AEB-6 CAPM LT Beta'!M15</f>
        <v>0.69000000000000006</v>
      </c>
      <c r="F203" s="51">
        <f t="shared" si="39"/>
        <v>0.12969404159360159</v>
      </c>
      <c r="G203" s="51">
        <f t="shared" si="40"/>
        <v>0.10998737492693493</v>
      </c>
      <c r="H203" s="51">
        <f t="shared" si="41"/>
        <v>9.5597955366251777E-2</v>
      </c>
      <c r="I203" s="51">
        <f t="shared" si="42"/>
        <v>0.10412197692308924</v>
      </c>
    </row>
    <row r="204" spans="2:9">
      <c r="B204" t="str">
        <f t="shared" si="38"/>
        <v>NorthWestern Corporation</v>
      </c>
      <c r="C204" s="56" t="str">
        <f t="shared" si="38"/>
        <v>NWE</v>
      </c>
      <c r="D204" s="51">
        <f t="shared" si="38"/>
        <v>1.9706666666666664E-2</v>
      </c>
      <c r="E204" s="53">
        <f>'AEB-6 CAPM LT Beta'!M16</f>
        <v>0.7</v>
      </c>
      <c r="F204" s="51">
        <f t="shared" si="39"/>
        <v>0.12969404159360159</v>
      </c>
      <c r="G204" s="51">
        <f t="shared" si="40"/>
        <v>0.10998737492693493</v>
      </c>
      <c r="H204" s="51">
        <f t="shared" si="41"/>
        <v>9.6697829115521106E-2</v>
      </c>
      <c r="I204" s="51">
        <f t="shared" si="42"/>
        <v>0.10494688223504123</v>
      </c>
    </row>
    <row r="205" spans="2:9">
      <c r="B205" t="str">
        <f t="shared" si="38"/>
        <v>Southern Company</v>
      </c>
      <c r="C205" s="56" t="str">
        <f t="shared" si="38"/>
        <v>SO</v>
      </c>
      <c r="D205" s="51">
        <f t="shared" si="38"/>
        <v>1.9706666666666664E-2</v>
      </c>
      <c r="E205" s="53">
        <f>'AEB-6 CAPM LT Beta'!M17</f>
        <v>0.58000000000000007</v>
      </c>
      <c r="F205" s="51">
        <f t="shared" si="39"/>
        <v>0.12969404159360159</v>
      </c>
      <c r="G205" s="51">
        <f t="shared" si="40"/>
        <v>0.10998737492693493</v>
      </c>
      <c r="H205" s="51">
        <f t="shared" si="41"/>
        <v>8.3499344124288929E-2</v>
      </c>
      <c r="I205" s="51">
        <f t="shared" si="42"/>
        <v>9.5048018491617092E-2</v>
      </c>
    </row>
    <row r="206" spans="2:9">
      <c r="B206" t="str">
        <f t="shared" si="38"/>
        <v>Wisconsin Energy Corporation</v>
      </c>
      <c r="C206" s="56" t="str">
        <f t="shared" si="38"/>
        <v>WEC</v>
      </c>
      <c r="D206" s="51">
        <f t="shared" si="38"/>
        <v>1.9706666666666664E-2</v>
      </c>
      <c r="E206" s="53">
        <f>'AEB-6 CAPM LT Beta'!M18</f>
        <v>0.625</v>
      </c>
      <c r="F206" s="51">
        <f t="shared" si="39"/>
        <v>0.12969404159360159</v>
      </c>
      <c r="G206" s="51">
        <f t="shared" si="40"/>
        <v>0.10998737492693493</v>
      </c>
      <c r="H206" s="51">
        <f t="shared" si="41"/>
        <v>8.8448775996000997E-2</v>
      </c>
      <c r="I206" s="51">
        <f t="shared" si="42"/>
        <v>9.876009239540115E-2</v>
      </c>
    </row>
    <row r="207" spans="2:9">
      <c r="B207" t="str">
        <f t="shared" si="38"/>
        <v>Xcel Energy Inc.</v>
      </c>
      <c r="C207" s="56" t="str">
        <f t="shared" si="38"/>
        <v>XEL</v>
      </c>
      <c r="D207" s="51">
        <f t="shared" si="38"/>
        <v>1.9706666666666664E-2</v>
      </c>
      <c r="E207" s="291">
        <f>'AEB-6 CAPM LT Beta'!M19</f>
        <v>0.63500000000000001</v>
      </c>
      <c r="F207" s="51">
        <f t="shared" si="39"/>
        <v>0.12969404159360159</v>
      </c>
      <c r="G207" s="51">
        <f t="shared" si="40"/>
        <v>0.10998737492693493</v>
      </c>
      <c r="H207" s="51">
        <f t="shared" si="41"/>
        <v>8.9548649745270339E-2</v>
      </c>
      <c r="I207" s="289">
        <f t="shared" si="42"/>
        <v>9.9584997707353157E-2</v>
      </c>
    </row>
    <row r="208" spans="2:9" ht="13.8" thickBot="1">
      <c r="B208" s="54" t="s">
        <v>15</v>
      </c>
      <c r="C208" s="54"/>
      <c r="D208" s="54"/>
      <c r="E208" s="54"/>
      <c r="F208" s="54"/>
      <c r="G208" s="54"/>
      <c r="H208" s="55">
        <f>AVERAGE(H195:H207)</f>
        <v>9.5481622565848287E-2</v>
      </c>
      <c r="I208" s="55">
        <f>AVERAGE(I195:I207)</f>
        <v>0.10403472732278661</v>
      </c>
    </row>
    <row r="210" spans="2:9">
      <c r="B210" s="282" t="s">
        <v>31</v>
      </c>
    </row>
    <row r="211" spans="2:9">
      <c r="B211" s="22" t="str">
        <f>B118</f>
        <v>[1] Source: Bloomberg Professional, as of November 30, 2021</v>
      </c>
    </row>
    <row r="212" spans="2:9">
      <c r="B212" s="28" t="s">
        <v>154</v>
      </c>
    </row>
    <row r="213" spans="2:9">
      <c r="B213" s="28" t="str">
        <f>B120</f>
        <v>[3] Source: Direct Exhibit AEB-6</v>
      </c>
    </row>
    <row r="214" spans="2:9">
      <c r="B214" s="22" t="s">
        <v>139</v>
      </c>
    </row>
    <row r="215" spans="2:9">
      <c r="B215" s="22" t="s">
        <v>140</v>
      </c>
    </row>
    <row r="216" spans="2:9">
      <c r="B216" t="s">
        <v>141</v>
      </c>
    </row>
    <row r="219" spans="2:9" ht="13.2" customHeight="1">
      <c r="B219" s="362" t="s">
        <v>155</v>
      </c>
      <c r="C219" s="362"/>
      <c r="D219" s="362"/>
      <c r="E219" s="362"/>
      <c r="F219" s="362"/>
      <c r="G219" s="362"/>
      <c r="H219" s="362"/>
      <c r="I219" s="362"/>
    </row>
    <row r="220" spans="2:9">
      <c r="B220" s="22"/>
      <c r="C220" s="22"/>
      <c r="D220" s="22"/>
      <c r="E220" s="22"/>
      <c r="F220" s="22"/>
      <c r="G220" s="22"/>
      <c r="H220" s="22"/>
    </row>
    <row r="221" spans="2:9">
      <c r="B221" s="363" t="s">
        <v>128</v>
      </c>
      <c r="C221" s="363"/>
      <c r="D221" s="363"/>
      <c r="E221" s="363"/>
      <c r="F221" s="363"/>
      <c r="G221" s="363"/>
      <c r="H221" s="363"/>
      <c r="I221" s="363"/>
    </row>
    <row r="222" spans="2:9" ht="15.6">
      <c r="B222" s="362" t="s">
        <v>129</v>
      </c>
      <c r="C222" s="362"/>
      <c r="D222" s="362"/>
      <c r="E222" s="362"/>
      <c r="F222" s="362"/>
      <c r="G222" s="362"/>
      <c r="H222" s="362"/>
      <c r="I222" s="362"/>
    </row>
    <row r="223" spans="2:9">
      <c r="B223" s="22"/>
      <c r="C223" s="22"/>
      <c r="D223" s="22"/>
      <c r="E223" s="22"/>
      <c r="F223" s="22"/>
      <c r="G223" s="22"/>
      <c r="H223" s="22"/>
    </row>
    <row r="224" spans="2:9" ht="13.8" thickBot="1">
      <c r="B224" s="22"/>
      <c r="C224" s="22"/>
      <c r="D224" s="19" t="s">
        <v>34</v>
      </c>
      <c r="E224" s="19" t="s">
        <v>35</v>
      </c>
      <c r="F224" s="19" t="s">
        <v>36</v>
      </c>
      <c r="G224" s="19" t="s">
        <v>37</v>
      </c>
      <c r="H224" s="19" t="s">
        <v>38</v>
      </c>
      <c r="I224" s="19" t="s">
        <v>39</v>
      </c>
    </row>
    <row r="225" spans="2:9" ht="52.8">
      <c r="B225" s="47" t="s">
        <v>44</v>
      </c>
      <c r="C225" s="47" t="s">
        <v>45</v>
      </c>
      <c r="D225" s="48" t="str">
        <f t="shared" ref="D225:D238" si="43">D132</f>
        <v>Near-term projected 30-year U.S. Treasury bond yield 
(Q1 2022 - Q1 2023)</v>
      </c>
      <c r="E225" s="49" t="s">
        <v>131</v>
      </c>
      <c r="F225" s="49" t="s">
        <v>132</v>
      </c>
      <c r="G225" s="49" t="s">
        <v>133</v>
      </c>
      <c r="H225" s="50" t="s">
        <v>134</v>
      </c>
      <c r="I225" s="50" t="s">
        <v>135</v>
      </c>
    </row>
    <row r="226" spans="2:9">
      <c r="B226" t="str">
        <f t="shared" ref="B226:C238" si="44">B102</f>
        <v>NiSource Inc.</v>
      </c>
      <c r="C226" t="str">
        <f t="shared" si="44"/>
        <v>NI</v>
      </c>
      <c r="D226" s="51">
        <f t="shared" si="43"/>
        <v>2.46E-2</v>
      </c>
      <c r="E226" s="290">
        <f t="shared" ref="E226:E238" si="45">E195</f>
        <v>0.73124999999999996</v>
      </c>
      <c r="F226" s="51">
        <f t="shared" ref="F226:F238" si="46">F102</f>
        <v>0.12969404159360159</v>
      </c>
      <c r="G226" s="51">
        <f>F226-D226</f>
        <v>0.1050940415936016</v>
      </c>
      <c r="H226" s="51">
        <f>IFERROR(G226*E226+D226,"")</f>
        <v>0.10145001791532116</v>
      </c>
      <c r="I226" s="288">
        <f>IFERROR((0.25*G226)+(0.75*E226*G226)+D226,"")</f>
        <v>0.10851102383489127</v>
      </c>
    </row>
    <row r="227" spans="2:9">
      <c r="B227" t="str">
        <f t="shared" si="44"/>
        <v>Alliant Energy Corporation</v>
      </c>
      <c r="C227" t="str">
        <f t="shared" si="44"/>
        <v>LNT</v>
      </c>
      <c r="D227" s="51">
        <f t="shared" si="43"/>
        <v>2.46E-2</v>
      </c>
      <c r="E227" s="53">
        <f t="shared" si="45"/>
        <v>0.72499999999999987</v>
      </c>
      <c r="F227" s="51">
        <f t="shared" si="46"/>
        <v>0.12969404159360159</v>
      </c>
      <c r="G227" s="51">
        <f t="shared" ref="G227:G238" si="47">F227-D227</f>
        <v>0.1050940415936016</v>
      </c>
      <c r="H227" s="51">
        <f t="shared" ref="H227:H238" si="48">IFERROR(G227*E227+D227,"")</f>
        <v>0.10079318015536114</v>
      </c>
      <c r="I227" s="51">
        <f t="shared" ref="I227:I238" si="49">IFERROR((0.25*G227)+(0.75*E227*G227)+D227,"")</f>
        <v>0.10801839551492126</v>
      </c>
    </row>
    <row r="228" spans="2:9">
      <c r="B228" t="str">
        <f t="shared" si="44"/>
        <v>Ameren Corporation</v>
      </c>
      <c r="C228" t="str">
        <f t="shared" si="44"/>
        <v>AEE</v>
      </c>
      <c r="D228" s="51">
        <f t="shared" si="43"/>
        <v>2.46E-2</v>
      </c>
      <c r="E228" s="53">
        <f t="shared" si="45"/>
        <v>0.72</v>
      </c>
      <c r="F228" s="51">
        <f t="shared" si="46"/>
        <v>0.12969404159360159</v>
      </c>
      <c r="G228" s="51">
        <f t="shared" si="47"/>
        <v>0.1050940415936016</v>
      </c>
      <c r="H228" s="51">
        <f t="shared" si="48"/>
        <v>0.10026770994739315</v>
      </c>
      <c r="I228" s="51">
        <f t="shared" si="49"/>
        <v>0.10762429285894526</v>
      </c>
    </row>
    <row r="229" spans="2:9">
      <c r="B229" t="str">
        <f t="shared" si="44"/>
        <v>Avista Corporation</v>
      </c>
      <c r="C229" t="str">
        <f t="shared" si="44"/>
        <v>AVA</v>
      </c>
      <c r="D229" s="51">
        <f t="shared" si="43"/>
        <v>2.46E-2</v>
      </c>
      <c r="E229" s="53">
        <f t="shared" si="45"/>
        <v>0.73</v>
      </c>
      <c r="F229" s="51">
        <f t="shared" si="46"/>
        <v>0.12969404159360159</v>
      </c>
      <c r="G229" s="51">
        <f t="shared" si="47"/>
        <v>0.1050940415936016</v>
      </c>
      <c r="H229" s="51">
        <f t="shared" si="48"/>
        <v>0.10131865036332915</v>
      </c>
      <c r="I229" s="51">
        <f t="shared" si="49"/>
        <v>0.10841249817089726</v>
      </c>
    </row>
    <row r="230" spans="2:9">
      <c r="B230" t="str">
        <f t="shared" si="44"/>
        <v>Black Hills Corporation</v>
      </c>
      <c r="C230" t="str">
        <f t="shared" si="44"/>
        <v>BKH</v>
      </c>
      <c r="D230" s="51">
        <f t="shared" si="43"/>
        <v>2.46E-2</v>
      </c>
      <c r="E230" s="53">
        <f t="shared" si="45"/>
        <v>0.86</v>
      </c>
      <c r="F230" s="51">
        <f t="shared" si="46"/>
        <v>0.12969404159360159</v>
      </c>
      <c r="G230" s="51">
        <f t="shared" si="47"/>
        <v>0.1050940415936016</v>
      </c>
      <c r="H230" s="51">
        <f t="shared" si="48"/>
        <v>0.11498087577049737</v>
      </c>
      <c r="I230" s="51">
        <f t="shared" si="49"/>
        <v>0.11865916722627343</v>
      </c>
    </row>
    <row r="231" spans="2:9">
      <c r="B231" t="str">
        <f t="shared" si="44"/>
        <v>CMS Energy Corporation</v>
      </c>
      <c r="C231" t="str">
        <f t="shared" si="44"/>
        <v>CMS</v>
      </c>
      <c r="D231" s="51">
        <f t="shared" si="43"/>
        <v>2.46E-2</v>
      </c>
      <c r="E231" s="53">
        <f t="shared" si="45"/>
        <v>0.68</v>
      </c>
      <c r="F231" s="51">
        <f t="shared" si="46"/>
        <v>0.12969404159360159</v>
      </c>
      <c r="G231" s="51">
        <f t="shared" si="47"/>
        <v>0.1050940415936016</v>
      </c>
      <c r="H231" s="51">
        <f t="shared" si="48"/>
        <v>9.6063948283649087E-2</v>
      </c>
      <c r="I231" s="51">
        <f t="shared" si="49"/>
        <v>0.10447147161113721</v>
      </c>
    </row>
    <row r="232" spans="2:9">
      <c r="B232" t="str">
        <f t="shared" si="44"/>
        <v>Duke Energy Corporation</v>
      </c>
      <c r="C232" t="str">
        <f t="shared" si="44"/>
        <v>DUK</v>
      </c>
      <c r="D232" s="51">
        <f t="shared" si="43"/>
        <v>2.46E-2</v>
      </c>
      <c r="E232" s="53">
        <f t="shared" si="45"/>
        <v>0.61999999999999988</v>
      </c>
      <c r="F232" s="51">
        <f t="shared" si="46"/>
        <v>0.12969404159360159</v>
      </c>
      <c r="G232" s="51">
        <f t="shared" si="47"/>
        <v>0.1050940415936016</v>
      </c>
      <c r="H232" s="51">
        <f t="shared" si="48"/>
        <v>8.9758305788032969E-2</v>
      </c>
      <c r="I232" s="51">
        <f t="shared" si="49"/>
        <v>9.9742239739425129E-2</v>
      </c>
    </row>
    <row r="233" spans="2:9">
      <c r="B233" t="str">
        <f t="shared" si="44"/>
        <v>MGE Energy, Inc.</v>
      </c>
      <c r="C233" t="str">
        <f t="shared" si="44"/>
        <v>MGEE</v>
      </c>
      <c r="D233" s="51">
        <f t="shared" si="43"/>
        <v>2.46E-2</v>
      </c>
      <c r="E233" s="53">
        <f t="shared" si="45"/>
        <v>0.65999999999999992</v>
      </c>
      <c r="F233" s="51">
        <f t="shared" si="46"/>
        <v>0.12969404159360159</v>
      </c>
      <c r="G233" s="51">
        <f t="shared" si="47"/>
        <v>0.1050940415936016</v>
      </c>
      <c r="H233" s="51">
        <f t="shared" si="48"/>
        <v>9.3962067451777043E-2</v>
      </c>
      <c r="I233" s="51">
        <f t="shared" si="49"/>
        <v>0.10289506098723318</v>
      </c>
    </row>
    <row r="234" spans="2:9">
      <c r="B234" t="str">
        <f t="shared" si="44"/>
        <v>NextEra Energy, Inc.</v>
      </c>
      <c r="C234" t="str">
        <f t="shared" si="44"/>
        <v>NEE</v>
      </c>
      <c r="D234" s="51">
        <f t="shared" si="43"/>
        <v>2.46E-2</v>
      </c>
      <c r="E234" s="53">
        <f t="shared" si="45"/>
        <v>0.69000000000000006</v>
      </c>
      <c r="F234" s="51">
        <f t="shared" si="46"/>
        <v>0.12969404159360159</v>
      </c>
      <c r="G234" s="51">
        <f t="shared" si="47"/>
        <v>0.1050940415936016</v>
      </c>
      <c r="H234" s="51">
        <f t="shared" si="48"/>
        <v>9.7114888699585109E-2</v>
      </c>
      <c r="I234" s="51">
        <f t="shared" si="49"/>
        <v>0.10525967692308923</v>
      </c>
    </row>
    <row r="235" spans="2:9">
      <c r="B235" t="str">
        <f t="shared" si="44"/>
        <v>NorthWestern Corporation</v>
      </c>
      <c r="C235" t="str">
        <f t="shared" si="44"/>
        <v>NWE</v>
      </c>
      <c r="D235" s="51">
        <f t="shared" si="43"/>
        <v>2.46E-2</v>
      </c>
      <c r="E235" s="53">
        <f t="shared" si="45"/>
        <v>0.7</v>
      </c>
      <c r="F235" s="51">
        <f t="shared" si="46"/>
        <v>0.12969404159360159</v>
      </c>
      <c r="G235" s="51">
        <f t="shared" si="47"/>
        <v>0.1050940415936016</v>
      </c>
      <c r="H235" s="51">
        <f t="shared" si="48"/>
        <v>9.8165829115521117E-2</v>
      </c>
      <c r="I235" s="51">
        <f t="shared" si="49"/>
        <v>0.10604788223504123</v>
      </c>
    </row>
    <row r="236" spans="2:9">
      <c r="B236" t="str">
        <f t="shared" si="44"/>
        <v>Southern Company</v>
      </c>
      <c r="C236" t="str">
        <f t="shared" si="44"/>
        <v>SO</v>
      </c>
      <c r="D236" s="51">
        <f t="shared" si="43"/>
        <v>2.46E-2</v>
      </c>
      <c r="E236" s="53">
        <f t="shared" si="45"/>
        <v>0.58000000000000007</v>
      </c>
      <c r="F236" s="51">
        <f t="shared" si="46"/>
        <v>0.12969404159360159</v>
      </c>
      <c r="G236" s="51">
        <f t="shared" si="47"/>
        <v>0.1050940415936016</v>
      </c>
      <c r="H236" s="51">
        <f t="shared" si="48"/>
        <v>8.5554544124288937E-2</v>
      </c>
      <c r="I236" s="51">
        <f t="shared" si="49"/>
        <v>9.6589418491617091E-2</v>
      </c>
    </row>
    <row r="237" spans="2:9">
      <c r="B237" t="str">
        <f t="shared" si="44"/>
        <v>Wisconsin Energy Corporation</v>
      </c>
      <c r="C237" t="str">
        <f t="shared" si="44"/>
        <v>WEC</v>
      </c>
      <c r="D237" s="51">
        <f t="shared" si="43"/>
        <v>2.46E-2</v>
      </c>
      <c r="E237" s="53">
        <f t="shared" si="45"/>
        <v>0.625</v>
      </c>
      <c r="F237" s="51">
        <f t="shared" si="46"/>
        <v>0.12969404159360159</v>
      </c>
      <c r="G237" s="51">
        <f t="shared" si="47"/>
        <v>0.1050940415936016</v>
      </c>
      <c r="H237" s="51">
        <f t="shared" si="48"/>
        <v>9.0283775996001001E-2</v>
      </c>
      <c r="I237" s="51">
        <f t="shared" si="49"/>
        <v>0.10013634239540115</v>
      </c>
    </row>
    <row r="238" spans="2:9">
      <c r="B238" t="str">
        <f t="shared" si="44"/>
        <v>Xcel Energy Inc.</v>
      </c>
      <c r="C238" t="str">
        <f t="shared" si="44"/>
        <v>XEL</v>
      </c>
      <c r="D238" s="51">
        <f t="shared" si="43"/>
        <v>2.46E-2</v>
      </c>
      <c r="E238" s="291">
        <f t="shared" si="45"/>
        <v>0.63500000000000001</v>
      </c>
      <c r="F238" s="51">
        <f t="shared" si="46"/>
        <v>0.12969404159360159</v>
      </c>
      <c r="G238" s="51">
        <f t="shared" si="47"/>
        <v>0.1050940415936016</v>
      </c>
      <c r="H238" s="51">
        <f t="shared" si="48"/>
        <v>9.1334716411937009E-2</v>
      </c>
      <c r="I238" s="289">
        <f t="shared" si="49"/>
        <v>0.10092454770735315</v>
      </c>
    </row>
    <row r="239" spans="2:9" ht="13.8" thickBot="1">
      <c r="B239" s="54" t="s">
        <v>15</v>
      </c>
      <c r="C239" s="54"/>
      <c r="D239" s="54"/>
      <c r="E239" s="54"/>
      <c r="F239" s="54"/>
      <c r="G239" s="54"/>
      <c r="H239" s="55">
        <f>AVERAGE(H226:H238)</f>
        <v>9.7003731540207236E-2</v>
      </c>
      <c r="I239" s="55">
        <f>AVERAGE(I226:I238)</f>
        <v>0.10517630905355582</v>
      </c>
    </row>
    <row r="241" spans="2:9">
      <c r="B241" s="282" t="s">
        <v>31</v>
      </c>
    </row>
    <row r="242" spans="2:9">
      <c r="B242" s="22" t="str">
        <f>B149</f>
        <v>[1] Source: Blue Chip Financial Forecasts, Vol. 40, No.12, December 1, 2021, at 2</v>
      </c>
    </row>
    <row r="243" spans="2:9">
      <c r="B243" s="22" t="str">
        <f>B212</f>
        <v>[2] Source: Direct Exhibit AEB-5</v>
      </c>
    </row>
    <row r="244" spans="2:9">
      <c r="B244" s="28" t="str">
        <f>B120</f>
        <v>[3] Source: Direct Exhibit AEB-6</v>
      </c>
    </row>
    <row r="245" spans="2:9">
      <c r="B245" s="22" t="s">
        <v>139</v>
      </c>
    </row>
    <row r="246" spans="2:9">
      <c r="B246" s="22" t="s">
        <v>140</v>
      </c>
    </row>
    <row r="247" spans="2:9">
      <c r="B247" t="s">
        <v>141</v>
      </c>
    </row>
    <row r="250" spans="2:9" ht="13.2" customHeight="1">
      <c r="B250" s="362" t="s">
        <v>156</v>
      </c>
      <c r="C250" s="362"/>
      <c r="D250" s="362"/>
      <c r="E250" s="362"/>
      <c r="F250" s="362"/>
      <c r="G250" s="362"/>
      <c r="H250" s="362"/>
      <c r="I250" s="362"/>
    </row>
    <row r="251" spans="2:9">
      <c r="B251" s="22"/>
      <c r="C251" s="22"/>
      <c r="D251" s="22"/>
      <c r="E251" s="22"/>
      <c r="F251" s="22"/>
      <c r="G251" s="22"/>
      <c r="H251" s="22"/>
    </row>
    <row r="252" spans="2:9">
      <c r="B252" s="363" t="s">
        <v>128</v>
      </c>
      <c r="C252" s="363"/>
      <c r="D252" s="363"/>
      <c r="E252" s="363"/>
      <c r="F252" s="363"/>
      <c r="G252" s="363"/>
      <c r="H252" s="363"/>
      <c r="I252" s="363"/>
    </row>
    <row r="253" spans="2:9" ht="15.6">
      <c r="B253" s="362" t="s">
        <v>129</v>
      </c>
      <c r="C253" s="362"/>
      <c r="D253" s="362"/>
      <c r="E253" s="362"/>
      <c r="F253" s="362"/>
      <c r="G253" s="362"/>
      <c r="H253" s="362"/>
      <c r="I253" s="362"/>
    </row>
    <row r="254" spans="2:9">
      <c r="B254" s="22"/>
      <c r="C254" s="22"/>
      <c r="D254" s="22"/>
      <c r="E254" s="22"/>
      <c r="F254" s="22"/>
      <c r="G254" s="22"/>
      <c r="H254" s="22"/>
    </row>
    <row r="255" spans="2:9" ht="13.8" thickBot="1">
      <c r="B255" s="22"/>
      <c r="C255" s="22"/>
      <c r="D255" s="19" t="s">
        <v>34</v>
      </c>
      <c r="E255" s="19" t="s">
        <v>35</v>
      </c>
      <c r="F255" s="19" t="s">
        <v>36</v>
      </c>
      <c r="G255" s="19" t="s">
        <v>37</v>
      </c>
      <c r="H255" s="19" t="s">
        <v>38</v>
      </c>
      <c r="I255" s="19" t="s">
        <v>39</v>
      </c>
    </row>
    <row r="256" spans="2:9" ht="52.8">
      <c r="B256" s="47" t="s">
        <v>44</v>
      </c>
      <c r="C256" s="47" t="s">
        <v>45</v>
      </c>
      <c r="D256" s="48" t="str">
        <f t="shared" ref="D256:D267" si="50">D163</f>
        <v>Projected 30-year U.S. Treasury bond yield 
(2023 - 2027)</v>
      </c>
      <c r="E256" s="49" t="s">
        <v>131</v>
      </c>
      <c r="F256" s="49" t="s">
        <v>132</v>
      </c>
      <c r="G256" s="49" t="s">
        <v>133</v>
      </c>
      <c r="H256" s="50" t="s">
        <v>134</v>
      </c>
      <c r="I256" s="50" t="s">
        <v>135</v>
      </c>
    </row>
    <row r="257" spans="2:9">
      <c r="B257" t="str">
        <f t="shared" ref="B257:C268" si="51">B102</f>
        <v>NiSource Inc.</v>
      </c>
      <c r="C257" t="str">
        <f t="shared" si="51"/>
        <v>NI</v>
      </c>
      <c r="D257" s="51">
        <f t="shared" si="50"/>
        <v>3.4000000000000002E-2</v>
      </c>
      <c r="E257" s="53">
        <f t="shared" ref="E257:E269" si="52">E226</f>
        <v>0.73124999999999996</v>
      </c>
      <c r="F257" s="51">
        <f t="shared" ref="F257:F269" si="53">F102</f>
        <v>0.12969404159360159</v>
      </c>
      <c r="G257" s="51">
        <f>F257-D257</f>
        <v>9.5694041593601592E-2</v>
      </c>
      <c r="H257" s="51">
        <f>IFERROR(G257*E257+D257,"")</f>
        <v>0.10397626791532116</v>
      </c>
      <c r="I257" s="288">
        <f>IFERROR((0.25*G257)+(0.75*E257*G257)+D257,"")</f>
        <v>0.11040571133489127</v>
      </c>
    </row>
    <row r="258" spans="2:9">
      <c r="B258" t="str">
        <f t="shared" si="51"/>
        <v>Alliant Energy Corporation</v>
      </c>
      <c r="C258" t="str">
        <f t="shared" si="51"/>
        <v>LNT</v>
      </c>
      <c r="D258" s="51">
        <f t="shared" si="50"/>
        <v>3.4000000000000002E-2</v>
      </c>
      <c r="E258" s="53">
        <f t="shared" si="52"/>
        <v>0.72499999999999987</v>
      </c>
      <c r="F258" s="51">
        <f t="shared" si="53"/>
        <v>0.12969404159360159</v>
      </c>
      <c r="G258" s="51">
        <f t="shared" ref="G258:G269" si="54">F258-D258</f>
        <v>9.5694041593601592E-2</v>
      </c>
      <c r="H258" s="51">
        <f t="shared" ref="H258:H269" si="55">IFERROR(G258*E258+D258,"")</f>
        <v>0.10337818015536114</v>
      </c>
      <c r="I258" s="51">
        <f t="shared" ref="I258:I269" si="56">IFERROR((0.25*G258)+(0.75*E258*G258)+D258,"")</f>
        <v>0.10995714551492126</v>
      </c>
    </row>
    <row r="259" spans="2:9">
      <c r="B259" t="str">
        <f t="shared" si="51"/>
        <v>Ameren Corporation</v>
      </c>
      <c r="C259" t="str">
        <f t="shared" si="51"/>
        <v>AEE</v>
      </c>
      <c r="D259" s="51">
        <f t="shared" si="50"/>
        <v>3.4000000000000002E-2</v>
      </c>
      <c r="E259" s="53">
        <f t="shared" si="52"/>
        <v>0.72</v>
      </c>
      <c r="F259" s="51">
        <f t="shared" si="53"/>
        <v>0.12969404159360159</v>
      </c>
      <c r="G259" s="51">
        <f t="shared" si="54"/>
        <v>9.5694041593601592E-2</v>
      </c>
      <c r="H259" s="51">
        <f t="shared" si="55"/>
        <v>0.10289970994739314</v>
      </c>
      <c r="I259" s="51">
        <f t="shared" si="56"/>
        <v>0.10959829285894526</v>
      </c>
    </row>
    <row r="260" spans="2:9">
      <c r="B260" t="str">
        <f t="shared" si="51"/>
        <v>Avista Corporation</v>
      </c>
      <c r="C260" t="str">
        <f t="shared" si="51"/>
        <v>AVA</v>
      </c>
      <c r="D260" s="51">
        <f t="shared" si="50"/>
        <v>3.4000000000000002E-2</v>
      </c>
      <c r="E260" s="53">
        <f t="shared" si="52"/>
        <v>0.73</v>
      </c>
      <c r="F260" s="51">
        <f t="shared" si="53"/>
        <v>0.12969404159360159</v>
      </c>
      <c r="G260" s="51">
        <f t="shared" si="54"/>
        <v>9.5694041593601592E-2</v>
      </c>
      <c r="H260" s="51">
        <f t="shared" si="55"/>
        <v>0.10385665036332917</v>
      </c>
      <c r="I260" s="51">
        <f t="shared" si="56"/>
        <v>0.11031599817089727</v>
      </c>
    </row>
    <row r="261" spans="2:9">
      <c r="B261" t="str">
        <f t="shared" si="51"/>
        <v>Black Hills Corporation</v>
      </c>
      <c r="C261" t="str">
        <f t="shared" si="51"/>
        <v>BKH</v>
      </c>
      <c r="D261" s="51">
        <f t="shared" si="50"/>
        <v>3.4000000000000002E-2</v>
      </c>
      <c r="E261" s="53">
        <f t="shared" si="52"/>
        <v>0.86</v>
      </c>
      <c r="F261" s="51">
        <f t="shared" si="53"/>
        <v>0.12969404159360159</v>
      </c>
      <c r="G261" s="51">
        <f t="shared" si="54"/>
        <v>9.5694041593601592E-2</v>
      </c>
      <c r="H261" s="51">
        <f t="shared" si="55"/>
        <v>0.11629687577049737</v>
      </c>
      <c r="I261" s="51">
        <f t="shared" si="56"/>
        <v>0.11964616722627343</v>
      </c>
    </row>
    <row r="262" spans="2:9">
      <c r="B262" t="str">
        <f t="shared" si="51"/>
        <v>CMS Energy Corporation</v>
      </c>
      <c r="C262" t="str">
        <f t="shared" si="51"/>
        <v>CMS</v>
      </c>
      <c r="D262" s="51">
        <f t="shared" si="50"/>
        <v>3.4000000000000002E-2</v>
      </c>
      <c r="E262" s="53">
        <f t="shared" si="52"/>
        <v>0.68</v>
      </c>
      <c r="F262" s="51">
        <f t="shared" si="53"/>
        <v>0.12969404159360159</v>
      </c>
      <c r="G262" s="51">
        <f t="shared" si="54"/>
        <v>9.5694041593601592E-2</v>
      </c>
      <c r="H262" s="51">
        <f t="shared" si="55"/>
        <v>9.9071948283649083E-2</v>
      </c>
      <c r="I262" s="51">
        <f t="shared" si="56"/>
        <v>0.10672747161113721</v>
      </c>
    </row>
    <row r="263" spans="2:9">
      <c r="B263" t="str">
        <f t="shared" si="51"/>
        <v>Duke Energy Corporation</v>
      </c>
      <c r="C263" t="str">
        <f t="shared" si="51"/>
        <v>DUK</v>
      </c>
      <c r="D263" s="51">
        <f t="shared" si="50"/>
        <v>3.4000000000000002E-2</v>
      </c>
      <c r="E263" s="53">
        <f t="shared" si="52"/>
        <v>0.61999999999999988</v>
      </c>
      <c r="F263" s="51">
        <f t="shared" si="53"/>
        <v>0.12969404159360159</v>
      </c>
      <c r="G263" s="51">
        <f t="shared" si="54"/>
        <v>9.5694041593601592E-2</v>
      </c>
      <c r="H263" s="51">
        <f t="shared" si="55"/>
        <v>9.3330305788032975E-2</v>
      </c>
      <c r="I263" s="51">
        <f t="shared" si="56"/>
        <v>0.10242123973942513</v>
      </c>
    </row>
    <row r="264" spans="2:9">
      <c r="B264" t="str">
        <f t="shared" si="51"/>
        <v>MGE Energy, Inc.</v>
      </c>
      <c r="C264" t="str">
        <f t="shared" si="51"/>
        <v>MGEE</v>
      </c>
      <c r="D264" s="51">
        <f t="shared" si="50"/>
        <v>3.4000000000000002E-2</v>
      </c>
      <c r="E264" s="53">
        <f t="shared" si="52"/>
        <v>0.65999999999999992</v>
      </c>
      <c r="F264" s="51">
        <f t="shared" si="53"/>
        <v>0.12969404159360159</v>
      </c>
      <c r="G264" s="51">
        <f t="shared" si="54"/>
        <v>9.5694041593601592E-2</v>
      </c>
      <c r="H264" s="51">
        <f t="shared" si="55"/>
        <v>9.7158067451777047E-2</v>
      </c>
      <c r="I264" s="51">
        <f t="shared" si="56"/>
        <v>0.10529206098723318</v>
      </c>
    </row>
    <row r="265" spans="2:9">
      <c r="B265" t="str">
        <f t="shared" si="51"/>
        <v>NextEra Energy, Inc.</v>
      </c>
      <c r="C265" t="str">
        <f t="shared" si="51"/>
        <v>NEE</v>
      </c>
      <c r="D265" s="51">
        <f t="shared" si="50"/>
        <v>3.4000000000000002E-2</v>
      </c>
      <c r="E265" s="53">
        <f t="shared" si="52"/>
        <v>0.69000000000000006</v>
      </c>
      <c r="F265" s="51">
        <f t="shared" si="53"/>
        <v>0.12969404159360159</v>
      </c>
      <c r="G265" s="51">
        <f t="shared" si="54"/>
        <v>9.5694041593601592E-2</v>
      </c>
      <c r="H265" s="51">
        <f t="shared" si="55"/>
        <v>0.10002888869958511</v>
      </c>
      <c r="I265" s="51">
        <f t="shared" si="56"/>
        <v>0.10744517692308923</v>
      </c>
    </row>
    <row r="266" spans="2:9">
      <c r="B266" t="str">
        <f t="shared" si="51"/>
        <v>NorthWestern Corporation</v>
      </c>
      <c r="C266" t="str">
        <f t="shared" si="51"/>
        <v>NWE</v>
      </c>
      <c r="D266" s="51">
        <f t="shared" si="50"/>
        <v>3.4000000000000002E-2</v>
      </c>
      <c r="E266" s="53">
        <f t="shared" si="52"/>
        <v>0.7</v>
      </c>
      <c r="F266" s="51">
        <f t="shared" si="53"/>
        <v>0.12969404159360159</v>
      </c>
      <c r="G266" s="51">
        <f t="shared" si="54"/>
        <v>9.5694041593601592E-2</v>
      </c>
      <c r="H266" s="51">
        <f t="shared" si="55"/>
        <v>0.10098582911552111</v>
      </c>
      <c r="I266" s="51">
        <f t="shared" si="56"/>
        <v>0.10816288223504122</v>
      </c>
    </row>
    <row r="267" spans="2:9">
      <c r="B267" t="str">
        <f t="shared" si="51"/>
        <v>Southern Company</v>
      </c>
      <c r="C267" t="str">
        <f t="shared" si="51"/>
        <v>SO</v>
      </c>
      <c r="D267" s="51">
        <f t="shared" si="50"/>
        <v>3.4000000000000002E-2</v>
      </c>
      <c r="E267" s="53">
        <f t="shared" si="52"/>
        <v>0.58000000000000007</v>
      </c>
      <c r="F267" s="51">
        <f t="shared" si="53"/>
        <v>0.12969404159360159</v>
      </c>
      <c r="G267" s="51">
        <f t="shared" si="54"/>
        <v>9.5694041593601592E-2</v>
      </c>
      <c r="H267" s="51">
        <f t="shared" si="55"/>
        <v>8.950254412428893E-2</v>
      </c>
      <c r="I267" s="51">
        <f t="shared" si="56"/>
        <v>9.9550418491617096E-2</v>
      </c>
    </row>
    <row r="268" spans="2:9">
      <c r="B268" t="str">
        <f t="shared" si="51"/>
        <v>Wisconsin Energy Corporation</v>
      </c>
      <c r="C268" t="str">
        <f t="shared" si="51"/>
        <v>WEC</v>
      </c>
      <c r="D268" s="51">
        <f>D267</f>
        <v>3.4000000000000002E-2</v>
      </c>
      <c r="E268" s="53">
        <f t="shared" si="52"/>
        <v>0.625</v>
      </c>
      <c r="F268" s="51">
        <f t="shared" si="53"/>
        <v>0.12969404159360159</v>
      </c>
      <c r="G268" s="51">
        <f t="shared" si="54"/>
        <v>9.5694041593601592E-2</v>
      </c>
      <c r="H268" s="51">
        <f t="shared" si="55"/>
        <v>9.3808775996001001E-2</v>
      </c>
      <c r="I268" s="51">
        <f t="shared" si="56"/>
        <v>0.10278009239540115</v>
      </c>
    </row>
    <row r="269" spans="2:9">
      <c r="B269" t="str">
        <f t="shared" ref="B269:C269" si="57">B114</f>
        <v>Xcel Energy Inc.</v>
      </c>
      <c r="C269" t="str">
        <f t="shared" si="57"/>
        <v>XEL</v>
      </c>
      <c r="D269" s="51">
        <f>D268</f>
        <v>3.4000000000000002E-2</v>
      </c>
      <c r="E269" s="53">
        <f t="shared" si="52"/>
        <v>0.63500000000000001</v>
      </c>
      <c r="F269" s="51">
        <f t="shared" si="53"/>
        <v>0.12969404159360159</v>
      </c>
      <c r="G269" s="51">
        <f t="shared" si="54"/>
        <v>9.5694041593601592E-2</v>
      </c>
      <c r="H269" s="51">
        <f t="shared" si="55"/>
        <v>9.4765716411937012E-2</v>
      </c>
      <c r="I269" s="289">
        <f t="shared" si="56"/>
        <v>0.10349779770735315</v>
      </c>
    </row>
    <row r="270" spans="2:9" ht="13.8" thickBot="1">
      <c r="B270" s="54" t="s">
        <v>15</v>
      </c>
      <c r="C270" s="54"/>
      <c r="D270" s="54"/>
      <c r="E270" s="54"/>
      <c r="F270" s="54"/>
      <c r="G270" s="54"/>
      <c r="H270" s="55">
        <f>AVERAGE(H257:H269)</f>
        <v>9.9927673847899551E-2</v>
      </c>
      <c r="I270" s="55">
        <f>AVERAGE(I257:I269)</f>
        <v>0.10736926578432507</v>
      </c>
    </row>
    <row r="272" spans="2:9">
      <c r="B272" s="282" t="s">
        <v>31</v>
      </c>
    </row>
    <row r="273" spans="2:2">
      <c r="B273" s="22" t="str">
        <f>B180</f>
        <v>[1] Source: Blue Chip Financial Forecasts, Vol. 40, No. 12, December 1, 2021, at 14</v>
      </c>
    </row>
    <row r="274" spans="2:2">
      <c r="B274" s="22" t="str">
        <f>B212</f>
        <v>[2] Source: Direct Exhibit AEB-5</v>
      </c>
    </row>
    <row r="275" spans="2:2">
      <c r="B275" s="28" t="str">
        <f>B120</f>
        <v>[3] Source: Direct Exhibit AEB-6</v>
      </c>
    </row>
    <row r="276" spans="2:2">
      <c r="B276" s="22" t="s">
        <v>139</v>
      </c>
    </row>
    <row r="277" spans="2:2">
      <c r="B277" s="22" t="s">
        <v>140</v>
      </c>
    </row>
    <row r="278" spans="2:2">
      <c r="B278" t="s">
        <v>141</v>
      </c>
    </row>
  </sheetData>
  <mergeCells count="27">
    <mergeCell ref="B64:I64"/>
    <mergeCell ref="B95:I95"/>
    <mergeCell ref="B97:I97"/>
    <mergeCell ref="B66:I66"/>
    <mergeCell ref="B128:I128"/>
    <mergeCell ref="B126:I126"/>
    <mergeCell ref="B67:I67"/>
    <mergeCell ref="B98:I98"/>
    <mergeCell ref="B2:I2"/>
    <mergeCell ref="B36:I36"/>
    <mergeCell ref="B5:I5"/>
    <mergeCell ref="B4:I4"/>
    <mergeCell ref="B35:I35"/>
    <mergeCell ref="B33:I33"/>
    <mergeCell ref="B129:I129"/>
    <mergeCell ref="B160:I160"/>
    <mergeCell ref="B191:I191"/>
    <mergeCell ref="B253:I253"/>
    <mergeCell ref="B157:I157"/>
    <mergeCell ref="B159:I159"/>
    <mergeCell ref="B188:I188"/>
    <mergeCell ref="B190:I190"/>
    <mergeCell ref="B219:I219"/>
    <mergeCell ref="B250:I250"/>
    <mergeCell ref="B252:I252"/>
    <mergeCell ref="B221:I221"/>
    <mergeCell ref="B222:I222"/>
  </mergeCells>
  <conditionalFormatting sqref="E9:E21">
    <cfRule type="expression" dxfId="6" priority="2">
      <formula>$D9="Yes"</formula>
    </cfRule>
  </conditionalFormatting>
  <conditionalFormatting sqref="E102:E114">
    <cfRule type="expression" dxfId="5" priority="1">
      <formula>$D102="Yes"</formula>
    </cfRule>
  </conditionalFormatting>
  <pageMargins left="0.7" right="0.7" top="0.75" bottom="0.75" header="0.3" footer="0.3"/>
  <pageSetup scale="72" orientation="portrait" useFirstPageNumber="1" r:id="rId1"/>
  <rowBreaks count="4" manualBreakCount="4">
    <brk id="62" max="16383" man="1"/>
    <brk id="124" max="16383" man="1"/>
    <brk id="186" max="16383" man="1"/>
    <brk id="248" max="16383" man="1"/>
  </rowBreaks>
  <ignoredErrors>
    <ignoredError sqref="D41:D46 D72:D7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T105"/>
  <sheetViews>
    <sheetView view="pageLayout" zoomScale="50" zoomScaleNormal="80" zoomScaleSheetLayoutView="70" zoomScalePageLayoutView="50" workbookViewId="0">
      <selection activeCell="K6" sqref="K6"/>
    </sheetView>
  </sheetViews>
  <sheetFormatPr defaultColWidth="9.109375" defaultRowHeight="13.2"/>
  <cols>
    <col min="1" max="1" width="44" customWidth="1"/>
    <col min="2" max="2" width="8.5546875" customWidth="1"/>
    <col min="3" max="3" width="12.6640625" customWidth="1"/>
    <col min="4" max="13" width="10.5546875" customWidth="1"/>
    <col min="14" max="14" width="3" customWidth="1"/>
  </cols>
  <sheetData>
    <row r="2" spans="1:17">
      <c r="A2" s="361" t="s">
        <v>98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60" t="s">
        <v>99</v>
      </c>
      <c r="P3" s="360"/>
      <c r="Q3" s="360"/>
    </row>
    <row r="4" spans="1:17" ht="13.8" thickBot="1">
      <c r="A4" s="2"/>
      <c r="B4" s="2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O4" s="4" t="s">
        <v>100</v>
      </c>
      <c r="P4" s="4" t="s">
        <v>101</v>
      </c>
      <c r="Q4" s="4" t="s">
        <v>102</v>
      </c>
    </row>
    <row r="5" spans="1:17" ht="54" customHeight="1">
      <c r="A5" s="106" t="s">
        <v>44</v>
      </c>
      <c r="B5" s="101" t="s">
        <v>45</v>
      </c>
      <c r="C5" s="102" t="s">
        <v>103</v>
      </c>
      <c r="D5" s="102" t="s">
        <v>104</v>
      </c>
      <c r="E5" s="102" t="s">
        <v>105</v>
      </c>
      <c r="F5" s="102" t="s">
        <v>106</v>
      </c>
      <c r="G5" s="102" t="s">
        <v>107</v>
      </c>
      <c r="H5" s="102" t="s">
        <v>108</v>
      </c>
      <c r="I5" s="102" t="s">
        <v>109</v>
      </c>
      <c r="J5" s="102" t="s">
        <v>110</v>
      </c>
      <c r="K5" s="101" t="s">
        <v>111</v>
      </c>
      <c r="L5" s="102" t="s">
        <v>112</v>
      </c>
      <c r="M5" s="101" t="s">
        <v>113</v>
      </c>
      <c r="N5" s="105">
        <v>7.0000000000000007E-2</v>
      </c>
      <c r="O5" s="101" t="s">
        <v>111</v>
      </c>
      <c r="P5" s="102" t="s">
        <v>112</v>
      </c>
      <c r="Q5" s="101" t="s">
        <v>113</v>
      </c>
    </row>
    <row r="6" spans="1:17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O6" s="283"/>
      <c r="P6" s="283"/>
      <c r="Q6" s="283"/>
    </row>
    <row r="7" spans="1:17">
      <c r="A7" s="2" t="str">
        <f>'AEB-3 Proxy Selection'!A6</f>
        <v>NiSource Inc.</v>
      </c>
      <c r="B7" s="24" t="str">
        <f>'AEB-3 Proxy Selection'!B6</f>
        <v>NI</v>
      </c>
      <c r="C7" s="25">
        <v>0.88</v>
      </c>
      <c r="D7" s="25">
        <v>25.070666666666664</v>
      </c>
      <c r="E7" s="12">
        <f>C7/D7</f>
        <v>3.5100781790139875E-2</v>
      </c>
      <c r="F7" s="14">
        <f>IFERROR(E7*(1+0.5*J7),"")</f>
        <v>3.6195926181992237E-2</v>
      </c>
      <c r="G7" s="12">
        <v>8.5000000000000006E-2</v>
      </c>
      <c r="H7" s="12">
        <v>3.5200000000000002E-2</v>
      </c>
      <c r="I7" s="12">
        <v>6.7000000000000004E-2</v>
      </c>
      <c r="J7" s="12">
        <f>AVERAGE(G7:I7)</f>
        <v>6.2400000000000004E-2</v>
      </c>
      <c r="K7" s="13">
        <f>$E7*(1+0.5*MIN($G7:$I7))+MIN($G7:$I7)</f>
        <v>7.091855554964635E-2</v>
      </c>
      <c r="L7" s="12">
        <f>F7+J7</f>
        <v>9.8595926181992241E-2</v>
      </c>
      <c r="M7" s="12">
        <f>$E7*(1+0.5*MAX($G7:$I7))+MAX($G7:$I7)</f>
        <v>0.12159256501622082</v>
      </c>
      <c r="O7" s="13">
        <f>IF(K7&lt;$N$5,"",K7)</f>
        <v>7.091855554964635E-2</v>
      </c>
      <c r="P7" s="13">
        <f>IF(L7&lt;$N$5,"",L7)</f>
        <v>9.8595926181992241E-2</v>
      </c>
      <c r="Q7" s="13">
        <f>IF(M7&lt;$N$5,"",M7)</f>
        <v>0.12159256501622082</v>
      </c>
    </row>
    <row r="8" spans="1:17">
      <c r="A8" s="2" t="str">
        <f>'AEB-3 Proxy Selection'!A7</f>
        <v>Alliant Energy Corporation</v>
      </c>
      <c r="B8" s="24" t="str">
        <f>'AEB-3 Proxy Selection'!B7</f>
        <v>LNT</v>
      </c>
      <c r="C8" s="25">
        <v>1.61</v>
      </c>
      <c r="D8" s="25">
        <v>56.394666666666666</v>
      </c>
      <c r="E8" s="12">
        <f t="shared" ref="E8:E19" si="0">C8/D8</f>
        <v>2.8548798940798186E-2</v>
      </c>
      <c r="F8" s="14">
        <f t="shared" ref="F8:F19" si="1">IFERROR(E8*(1+0.5*J8),"")</f>
        <v>2.9390988509551734E-2</v>
      </c>
      <c r="G8" s="12">
        <v>5.5E-2</v>
      </c>
      <c r="H8" s="12">
        <v>6.0999999999999999E-2</v>
      </c>
      <c r="I8" s="12">
        <v>6.0999999999999999E-2</v>
      </c>
      <c r="J8" s="12">
        <f t="shared" ref="J8:J19" si="2">AVERAGE(G8:I8)</f>
        <v>5.8999999999999997E-2</v>
      </c>
      <c r="K8" s="13">
        <f t="shared" ref="K8:K19" si="3">$E8*(1+0.5*MIN($G8:$I8))+MIN($G8:$I8)</f>
        <v>8.4333890911670137E-2</v>
      </c>
      <c r="L8" s="12">
        <f t="shared" ref="L8:L19" si="4">F8+J8</f>
        <v>8.8390988509551738E-2</v>
      </c>
      <c r="M8" s="12">
        <f t="shared" ref="M8:M19" si="5">$E8*(1+0.5*MAX($G8:$I8))+MAX($G8:$I8)</f>
        <v>9.0419537308492531E-2</v>
      </c>
      <c r="O8" s="13">
        <f t="shared" ref="O8:O19" si="6">IF(K8&lt;$N$5,"",K8)</f>
        <v>8.4333890911670137E-2</v>
      </c>
      <c r="P8" s="13">
        <f t="shared" ref="P8:P19" si="7">IF(L8&lt;$N$5,"",L8)</f>
        <v>8.8390988509551738E-2</v>
      </c>
      <c r="Q8" s="13">
        <f t="shared" ref="Q8:Q19" si="8">IF(M8&lt;$N$5,"",M8)</f>
        <v>9.0419537308492531E-2</v>
      </c>
    </row>
    <row r="9" spans="1:17">
      <c r="A9" s="2" t="str">
        <f>'AEB-3 Proxy Selection'!A8</f>
        <v>Ameren Corporation</v>
      </c>
      <c r="B9" s="24" t="str">
        <f>'AEB-3 Proxy Selection'!B8</f>
        <v>AEE</v>
      </c>
      <c r="C9" s="25">
        <v>2.2000000000000002</v>
      </c>
      <c r="D9" s="25">
        <v>84.612333333333325</v>
      </c>
      <c r="E9" s="12">
        <f t="shared" si="0"/>
        <v>2.6000937609568349E-2</v>
      </c>
      <c r="F9" s="14">
        <f t="shared" si="1"/>
        <v>2.6949971832317593E-2</v>
      </c>
      <c r="G9" s="12">
        <v>6.5000000000000002E-2</v>
      </c>
      <c r="H9" s="12">
        <v>7.9000000000000001E-2</v>
      </c>
      <c r="I9" s="12">
        <v>7.4999999999999997E-2</v>
      </c>
      <c r="J9" s="12">
        <f t="shared" si="2"/>
        <v>7.3000000000000009E-2</v>
      </c>
      <c r="K9" s="13">
        <f t="shared" si="3"/>
        <v>9.1845968081879323E-2</v>
      </c>
      <c r="L9" s="12">
        <f t="shared" si="4"/>
        <v>9.9949971832317602E-2</v>
      </c>
      <c r="M9" s="12">
        <f t="shared" si="5"/>
        <v>0.10602797464514629</v>
      </c>
      <c r="O9" s="13">
        <f t="shared" si="6"/>
        <v>9.1845968081879323E-2</v>
      </c>
      <c r="P9" s="13">
        <f t="shared" si="7"/>
        <v>9.9949971832317602E-2</v>
      </c>
      <c r="Q9" s="13">
        <f t="shared" si="8"/>
        <v>0.10602797464514629</v>
      </c>
    </row>
    <row r="10" spans="1:17">
      <c r="A10" s="2" t="str">
        <f>'AEB-3 Proxy Selection'!A9</f>
        <v>Avista Corporation</v>
      </c>
      <c r="B10" s="24" t="str">
        <f>'AEB-3 Proxy Selection'!B9</f>
        <v>AVA</v>
      </c>
      <c r="C10" s="25">
        <v>1.69</v>
      </c>
      <c r="D10" s="25">
        <v>39.827999999999996</v>
      </c>
      <c r="E10" s="12">
        <f t="shared" si="0"/>
        <v>4.243245957617757E-2</v>
      </c>
      <c r="F10" s="14">
        <f t="shared" si="1"/>
        <v>4.3443766529409802E-2</v>
      </c>
      <c r="G10" s="12">
        <v>0.03</v>
      </c>
      <c r="H10" s="12">
        <v>6.2E-2</v>
      </c>
      <c r="I10" s="12">
        <v>5.0999999999999997E-2</v>
      </c>
      <c r="J10" s="12">
        <f t="shared" si="2"/>
        <v>4.7666666666666663E-2</v>
      </c>
      <c r="K10" s="13">
        <f t="shared" si="3"/>
        <v>7.3068946469820234E-2</v>
      </c>
      <c r="L10" s="12">
        <f t="shared" si="4"/>
        <v>9.1110433196076465E-2</v>
      </c>
      <c r="M10" s="12">
        <f t="shared" si="5"/>
        <v>0.10574786582303908</v>
      </c>
      <c r="O10" s="13">
        <f t="shared" si="6"/>
        <v>7.3068946469820234E-2</v>
      </c>
      <c r="P10" s="13">
        <f t="shared" si="7"/>
        <v>9.1110433196076465E-2</v>
      </c>
      <c r="Q10" s="13">
        <f t="shared" si="8"/>
        <v>0.10574786582303908</v>
      </c>
    </row>
    <row r="11" spans="1:17">
      <c r="A11" s="2" t="str">
        <f>'AEB-3 Proxy Selection'!A10</f>
        <v>Black Hills Corporation</v>
      </c>
      <c r="B11" s="24" t="str">
        <f>'AEB-3 Proxy Selection'!B10</f>
        <v>BKH</v>
      </c>
      <c r="C11" s="25">
        <v>2.38</v>
      </c>
      <c r="D11" s="25">
        <v>65.811333333333323</v>
      </c>
      <c r="E11" s="12">
        <f t="shared" si="0"/>
        <v>3.6163983913611641E-2</v>
      </c>
      <c r="F11" s="14">
        <f t="shared" si="1"/>
        <v>3.7054220650951715E-2</v>
      </c>
      <c r="G11" s="12">
        <v>0.05</v>
      </c>
      <c r="H11" s="12">
        <v>4.6699999999999998E-2</v>
      </c>
      <c r="I11" s="12">
        <v>5.0999999999999997E-2</v>
      </c>
      <c r="J11" s="12">
        <f t="shared" si="2"/>
        <v>4.923333333333333E-2</v>
      </c>
      <c r="K11" s="13">
        <f t="shared" si="3"/>
        <v>8.370841293799447E-2</v>
      </c>
      <c r="L11" s="12">
        <f t="shared" si="4"/>
        <v>8.6287553984285045E-2</v>
      </c>
      <c r="M11" s="12">
        <f t="shared" si="5"/>
        <v>8.8086165503408739E-2</v>
      </c>
      <c r="O11" s="13">
        <f t="shared" si="6"/>
        <v>8.370841293799447E-2</v>
      </c>
      <c r="P11" s="13">
        <f t="shared" si="7"/>
        <v>8.6287553984285045E-2</v>
      </c>
      <c r="Q11" s="13">
        <f t="shared" si="8"/>
        <v>8.8086165503408739E-2</v>
      </c>
    </row>
    <row r="12" spans="1:17">
      <c r="A12" s="2" t="str">
        <f>'AEB-3 Proxy Selection'!A11</f>
        <v>CMS Energy Corporation</v>
      </c>
      <c r="B12" s="24" t="str">
        <f>'AEB-3 Proxy Selection'!B11</f>
        <v>CMS</v>
      </c>
      <c r="C12" s="25">
        <v>1.74</v>
      </c>
      <c r="D12" s="25">
        <v>60.509333333333323</v>
      </c>
      <c r="E12" s="12">
        <f t="shared" si="0"/>
        <v>2.8755894407474333E-2</v>
      </c>
      <c r="F12" s="14">
        <f t="shared" si="1"/>
        <v>2.9653078312987528E-2</v>
      </c>
      <c r="G12" s="12">
        <v>0.06</v>
      </c>
      <c r="H12" s="12">
        <v>5.7200000000000001E-2</v>
      </c>
      <c r="I12" s="12">
        <v>7.0000000000000007E-2</v>
      </c>
      <c r="J12" s="12">
        <f t="shared" si="2"/>
        <v>6.2400000000000004E-2</v>
      </c>
      <c r="K12" s="13">
        <f t="shared" si="3"/>
        <v>8.6778312987528097E-2</v>
      </c>
      <c r="L12" s="12">
        <f t="shared" si="4"/>
        <v>9.2053078312987535E-2</v>
      </c>
      <c r="M12" s="12">
        <f t="shared" si="5"/>
        <v>9.9762350711735934E-2</v>
      </c>
      <c r="O12" s="13">
        <f t="shared" si="6"/>
        <v>8.6778312987528097E-2</v>
      </c>
      <c r="P12" s="13">
        <f t="shared" si="7"/>
        <v>9.2053078312987535E-2</v>
      </c>
      <c r="Q12" s="13">
        <f t="shared" si="8"/>
        <v>9.9762350711735934E-2</v>
      </c>
    </row>
    <row r="13" spans="1:17">
      <c r="A13" s="2" t="str">
        <f>'AEB-3 Proxy Selection'!A12</f>
        <v>Duke Energy Corporation</v>
      </c>
      <c r="B13" s="24" t="str">
        <f>'AEB-3 Proxy Selection'!B12</f>
        <v>DUK</v>
      </c>
      <c r="C13" s="25">
        <v>3.94</v>
      </c>
      <c r="D13" s="25">
        <v>101.06000000000002</v>
      </c>
      <c r="E13" s="12">
        <f t="shared" si="0"/>
        <v>3.8986740550168208E-2</v>
      </c>
      <c r="F13" s="14">
        <f t="shared" si="1"/>
        <v>4.0104360445939694E-2</v>
      </c>
      <c r="G13" s="12">
        <v>7.0000000000000007E-2</v>
      </c>
      <c r="H13" s="12">
        <v>4.9000000000000002E-2</v>
      </c>
      <c r="I13" s="12">
        <v>5.2999999999999999E-2</v>
      </c>
      <c r="J13" s="12">
        <f t="shared" si="2"/>
        <v>5.733333333333334E-2</v>
      </c>
      <c r="K13" s="13">
        <f t="shared" si="3"/>
        <v>8.894191569364733E-2</v>
      </c>
      <c r="L13" s="12">
        <f t="shared" si="4"/>
        <v>9.7437693779273027E-2</v>
      </c>
      <c r="M13" s="12">
        <f t="shared" si="5"/>
        <v>0.11035127646942411</v>
      </c>
      <c r="O13" s="13">
        <f t="shared" si="6"/>
        <v>8.894191569364733E-2</v>
      </c>
      <c r="P13" s="13">
        <f t="shared" si="7"/>
        <v>9.7437693779273027E-2</v>
      </c>
      <c r="Q13" s="13">
        <f t="shared" si="8"/>
        <v>0.11035127646942411</v>
      </c>
    </row>
    <row r="14" spans="1:17">
      <c r="A14" s="2" t="str">
        <f>'AEB-3 Proxy Selection'!A13</f>
        <v>MGE Energy, Inc.</v>
      </c>
      <c r="B14" s="24" t="str">
        <f>'AEB-3 Proxy Selection'!B13</f>
        <v>MGEE</v>
      </c>
      <c r="C14" s="25">
        <v>1.55</v>
      </c>
      <c r="D14" s="25">
        <v>76.561000000000021</v>
      </c>
      <c r="E14" s="12">
        <f t="shared" si="0"/>
        <v>2.024529460169015E-2</v>
      </c>
      <c r="F14" s="14">
        <f t="shared" si="1"/>
        <v>2.0829033929372215E-2</v>
      </c>
      <c r="G14" s="12">
        <v>5.5E-2</v>
      </c>
      <c r="H14" s="12">
        <v>5.8999999999999997E-2</v>
      </c>
      <c r="I14" s="12">
        <v>5.8999999999999997E-2</v>
      </c>
      <c r="J14" s="12">
        <f t="shared" si="2"/>
        <v>5.7666666666666665E-2</v>
      </c>
      <c r="K14" s="13">
        <f t="shared" si="3"/>
        <v>7.5802040203236637E-2</v>
      </c>
      <c r="L14" s="12">
        <f t="shared" si="4"/>
        <v>7.8495700596038886E-2</v>
      </c>
      <c r="M14" s="12">
        <f t="shared" si="5"/>
        <v>7.9842530792440011E-2</v>
      </c>
      <c r="O14" s="13">
        <f t="shared" si="6"/>
        <v>7.5802040203236637E-2</v>
      </c>
      <c r="P14" s="13">
        <f t="shared" si="7"/>
        <v>7.8495700596038886E-2</v>
      </c>
      <c r="Q14" s="13">
        <f t="shared" si="8"/>
        <v>7.9842530792440011E-2</v>
      </c>
    </row>
    <row r="15" spans="1:17">
      <c r="A15" s="2" t="str">
        <f>'AEB-3 Proxy Selection'!A14</f>
        <v>NextEra Energy, Inc.</v>
      </c>
      <c r="B15" s="24" t="str">
        <f>'AEB-3 Proxy Selection'!B14</f>
        <v>NEE</v>
      </c>
      <c r="C15" s="25">
        <v>1.54</v>
      </c>
      <c r="D15" s="25">
        <v>85.835666666666668</v>
      </c>
      <c r="E15" s="12">
        <f t="shared" si="0"/>
        <v>1.7941259849246816E-2</v>
      </c>
      <c r="F15" s="14">
        <f t="shared" si="1"/>
        <v>1.8802440322010665E-2</v>
      </c>
      <c r="G15" s="12">
        <v>0.105</v>
      </c>
      <c r="H15" s="12">
        <v>9.9000000000000005E-2</v>
      </c>
      <c r="I15" s="12">
        <v>8.4000000000000005E-2</v>
      </c>
      <c r="J15" s="12">
        <f t="shared" si="2"/>
        <v>9.6000000000000016E-2</v>
      </c>
      <c r="K15" s="13">
        <f t="shared" si="3"/>
        <v>0.10269479276291518</v>
      </c>
      <c r="L15" s="12">
        <f t="shared" si="4"/>
        <v>0.11480244032201067</v>
      </c>
      <c r="M15" s="12">
        <f t="shared" si="5"/>
        <v>0.12388317599133228</v>
      </c>
      <c r="O15" s="13">
        <f t="shared" si="6"/>
        <v>0.10269479276291518</v>
      </c>
      <c r="P15" s="13">
        <f t="shared" si="7"/>
        <v>0.11480244032201067</v>
      </c>
      <c r="Q15" s="13">
        <f t="shared" si="8"/>
        <v>0.12388317599133228</v>
      </c>
    </row>
    <row r="16" spans="1:17">
      <c r="A16" s="2" t="str">
        <f>'AEB-3 Proxy Selection'!A15</f>
        <v>NorthWestern Corporation</v>
      </c>
      <c r="B16" s="24" t="str">
        <f>'AEB-3 Proxy Selection'!B15</f>
        <v>NWE</v>
      </c>
      <c r="C16" s="25">
        <v>2.48</v>
      </c>
      <c r="D16" s="25">
        <v>56.883666666666663</v>
      </c>
      <c r="E16" s="12">
        <f t="shared" si="0"/>
        <v>4.3597752137403238E-2</v>
      </c>
      <c r="F16" s="14">
        <f t="shared" si="1"/>
        <v>4.4440642012059703E-2</v>
      </c>
      <c r="G16" s="12">
        <v>0.03</v>
      </c>
      <c r="H16" s="12">
        <v>4.4999999999999998E-2</v>
      </c>
      <c r="I16" s="12">
        <v>4.1000000000000002E-2</v>
      </c>
      <c r="J16" s="12">
        <f t="shared" si="2"/>
        <v>3.8666666666666662E-2</v>
      </c>
      <c r="K16" s="13">
        <f t="shared" si="3"/>
        <v>7.4251718419464291E-2</v>
      </c>
      <c r="L16" s="12">
        <f t="shared" si="4"/>
        <v>8.3107308678726372E-2</v>
      </c>
      <c r="M16" s="12">
        <f t="shared" si="5"/>
        <v>8.95787015604948E-2</v>
      </c>
      <c r="O16" s="13">
        <f t="shared" si="6"/>
        <v>7.4251718419464291E-2</v>
      </c>
      <c r="P16" s="13">
        <f t="shared" si="7"/>
        <v>8.3107308678726372E-2</v>
      </c>
      <c r="Q16" s="13">
        <f t="shared" si="8"/>
        <v>8.95787015604948E-2</v>
      </c>
    </row>
    <row r="17" spans="1:17">
      <c r="A17" s="2" t="str">
        <f>'AEB-3 Proxy Selection'!A16</f>
        <v>Southern Company</v>
      </c>
      <c r="B17" s="24" t="str">
        <f>'AEB-3 Proxy Selection'!B16</f>
        <v>SO</v>
      </c>
      <c r="C17" s="25">
        <v>2.64</v>
      </c>
      <c r="D17" s="25">
        <v>62.711000000000006</v>
      </c>
      <c r="E17" s="12">
        <f t="shared" si="0"/>
        <v>4.2097877565339413E-2</v>
      </c>
      <c r="F17" s="14">
        <f t="shared" si="1"/>
        <v>4.3318716014734256E-2</v>
      </c>
      <c r="G17" s="12">
        <v>0.06</v>
      </c>
      <c r="H17" s="12">
        <v>6.5000000000000002E-2</v>
      </c>
      <c r="I17" s="12">
        <v>4.9000000000000002E-2</v>
      </c>
      <c r="J17" s="12">
        <f t="shared" si="2"/>
        <v>5.7999999999999996E-2</v>
      </c>
      <c r="K17" s="13">
        <f t="shared" si="3"/>
        <v>9.2129275565690227E-2</v>
      </c>
      <c r="L17" s="12">
        <f t="shared" si="4"/>
        <v>0.10131871601473424</v>
      </c>
      <c r="M17" s="12">
        <f t="shared" si="5"/>
        <v>0.10846605858621294</v>
      </c>
      <c r="O17" s="13">
        <f t="shared" si="6"/>
        <v>9.2129275565690227E-2</v>
      </c>
      <c r="P17" s="13">
        <f t="shared" si="7"/>
        <v>0.10131871601473424</v>
      </c>
      <c r="Q17" s="13">
        <f t="shared" si="8"/>
        <v>0.10846605858621294</v>
      </c>
    </row>
    <row r="18" spans="1:17">
      <c r="A18" s="2" t="str">
        <f>'AEB-3 Proxy Selection'!A17</f>
        <v>Wisconsin Energy Corporation</v>
      </c>
      <c r="B18" s="24" t="str">
        <f>'AEB-3 Proxy Selection'!B17</f>
        <v>WEC</v>
      </c>
      <c r="C18" s="25">
        <v>2.71</v>
      </c>
      <c r="D18" s="25">
        <v>90.209333333333333</v>
      </c>
      <c r="E18" s="12">
        <f t="shared" si="0"/>
        <v>3.0041237418153333E-2</v>
      </c>
      <c r="F18" s="14">
        <f t="shared" si="1"/>
        <v>3.1012570761340289E-2</v>
      </c>
      <c r="G18" s="12">
        <v>6.5000000000000002E-2</v>
      </c>
      <c r="H18" s="12">
        <v>6.6000000000000003E-2</v>
      </c>
      <c r="I18" s="12">
        <v>6.3E-2</v>
      </c>
      <c r="J18" s="12">
        <f t="shared" si="2"/>
        <v>6.4666666666666664E-2</v>
      </c>
      <c r="K18" s="13">
        <f t="shared" si="3"/>
        <v>9.3987536396825166E-2</v>
      </c>
      <c r="L18" s="12">
        <f t="shared" si="4"/>
        <v>9.567923742800695E-2</v>
      </c>
      <c r="M18" s="12">
        <f t="shared" si="5"/>
        <v>9.7032598252952393E-2</v>
      </c>
      <c r="O18" s="13">
        <f t="shared" si="6"/>
        <v>9.3987536396825166E-2</v>
      </c>
      <c r="P18" s="13">
        <f t="shared" si="7"/>
        <v>9.567923742800695E-2</v>
      </c>
      <c r="Q18" s="13">
        <f t="shared" si="8"/>
        <v>9.7032598252952393E-2</v>
      </c>
    </row>
    <row r="19" spans="1:17">
      <c r="A19" s="2" t="str">
        <f>'AEB-3 Proxy Selection'!A18</f>
        <v>Xcel Energy Inc.</v>
      </c>
      <c r="B19" s="24" t="str">
        <f>'AEB-3 Proxy Selection'!B18</f>
        <v>XEL</v>
      </c>
      <c r="C19" s="25">
        <v>1.83</v>
      </c>
      <c r="D19" s="25">
        <v>64.48833333333333</v>
      </c>
      <c r="E19" s="284">
        <f t="shared" si="0"/>
        <v>2.8377225854805781E-2</v>
      </c>
      <c r="F19" s="14">
        <f t="shared" si="1"/>
        <v>2.9290026619802033E-2</v>
      </c>
      <c r="G19" s="12">
        <v>0.06</v>
      </c>
      <c r="H19" s="12">
        <v>6.9000000000000006E-2</v>
      </c>
      <c r="I19" s="12">
        <v>6.4000000000000001E-2</v>
      </c>
      <c r="J19" s="12">
        <f t="shared" si="2"/>
        <v>6.433333333333334E-2</v>
      </c>
      <c r="K19" s="13">
        <f t="shared" si="3"/>
        <v>8.922854263044995E-2</v>
      </c>
      <c r="L19" s="12">
        <f t="shared" si="4"/>
        <v>9.3623359953135366E-2</v>
      </c>
      <c r="M19" s="12">
        <f t="shared" si="5"/>
        <v>9.8356240146796586E-2</v>
      </c>
      <c r="O19" s="13">
        <f t="shared" si="6"/>
        <v>8.922854263044995E-2</v>
      </c>
      <c r="P19" s="13">
        <f t="shared" si="7"/>
        <v>9.3623359953135366E-2</v>
      </c>
      <c r="Q19" s="13">
        <f t="shared" si="8"/>
        <v>9.8356240146796586E-2</v>
      </c>
    </row>
    <row r="20" spans="1:17">
      <c r="A20" s="285" t="s">
        <v>15</v>
      </c>
      <c r="B20" s="278"/>
      <c r="C20" s="278"/>
      <c r="D20" s="278"/>
      <c r="E20" s="286">
        <f t="shared" ref="E20:M20" si="9">AVERAGE(E7:E19)</f>
        <v>3.2176172631890536E-2</v>
      </c>
      <c r="F20" s="286">
        <f t="shared" si="9"/>
        <v>3.3114287855574576E-2</v>
      </c>
      <c r="G20" s="286">
        <f t="shared" si="9"/>
        <v>6.076923076923077E-2</v>
      </c>
      <c r="H20" s="286">
        <f t="shared" si="9"/>
        <v>6.1007692307692318E-2</v>
      </c>
      <c r="I20" s="286">
        <f t="shared" si="9"/>
        <v>6.061538461538462E-2</v>
      </c>
      <c r="J20" s="286">
        <f t="shared" si="9"/>
        <v>6.07974358974359E-2</v>
      </c>
      <c r="K20" s="286">
        <f t="shared" si="9"/>
        <v>8.5206916046982106E-2</v>
      </c>
      <c r="L20" s="286">
        <f t="shared" si="9"/>
        <v>9.3911723753010476E-2</v>
      </c>
      <c r="M20" s="286">
        <f t="shared" si="9"/>
        <v>0.10147284929289971</v>
      </c>
      <c r="N20" s="286"/>
      <c r="O20" s="286">
        <f>AVERAGE(O7:O19)</f>
        <v>8.5206916046982106E-2</v>
      </c>
      <c r="P20" s="286">
        <f>AVERAGE(P7:P19)</f>
        <v>9.3911723753010476E-2</v>
      </c>
      <c r="Q20" s="286">
        <f>AVERAGE(Q7:Q19)</f>
        <v>0.10147284929289971</v>
      </c>
    </row>
    <row r="21" spans="1:17">
      <c r="A21" s="287" t="s">
        <v>3</v>
      </c>
      <c r="B21" s="235"/>
      <c r="C21" s="235"/>
      <c r="D21" s="235"/>
      <c r="E21" s="284">
        <f t="shared" ref="E21:M21" si="10">MEDIAN(E7:E19)</f>
        <v>3.0041237418153333E-2</v>
      </c>
      <c r="F21" s="284">
        <f t="shared" si="10"/>
        <v>3.1012570761340289E-2</v>
      </c>
      <c r="G21" s="284">
        <f t="shared" si="10"/>
        <v>0.06</v>
      </c>
      <c r="H21" s="284">
        <f t="shared" si="10"/>
        <v>6.0999999999999999E-2</v>
      </c>
      <c r="I21" s="284">
        <f t="shared" si="10"/>
        <v>6.0999999999999999E-2</v>
      </c>
      <c r="J21" s="284">
        <f t="shared" si="10"/>
        <v>5.8999999999999997E-2</v>
      </c>
      <c r="K21" s="284">
        <f t="shared" si="10"/>
        <v>8.6778312987528097E-2</v>
      </c>
      <c r="L21" s="284">
        <f t="shared" si="10"/>
        <v>9.3623359953135366E-2</v>
      </c>
      <c r="M21" s="284">
        <f t="shared" si="10"/>
        <v>9.9762350711735934E-2</v>
      </c>
      <c r="N21" s="284"/>
      <c r="O21" s="284">
        <f>MEDIAN(O7:O19)</f>
        <v>8.6778312987528097E-2</v>
      </c>
      <c r="P21" s="284">
        <f>MEDIAN(P7:P19)</f>
        <v>9.3623359953135366E-2</v>
      </c>
      <c r="Q21" s="284">
        <f>MEDIAN(Q7:Q19)</f>
        <v>9.9762350711735934E-2</v>
      </c>
    </row>
    <row r="22" spans="1:17">
      <c r="A22" s="285"/>
      <c r="B22" s="278"/>
      <c r="C22" s="2"/>
      <c r="D22" s="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>
      <c r="A23" s="235" t="s">
        <v>31</v>
      </c>
      <c r="B23" s="235"/>
      <c r="C23" s="2"/>
      <c r="D23" s="2"/>
      <c r="E23" s="2"/>
      <c r="F23" s="2"/>
      <c r="G23" s="2"/>
      <c r="H23" s="2"/>
      <c r="I23" s="2"/>
      <c r="J23" s="2"/>
      <c r="K23" s="6"/>
      <c r="L23" s="2"/>
      <c r="M23" s="2"/>
      <c r="O23" s="9"/>
      <c r="P23" s="12"/>
      <c r="Q23" s="23"/>
    </row>
    <row r="24" spans="1:17">
      <c r="A24" s="2" t="s">
        <v>88</v>
      </c>
      <c r="B24" s="2"/>
      <c r="C24" s="2"/>
      <c r="D24" s="2"/>
      <c r="E24" s="2"/>
      <c r="F24" s="2"/>
      <c r="G24" s="2"/>
      <c r="H24" s="2"/>
      <c r="I24" s="2"/>
      <c r="J24" s="2"/>
      <c r="K24" s="6"/>
      <c r="L24" s="2"/>
      <c r="M24" s="2"/>
      <c r="O24" s="9"/>
      <c r="P24" s="12"/>
      <c r="Q24" s="23"/>
    </row>
    <row r="25" spans="1:17">
      <c r="A25" s="2" t="s">
        <v>114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9"/>
      <c r="P25" s="12"/>
    </row>
    <row r="26" spans="1:17">
      <c r="A26" s="2" t="s">
        <v>115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O26" s="10"/>
      <c r="P26" s="12"/>
    </row>
    <row r="27" spans="1:17">
      <c r="A27" s="2" t="s">
        <v>116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10"/>
      <c r="P27" s="12"/>
    </row>
    <row r="28" spans="1:17">
      <c r="A28" s="2" t="s">
        <v>117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10"/>
      <c r="P28" s="12"/>
    </row>
    <row r="29" spans="1:17">
      <c r="A29" s="2" t="s">
        <v>118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10"/>
      <c r="P29" s="12"/>
    </row>
    <row r="30" spans="1:17">
      <c r="A30" s="2" t="s">
        <v>119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10"/>
    </row>
    <row r="31" spans="1:17">
      <c r="A31" s="3" t="s">
        <v>120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0"/>
    </row>
    <row r="32" spans="1:17">
      <c r="A32" s="2" t="s">
        <v>121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1"/>
    </row>
    <row r="33" spans="1:17">
      <c r="A33" s="2" t="s">
        <v>122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1"/>
    </row>
    <row r="34" spans="1:17">
      <c r="A34" s="2" t="s">
        <v>123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1"/>
    </row>
    <row r="35" spans="1:17">
      <c r="A35" s="18" t="s">
        <v>124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O35" s="11"/>
    </row>
    <row r="36" spans="1:17">
      <c r="O36" s="11"/>
    </row>
    <row r="37" spans="1:17">
      <c r="A37" s="361" t="s">
        <v>125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360" t="s">
        <v>99</v>
      </c>
      <c r="P38" s="360"/>
      <c r="Q38" s="360"/>
    </row>
    <row r="39" spans="1:17" ht="13.8" thickBot="1">
      <c r="A39" s="2"/>
      <c r="B39" s="2"/>
      <c r="C39" s="4">
        <v>1</v>
      </c>
      <c r="D39" s="4">
        <v>2</v>
      </c>
      <c r="E39" s="4">
        <v>3</v>
      </c>
      <c r="F39" s="4">
        <v>4</v>
      </c>
      <c r="G39" s="4">
        <v>5</v>
      </c>
      <c r="H39" s="4">
        <v>6</v>
      </c>
      <c r="I39" s="4">
        <v>7</v>
      </c>
      <c r="J39" s="4">
        <v>8</v>
      </c>
      <c r="K39" s="4">
        <v>9</v>
      </c>
      <c r="L39" s="4">
        <v>10</v>
      </c>
      <c r="M39" s="4">
        <v>11</v>
      </c>
      <c r="O39" s="4" t="s">
        <v>100</v>
      </c>
      <c r="P39" s="4" t="s">
        <v>101</v>
      </c>
      <c r="Q39" s="4" t="s">
        <v>102</v>
      </c>
    </row>
    <row r="40" spans="1:17" ht="52.8">
      <c r="A40" s="106" t="s">
        <v>44</v>
      </c>
      <c r="B40" s="107"/>
      <c r="C40" s="102" t="s">
        <v>103</v>
      </c>
      <c r="D40" s="102" t="s">
        <v>104</v>
      </c>
      <c r="E40" s="102" t="s">
        <v>105</v>
      </c>
      <c r="F40" s="102" t="s">
        <v>106</v>
      </c>
      <c r="G40" s="102" t="s">
        <v>107</v>
      </c>
      <c r="H40" s="102" t="s">
        <v>108</v>
      </c>
      <c r="I40" s="102" t="s">
        <v>109</v>
      </c>
      <c r="J40" s="102" t="s">
        <v>110</v>
      </c>
      <c r="K40" s="101" t="s">
        <v>111</v>
      </c>
      <c r="L40" s="102" t="s">
        <v>112</v>
      </c>
      <c r="M40" s="101" t="s">
        <v>113</v>
      </c>
      <c r="O40" s="101" t="s">
        <v>111</v>
      </c>
      <c r="P40" s="102" t="s">
        <v>112</v>
      </c>
      <c r="Q40" s="101" t="s">
        <v>113</v>
      </c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83"/>
      <c r="P41" s="283"/>
      <c r="Q41" s="283"/>
    </row>
    <row r="42" spans="1:17">
      <c r="A42" s="2" t="str">
        <f t="shared" ref="A42:B54" si="11">A7</f>
        <v>NiSource Inc.</v>
      </c>
      <c r="B42" s="24" t="str">
        <f t="shared" si="11"/>
        <v>NI</v>
      </c>
      <c r="C42" s="9">
        <v>0.88</v>
      </c>
      <c r="D42" s="9">
        <v>24.901333333333326</v>
      </c>
      <c r="E42" s="12">
        <f>C42/D42</f>
        <v>3.5339473120582575E-2</v>
      </c>
      <c r="F42" s="14">
        <f>IFERROR(E42*(1+0.5*J42),"")</f>
        <v>3.6442064681944747E-2</v>
      </c>
      <c r="G42" s="12">
        <f t="shared" ref="G42:I54" si="12">G7</f>
        <v>8.5000000000000006E-2</v>
      </c>
      <c r="H42" s="12">
        <f t="shared" si="12"/>
        <v>3.5200000000000002E-2</v>
      </c>
      <c r="I42" s="12">
        <f t="shared" si="12"/>
        <v>6.7000000000000004E-2</v>
      </c>
      <c r="J42" s="12">
        <f>AVERAGE(G42:I42)</f>
        <v>6.2400000000000004E-2</v>
      </c>
      <c r="K42" s="13">
        <f t="shared" ref="K42:K54" si="13">$E42*(1+0.5*MIN($G42:$I42))+MIN($G42:$I42)</f>
        <v>7.1161447847504833E-2</v>
      </c>
      <c r="L42" s="12">
        <f>F42+J42</f>
        <v>9.8842064681944758E-2</v>
      </c>
      <c r="M42" s="12">
        <f t="shared" ref="M42:M54" si="14">$E42*(1+0.5*MAX($G42:$I42))+MAX($G42:$I42)</f>
        <v>0.12184140072820734</v>
      </c>
      <c r="O42" s="13">
        <f>IF(K42&lt;$N$5,"",K42)</f>
        <v>7.1161447847504833E-2</v>
      </c>
      <c r="P42" s="13">
        <f>IF(L42&lt;$N$5,"",L42)</f>
        <v>9.8842064681944758E-2</v>
      </c>
      <c r="Q42" s="13">
        <f>IF(M42&lt;$N$5,"",M42)</f>
        <v>0.12184140072820734</v>
      </c>
    </row>
    <row r="43" spans="1:17">
      <c r="A43" s="2" t="str">
        <f>A8</f>
        <v>Alliant Energy Corporation</v>
      </c>
      <c r="B43" s="24" t="str">
        <f t="shared" si="11"/>
        <v>LNT</v>
      </c>
      <c r="C43" s="9">
        <v>1.61</v>
      </c>
      <c r="D43" s="9">
        <v>58.097333333333303</v>
      </c>
      <c r="E43" s="12">
        <f t="shared" ref="E43:E54" si="15">C43/D43</f>
        <v>2.7712115300759659E-2</v>
      </c>
      <c r="F43" s="14">
        <f t="shared" ref="F43:F54" si="16">IFERROR(E43*(1+0.5*J43),"")</f>
        <v>2.8529622702132072E-2</v>
      </c>
      <c r="G43" s="12">
        <f t="shared" si="12"/>
        <v>5.5E-2</v>
      </c>
      <c r="H43" s="12">
        <f t="shared" si="12"/>
        <v>6.0999999999999999E-2</v>
      </c>
      <c r="I43" s="12">
        <f t="shared" si="12"/>
        <v>6.0999999999999999E-2</v>
      </c>
      <c r="J43" s="12">
        <f t="shared" ref="J43:J54" si="17">AVERAGE(G43:I43)</f>
        <v>5.8999999999999997E-2</v>
      </c>
      <c r="K43" s="13">
        <f t="shared" si="13"/>
        <v>8.347419847153055E-2</v>
      </c>
      <c r="L43" s="12">
        <f t="shared" ref="L43:L54" si="18">F43+J43</f>
        <v>8.7529622702132076E-2</v>
      </c>
      <c r="M43" s="12">
        <f t="shared" si="14"/>
        <v>8.9557334817432832E-2</v>
      </c>
      <c r="O43" s="13">
        <f t="shared" ref="O43:Q54" si="19">IF(K43&lt;$N$5,"",K43)</f>
        <v>8.347419847153055E-2</v>
      </c>
      <c r="P43" s="13">
        <f t="shared" si="19"/>
        <v>8.7529622702132076E-2</v>
      </c>
      <c r="Q43" s="13">
        <f t="shared" si="19"/>
        <v>8.9557334817432832E-2</v>
      </c>
    </row>
    <row r="44" spans="1:17">
      <c r="A44" s="2" t="str">
        <f t="shared" si="11"/>
        <v>Ameren Corporation</v>
      </c>
      <c r="B44" s="24" t="str">
        <f t="shared" si="11"/>
        <v>AEE</v>
      </c>
      <c r="C44" s="9">
        <v>2.2000000000000002</v>
      </c>
      <c r="D44" s="9">
        <v>85.134555555555565</v>
      </c>
      <c r="E44" s="12">
        <f t="shared" si="15"/>
        <v>2.5841445763634299E-2</v>
      </c>
      <c r="F44" s="14">
        <f t="shared" si="16"/>
        <v>2.6784658534006949E-2</v>
      </c>
      <c r="G44" s="12">
        <f t="shared" si="12"/>
        <v>6.5000000000000002E-2</v>
      </c>
      <c r="H44" s="12">
        <f t="shared" si="12"/>
        <v>7.9000000000000001E-2</v>
      </c>
      <c r="I44" s="12">
        <f t="shared" si="12"/>
        <v>7.4999999999999997E-2</v>
      </c>
      <c r="J44" s="12">
        <f t="shared" si="17"/>
        <v>7.3000000000000009E-2</v>
      </c>
      <c r="K44" s="13">
        <f t="shared" si="13"/>
        <v>9.1681292750952409E-2</v>
      </c>
      <c r="L44" s="12">
        <f t="shared" si="18"/>
        <v>9.9784658534006962E-2</v>
      </c>
      <c r="M44" s="12">
        <f t="shared" si="14"/>
        <v>0.10586218287129785</v>
      </c>
      <c r="O44" s="13">
        <f t="shared" si="19"/>
        <v>9.1681292750952409E-2</v>
      </c>
      <c r="P44" s="13">
        <f t="shared" si="19"/>
        <v>9.9784658534006962E-2</v>
      </c>
      <c r="Q44" s="13">
        <f t="shared" si="19"/>
        <v>0.10586218287129785</v>
      </c>
    </row>
    <row r="45" spans="1:17">
      <c r="A45" s="2" t="str">
        <f t="shared" si="11"/>
        <v>Avista Corporation</v>
      </c>
      <c r="B45" s="24" t="str">
        <f t="shared" si="11"/>
        <v>AVA</v>
      </c>
      <c r="C45" s="9">
        <v>1.69</v>
      </c>
      <c r="D45" s="9">
        <v>40.80588888888888</v>
      </c>
      <c r="E45" s="12">
        <f t="shared" si="15"/>
        <v>4.1415590886936263E-2</v>
      </c>
      <c r="F45" s="14">
        <f t="shared" si="16"/>
        <v>4.240266246974158E-2</v>
      </c>
      <c r="G45" s="12">
        <f t="shared" si="12"/>
        <v>0.03</v>
      </c>
      <c r="H45" s="12">
        <f t="shared" si="12"/>
        <v>6.2E-2</v>
      </c>
      <c r="I45" s="12">
        <f t="shared" si="12"/>
        <v>5.0999999999999997E-2</v>
      </c>
      <c r="J45" s="12">
        <f t="shared" si="17"/>
        <v>4.7666666666666663E-2</v>
      </c>
      <c r="K45" s="13">
        <f t="shared" si="13"/>
        <v>7.20368247502403E-2</v>
      </c>
      <c r="L45" s="12">
        <f t="shared" si="18"/>
        <v>9.0069329136408249E-2</v>
      </c>
      <c r="M45" s="12">
        <f t="shared" si="14"/>
        <v>0.10469947420443129</v>
      </c>
      <c r="O45" s="13">
        <f t="shared" si="19"/>
        <v>7.20368247502403E-2</v>
      </c>
      <c r="P45" s="13">
        <f t="shared" si="19"/>
        <v>9.0069329136408249E-2</v>
      </c>
      <c r="Q45" s="13">
        <f t="shared" si="19"/>
        <v>0.10469947420443129</v>
      </c>
    </row>
    <row r="46" spans="1:17">
      <c r="A46" s="2" t="str">
        <f t="shared" si="11"/>
        <v>Black Hills Corporation</v>
      </c>
      <c r="B46" s="24" t="str">
        <f t="shared" si="11"/>
        <v>BKH</v>
      </c>
      <c r="C46" s="9">
        <v>2.38</v>
      </c>
      <c r="D46" s="9">
        <v>67.138333333333335</v>
      </c>
      <c r="E46" s="12">
        <f t="shared" si="15"/>
        <v>3.5449196931708164E-2</v>
      </c>
      <c r="F46" s="14">
        <f t="shared" si="16"/>
        <v>3.6321837996177046E-2</v>
      </c>
      <c r="G46" s="12">
        <f t="shared" si="12"/>
        <v>0.05</v>
      </c>
      <c r="H46" s="12">
        <f t="shared" si="12"/>
        <v>4.6699999999999998E-2</v>
      </c>
      <c r="I46" s="12">
        <f t="shared" si="12"/>
        <v>5.0999999999999997E-2</v>
      </c>
      <c r="J46" s="12">
        <f t="shared" si="17"/>
        <v>4.923333333333333E-2</v>
      </c>
      <c r="K46" s="13">
        <f t="shared" si="13"/>
        <v>8.2976935680063549E-2</v>
      </c>
      <c r="L46" s="12">
        <f t="shared" si="18"/>
        <v>8.5555171329510377E-2</v>
      </c>
      <c r="M46" s="12">
        <f t="shared" si="14"/>
        <v>8.7353151453466726E-2</v>
      </c>
      <c r="O46" s="13">
        <f t="shared" si="19"/>
        <v>8.2976935680063549E-2</v>
      </c>
      <c r="P46" s="13">
        <f t="shared" si="19"/>
        <v>8.5555171329510377E-2</v>
      </c>
      <c r="Q46" s="13">
        <f t="shared" si="19"/>
        <v>8.7353151453466726E-2</v>
      </c>
    </row>
    <row r="47" spans="1:17">
      <c r="A47" s="2" t="str">
        <f t="shared" si="11"/>
        <v>CMS Energy Corporation</v>
      </c>
      <c r="B47" s="24" t="str">
        <f t="shared" si="11"/>
        <v>CMS</v>
      </c>
      <c r="C47" s="9">
        <v>1.74</v>
      </c>
      <c r="D47" s="9">
        <v>61.775111111111116</v>
      </c>
      <c r="E47" s="12">
        <f t="shared" si="15"/>
        <v>2.8166683453962039E-2</v>
      </c>
      <c r="F47" s="14">
        <f t="shared" si="16"/>
        <v>2.9045483977725651E-2</v>
      </c>
      <c r="G47" s="12">
        <f t="shared" si="12"/>
        <v>0.06</v>
      </c>
      <c r="H47" s="12">
        <f t="shared" si="12"/>
        <v>5.7200000000000001E-2</v>
      </c>
      <c r="I47" s="12">
        <f t="shared" si="12"/>
        <v>7.0000000000000007E-2</v>
      </c>
      <c r="J47" s="12">
        <f t="shared" si="17"/>
        <v>6.2400000000000004E-2</v>
      </c>
      <c r="K47" s="13">
        <f t="shared" si="13"/>
        <v>8.6172250600745348E-2</v>
      </c>
      <c r="L47" s="12">
        <f t="shared" si="18"/>
        <v>9.1445483977725658E-2</v>
      </c>
      <c r="M47" s="12">
        <f t="shared" si="14"/>
        <v>9.9152517374850715E-2</v>
      </c>
      <c r="O47" s="13">
        <f t="shared" si="19"/>
        <v>8.6172250600745348E-2</v>
      </c>
      <c r="P47" s="13">
        <f t="shared" si="19"/>
        <v>9.1445483977725658E-2</v>
      </c>
      <c r="Q47" s="13">
        <f t="shared" si="19"/>
        <v>9.9152517374850715E-2</v>
      </c>
    </row>
    <row r="48" spans="1:17">
      <c r="A48" s="2" t="str">
        <f t="shared" si="11"/>
        <v>Duke Energy Corporation</v>
      </c>
      <c r="B48" s="24" t="str">
        <f t="shared" si="11"/>
        <v>DUK</v>
      </c>
      <c r="C48" s="9">
        <v>3.94</v>
      </c>
      <c r="D48" s="9">
        <v>102.54566666666668</v>
      </c>
      <c r="E48" s="12">
        <f t="shared" si="15"/>
        <v>3.8421906337664194E-2</v>
      </c>
      <c r="F48" s="14">
        <f t="shared" si="16"/>
        <v>3.9523334319343899E-2</v>
      </c>
      <c r="G48" s="12">
        <f t="shared" si="12"/>
        <v>7.0000000000000007E-2</v>
      </c>
      <c r="H48" s="12">
        <f t="shared" si="12"/>
        <v>4.9000000000000002E-2</v>
      </c>
      <c r="I48" s="12">
        <f t="shared" si="12"/>
        <v>5.2999999999999999E-2</v>
      </c>
      <c r="J48" s="12">
        <f t="shared" si="17"/>
        <v>5.733333333333334E-2</v>
      </c>
      <c r="K48" s="13">
        <f t="shared" si="13"/>
        <v>8.8363243042936968E-2</v>
      </c>
      <c r="L48" s="12">
        <f t="shared" si="18"/>
        <v>9.6856667652677239E-2</v>
      </c>
      <c r="M48" s="12">
        <f t="shared" si="14"/>
        <v>0.10976667305948244</v>
      </c>
      <c r="O48" s="13">
        <f t="shared" si="19"/>
        <v>8.8363243042936968E-2</v>
      </c>
      <c r="P48" s="13">
        <f t="shared" si="19"/>
        <v>9.6856667652677239E-2</v>
      </c>
      <c r="Q48" s="13">
        <f t="shared" si="19"/>
        <v>0.10976667305948244</v>
      </c>
    </row>
    <row r="49" spans="1:17">
      <c r="A49" s="2" t="str">
        <f t="shared" si="11"/>
        <v>MGE Energy, Inc.</v>
      </c>
      <c r="B49" s="24" t="str">
        <f t="shared" si="11"/>
        <v>MGEE</v>
      </c>
      <c r="C49" s="9">
        <v>1.55</v>
      </c>
      <c r="D49" s="9">
        <v>77.669333333333356</v>
      </c>
      <c r="E49" s="12">
        <f t="shared" si="15"/>
        <v>1.9956396346906539E-2</v>
      </c>
      <c r="F49" s="14">
        <f t="shared" si="16"/>
        <v>2.0531805774909009E-2</v>
      </c>
      <c r="G49" s="12">
        <f t="shared" si="12"/>
        <v>5.5E-2</v>
      </c>
      <c r="H49" s="12">
        <f t="shared" si="12"/>
        <v>5.8999999999999997E-2</v>
      </c>
      <c r="I49" s="12">
        <f t="shared" si="12"/>
        <v>5.8999999999999997E-2</v>
      </c>
      <c r="J49" s="12">
        <f t="shared" si="17"/>
        <v>5.7666666666666665E-2</v>
      </c>
      <c r="K49" s="13">
        <f t="shared" si="13"/>
        <v>7.550519724644647E-2</v>
      </c>
      <c r="L49" s="12">
        <f t="shared" si="18"/>
        <v>7.819847244157567E-2</v>
      </c>
      <c r="M49" s="12">
        <f t="shared" si="14"/>
        <v>7.9545110039140277E-2</v>
      </c>
      <c r="O49" s="13">
        <f t="shared" si="19"/>
        <v>7.550519724644647E-2</v>
      </c>
      <c r="P49" s="13">
        <f t="shared" si="19"/>
        <v>7.819847244157567E-2</v>
      </c>
      <c r="Q49" s="13">
        <f t="shared" si="19"/>
        <v>7.9545110039140277E-2</v>
      </c>
    </row>
    <row r="50" spans="1:17">
      <c r="A50" s="2" t="str">
        <f t="shared" si="11"/>
        <v>NextEra Energy, Inc.</v>
      </c>
      <c r="B50" s="24" t="str">
        <f t="shared" si="11"/>
        <v>NEE</v>
      </c>
      <c r="C50" s="9">
        <v>1.54</v>
      </c>
      <c r="D50" s="9">
        <v>83.169111111111079</v>
      </c>
      <c r="E50" s="12">
        <f t="shared" si="15"/>
        <v>1.8516489829290262E-2</v>
      </c>
      <c r="F50" s="14">
        <f t="shared" si="16"/>
        <v>1.9405281341096196E-2</v>
      </c>
      <c r="G50" s="12">
        <f t="shared" si="12"/>
        <v>0.105</v>
      </c>
      <c r="H50" s="12">
        <f t="shared" si="12"/>
        <v>9.9000000000000005E-2</v>
      </c>
      <c r="I50" s="12">
        <f t="shared" si="12"/>
        <v>8.4000000000000005E-2</v>
      </c>
      <c r="J50" s="12">
        <f t="shared" si="17"/>
        <v>9.6000000000000016E-2</v>
      </c>
      <c r="K50" s="13">
        <f t="shared" si="13"/>
        <v>0.10329418240212046</v>
      </c>
      <c r="L50" s="12">
        <f t="shared" si="18"/>
        <v>0.11540528134109621</v>
      </c>
      <c r="M50" s="12">
        <f t="shared" si="14"/>
        <v>0.12448860554532799</v>
      </c>
      <c r="O50" s="13">
        <f t="shared" si="19"/>
        <v>0.10329418240212046</v>
      </c>
      <c r="P50" s="13">
        <f t="shared" si="19"/>
        <v>0.11540528134109621</v>
      </c>
      <c r="Q50" s="13">
        <f t="shared" si="19"/>
        <v>0.12448860554532799</v>
      </c>
    </row>
    <row r="51" spans="1:17">
      <c r="A51" s="2" t="str">
        <f t="shared" si="11"/>
        <v>NorthWestern Corporation</v>
      </c>
      <c r="B51" s="24" t="str">
        <f t="shared" si="11"/>
        <v>NWE</v>
      </c>
      <c r="C51" s="9">
        <v>2.48</v>
      </c>
      <c r="D51" s="9">
        <v>59.964888888888879</v>
      </c>
      <c r="E51" s="12">
        <f t="shared" si="15"/>
        <v>4.1357535150199014E-2</v>
      </c>
      <c r="F51" s="14">
        <f t="shared" si="16"/>
        <v>4.2157114163102867E-2</v>
      </c>
      <c r="G51" s="12">
        <f t="shared" si="12"/>
        <v>0.03</v>
      </c>
      <c r="H51" s="12">
        <f t="shared" si="12"/>
        <v>4.4999999999999998E-2</v>
      </c>
      <c r="I51" s="12">
        <f t="shared" si="12"/>
        <v>4.1000000000000002E-2</v>
      </c>
      <c r="J51" s="12">
        <f t="shared" si="17"/>
        <v>3.8666666666666662E-2</v>
      </c>
      <c r="K51" s="13">
        <f t="shared" si="13"/>
        <v>7.1977898177451996E-2</v>
      </c>
      <c r="L51" s="12">
        <f t="shared" si="18"/>
        <v>8.0823780829769529E-2</v>
      </c>
      <c r="M51" s="12">
        <f t="shared" si="14"/>
        <v>8.7288079691078491E-2</v>
      </c>
      <c r="O51" s="13">
        <f t="shared" si="19"/>
        <v>7.1977898177451996E-2</v>
      </c>
      <c r="P51" s="13">
        <f t="shared" si="19"/>
        <v>8.0823780829769529E-2</v>
      </c>
      <c r="Q51" s="13">
        <f t="shared" si="19"/>
        <v>8.7288079691078491E-2</v>
      </c>
    </row>
    <row r="52" spans="1:17">
      <c r="A52" s="2" t="str">
        <f t="shared" si="11"/>
        <v>Southern Company</v>
      </c>
      <c r="B52" s="24" t="str">
        <f t="shared" si="11"/>
        <v>SO</v>
      </c>
      <c r="C52" s="9">
        <v>2.64</v>
      </c>
      <c r="D52" s="9">
        <v>63.953555555555539</v>
      </c>
      <c r="E52" s="12">
        <f t="shared" si="15"/>
        <v>4.1279956635197082E-2</v>
      </c>
      <c r="F52" s="14">
        <f t="shared" si="16"/>
        <v>4.2477075377617794E-2</v>
      </c>
      <c r="G52" s="12">
        <f t="shared" si="12"/>
        <v>0.06</v>
      </c>
      <c r="H52" s="12">
        <f t="shared" si="12"/>
        <v>6.5000000000000002E-2</v>
      </c>
      <c r="I52" s="12">
        <f t="shared" si="12"/>
        <v>4.9000000000000002E-2</v>
      </c>
      <c r="J52" s="12">
        <f t="shared" si="17"/>
        <v>5.7999999999999996E-2</v>
      </c>
      <c r="K52" s="13">
        <f t="shared" si="13"/>
        <v>9.1291315572759407E-2</v>
      </c>
      <c r="L52" s="12">
        <f t="shared" si="18"/>
        <v>0.1004770753776178</v>
      </c>
      <c r="M52" s="12">
        <f t="shared" si="14"/>
        <v>0.10762155522584099</v>
      </c>
      <c r="O52" s="13">
        <f t="shared" si="19"/>
        <v>9.1291315572759407E-2</v>
      </c>
      <c r="P52" s="13">
        <f t="shared" si="19"/>
        <v>0.1004770753776178</v>
      </c>
      <c r="Q52" s="13">
        <f t="shared" si="19"/>
        <v>0.10762155522584099</v>
      </c>
    </row>
    <row r="53" spans="1:17">
      <c r="A53" s="2" t="str">
        <f t="shared" si="11"/>
        <v>Wisconsin Energy Corporation</v>
      </c>
      <c r="B53" s="24" t="str">
        <f t="shared" si="11"/>
        <v>WEC</v>
      </c>
      <c r="C53" s="9">
        <v>2.71</v>
      </c>
      <c r="D53" s="9">
        <v>92.168222222222212</v>
      </c>
      <c r="E53" s="12">
        <f t="shared" si="15"/>
        <v>2.9402758723782844E-2</v>
      </c>
      <c r="F53" s="14">
        <f t="shared" si="16"/>
        <v>3.0353447922518487E-2</v>
      </c>
      <c r="G53" s="12">
        <f t="shared" si="12"/>
        <v>6.5000000000000002E-2</v>
      </c>
      <c r="H53" s="12">
        <f t="shared" si="12"/>
        <v>6.6000000000000003E-2</v>
      </c>
      <c r="I53" s="12">
        <f t="shared" si="12"/>
        <v>6.3E-2</v>
      </c>
      <c r="J53" s="12">
        <f t="shared" si="17"/>
        <v>6.4666666666666664E-2</v>
      </c>
      <c r="K53" s="13">
        <f t="shared" si="13"/>
        <v>9.3328945623582002E-2</v>
      </c>
      <c r="L53" s="12">
        <f t="shared" si="18"/>
        <v>9.5020114589185148E-2</v>
      </c>
      <c r="M53" s="12">
        <f t="shared" si="14"/>
        <v>9.6373049761667676E-2</v>
      </c>
      <c r="O53" s="13">
        <f t="shared" si="19"/>
        <v>9.3328945623582002E-2</v>
      </c>
      <c r="P53" s="13">
        <f t="shared" si="19"/>
        <v>9.5020114589185148E-2</v>
      </c>
      <c r="Q53" s="13">
        <f t="shared" si="19"/>
        <v>9.6373049761667676E-2</v>
      </c>
    </row>
    <row r="54" spans="1:17" ht="13.2" customHeight="1">
      <c r="A54" s="2" t="str">
        <f t="shared" si="11"/>
        <v>Xcel Energy Inc.</v>
      </c>
      <c r="B54" s="24" t="str">
        <f t="shared" si="11"/>
        <v>XEL</v>
      </c>
      <c r="C54" s="342">
        <v>1.83</v>
      </c>
      <c r="D54" s="9">
        <v>66.015111111111111</v>
      </c>
      <c r="E54" s="284">
        <f t="shared" si="15"/>
        <v>2.7720925848627252E-2</v>
      </c>
      <c r="F54" s="14">
        <f t="shared" si="16"/>
        <v>2.8612615630091428E-2</v>
      </c>
      <c r="G54" s="12">
        <f t="shared" si="12"/>
        <v>0.06</v>
      </c>
      <c r="H54" s="12">
        <f t="shared" si="12"/>
        <v>6.9000000000000006E-2</v>
      </c>
      <c r="I54" s="12">
        <f t="shared" si="12"/>
        <v>6.4000000000000001E-2</v>
      </c>
      <c r="J54" s="12">
        <f t="shared" si="17"/>
        <v>6.433333333333334E-2</v>
      </c>
      <c r="K54" s="13">
        <f t="shared" si="13"/>
        <v>8.8552553624086067E-2</v>
      </c>
      <c r="L54" s="12">
        <f t="shared" si="18"/>
        <v>9.2945948963424771E-2</v>
      </c>
      <c r="M54" s="12">
        <f t="shared" si="14"/>
        <v>9.7677297790404904E-2</v>
      </c>
      <c r="O54" s="13">
        <f t="shared" si="19"/>
        <v>8.8552553624086067E-2</v>
      </c>
      <c r="P54" s="13">
        <f t="shared" si="19"/>
        <v>9.2945948963424771E-2</v>
      </c>
      <c r="Q54" s="13">
        <f t="shared" si="19"/>
        <v>9.7677297790404904E-2</v>
      </c>
    </row>
    <row r="55" spans="1:17">
      <c r="A55" s="285" t="s">
        <v>15</v>
      </c>
      <c r="B55" s="278"/>
      <c r="C55" s="341"/>
      <c r="D55" s="278"/>
      <c r="E55" s="286">
        <f t="shared" ref="E55:M55" si="20">AVERAGE(E42:E54)</f>
        <v>3.1583113409942319E-2</v>
      </c>
      <c r="F55" s="286">
        <f t="shared" si="20"/>
        <v>3.2506692683877521E-2</v>
      </c>
      <c r="G55" s="286">
        <f t="shared" si="20"/>
        <v>6.076923076923077E-2</v>
      </c>
      <c r="H55" s="286">
        <f t="shared" si="20"/>
        <v>6.1007692307692318E-2</v>
      </c>
      <c r="I55" s="286">
        <f t="shared" si="20"/>
        <v>6.061538461538462E-2</v>
      </c>
      <c r="J55" s="286">
        <f t="shared" si="20"/>
        <v>6.07974358974359E-2</v>
      </c>
      <c r="K55" s="286">
        <f t="shared" si="20"/>
        <v>8.4601252753109257E-2</v>
      </c>
      <c r="L55" s="286">
        <f t="shared" si="20"/>
        <v>9.3304128581313414E-2</v>
      </c>
      <c r="M55" s="286">
        <f t="shared" si="20"/>
        <v>0.1008635717355869</v>
      </c>
      <c r="N55" s="286"/>
      <c r="O55" s="286">
        <f>AVERAGE(O42:O54)</f>
        <v>8.4601252753109257E-2</v>
      </c>
      <c r="P55" s="286">
        <f>AVERAGE(P42:P54)</f>
        <v>9.3304128581313414E-2</v>
      </c>
      <c r="Q55" s="286">
        <f>AVERAGE(Q42:Q54)</f>
        <v>0.1008635717355869</v>
      </c>
    </row>
    <row r="56" spans="1:17">
      <c r="A56" s="287" t="s">
        <v>3</v>
      </c>
      <c r="B56" s="235"/>
      <c r="C56" s="235"/>
      <c r="D56" s="235"/>
      <c r="E56" s="284">
        <f t="shared" ref="E56:M56" si="21">MEDIAN(E42:E54)</f>
        <v>2.9402758723782844E-2</v>
      </c>
      <c r="F56" s="284">
        <f t="shared" si="21"/>
        <v>3.0353447922518487E-2</v>
      </c>
      <c r="G56" s="284">
        <f t="shared" si="21"/>
        <v>0.06</v>
      </c>
      <c r="H56" s="284">
        <f t="shared" si="21"/>
        <v>6.0999999999999999E-2</v>
      </c>
      <c r="I56" s="284">
        <f t="shared" si="21"/>
        <v>6.0999999999999999E-2</v>
      </c>
      <c r="J56" s="284">
        <f t="shared" si="21"/>
        <v>5.8999999999999997E-2</v>
      </c>
      <c r="K56" s="284">
        <f t="shared" si="21"/>
        <v>8.6172250600745348E-2</v>
      </c>
      <c r="L56" s="284">
        <f t="shared" si="21"/>
        <v>9.2945948963424771E-2</v>
      </c>
      <c r="M56" s="284">
        <f t="shared" si="21"/>
        <v>9.9152517374850715E-2</v>
      </c>
      <c r="N56" s="284"/>
      <c r="O56" s="284">
        <f>MEDIAN(O42:O54)</f>
        <v>8.6172250600745348E-2</v>
      </c>
      <c r="P56" s="284">
        <f>MEDIAN(P42:P54)</f>
        <v>9.2945948963424771E-2</v>
      </c>
      <c r="Q56" s="284">
        <f>MEDIAN(Q42:Q54)</f>
        <v>9.9152517374850715E-2</v>
      </c>
    </row>
    <row r="57" spans="1:17">
      <c r="A57" s="285"/>
      <c r="B57" s="278"/>
      <c r="C57" s="2"/>
      <c r="D57" s="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235" t="s">
        <v>31</v>
      </c>
      <c r="B58" s="23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9"/>
    </row>
    <row r="59" spans="1:17">
      <c r="A59" s="2" t="s">
        <v>88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9"/>
    </row>
    <row r="60" spans="1:17">
      <c r="A60" s="2" t="str">
        <f>A25</f>
        <v>[2] Source: Bloomberg Professional, equals 30-day average as of November 30, 2021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9"/>
    </row>
    <row r="61" spans="1:17">
      <c r="A61" s="2" t="s">
        <v>115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9"/>
    </row>
    <row r="62" spans="1:17">
      <c r="A62" s="2" t="s">
        <v>116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9"/>
    </row>
    <row r="63" spans="1:17">
      <c r="A63" s="2" t="s">
        <v>117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9"/>
    </row>
    <row r="64" spans="1:17">
      <c r="A64" s="2" t="s">
        <v>118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9"/>
    </row>
    <row r="65" spans="1:20">
      <c r="A65" s="18" t="s">
        <v>119</v>
      </c>
      <c r="B65" s="2"/>
      <c r="C65" s="2"/>
      <c r="D65" s="18"/>
      <c r="E65" s="2"/>
      <c r="F65" s="2"/>
      <c r="G65" s="2"/>
      <c r="H65" s="2"/>
      <c r="I65" s="2"/>
      <c r="J65" s="2"/>
      <c r="K65" s="2"/>
      <c r="L65" s="2"/>
      <c r="M65" s="2"/>
      <c r="O65" s="9"/>
    </row>
    <row r="66" spans="1:20">
      <c r="A66" s="3" t="s">
        <v>120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O66" s="9"/>
    </row>
    <row r="67" spans="1:20">
      <c r="A67" s="2" t="s">
        <v>121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O67" s="9"/>
    </row>
    <row r="68" spans="1:20">
      <c r="A68" s="2" t="s">
        <v>122</v>
      </c>
      <c r="B68" s="2"/>
      <c r="C68" s="2"/>
      <c r="D68" s="2"/>
      <c r="E68" s="2"/>
      <c r="F68" s="2"/>
      <c r="G68" s="2"/>
      <c r="H68" s="2"/>
      <c r="I68" s="24"/>
      <c r="J68" s="25"/>
      <c r="K68" s="25"/>
      <c r="L68" s="12"/>
      <c r="M68" s="14"/>
      <c r="N68" s="13"/>
      <c r="O68" s="12"/>
      <c r="P68" s="12"/>
      <c r="Q68" s="12"/>
      <c r="R68" s="13"/>
      <c r="S68" s="13"/>
      <c r="T68" s="13"/>
    </row>
    <row r="69" spans="1:20">
      <c r="A69" s="2" t="s">
        <v>123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O69" s="9"/>
    </row>
    <row r="70" spans="1:20">
      <c r="A70" s="18" t="s">
        <v>124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9"/>
    </row>
    <row r="71" spans="1:20">
      <c r="O71" s="9"/>
    </row>
    <row r="72" spans="1:20">
      <c r="A72" s="361" t="s">
        <v>126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</row>
    <row r="73" spans="1: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O73" s="360" t="s">
        <v>99</v>
      </c>
      <c r="P73" s="360"/>
      <c r="Q73" s="360"/>
    </row>
    <row r="74" spans="1:20" ht="13.8" thickBot="1">
      <c r="A74" s="2"/>
      <c r="B74" s="2"/>
      <c r="C74" s="4">
        <v>1</v>
      </c>
      <c r="D74" s="4">
        <v>2</v>
      </c>
      <c r="E74" s="4">
        <v>3</v>
      </c>
      <c r="F74" s="4">
        <v>4</v>
      </c>
      <c r="G74" s="4">
        <v>5</v>
      </c>
      <c r="H74" s="4">
        <v>6</v>
      </c>
      <c r="I74" s="4">
        <v>7</v>
      </c>
      <c r="J74" s="4">
        <v>8</v>
      </c>
      <c r="K74" s="4">
        <v>9</v>
      </c>
      <c r="L74" s="4">
        <v>10</v>
      </c>
      <c r="M74" s="4">
        <v>11</v>
      </c>
      <c r="O74" s="4" t="s">
        <v>100</v>
      </c>
      <c r="P74" s="4" t="s">
        <v>101</v>
      </c>
      <c r="Q74" s="4" t="s">
        <v>102</v>
      </c>
    </row>
    <row r="75" spans="1:20" ht="52.8">
      <c r="A75" s="106" t="s">
        <v>44</v>
      </c>
      <c r="B75" s="107"/>
      <c r="C75" s="102" t="s">
        <v>103</v>
      </c>
      <c r="D75" s="102" t="s">
        <v>104</v>
      </c>
      <c r="E75" s="102" t="s">
        <v>105</v>
      </c>
      <c r="F75" s="102" t="s">
        <v>106</v>
      </c>
      <c r="G75" s="102" t="s">
        <v>107</v>
      </c>
      <c r="H75" s="102" t="s">
        <v>108</v>
      </c>
      <c r="I75" s="102" t="s">
        <v>109</v>
      </c>
      <c r="J75" s="102" t="s">
        <v>110</v>
      </c>
      <c r="K75" s="101" t="s">
        <v>111</v>
      </c>
      <c r="L75" s="102" t="s">
        <v>112</v>
      </c>
      <c r="M75" s="101" t="s">
        <v>113</v>
      </c>
      <c r="O75" s="101" t="s">
        <v>111</v>
      </c>
      <c r="P75" s="102" t="s">
        <v>112</v>
      </c>
      <c r="Q75" s="101" t="s">
        <v>113</v>
      </c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O76" s="283"/>
      <c r="P76" s="283"/>
      <c r="Q76" s="283"/>
    </row>
    <row r="77" spans="1:20">
      <c r="A77" s="2" t="str">
        <f t="shared" ref="A77:B89" si="22">A7</f>
        <v>NiSource Inc.</v>
      </c>
      <c r="B77" s="24" t="str">
        <f t="shared" si="22"/>
        <v>NI</v>
      </c>
      <c r="C77" s="9">
        <v>0.88</v>
      </c>
      <c r="D77" s="9">
        <v>25.036888888888885</v>
      </c>
      <c r="E77" s="12">
        <f>IFERROR(C77/D77,"")</f>
        <v>3.5148136971224687E-2</v>
      </c>
      <c r="F77" s="14">
        <f>IFERROR(E77*(1+0.5*J77),"")</f>
        <v>3.6244758844726895E-2</v>
      </c>
      <c r="G77" s="12">
        <f t="shared" ref="G77:I89" si="23">G7</f>
        <v>8.5000000000000006E-2</v>
      </c>
      <c r="H77" s="12">
        <f t="shared" si="23"/>
        <v>3.5200000000000002E-2</v>
      </c>
      <c r="I77" s="12">
        <f>I7</f>
        <v>6.7000000000000004E-2</v>
      </c>
      <c r="J77" s="12">
        <f t="shared" ref="J77" si="24">AVERAGE(G77:I77)</f>
        <v>6.2400000000000004E-2</v>
      </c>
      <c r="K77" s="13">
        <f t="shared" ref="K77:K89" si="25">$E77*(1+0.5*MIN($G77:$I77))+MIN($G77:$I77)</f>
        <v>7.0966744181918257E-2</v>
      </c>
      <c r="L77" s="12">
        <f t="shared" ref="L77" si="26">F77+J77</f>
        <v>9.8644758844726899E-2</v>
      </c>
      <c r="M77" s="12">
        <f t="shared" ref="M77:M89" si="27">$E77*(1+0.5*MAX($G77:$I77))+MAX($G77:$I77)</f>
        <v>0.12164193279250174</v>
      </c>
      <c r="O77" s="13">
        <f>IF(K77&lt;$N$5,"",K77)</f>
        <v>7.0966744181918257E-2</v>
      </c>
      <c r="P77" s="13">
        <f>IF(L77&lt;$N$5,"",L77)</f>
        <v>9.8644758844726899E-2</v>
      </c>
      <c r="Q77" s="13">
        <f>IF(M77&lt;$N$5,"",M77)</f>
        <v>0.12164193279250174</v>
      </c>
    </row>
    <row r="78" spans="1:20">
      <c r="A78" s="2" t="str">
        <f t="shared" si="22"/>
        <v>Alliant Energy Corporation</v>
      </c>
      <c r="B78" s="24" t="str">
        <f t="shared" si="22"/>
        <v>LNT</v>
      </c>
      <c r="C78" s="9">
        <v>1.61</v>
      </c>
      <c r="D78" s="9">
        <v>57.217694444444419</v>
      </c>
      <c r="E78" s="12">
        <f t="shared" ref="E78:E89" si="28">IFERROR(C78/D78,"")</f>
        <v>2.8138148795268766E-2</v>
      </c>
      <c r="F78" s="14">
        <f t="shared" ref="F78:F89" si="29">IFERROR(E78*(1+0.5*J78),"")</f>
        <v>2.8968224184729198E-2</v>
      </c>
      <c r="G78" s="12">
        <f t="shared" si="23"/>
        <v>5.5E-2</v>
      </c>
      <c r="H78" s="12">
        <f t="shared" si="23"/>
        <v>6.0999999999999999E-2</v>
      </c>
      <c r="I78" s="12">
        <f t="shared" si="23"/>
        <v>6.0999999999999999E-2</v>
      </c>
      <c r="J78" s="12">
        <f t="shared" ref="J78:J89" si="30">AVERAGE(G78:I78)</f>
        <v>5.8999999999999997E-2</v>
      </c>
      <c r="K78" s="13">
        <f t="shared" si="25"/>
        <v>8.3911947887138655E-2</v>
      </c>
      <c r="L78" s="12">
        <f t="shared" ref="L78:L89" si="31">F78+J78</f>
        <v>8.7968224184729188E-2</v>
      </c>
      <c r="M78" s="12">
        <f t="shared" si="27"/>
        <v>8.9996362333524454E-2</v>
      </c>
      <c r="O78" s="13">
        <f t="shared" ref="O78:O89" si="32">IF(K78&lt;$N$5,"",K78)</f>
        <v>8.3911947887138655E-2</v>
      </c>
      <c r="P78" s="13">
        <f t="shared" ref="P78:P89" si="33">IF(L78&lt;$N$5,"",L78)</f>
        <v>8.7968224184729188E-2</v>
      </c>
      <c r="Q78" s="13">
        <f t="shared" ref="Q78:Q89" si="34">IF(M78&lt;$N$5,"",M78)</f>
        <v>8.9996362333524454E-2</v>
      </c>
    </row>
    <row r="79" spans="1:20">
      <c r="A79" s="2" t="str">
        <f t="shared" si="22"/>
        <v>Ameren Corporation</v>
      </c>
      <c r="B79" s="24" t="str">
        <f t="shared" si="22"/>
        <v>AEE</v>
      </c>
      <c r="C79" s="9">
        <v>2.2000000000000002</v>
      </c>
      <c r="D79" s="9">
        <v>84.122222222222234</v>
      </c>
      <c r="E79" s="12">
        <f t="shared" si="28"/>
        <v>2.6152423722097477E-2</v>
      </c>
      <c r="F79" s="14">
        <f t="shared" si="29"/>
        <v>2.7106987187954033E-2</v>
      </c>
      <c r="G79" s="12">
        <f t="shared" si="23"/>
        <v>6.5000000000000002E-2</v>
      </c>
      <c r="H79" s="12">
        <f t="shared" si="23"/>
        <v>7.9000000000000001E-2</v>
      </c>
      <c r="I79" s="12">
        <f t="shared" si="23"/>
        <v>7.4999999999999997E-2</v>
      </c>
      <c r="J79" s="12">
        <f t="shared" si="30"/>
        <v>7.3000000000000009E-2</v>
      </c>
      <c r="K79" s="13">
        <f t="shared" si="25"/>
        <v>9.200237749306564E-2</v>
      </c>
      <c r="L79" s="12">
        <f t="shared" si="31"/>
        <v>0.10010698718795405</v>
      </c>
      <c r="M79" s="12">
        <f t="shared" si="27"/>
        <v>0.10618544445912033</v>
      </c>
      <c r="O79" s="13">
        <f t="shared" si="32"/>
        <v>9.200237749306564E-2</v>
      </c>
      <c r="P79" s="13">
        <f t="shared" si="33"/>
        <v>0.10010698718795405</v>
      </c>
      <c r="Q79" s="13">
        <f t="shared" si="34"/>
        <v>0.10618544445912033</v>
      </c>
    </row>
    <row r="80" spans="1:20">
      <c r="A80" s="2" t="str">
        <f t="shared" si="22"/>
        <v>Avista Corporation</v>
      </c>
      <c r="B80" s="24" t="str">
        <f t="shared" si="22"/>
        <v>AVA</v>
      </c>
      <c r="C80" s="9">
        <v>1.69</v>
      </c>
      <c r="D80" s="9">
        <v>43.103888888888868</v>
      </c>
      <c r="E80" s="12">
        <f t="shared" si="28"/>
        <v>3.9207599211208082E-2</v>
      </c>
      <c r="F80" s="14">
        <f t="shared" si="29"/>
        <v>4.0142046992408545E-2</v>
      </c>
      <c r="G80" s="12">
        <f t="shared" si="23"/>
        <v>0.03</v>
      </c>
      <c r="H80" s="12">
        <f t="shared" si="23"/>
        <v>6.2E-2</v>
      </c>
      <c r="I80" s="12">
        <f t="shared" si="23"/>
        <v>5.0999999999999997E-2</v>
      </c>
      <c r="J80" s="12">
        <f t="shared" si="30"/>
        <v>4.7666666666666663E-2</v>
      </c>
      <c r="K80" s="13">
        <f t="shared" si="25"/>
        <v>6.9795713199376191E-2</v>
      </c>
      <c r="L80" s="12">
        <f t="shared" si="31"/>
        <v>8.7808713659075208E-2</v>
      </c>
      <c r="M80" s="12">
        <f t="shared" si="27"/>
        <v>0.10242303478675552</v>
      </c>
      <c r="O80" s="13" t="str">
        <f t="shared" si="32"/>
        <v/>
      </c>
      <c r="P80" s="13">
        <f t="shared" si="33"/>
        <v>8.7808713659075208E-2</v>
      </c>
      <c r="Q80" s="13">
        <f t="shared" si="34"/>
        <v>0.10242303478675552</v>
      </c>
    </row>
    <row r="81" spans="1:17">
      <c r="A81" s="2" t="str">
        <f t="shared" si="22"/>
        <v>Black Hills Corporation</v>
      </c>
      <c r="B81" s="24" t="str">
        <f t="shared" si="22"/>
        <v>BKH</v>
      </c>
      <c r="C81" s="9">
        <v>2.38</v>
      </c>
      <c r="D81" s="9">
        <v>67.347333333333353</v>
      </c>
      <c r="E81" s="12">
        <f t="shared" si="28"/>
        <v>3.5339186901733294E-2</v>
      </c>
      <c r="F81" s="14">
        <f t="shared" si="29"/>
        <v>3.62091198859643E-2</v>
      </c>
      <c r="G81" s="12">
        <f t="shared" si="23"/>
        <v>0.05</v>
      </c>
      <c r="H81" s="12">
        <f t="shared" si="23"/>
        <v>4.6699999999999998E-2</v>
      </c>
      <c r="I81" s="12">
        <f t="shared" si="23"/>
        <v>5.0999999999999997E-2</v>
      </c>
      <c r="J81" s="12">
        <f t="shared" si="30"/>
        <v>4.923333333333333E-2</v>
      </c>
      <c r="K81" s="13">
        <f t="shared" si="25"/>
        <v>8.2864356915888754E-2</v>
      </c>
      <c r="L81" s="12">
        <f t="shared" si="31"/>
        <v>8.5442453219297637E-2</v>
      </c>
      <c r="M81" s="12">
        <f t="shared" si="27"/>
        <v>8.72403361677275E-2</v>
      </c>
      <c r="O81" s="13">
        <f t="shared" si="32"/>
        <v>8.2864356915888754E-2</v>
      </c>
      <c r="P81" s="13">
        <f t="shared" si="33"/>
        <v>8.5442453219297637E-2</v>
      </c>
      <c r="Q81" s="13">
        <f t="shared" si="34"/>
        <v>8.72403361677275E-2</v>
      </c>
    </row>
    <row r="82" spans="1:17">
      <c r="A82" s="2" t="str">
        <f t="shared" si="22"/>
        <v>CMS Energy Corporation</v>
      </c>
      <c r="B82" s="24" t="str">
        <f t="shared" si="22"/>
        <v>CMS</v>
      </c>
      <c r="C82" s="9">
        <v>1.74</v>
      </c>
      <c r="D82" s="9">
        <v>61.726444444444454</v>
      </c>
      <c r="E82" s="12">
        <f t="shared" si="28"/>
        <v>2.8188890768948295E-2</v>
      </c>
      <c r="F82" s="14">
        <f t="shared" si="29"/>
        <v>2.906838416093948E-2</v>
      </c>
      <c r="G82" s="12">
        <f t="shared" si="23"/>
        <v>0.06</v>
      </c>
      <c r="H82" s="12">
        <f t="shared" si="23"/>
        <v>5.7200000000000001E-2</v>
      </c>
      <c r="I82" s="12">
        <f t="shared" si="23"/>
        <v>7.0000000000000007E-2</v>
      </c>
      <c r="J82" s="12">
        <f t="shared" si="30"/>
        <v>6.2400000000000004E-2</v>
      </c>
      <c r="K82" s="13">
        <f t="shared" si="25"/>
        <v>8.6195093044940219E-2</v>
      </c>
      <c r="L82" s="12">
        <f t="shared" si="31"/>
        <v>9.1468384160939484E-2</v>
      </c>
      <c r="M82" s="12">
        <f t="shared" si="27"/>
        <v>9.9175501945861486E-2</v>
      </c>
      <c r="O82" s="13">
        <f t="shared" si="32"/>
        <v>8.6195093044940219E-2</v>
      </c>
      <c r="P82" s="13">
        <f t="shared" si="33"/>
        <v>9.1468384160939484E-2</v>
      </c>
      <c r="Q82" s="13">
        <f t="shared" si="34"/>
        <v>9.9175501945861486E-2</v>
      </c>
    </row>
    <row r="83" spans="1:17">
      <c r="A83" s="2" t="str">
        <f t="shared" si="22"/>
        <v>Duke Energy Corporation</v>
      </c>
      <c r="B83" s="24" t="str">
        <f t="shared" si="22"/>
        <v>DUK</v>
      </c>
      <c r="C83" s="9">
        <v>3.94</v>
      </c>
      <c r="D83" s="9">
        <v>101.28544444444445</v>
      </c>
      <c r="E83" s="12">
        <f t="shared" si="28"/>
        <v>3.8899962591970545E-2</v>
      </c>
      <c r="F83" s="14">
        <f t="shared" si="29"/>
        <v>4.0015094852940365E-2</v>
      </c>
      <c r="G83" s="12">
        <f t="shared" si="23"/>
        <v>7.0000000000000007E-2</v>
      </c>
      <c r="H83" s="12">
        <f t="shared" si="23"/>
        <v>4.9000000000000002E-2</v>
      </c>
      <c r="I83" s="12">
        <f t="shared" si="23"/>
        <v>5.2999999999999999E-2</v>
      </c>
      <c r="J83" s="12">
        <f t="shared" si="30"/>
        <v>5.733333333333334E-2</v>
      </c>
      <c r="K83" s="13">
        <f t="shared" si="25"/>
        <v>8.8853011675473825E-2</v>
      </c>
      <c r="L83" s="12">
        <f t="shared" si="31"/>
        <v>9.7348428186273706E-2</v>
      </c>
      <c r="M83" s="12">
        <f t="shared" si="27"/>
        <v>0.11026146128268952</v>
      </c>
      <c r="O83" s="13">
        <f t="shared" si="32"/>
        <v>8.8853011675473825E-2</v>
      </c>
      <c r="P83" s="13">
        <f t="shared" si="33"/>
        <v>9.7348428186273706E-2</v>
      </c>
      <c r="Q83" s="13">
        <f t="shared" si="34"/>
        <v>0.11026146128268952</v>
      </c>
    </row>
    <row r="84" spans="1:17">
      <c r="A84" s="2" t="str">
        <f t="shared" si="22"/>
        <v>MGE Energy, Inc.</v>
      </c>
      <c r="B84" s="24" t="str">
        <f t="shared" si="22"/>
        <v>MGEE</v>
      </c>
      <c r="C84" s="9">
        <v>1.55</v>
      </c>
      <c r="D84" s="9">
        <v>76.034111111111116</v>
      </c>
      <c r="E84" s="12">
        <f t="shared" si="28"/>
        <v>2.0385587170670474E-2</v>
      </c>
      <c r="F84" s="14">
        <f t="shared" si="29"/>
        <v>2.0973371600758139E-2</v>
      </c>
      <c r="G84" s="12">
        <f t="shared" si="23"/>
        <v>5.5E-2</v>
      </c>
      <c r="H84" s="12">
        <f t="shared" si="23"/>
        <v>5.8999999999999997E-2</v>
      </c>
      <c r="I84" s="12">
        <f t="shared" si="23"/>
        <v>5.8999999999999997E-2</v>
      </c>
      <c r="J84" s="12">
        <f t="shared" si="30"/>
        <v>5.7666666666666665E-2</v>
      </c>
      <c r="K84" s="13">
        <f t="shared" si="25"/>
        <v>7.5946190817863912E-2</v>
      </c>
      <c r="L84" s="12">
        <f t="shared" si="31"/>
        <v>7.86400382674248E-2</v>
      </c>
      <c r="M84" s="12">
        <f t="shared" si="27"/>
        <v>7.9986961992205258E-2</v>
      </c>
      <c r="O84" s="13">
        <f t="shared" si="32"/>
        <v>7.5946190817863912E-2</v>
      </c>
      <c r="P84" s="13">
        <f t="shared" si="33"/>
        <v>7.86400382674248E-2</v>
      </c>
      <c r="Q84" s="13">
        <f t="shared" si="34"/>
        <v>7.9986961992205258E-2</v>
      </c>
    </row>
    <row r="85" spans="1:17">
      <c r="A85" s="2" t="str">
        <f t="shared" si="22"/>
        <v>NextEra Energy, Inc.</v>
      </c>
      <c r="B85" s="24" t="str">
        <f t="shared" si="22"/>
        <v>NEE</v>
      </c>
      <c r="C85" s="9">
        <v>1.54</v>
      </c>
      <c r="D85" s="9">
        <v>79.065222222222232</v>
      </c>
      <c r="E85" s="12">
        <f t="shared" si="28"/>
        <v>1.9477590231412319E-2</v>
      </c>
      <c r="F85" s="14">
        <f t="shared" si="29"/>
        <v>2.041251456252011E-2</v>
      </c>
      <c r="G85" s="12">
        <f t="shared" si="23"/>
        <v>0.105</v>
      </c>
      <c r="H85" s="12">
        <f t="shared" si="23"/>
        <v>9.9000000000000005E-2</v>
      </c>
      <c r="I85" s="12">
        <f t="shared" si="23"/>
        <v>8.4000000000000005E-2</v>
      </c>
      <c r="J85" s="12">
        <f t="shared" si="30"/>
        <v>9.6000000000000016E-2</v>
      </c>
      <c r="K85" s="13">
        <f t="shared" si="25"/>
        <v>0.10429564902113164</v>
      </c>
      <c r="L85" s="12">
        <f t="shared" si="31"/>
        <v>0.11641251456252012</v>
      </c>
      <c r="M85" s="12">
        <f t="shared" si="27"/>
        <v>0.12550016371856146</v>
      </c>
      <c r="O85" s="13">
        <f t="shared" si="32"/>
        <v>0.10429564902113164</v>
      </c>
      <c r="P85" s="13">
        <f t="shared" si="33"/>
        <v>0.11641251456252012</v>
      </c>
      <c r="Q85" s="13">
        <f t="shared" si="34"/>
        <v>0.12550016371856146</v>
      </c>
    </row>
    <row r="86" spans="1:17">
      <c r="A86" s="2" t="str">
        <f t="shared" si="22"/>
        <v>NorthWestern Corporation</v>
      </c>
      <c r="B86" s="24" t="str">
        <f t="shared" si="22"/>
        <v>NWE</v>
      </c>
      <c r="C86" s="9">
        <v>2.48</v>
      </c>
      <c r="D86" s="9">
        <v>62.155861111111093</v>
      </c>
      <c r="E86" s="12">
        <f t="shared" si="28"/>
        <v>3.9899696596057146E-2</v>
      </c>
      <c r="F86" s="14">
        <f t="shared" si="29"/>
        <v>4.0671090730247592E-2</v>
      </c>
      <c r="G86" s="12">
        <f t="shared" si="23"/>
        <v>0.03</v>
      </c>
      <c r="H86" s="12">
        <f t="shared" si="23"/>
        <v>4.4999999999999998E-2</v>
      </c>
      <c r="I86" s="12">
        <f t="shared" si="23"/>
        <v>4.1000000000000002E-2</v>
      </c>
      <c r="J86" s="12">
        <f t="shared" si="30"/>
        <v>3.8666666666666662E-2</v>
      </c>
      <c r="K86" s="13">
        <f t="shared" si="25"/>
        <v>7.0498192044997993E-2</v>
      </c>
      <c r="L86" s="12">
        <f t="shared" si="31"/>
        <v>7.933775739691426E-2</v>
      </c>
      <c r="M86" s="12">
        <f t="shared" si="27"/>
        <v>8.5797439769468437E-2</v>
      </c>
      <c r="O86" s="13">
        <f t="shared" si="32"/>
        <v>7.0498192044997993E-2</v>
      </c>
      <c r="P86" s="13">
        <f t="shared" si="33"/>
        <v>7.933775739691426E-2</v>
      </c>
      <c r="Q86" s="13">
        <f t="shared" si="34"/>
        <v>8.5797439769468437E-2</v>
      </c>
    </row>
    <row r="87" spans="1:17">
      <c r="A87" s="2" t="str">
        <f t="shared" si="22"/>
        <v>Southern Company</v>
      </c>
      <c r="B87" s="24" t="str">
        <f t="shared" si="22"/>
        <v>SO</v>
      </c>
      <c r="C87" s="9">
        <v>2.64</v>
      </c>
      <c r="D87" s="9">
        <v>63.61833333333329</v>
      </c>
      <c r="E87" s="12">
        <f t="shared" si="28"/>
        <v>4.1497471902753429E-2</v>
      </c>
      <c r="F87" s="14">
        <f t="shared" si="29"/>
        <v>4.2700898587933273E-2</v>
      </c>
      <c r="G87" s="12">
        <f t="shared" si="23"/>
        <v>0.06</v>
      </c>
      <c r="H87" s="12">
        <f t="shared" si="23"/>
        <v>6.5000000000000002E-2</v>
      </c>
      <c r="I87" s="12">
        <f t="shared" si="23"/>
        <v>4.9000000000000002E-2</v>
      </c>
      <c r="J87" s="12">
        <f t="shared" si="30"/>
        <v>5.7999999999999996E-2</v>
      </c>
      <c r="K87" s="13">
        <f t="shared" si="25"/>
        <v>9.1514159964370886E-2</v>
      </c>
      <c r="L87" s="12">
        <f t="shared" si="31"/>
        <v>0.10070089858793327</v>
      </c>
      <c r="M87" s="12">
        <f t="shared" si="27"/>
        <v>0.10784613973959292</v>
      </c>
      <c r="O87" s="13">
        <f t="shared" si="32"/>
        <v>9.1514159964370886E-2</v>
      </c>
      <c r="P87" s="13">
        <f t="shared" si="33"/>
        <v>0.10070089858793327</v>
      </c>
      <c r="Q87" s="13">
        <f t="shared" si="34"/>
        <v>0.10784613973959292</v>
      </c>
    </row>
    <row r="88" spans="1:17">
      <c r="A88" s="2" t="str">
        <f t="shared" si="22"/>
        <v>Wisconsin Energy Corporation</v>
      </c>
      <c r="B88" s="24" t="str">
        <f t="shared" si="22"/>
        <v>WEC</v>
      </c>
      <c r="C88" s="9">
        <v>2.71</v>
      </c>
      <c r="D88" s="9">
        <v>92.8631666666667</v>
      </c>
      <c r="E88" s="12">
        <f t="shared" si="28"/>
        <v>2.9182722249043832E-2</v>
      </c>
      <c r="F88" s="14">
        <f t="shared" si="29"/>
        <v>3.0126296935096247E-2</v>
      </c>
      <c r="G88" s="12">
        <f t="shared" si="23"/>
        <v>6.5000000000000002E-2</v>
      </c>
      <c r="H88" s="12">
        <f t="shared" si="23"/>
        <v>6.6000000000000003E-2</v>
      </c>
      <c r="I88" s="12">
        <f t="shared" si="23"/>
        <v>6.3E-2</v>
      </c>
      <c r="J88" s="12">
        <f t="shared" si="30"/>
        <v>6.4666666666666664E-2</v>
      </c>
      <c r="K88" s="13">
        <f t="shared" si="25"/>
        <v>9.3101977999888716E-2</v>
      </c>
      <c r="L88" s="12">
        <f t="shared" si="31"/>
        <v>9.4792963601762911E-2</v>
      </c>
      <c r="M88" s="12">
        <f t="shared" si="27"/>
        <v>9.6145752083262287E-2</v>
      </c>
      <c r="O88" s="13">
        <f t="shared" si="32"/>
        <v>9.3101977999888716E-2</v>
      </c>
      <c r="P88" s="13">
        <f t="shared" si="33"/>
        <v>9.4792963601762911E-2</v>
      </c>
      <c r="Q88" s="13">
        <f t="shared" si="34"/>
        <v>9.6145752083262287E-2</v>
      </c>
    </row>
    <row r="89" spans="1:17">
      <c r="A89" s="2" t="str">
        <f t="shared" si="22"/>
        <v>Xcel Energy Inc.</v>
      </c>
      <c r="B89" s="24" t="str">
        <f t="shared" si="22"/>
        <v>XEL</v>
      </c>
      <c r="C89" s="342">
        <v>1.83</v>
      </c>
      <c r="D89" s="9">
        <v>67.364388888888897</v>
      </c>
      <c r="E89" s="12">
        <f t="shared" si="28"/>
        <v>2.7165688432480396E-2</v>
      </c>
      <c r="F89" s="14">
        <f t="shared" si="29"/>
        <v>2.8039518077058515E-2</v>
      </c>
      <c r="G89" s="12">
        <f t="shared" si="23"/>
        <v>0.06</v>
      </c>
      <c r="H89" s="12">
        <f t="shared" si="23"/>
        <v>6.9000000000000006E-2</v>
      </c>
      <c r="I89" s="12">
        <f t="shared" si="23"/>
        <v>6.4000000000000001E-2</v>
      </c>
      <c r="J89" s="12">
        <f t="shared" si="30"/>
        <v>6.433333333333334E-2</v>
      </c>
      <c r="K89" s="13">
        <f t="shared" si="25"/>
        <v>8.7980659085454799E-2</v>
      </c>
      <c r="L89" s="12">
        <f t="shared" si="31"/>
        <v>9.2372851410391851E-2</v>
      </c>
      <c r="M89" s="12">
        <f t="shared" si="27"/>
        <v>9.7102904683400978E-2</v>
      </c>
      <c r="O89" s="13">
        <f t="shared" si="32"/>
        <v>8.7980659085454799E-2</v>
      </c>
      <c r="P89" s="13">
        <f t="shared" si="33"/>
        <v>9.2372851410391851E-2</v>
      </c>
      <c r="Q89" s="13">
        <f t="shared" si="34"/>
        <v>9.7102904683400978E-2</v>
      </c>
    </row>
    <row r="90" spans="1:17">
      <c r="A90" s="285" t="s">
        <v>15</v>
      </c>
      <c r="B90" s="278"/>
      <c r="C90" s="341"/>
      <c r="D90" s="278"/>
      <c r="E90" s="286">
        <f t="shared" ref="E90:M90" si="35">AVERAGE(E77:E89)</f>
        <v>3.1437161964989906E-2</v>
      </c>
      <c r="F90" s="286">
        <f t="shared" si="35"/>
        <v>3.2359869738713597E-2</v>
      </c>
      <c r="G90" s="286">
        <f t="shared" si="35"/>
        <v>6.076923076923077E-2</v>
      </c>
      <c r="H90" s="286">
        <f t="shared" si="35"/>
        <v>6.1007692307692318E-2</v>
      </c>
      <c r="I90" s="286">
        <f t="shared" si="35"/>
        <v>6.061538461538462E-2</v>
      </c>
      <c r="J90" s="286">
        <f t="shared" si="35"/>
        <v>6.07974358974359E-2</v>
      </c>
      <c r="K90" s="286">
        <f t="shared" si="35"/>
        <v>8.4455851794731501E-2</v>
      </c>
      <c r="L90" s="286">
        <f t="shared" si="35"/>
        <v>9.315730563614949E-2</v>
      </c>
      <c r="M90" s="286">
        <f t="shared" si="35"/>
        <v>0.10071564890420552</v>
      </c>
      <c r="N90" s="286"/>
      <c r="O90" s="286">
        <f>AVERAGE(O77:O89)</f>
        <v>8.5677530011011097E-2</v>
      </c>
      <c r="P90" s="286">
        <f>AVERAGE(P77:P89)</f>
        <v>9.315730563614949E-2</v>
      </c>
      <c r="Q90" s="286">
        <f>AVERAGE(Q77:Q89)</f>
        <v>0.10071564890420552</v>
      </c>
    </row>
    <row r="91" spans="1:17">
      <c r="A91" s="287" t="s">
        <v>3</v>
      </c>
      <c r="B91" s="235"/>
      <c r="C91" s="235"/>
      <c r="D91" s="235"/>
      <c r="E91" s="284">
        <f t="shared" ref="E91:M91" si="36">MEDIAN(E77:E89)</f>
        <v>2.9182722249043832E-2</v>
      </c>
      <c r="F91" s="284">
        <f t="shared" si="36"/>
        <v>3.0126296935096247E-2</v>
      </c>
      <c r="G91" s="284">
        <f t="shared" si="36"/>
        <v>0.06</v>
      </c>
      <c r="H91" s="284">
        <f t="shared" si="36"/>
        <v>6.0999999999999999E-2</v>
      </c>
      <c r="I91" s="284">
        <f t="shared" si="36"/>
        <v>6.0999999999999999E-2</v>
      </c>
      <c r="J91" s="284">
        <f t="shared" si="36"/>
        <v>5.8999999999999997E-2</v>
      </c>
      <c r="K91" s="284">
        <f t="shared" si="36"/>
        <v>8.6195093044940219E-2</v>
      </c>
      <c r="L91" s="284">
        <f t="shared" si="36"/>
        <v>9.2372851410391851E-2</v>
      </c>
      <c r="M91" s="284">
        <f t="shared" si="36"/>
        <v>9.9175501945861486E-2</v>
      </c>
      <c r="N91" s="284"/>
      <c r="O91" s="284">
        <f>MEDIAN(O77:O89)</f>
        <v>8.7087876065197509E-2</v>
      </c>
      <c r="P91" s="284">
        <f>MEDIAN(P77:P89)</f>
        <v>9.2372851410391851E-2</v>
      </c>
      <c r="Q91" s="284">
        <f>MEDIAN(Q77:Q89)</f>
        <v>9.9175501945861486E-2</v>
      </c>
    </row>
    <row r="92" spans="1:17">
      <c r="A92" s="285"/>
      <c r="B92" s="278"/>
      <c r="C92" s="2"/>
      <c r="D92" s="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>
      <c r="A93" s="235" t="s">
        <v>31</v>
      </c>
      <c r="B93" s="23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7">
      <c r="A94" s="2" t="s">
        <v>88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7">
      <c r="A95" s="2" t="str">
        <f>A25</f>
        <v>[2] Source: Bloomberg Professional, equals 30-day average as of November 30, 2021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7">
      <c r="A96" s="2" t="s">
        <v>115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 t="s">
        <v>116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 t="s">
        <v>117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 t="s">
        <v>118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 t="s">
        <v>119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3" t="s">
        <v>120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 t="s">
        <v>121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 t="s">
        <v>122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 t="s">
        <v>123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18" t="s">
        <v>124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</sheetData>
  <mergeCells count="6">
    <mergeCell ref="O73:Q73"/>
    <mergeCell ref="O38:Q38"/>
    <mergeCell ref="O3:Q3"/>
    <mergeCell ref="A2:Q2"/>
    <mergeCell ref="A37:Q37"/>
    <mergeCell ref="A72:Q72"/>
  </mergeCells>
  <conditionalFormatting sqref="A7:B19 A42:B54 A77:B89">
    <cfRule type="expression" dxfId="12" priority="23">
      <formula>"(blank)"</formula>
    </cfRule>
  </conditionalFormatting>
  <conditionalFormatting sqref="A7:B19 A42:B54 A77:B89">
    <cfRule type="expression" dxfId="11" priority="24">
      <formula>#REF!</formula>
    </cfRule>
  </conditionalFormatting>
  <conditionalFormatting sqref="H68">
    <cfRule type="expression" dxfId="10" priority="3">
      <formula>"(blank)"</formula>
    </cfRule>
  </conditionalFormatting>
  <conditionalFormatting sqref="H68">
    <cfRule type="expression" dxfId="9" priority="4">
      <formula>#REF!</formula>
    </cfRule>
  </conditionalFormatting>
  <conditionalFormatting sqref="I68">
    <cfRule type="expression" dxfId="8" priority="1">
      <formula>"(blank)"</formula>
    </cfRule>
  </conditionalFormatting>
  <conditionalFormatting sqref="I68">
    <cfRule type="expression" dxfId="7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2:L38"/>
  <sheetViews>
    <sheetView view="pageLayout" zoomScale="60" zoomScaleNormal="90" zoomScaleSheetLayoutView="100" zoomScalePageLayoutView="60" workbookViewId="0">
      <selection activeCell="D1" sqref="D1"/>
    </sheetView>
  </sheetViews>
  <sheetFormatPr defaultColWidth="9.109375" defaultRowHeight="13.2"/>
  <cols>
    <col min="1" max="1" width="35.5546875" style="5" customWidth="1"/>
    <col min="2" max="2" width="15.5546875" style="5" customWidth="1"/>
    <col min="3" max="3" width="9.88671875" style="5" bestFit="1" customWidth="1"/>
    <col min="4" max="5" width="15.5546875" style="5" customWidth="1"/>
    <col min="6" max="7" width="21.6640625" style="5" customWidth="1"/>
    <col min="8" max="9" width="15.5546875" style="5" customWidth="1"/>
    <col min="10" max="11" width="16.44140625" style="5" customWidth="1"/>
    <col min="12" max="12" width="11.88671875" style="5" customWidth="1"/>
    <col min="13" max="13" width="9.109375" style="5"/>
    <col min="14" max="14" width="22.33203125" style="5" customWidth="1"/>
    <col min="15" max="16384" width="9.109375" style="5"/>
  </cols>
  <sheetData>
    <row r="2" spans="1:12">
      <c r="A2" s="359" t="s">
        <v>33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4" spans="1:12" ht="13.8" thickBot="1"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8" t="s">
        <v>40</v>
      </c>
      <c r="J4" s="8" t="s">
        <v>41</v>
      </c>
      <c r="K4" s="19" t="s">
        <v>42</v>
      </c>
      <c r="L4" s="19" t="s">
        <v>43</v>
      </c>
    </row>
    <row r="5" spans="1:12" ht="52.8">
      <c r="A5" s="274" t="s">
        <v>44</v>
      </c>
      <c r="B5" s="275" t="s">
        <v>45</v>
      </c>
      <c r="C5" s="275" t="s">
        <v>46</v>
      </c>
      <c r="D5" s="276" t="s">
        <v>47</v>
      </c>
      <c r="E5" s="276" t="s">
        <v>48</v>
      </c>
      <c r="F5" s="276" t="s">
        <v>49</v>
      </c>
      <c r="G5" s="276" t="s">
        <v>50</v>
      </c>
      <c r="H5" s="276" t="s">
        <v>51</v>
      </c>
      <c r="I5" s="276" t="s">
        <v>52</v>
      </c>
      <c r="J5" s="276" t="s">
        <v>53</v>
      </c>
      <c r="K5" s="277" t="s">
        <v>54</v>
      </c>
      <c r="L5" s="277" t="s">
        <v>55</v>
      </c>
    </row>
    <row r="6" spans="1:12">
      <c r="A6" s="278" t="s">
        <v>56</v>
      </c>
      <c r="B6" s="279" t="s">
        <v>57</v>
      </c>
      <c r="C6" s="280" t="s">
        <v>58</v>
      </c>
      <c r="D6" s="280" t="s">
        <v>59</v>
      </c>
      <c r="E6" s="280" t="s">
        <v>58</v>
      </c>
      <c r="F6" s="280" t="s">
        <v>58</v>
      </c>
      <c r="G6" s="280" t="s">
        <v>58</v>
      </c>
      <c r="H6" s="280" t="s">
        <v>58</v>
      </c>
      <c r="I6" s="280" t="s">
        <v>58</v>
      </c>
      <c r="J6" s="281">
        <v>0.6137072561863951</v>
      </c>
      <c r="K6" s="281">
        <v>0.99559973115460476</v>
      </c>
      <c r="L6" s="280" t="s">
        <v>60</v>
      </c>
    </row>
    <row r="7" spans="1:12">
      <c r="A7" s="2" t="s">
        <v>61</v>
      </c>
      <c r="B7" s="15" t="s">
        <v>62</v>
      </c>
      <c r="C7" s="19" t="s">
        <v>58</v>
      </c>
      <c r="D7" s="19" t="s">
        <v>63</v>
      </c>
      <c r="E7" s="19" t="s">
        <v>58</v>
      </c>
      <c r="F7" s="19" t="s">
        <v>58</v>
      </c>
      <c r="G7" s="19" t="s">
        <v>58</v>
      </c>
      <c r="H7" s="19" t="s">
        <v>58</v>
      </c>
      <c r="I7" s="19" t="s">
        <v>58</v>
      </c>
      <c r="J7" s="103">
        <v>0.69071648268534658</v>
      </c>
      <c r="K7" s="103">
        <v>0.96257963019181469</v>
      </c>
      <c r="L7" s="19" t="s">
        <v>60</v>
      </c>
    </row>
    <row r="8" spans="1:12">
      <c r="A8" s="2" t="s">
        <v>64</v>
      </c>
      <c r="B8" s="15" t="s">
        <v>65</v>
      </c>
      <c r="C8" s="19" t="s">
        <v>58</v>
      </c>
      <c r="D8" s="19" t="s">
        <v>59</v>
      </c>
      <c r="E8" s="19" t="s">
        <v>58</v>
      </c>
      <c r="F8" s="19" t="s">
        <v>58</v>
      </c>
      <c r="G8" s="19" t="s">
        <v>58</v>
      </c>
      <c r="H8" s="19" t="s">
        <v>58</v>
      </c>
      <c r="I8" s="19" t="s">
        <v>58</v>
      </c>
      <c r="J8" s="103">
        <v>0.76859780473440453</v>
      </c>
      <c r="K8" s="103">
        <v>1</v>
      </c>
      <c r="L8" s="19" t="s">
        <v>60</v>
      </c>
    </row>
    <row r="9" spans="1:12">
      <c r="A9" s="2" t="s">
        <v>66</v>
      </c>
      <c r="B9" s="15" t="s">
        <v>67</v>
      </c>
      <c r="C9" s="19" t="s">
        <v>58</v>
      </c>
      <c r="D9" s="19" t="s">
        <v>68</v>
      </c>
      <c r="E9" s="19" t="s">
        <v>58</v>
      </c>
      <c r="F9" s="19" t="s">
        <v>58</v>
      </c>
      <c r="G9" s="19" t="s">
        <v>58</v>
      </c>
      <c r="H9" s="19" t="s">
        <v>58</v>
      </c>
      <c r="I9" s="19" t="s">
        <v>58</v>
      </c>
      <c r="J9" s="103">
        <v>0.59018611616214511</v>
      </c>
      <c r="K9" s="103">
        <v>1</v>
      </c>
      <c r="L9" s="19" t="s">
        <v>60</v>
      </c>
    </row>
    <row r="10" spans="1:12">
      <c r="A10" s="2" t="s">
        <v>69</v>
      </c>
      <c r="B10" s="15" t="s">
        <v>70</v>
      </c>
      <c r="C10" s="19" t="s">
        <v>58</v>
      </c>
      <c r="D10" s="19" t="s">
        <v>59</v>
      </c>
      <c r="E10" s="19" t="s">
        <v>58</v>
      </c>
      <c r="F10" s="19" t="s">
        <v>58</v>
      </c>
      <c r="G10" s="19" t="s">
        <v>58</v>
      </c>
      <c r="H10" s="19" t="s">
        <v>58</v>
      </c>
      <c r="I10" s="19" t="s">
        <v>58</v>
      </c>
      <c r="J10" s="103">
        <v>0.41918033021145407</v>
      </c>
      <c r="K10" s="103">
        <v>0.94987845997044396</v>
      </c>
      <c r="L10" s="19" t="s">
        <v>60</v>
      </c>
    </row>
    <row r="11" spans="1:12">
      <c r="A11" s="2" t="s">
        <v>71</v>
      </c>
      <c r="B11" s="15" t="s">
        <v>72</v>
      </c>
      <c r="C11" s="19" t="s">
        <v>58</v>
      </c>
      <c r="D11" s="19" t="s">
        <v>59</v>
      </c>
      <c r="E11" s="19" t="s">
        <v>58</v>
      </c>
      <c r="F11" s="19" t="s">
        <v>58</v>
      </c>
      <c r="G11" s="19" t="s">
        <v>58</v>
      </c>
      <c r="H11" s="19" t="s">
        <v>58</v>
      </c>
      <c r="I11" s="19" t="s">
        <v>58</v>
      </c>
      <c r="J11" s="103">
        <v>0.39507075978224765</v>
      </c>
      <c r="K11" s="103">
        <v>0.91374771120310394</v>
      </c>
      <c r="L11" s="19" t="s">
        <v>60</v>
      </c>
    </row>
    <row r="12" spans="1:12">
      <c r="A12" s="2" t="s">
        <v>73</v>
      </c>
      <c r="B12" s="15" t="s">
        <v>74</v>
      </c>
      <c r="C12" s="19" t="s">
        <v>58</v>
      </c>
      <c r="D12" s="19" t="s">
        <v>59</v>
      </c>
      <c r="E12" s="19" t="s">
        <v>58</v>
      </c>
      <c r="F12" s="19" t="s">
        <v>58</v>
      </c>
      <c r="G12" s="19" t="s">
        <v>58</v>
      </c>
      <c r="H12" s="19" t="s">
        <v>58</v>
      </c>
      <c r="I12" s="19" t="s">
        <v>58</v>
      </c>
      <c r="J12" s="103">
        <v>0.82704436859336594</v>
      </c>
      <c r="K12" s="103">
        <v>0.99363057324840776</v>
      </c>
      <c r="L12" s="19" t="s">
        <v>60</v>
      </c>
    </row>
    <row r="13" spans="1:12">
      <c r="A13" s="2" t="s">
        <v>75</v>
      </c>
      <c r="B13" s="15" t="s">
        <v>76</v>
      </c>
      <c r="C13" s="19" t="s">
        <v>58</v>
      </c>
      <c r="D13" s="19" t="s">
        <v>77</v>
      </c>
      <c r="E13" s="19" t="s">
        <v>58</v>
      </c>
      <c r="F13" s="19" t="s">
        <v>58</v>
      </c>
      <c r="G13" s="19" t="s">
        <v>58</v>
      </c>
      <c r="H13" s="19" t="s">
        <v>58</v>
      </c>
      <c r="I13" s="19" t="s">
        <v>58</v>
      </c>
      <c r="J13" s="103">
        <v>0.66911163752898795</v>
      </c>
      <c r="K13" s="103">
        <v>0.71131868783467034</v>
      </c>
      <c r="L13" s="19" t="s">
        <v>60</v>
      </c>
    </row>
    <row r="14" spans="1:12">
      <c r="A14" s="2" t="s">
        <v>78</v>
      </c>
      <c r="B14" s="15" t="s">
        <v>79</v>
      </c>
      <c r="C14" s="19" t="s">
        <v>58</v>
      </c>
      <c r="D14" s="19" t="s">
        <v>63</v>
      </c>
      <c r="E14" s="19" t="s">
        <v>58</v>
      </c>
      <c r="F14" s="19" t="s">
        <v>58</v>
      </c>
      <c r="G14" s="19" t="s">
        <v>58</v>
      </c>
      <c r="H14" s="19" t="s">
        <v>58</v>
      </c>
      <c r="I14" s="19" t="s">
        <v>58</v>
      </c>
      <c r="J14" s="103">
        <v>0.97236043728409716</v>
      </c>
      <c r="K14" s="103">
        <v>0.75625442135204191</v>
      </c>
      <c r="L14" s="19" t="s">
        <v>60</v>
      </c>
    </row>
    <row r="15" spans="1:12">
      <c r="A15" s="2" t="s">
        <v>80</v>
      </c>
      <c r="B15" s="15" t="s">
        <v>81</v>
      </c>
      <c r="C15" s="19" t="s">
        <v>58</v>
      </c>
      <c r="D15" s="19" t="s">
        <v>68</v>
      </c>
      <c r="E15" s="19" t="s">
        <v>58</v>
      </c>
      <c r="F15" s="19" t="s">
        <v>58</v>
      </c>
      <c r="G15" s="19" t="s">
        <v>58</v>
      </c>
      <c r="H15" s="19" t="s">
        <v>58</v>
      </c>
      <c r="I15" s="19" t="s">
        <v>58</v>
      </c>
      <c r="J15" s="103">
        <v>0.57891637036631638</v>
      </c>
      <c r="K15" s="103">
        <v>0.99748804705537031</v>
      </c>
      <c r="L15" s="19" t="s">
        <v>60</v>
      </c>
    </row>
    <row r="16" spans="1:12">
      <c r="A16" s="2" t="s">
        <v>82</v>
      </c>
      <c r="B16" s="15" t="s">
        <v>83</v>
      </c>
      <c r="C16" s="19" t="s">
        <v>58</v>
      </c>
      <c r="D16" s="19" t="s">
        <v>63</v>
      </c>
      <c r="E16" s="19" t="s">
        <v>58</v>
      </c>
      <c r="F16" s="19" t="s">
        <v>58</v>
      </c>
      <c r="G16" s="19" t="s">
        <v>58</v>
      </c>
      <c r="H16" s="19" t="s">
        <v>58</v>
      </c>
      <c r="I16" s="19" t="s">
        <v>58</v>
      </c>
      <c r="J16" s="103">
        <v>0.78450989991783027</v>
      </c>
      <c r="K16" s="103">
        <v>0.86978340805955889</v>
      </c>
      <c r="L16" s="19" t="s">
        <v>60</v>
      </c>
    </row>
    <row r="17" spans="1:12">
      <c r="A17" s="2" t="s">
        <v>84</v>
      </c>
      <c r="B17" s="15" t="s">
        <v>85</v>
      </c>
      <c r="C17" s="19" t="s">
        <v>58</v>
      </c>
      <c r="D17" s="19" t="s">
        <v>63</v>
      </c>
      <c r="E17" s="19" t="s">
        <v>58</v>
      </c>
      <c r="F17" s="19" t="s">
        <v>58</v>
      </c>
      <c r="G17" s="19" t="s">
        <v>58</v>
      </c>
      <c r="H17" s="19" t="s">
        <v>58</v>
      </c>
      <c r="I17" s="19" t="s">
        <v>58</v>
      </c>
      <c r="J17" s="103">
        <v>0.66893254775302868</v>
      </c>
      <c r="K17" s="103">
        <v>0.92200127122491604</v>
      </c>
      <c r="L17" s="19" t="s">
        <v>60</v>
      </c>
    </row>
    <row r="18" spans="1:12" ht="13.8" thickBot="1">
      <c r="A18" s="7" t="s">
        <v>86</v>
      </c>
      <c r="B18" s="20" t="s">
        <v>87</v>
      </c>
      <c r="C18" s="21" t="s">
        <v>58</v>
      </c>
      <c r="D18" s="21" t="s">
        <v>63</v>
      </c>
      <c r="E18" s="21" t="s">
        <v>58</v>
      </c>
      <c r="F18" s="21" t="s">
        <v>58</v>
      </c>
      <c r="G18" s="21" t="s">
        <v>58</v>
      </c>
      <c r="H18" s="21" t="s">
        <v>58</v>
      </c>
      <c r="I18" s="21" t="s">
        <v>58</v>
      </c>
      <c r="J18" s="104">
        <v>0.57425292219659263</v>
      </c>
      <c r="K18" s="104">
        <v>1</v>
      </c>
      <c r="L18" s="21" t="s">
        <v>60</v>
      </c>
    </row>
    <row r="19" spans="1:12" ht="13.8" thickTop="1">
      <c r="A19" s="16"/>
      <c r="B19" s="17"/>
      <c r="C19" s="8"/>
      <c r="D19" s="8"/>
      <c r="K19" s="8"/>
    </row>
    <row r="21" spans="1:12">
      <c r="A21" s="282" t="s">
        <v>31</v>
      </c>
    </row>
    <row r="22" spans="1:12">
      <c r="A22" s="22" t="s">
        <v>88</v>
      </c>
    </row>
    <row r="23" spans="1:12">
      <c r="A23" s="22" t="s">
        <v>89</v>
      </c>
    </row>
    <row r="24" spans="1:12">
      <c r="A24" s="22" t="s">
        <v>90</v>
      </c>
      <c r="F24" s="2"/>
      <c r="G24" s="2"/>
      <c r="H24" s="15"/>
      <c r="I24" s="15"/>
      <c r="J24" s="15"/>
      <c r="K24" s="15"/>
    </row>
    <row r="25" spans="1:12">
      <c r="A25" s="22" t="s">
        <v>91</v>
      </c>
      <c r="F25" s="2"/>
      <c r="G25" s="2"/>
      <c r="H25" s="15"/>
      <c r="I25" s="15"/>
      <c r="J25" s="15"/>
      <c r="K25" s="15"/>
    </row>
    <row r="26" spans="1:12">
      <c r="A26" s="22" t="s">
        <v>92</v>
      </c>
      <c r="F26" s="2"/>
      <c r="G26" s="2"/>
      <c r="H26" s="15"/>
      <c r="I26" s="15"/>
      <c r="J26" s="15"/>
      <c r="K26" s="15"/>
    </row>
    <row r="27" spans="1:12">
      <c r="A27" s="28" t="s">
        <v>93</v>
      </c>
      <c r="F27" s="2"/>
      <c r="G27" s="2"/>
      <c r="H27" s="15"/>
      <c r="I27" s="15"/>
      <c r="J27" s="15"/>
      <c r="K27" s="15"/>
    </row>
    <row r="28" spans="1:12">
      <c r="A28" s="28" t="s">
        <v>94</v>
      </c>
      <c r="F28" s="2"/>
      <c r="G28" s="2"/>
      <c r="H28" s="15"/>
      <c r="I28" s="15"/>
      <c r="J28" s="15"/>
      <c r="K28" s="15"/>
    </row>
    <row r="29" spans="1:12">
      <c r="A29" s="28" t="s">
        <v>95</v>
      </c>
      <c r="F29" s="2"/>
      <c r="G29" s="2"/>
      <c r="H29" s="15"/>
      <c r="I29" s="15"/>
      <c r="J29" s="15"/>
      <c r="K29" s="15"/>
    </row>
    <row r="30" spans="1:12">
      <c r="A30" s="28" t="s">
        <v>96</v>
      </c>
      <c r="F30" s="2"/>
      <c r="G30" s="2"/>
      <c r="H30" s="15"/>
      <c r="I30" s="15"/>
      <c r="J30" s="15"/>
      <c r="K30" s="15"/>
    </row>
    <row r="31" spans="1:12">
      <c r="A31" s="22" t="s">
        <v>97</v>
      </c>
      <c r="F31" s="2"/>
      <c r="G31" s="2"/>
      <c r="H31" s="15"/>
      <c r="I31" s="15"/>
      <c r="J31" s="15"/>
      <c r="K31" s="15"/>
    </row>
    <row r="32" spans="1:12">
      <c r="F32" s="2"/>
      <c r="G32" s="2"/>
      <c r="H32" s="15"/>
      <c r="I32" s="15"/>
      <c r="J32" s="15"/>
      <c r="K32" s="15"/>
    </row>
    <row r="33" spans="6:11">
      <c r="F33" s="2"/>
      <c r="G33" s="2"/>
      <c r="H33" s="15"/>
      <c r="I33" s="15"/>
      <c r="J33" s="15"/>
      <c r="K33" s="15"/>
    </row>
    <row r="34" spans="6:11">
      <c r="F34" s="2"/>
      <c r="G34" s="2"/>
      <c r="H34" s="15"/>
      <c r="I34" s="15"/>
      <c r="J34" s="15"/>
      <c r="K34" s="15"/>
    </row>
    <row r="35" spans="6:11">
      <c r="F35" s="2"/>
      <c r="G35" s="2"/>
      <c r="H35" s="15"/>
      <c r="I35" s="15"/>
      <c r="J35" s="15"/>
      <c r="K35" s="15"/>
    </row>
    <row r="36" spans="6:11">
      <c r="F36" s="2"/>
      <c r="G36" s="2"/>
      <c r="H36" s="15"/>
      <c r="I36" s="15"/>
      <c r="J36" s="15"/>
      <c r="K36" s="15"/>
    </row>
    <row r="37" spans="6:11">
      <c r="F37" s="2"/>
      <c r="G37" s="2"/>
      <c r="H37" s="15"/>
      <c r="I37" s="15"/>
      <c r="J37" s="15"/>
      <c r="K37" s="15"/>
    </row>
    <row r="38" spans="6:11">
      <c r="F38" s="2"/>
      <c r="G38" s="2"/>
      <c r="H38" s="15"/>
      <c r="I38" s="15"/>
      <c r="J38" s="15"/>
      <c r="K38" s="15"/>
    </row>
  </sheetData>
  <mergeCells count="1">
    <mergeCell ref="A2:L2"/>
  </mergeCells>
  <phoneticPr fontId="80" type="noConversion"/>
  <conditionalFormatting sqref="A6:B19 F24:K38">
    <cfRule type="expression" dxfId="14" priority="13">
      <formula>"(blank)"</formula>
    </cfRule>
  </conditionalFormatting>
  <conditionalFormatting sqref="A6:B19 F24:K38">
    <cfRule type="expression" dxfId="13" priority="14">
      <formula>#REF!</formula>
    </cfRule>
  </conditionalFormatting>
  <printOptions horizontalCentered="1"/>
  <pageMargins left="0.7" right="0.7" top="1.25" bottom="0.75" header="0.3" footer="0.3"/>
  <pageSetup scale="59" orientation="landscape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48C559-76BA-4E95-82F8-B5F3FD61E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FF51F-F042-4F0F-AD51-A0009C0D9C07}">
  <ds:schemaRefs>
    <ds:schemaRef ds:uri="http://purl.org/dc/dcmitype/"/>
    <ds:schemaRef ds:uri="c32fbbb0-2551-4f40-8708-3ac18798f7af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100dbc-37ab-48a5-8f21-d640fba57fe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425684F-DF37-468E-AF91-CA32E52A7F86}"/>
</file>

<file path=customXml/itemProps4.xml><?xml version="1.0" encoding="utf-8"?>
<ds:datastoreItem xmlns:ds="http://schemas.openxmlformats.org/officeDocument/2006/customXml" ds:itemID="{9591C3D5-9189-4A03-9C88-5DE59C265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AEB-2 Summary</vt:lpstr>
      <vt:lpstr>Exhibit AEB-9 Expected Earning</vt:lpstr>
      <vt:lpstr>AEB-8 p1-3 Risk Premium- elec</vt:lpstr>
      <vt:lpstr>AEB-8 p 3-6 Risk Premium - Gas</vt:lpstr>
      <vt:lpstr>AEB-7 MRP</vt:lpstr>
      <vt:lpstr>AEB-6 CAPM LT Beta</vt:lpstr>
      <vt:lpstr>AEB-5 CAPM</vt:lpstr>
      <vt:lpstr>AEB-4 Constant DCF</vt:lpstr>
      <vt:lpstr>AEB-3 Proxy Selection</vt:lpstr>
      <vt:lpstr>Exhibit AEB-10 CapEx 1</vt:lpstr>
      <vt:lpstr>Exhibit AEB-10 CapEx 2</vt:lpstr>
      <vt:lpstr>Exhibit AEB-11  Reg Risk</vt:lpstr>
      <vt:lpstr>Exhibit AEB-12 Cap. Str.</vt:lpstr>
      <vt:lpstr>'AEB-2 Summary'!Print_Area</vt:lpstr>
      <vt:lpstr>'AEB-3 Proxy Selection'!Print_Area</vt:lpstr>
      <vt:lpstr>'AEB-4 Constant DCF'!Print_Area</vt:lpstr>
      <vt:lpstr>'AEB-5 CAPM'!Print_Area</vt:lpstr>
      <vt:lpstr>'AEB-7 MRP'!Print_Area</vt:lpstr>
      <vt:lpstr>'AEB-8 p 3-6 Risk Premium - Gas'!Print_Area</vt:lpstr>
      <vt:lpstr>'AEB-8 p1-3 Risk Premium- elec'!Print_Area</vt:lpstr>
      <vt:lpstr>'Exhibit AEB-10 CapEx 1'!Print_Area</vt:lpstr>
      <vt:lpstr>'Exhibit AEB-10 CapEx 2'!Print_Area</vt:lpstr>
      <vt:lpstr>'Exhibit AEB-12 Cap. Str.'!Print_Area</vt:lpstr>
      <vt:lpstr>'Exhibit AEB-9 Expected Earning'!Print_Area</vt:lpstr>
      <vt:lpstr>'AEB-7 MRP'!Print_Titles</vt:lpstr>
      <vt:lpstr>'AEB-8 p 3-6 Risk Premium - Gas'!Print_Titles</vt:lpstr>
      <vt:lpstr>'AEB-8 p1-3 Risk Premium- elec'!Print_Titles</vt:lpstr>
      <vt:lpstr>'Exhibit AEB-10 CapEx 1'!Print_Titles</vt:lpstr>
      <vt:lpstr>'Exhibit AEB-11  Reg Risk'!Print_Titles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Bulkley, Ann</dc:creator>
  <cp:lastModifiedBy>Ryan Thomas</cp:lastModifiedBy>
  <dcterms:created xsi:type="dcterms:W3CDTF">2022-01-27T12:31:49Z</dcterms:created>
  <dcterms:modified xsi:type="dcterms:W3CDTF">2022-01-28T03:45:50Z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{435EB0E4-3143-4EDD-9651-660F73CDAAA7}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